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drawings/drawing3.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4.xml" ContentType="application/vnd.openxmlformats-officedocument.drawing+xml"/>
  <Override PartName="/xl/ctrlProps/ctrlProp7.xml" ContentType="application/vnd.ms-excel.controlproperties+xml"/>
  <Override PartName="/xl/ctrlProps/ctrlProp8.xml" ContentType="application/vnd.ms-excel.controlproperties+xml"/>
  <Override PartName="/xl/drawings/drawing5.xml" ContentType="application/vnd.openxmlformats-officedocument.drawing+xml"/>
  <Override PartName="/xl/ctrlProps/ctrlProp9.xml" ContentType="application/vnd.ms-excel.controlproperties+xml"/>
  <Override PartName="/xl/ctrlProps/ctrlProp10.xml" ContentType="application/vnd.ms-excel.controlproperties+xml"/>
  <Override PartName="/xl/drawings/drawing6.xml" ContentType="application/vnd.openxmlformats-officedocument.drawing+xml"/>
  <Override PartName="/xl/ctrlProps/ctrlProp11.xml" ContentType="application/vnd.ms-excel.controlproperties+xml"/>
  <Override PartName="/xl/ctrlProps/ctrlProp12.xml" ContentType="application/vnd.ms-excel.controlproperties+xml"/>
  <Override PartName="/xl/drawings/drawing7.xml" ContentType="application/vnd.openxmlformats-officedocument.drawing+xml"/>
  <Override PartName="/xl/ctrlProps/ctrlProp13.xml" ContentType="application/vnd.ms-excel.controlproperties+xml"/>
  <Override PartName="/xl/drawings/drawing8.xml" ContentType="application/vnd.openxmlformats-officedocument.drawing+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drawings/drawing9.xml" ContentType="application/vnd.openxmlformats-officedocument.drawing+xml"/>
  <Override PartName="/xl/ctrlProps/ctrlProp18.xml" ContentType="application/vnd.ms-excel.controlproperties+xml"/>
  <Override PartName="/xl/drawings/drawing10.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drawings/drawing11.xml" ContentType="application/vnd.openxmlformats-officedocument.drawing+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drawings/drawing12.xml" ContentType="application/vnd.openxmlformats-officedocument.drawing+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drawings/drawing13.xml" ContentType="application/vnd.openxmlformats-officedocument.drawing+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drawings/drawing14.xml" ContentType="application/vnd.openxmlformats-officedocument.drawing+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drawings/drawing15.xml" ContentType="application/vnd.openxmlformats-officedocument.drawing+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drawings/drawing16.xml" ContentType="application/vnd.openxmlformats-officedocument.drawing+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drawings/drawing17.xml" ContentType="application/vnd.openxmlformats-officedocument.drawing+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drawings/drawing18.xml" ContentType="application/vnd.openxmlformats-officedocument.drawing+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drawings/drawing19.xml" ContentType="application/vnd.openxmlformats-officedocument.drawing+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drawings/drawing20.xml" ContentType="application/vnd.openxmlformats-officedocument.drawing+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drawings/drawing21.xml" ContentType="application/vnd.openxmlformats-officedocument.drawing+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drawings/drawing22.xml" ContentType="application/vnd.openxmlformats-officedocument.drawing+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drawings/drawing23.xml" ContentType="application/vnd.openxmlformats-officedocument.drawing+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drawings/drawing24.xml" ContentType="application/vnd.openxmlformats-officedocument.drawing+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drawings/drawing25.xml" ContentType="application/vnd.openxmlformats-officedocument.drawing+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drawings/drawing26.xml" ContentType="application/vnd.openxmlformats-officedocument.drawing+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drawings/drawing27.xml" ContentType="application/vnd.openxmlformats-officedocument.drawing+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drawings/drawing28.xml" ContentType="application/vnd.openxmlformats-officedocument.drawing+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drawings/drawing29.xml" ContentType="application/vnd.openxmlformats-officedocument.drawing+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drawings/drawing30.xml" ContentType="application/vnd.openxmlformats-officedocument.drawing+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drawings/drawing31.xml" ContentType="application/vnd.openxmlformats-officedocument.drawing+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drawings/drawing32.xml" ContentType="application/vnd.openxmlformats-officedocument.drawing+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drawings/drawing33.xml" ContentType="application/vnd.openxmlformats-officedocument.drawing+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drawings/drawing34.xml" ContentType="application/vnd.openxmlformats-officedocument.drawing+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drawings/drawing35.xml" ContentType="application/vnd.openxmlformats-officedocument.drawing+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drawings/drawing36.xml" ContentType="application/vnd.openxmlformats-officedocument.drawing+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drawings/drawing37.xml" ContentType="application/vnd.openxmlformats-officedocument.drawing+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drawings/drawing38.xml" ContentType="application/vnd.openxmlformats-officedocument.drawing+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drawings/drawing39.xml" ContentType="application/vnd.openxmlformats-officedocument.drawing+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codeName="{899C9086-67A9-5B14-2C2D-5A8001700F7D}"/>
  <workbookPr showInkAnnotation="0" codeName="ThisWorkbook" checkCompatibility="1"/>
  <mc:AlternateContent xmlns:mc="http://schemas.openxmlformats.org/markup-compatibility/2006">
    <mc:Choice Requires="x15">
      <x15ac:absPath xmlns:x15ac="http://schemas.microsoft.com/office/spreadsheetml/2010/11/ac" url="https://demostrade-my.sharepoint.com/personal/11507_demos-trade_com/Documents/Záloha/AventPlan/"/>
    </mc:Choice>
  </mc:AlternateContent>
  <xr:revisionPtr revIDLastSave="0" documentId="8_{144BE596-BE63-485F-84B3-8CB1B252EF9A}" xr6:coauthVersionLast="47" xr6:coauthVersionMax="47" xr10:uidLastSave="{00000000-0000-0000-0000-000000000000}"/>
  <bookViews>
    <workbookView xWindow="-120" yWindow="-120" windowWidth="29040" windowHeight="15720" tabRatio="615" xr2:uid="{BD485CF3-234C-40D3-BF74-A3E2DDAD48E9}"/>
  </bookViews>
  <sheets>
    <sheet name="Form" sheetId="137" r:id="rId1"/>
    <sheet name="MenuAVS" sheetId="124" r:id="rId2"/>
    <sheet name="HF" sheetId="142" r:id="rId3"/>
    <sheet name="HS" sheetId="143" r:id="rId4"/>
    <sheet name="HL" sheetId="144" r:id="rId5"/>
    <sheet name="HK" sheetId="145" r:id="rId6"/>
    <sheet name="HKS" sheetId="146" r:id="rId7"/>
    <sheet name="HKXS" sheetId="147" r:id="rId8"/>
    <sheet name="HKi" sheetId="174" r:id="rId9"/>
    <sheet name="HFw" sheetId="148" r:id="rId10"/>
    <sheet name="HFwa" sheetId="149" r:id="rId11"/>
    <sheet name="HFw_wa" sheetId="150" r:id="rId12"/>
    <sheet name="HFwa_w" sheetId="151" r:id="rId13"/>
    <sheet name="HFna" sheetId="152" r:id="rId14"/>
    <sheet name="HFw_na" sheetId="153" r:id="rId15"/>
    <sheet name="HFna_w" sheetId="154" r:id="rId16"/>
    <sheet name="HSw" sheetId="155" r:id="rId17"/>
    <sheet name="HSwa" sheetId="156" r:id="rId18"/>
    <sheet name="HSna" sheetId="157" r:id="rId19"/>
    <sheet name="HSt" sheetId="125" r:id="rId20"/>
    <sheet name="HLw" sheetId="158" r:id="rId21"/>
    <sheet name="HLwa" sheetId="159" r:id="rId22"/>
    <sheet name="HLna" sheetId="160" r:id="rId23"/>
    <sheet name="HLt" sheetId="126" r:id="rId24"/>
    <sheet name="HKw" sheetId="161" r:id="rId25"/>
    <sheet name="HKwa" sheetId="162" r:id="rId26"/>
    <sheet name="HKna" sheetId="163" r:id="rId27"/>
    <sheet name="HKt" sheetId="128" r:id="rId28"/>
    <sheet name="HKSw" sheetId="164" r:id="rId29"/>
    <sheet name="HKSwa" sheetId="165" r:id="rId30"/>
    <sheet name="HKSna" sheetId="166" r:id="rId31"/>
    <sheet name="HKSt" sheetId="129" r:id="rId32"/>
    <sheet name="HKXSw" sheetId="167" r:id="rId33"/>
    <sheet name="HKXSwa" sheetId="168" r:id="rId34"/>
    <sheet name="HKXSna" sheetId="169" r:id="rId35"/>
    <sheet name="HKXSt" sheetId="130" r:id="rId36"/>
    <sheet name="HKiw" sheetId="175" r:id="rId37"/>
    <sheet name="HKiwa" sheetId="176" r:id="rId38"/>
    <sheet name="HKina" sheetId="177" r:id="rId39"/>
    <sheet name="AcsAVS" sheetId="171" r:id="rId40"/>
    <sheet name="SumAVS" sheetId="172" r:id="rId41"/>
    <sheet name="OrdAVS" sheetId="133" r:id="rId42"/>
    <sheet name="ListAVS" sheetId="173" state="hidden" r:id="rId43"/>
    <sheet name="Zones" sheetId="1" state="hidden" r:id="rId44"/>
    <sheet name="CenAVS" sheetId="139" state="hidden" r:id="rId45"/>
    <sheet name="Param" sheetId="138" r:id="rId46"/>
    <sheet name="Price" sheetId="8" state="hidden" r:id="rId47"/>
  </sheets>
  <definedNames>
    <definedName name="_xlnm._FilterDatabase" localSheetId="39" hidden="1">AcsAVS!$Z$8:$Z$38</definedName>
    <definedName name="_xlnm._FilterDatabase" localSheetId="13" hidden="1">HFna!#REF!</definedName>
    <definedName name="_xlnm._FilterDatabase" localSheetId="15" hidden="1">HFna_w!#REF!</definedName>
    <definedName name="_xlnm._FilterDatabase" localSheetId="9" hidden="1">HFw!#REF!</definedName>
    <definedName name="_xlnm._FilterDatabase" localSheetId="14" hidden="1">HFw_na!#REF!</definedName>
    <definedName name="_xlnm._FilterDatabase" localSheetId="11" hidden="1">HFw_wa!#REF!</definedName>
    <definedName name="_xlnm._FilterDatabase" localSheetId="10" hidden="1">HFwa!#REF!</definedName>
    <definedName name="_xlnm._FilterDatabase" localSheetId="12" hidden="1">HFwa_w!#REF!</definedName>
    <definedName name="_xlnm._FilterDatabase" localSheetId="38" hidden="1">HKina!#REF!</definedName>
    <definedName name="_xlnm._FilterDatabase" localSheetId="36" hidden="1">HKiw!#REF!</definedName>
    <definedName name="_xlnm._FilterDatabase" localSheetId="37" hidden="1">HKiwa!#REF!</definedName>
    <definedName name="_xlnm._FilterDatabase" localSheetId="26" hidden="1">HKna!#REF!</definedName>
    <definedName name="_xlnm._FilterDatabase" localSheetId="30" hidden="1">HKSna!#REF!</definedName>
    <definedName name="_xlnm._FilterDatabase" localSheetId="31" hidden="1">HKSt!#REF!</definedName>
    <definedName name="_xlnm._FilterDatabase" localSheetId="28" hidden="1">HKSw!#REF!</definedName>
    <definedName name="_xlnm._FilterDatabase" localSheetId="29" hidden="1">HKSwa!#REF!</definedName>
    <definedName name="_xlnm._FilterDatabase" localSheetId="27" hidden="1">HKt!#REF!</definedName>
    <definedName name="_xlnm._FilterDatabase" localSheetId="24" hidden="1">HKw!#REF!</definedName>
    <definedName name="_xlnm._FilterDatabase" localSheetId="25" hidden="1">HKwa!#REF!</definedName>
    <definedName name="_xlnm._FilterDatabase" localSheetId="34" hidden="1">HKXSna!#REF!</definedName>
    <definedName name="_xlnm._FilterDatabase" localSheetId="35" hidden="1">HKXSt!#REF!</definedName>
    <definedName name="_xlnm._FilterDatabase" localSheetId="32" hidden="1">HKXSw!#REF!</definedName>
    <definedName name="_xlnm._FilterDatabase" localSheetId="33" hidden="1">HKXSwa!#REF!</definedName>
    <definedName name="_xlnm._FilterDatabase" localSheetId="22" hidden="1">HLna!#REF!</definedName>
    <definedName name="_xlnm._FilterDatabase" localSheetId="23" hidden="1">HLt!#REF!</definedName>
    <definedName name="_xlnm._FilterDatabase" localSheetId="20" hidden="1">HLw!#REF!</definedName>
    <definedName name="_xlnm._FilterDatabase" localSheetId="21" hidden="1">HLwa!#REF!</definedName>
    <definedName name="_xlnm._FilterDatabase" localSheetId="42" hidden="1">ListAVS!$A$1:$D$430</definedName>
    <definedName name="_xlnm._FilterDatabase" localSheetId="41" hidden="1">OrdAVS!$F$10:$F$202</definedName>
    <definedName name="_xlnm._FilterDatabase" localSheetId="46" hidden="1">Price!$G$10:$G$229</definedName>
    <definedName name="_xlnm.Extract" localSheetId="46">Price!$M$10</definedName>
    <definedName name="_xlnm.Print_Area" localSheetId="39">AcsAVS!$B$2:$L$60</definedName>
    <definedName name="_xlnm.Print_Area" localSheetId="2">HF!$B$2:$I$37</definedName>
    <definedName name="_xlnm.Print_Area" localSheetId="13">HFna!$B$2:$L$46</definedName>
    <definedName name="_xlnm.Print_Area" localSheetId="15">HFna_w!$B$2:$L$46</definedName>
    <definedName name="_xlnm.Print_Area" localSheetId="9">HFw!$B$2:$L$46</definedName>
    <definedName name="_xlnm.Print_Area" localSheetId="14">HFw_na!$B$2:$L$46</definedName>
    <definedName name="_xlnm.Print_Area" localSheetId="11">HFw_wa!$B$2:$L$46</definedName>
    <definedName name="_xlnm.Print_Area" localSheetId="10">HFwa!$B$2:$L$46</definedName>
    <definedName name="_xlnm.Print_Area" localSheetId="12">HFwa_w!$B$2:$L$46</definedName>
    <definedName name="_xlnm.Print_Area" localSheetId="5">HK!$B$2:$I$34</definedName>
    <definedName name="_xlnm.Print_Area" localSheetId="8">HKi!$B$2:$I$35</definedName>
    <definedName name="_xlnm.Print_Area" localSheetId="38">HKina!$B$2:$L$45</definedName>
    <definedName name="_xlnm.Print_Area" localSheetId="36">HKiw!$B$2:$L$45</definedName>
    <definedName name="_xlnm.Print_Area" localSheetId="37">HKiwa!$B$2:$L$45</definedName>
    <definedName name="_xlnm.Print_Area" localSheetId="26">HKna!$B$2:$L$41</definedName>
    <definedName name="_xlnm.Print_Area" localSheetId="6">HKS!$B$2:$I$35</definedName>
    <definedName name="_xlnm.Print_Area" localSheetId="30">HKSna!$B$2:$L$44</definedName>
    <definedName name="_xlnm.Print_Area" localSheetId="31">HKSt!$B$2:$L$44</definedName>
    <definedName name="_xlnm.Print_Area" localSheetId="28">HKSw!$B$2:$L$44</definedName>
    <definedName name="_xlnm.Print_Area" localSheetId="29">HKSwa!$B$2:$L$44</definedName>
    <definedName name="_xlnm.Print_Area" localSheetId="27">HKt!$B$2:$L$43</definedName>
    <definedName name="_xlnm.Print_Area" localSheetId="24">HKw!$B$2:$L$45</definedName>
    <definedName name="_xlnm.Print_Area" localSheetId="25">HKwa!$B$2:$L$41</definedName>
    <definedName name="_xlnm.Print_Area" localSheetId="7">HKXS!$B$2:$I$35</definedName>
    <definedName name="_xlnm.Print_Area" localSheetId="34">HKXSna!$B$2:$M$44</definedName>
    <definedName name="_xlnm.Print_Area" localSheetId="35">HKXSt!$B$2:$N$44</definedName>
    <definedName name="_xlnm.Print_Area" localSheetId="32">HKXSw!$B$2:$M$44</definedName>
    <definedName name="_xlnm.Print_Area" localSheetId="33">HKXSwa!$B$2:$M$44</definedName>
    <definedName name="_xlnm.Print_Area" localSheetId="4">HL!$B$2:$I$36</definedName>
    <definedName name="_xlnm.Print_Area" localSheetId="22">HLna!$B$2:$L$44</definedName>
    <definedName name="_xlnm.Print_Area" localSheetId="23">HLt!$B$2:$L$44</definedName>
    <definedName name="_xlnm.Print_Area" localSheetId="20">HLw!$B$2:$L$44</definedName>
    <definedName name="_xlnm.Print_Area" localSheetId="21">HLwa!$B$2:$L$44</definedName>
    <definedName name="_xlnm.Print_Area" localSheetId="3">HS!$B$2:$I$35</definedName>
    <definedName name="_xlnm.Print_Area" localSheetId="18">HSna!$B$2:$L$44</definedName>
    <definedName name="_xlnm.Print_Area" localSheetId="19">HSt!$B$2:$L$44</definedName>
    <definedName name="_xlnm.Print_Area" localSheetId="16">HSw!$B$2:$L$44</definedName>
    <definedName name="_xlnm.Print_Area" localSheetId="17">HSwa!$B$2:$L$44</definedName>
    <definedName name="_xlnm.Print_Area" localSheetId="1">MenuAVS!$B$2:$L$42</definedName>
    <definedName name="_xlnm.Print_Area" localSheetId="41">OrdAVS!$A$1:$K$209</definedName>
    <definedName name="_xlnm.Print_Area" localSheetId="40">SumAVS!$B$2:$Z$59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0" i="169" l="1"/>
  <c r="G12" i="138"/>
  <c r="G13" i="138"/>
  <c r="G17" i="138"/>
  <c r="G18" i="138"/>
  <c r="Q23" i="153"/>
  <c r="Q22" i="153"/>
  <c r="Q21" i="153"/>
  <c r="Q23" i="152"/>
  <c r="Q22" i="152"/>
  <c r="Q21" i="152"/>
  <c r="Q12" i="152"/>
  <c r="Q11" i="152"/>
  <c r="Q10" i="152"/>
  <c r="Q23" i="151"/>
  <c r="Q22" i="151"/>
  <c r="Q21" i="151"/>
  <c r="Q12" i="151"/>
  <c r="Q11" i="151"/>
  <c r="Q10" i="151"/>
  <c r="Q23" i="150"/>
  <c r="Q22" i="150"/>
  <c r="Q21" i="150"/>
  <c r="Q12" i="150"/>
  <c r="Q11" i="150"/>
  <c r="Q10" i="150"/>
  <c r="I25" i="166"/>
  <c r="I25" i="165"/>
  <c r="I21" i="160"/>
  <c r="I21" i="126"/>
  <c r="I21" i="159"/>
  <c r="I10" i="160"/>
  <c r="I10" i="126"/>
  <c r="I10" i="159"/>
  <c r="I21" i="158"/>
  <c r="I10" i="158"/>
  <c r="I11" i="158"/>
  <c r="B32" i="177" l="1"/>
  <c r="B32" i="176"/>
  <c r="B32" i="175"/>
  <c r="Y46" i="172"/>
  <c r="R46" i="172"/>
  <c r="AZ186" i="133"/>
  <c r="I66" i="171"/>
  <c r="V66" i="171" s="1"/>
  <c r="G66" i="171"/>
  <c r="T66" i="171" s="1"/>
  <c r="I65" i="171"/>
  <c r="V65" i="171" s="1"/>
  <c r="W66" i="171"/>
  <c r="W65" i="171"/>
  <c r="L64" i="171"/>
  <c r="K64" i="171"/>
  <c r="J64" i="171"/>
  <c r="I64" i="171"/>
  <c r="B64" i="171"/>
  <c r="AB27" i="177"/>
  <c r="AB27" i="176"/>
  <c r="AB26" i="177"/>
  <c r="AB26" i="176"/>
  <c r="Z27" i="177"/>
  <c r="AA27" i="177"/>
  <c r="Z27" i="176"/>
  <c r="AA27" i="176"/>
  <c r="AA26" i="177"/>
  <c r="AA26" i="176"/>
  <c r="Z26" i="177"/>
  <c r="Z26" i="176"/>
  <c r="AB27" i="175"/>
  <c r="AB26" i="175"/>
  <c r="Z27" i="175"/>
  <c r="AA27" i="175"/>
  <c r="Z28" i="175"/>
  <c r="AA28" i="175"/>
  <c r="AB28" i="175"/>
  <c r="AA26" i="175"/>
  <c r="Z26" i="175"/>
  <c r="N39" i="128"/>
  <c r="I13" i="128"/>
  <c r="AG15" i="177"/>
  <c r="AG16" i="177"/>
  <c r="AG17" i="177"/>
  <c r="AG14" i="177"/>
  <c r="AE15" i="176"/>
  <c r="AE16" i="176"/>
  <c r="AE17" i="176"/>
  <c r="AE15" i="175"/>
  <c r="AE16" i="175"/>
  <c r="AE17" i="175"/>
  <c r="AE14" i="175"/>
  <c r="B152" i="148"/>
  <c r="I24" i="154"/>
  <c r="I24" i="153"/>
  <c r="I11" i="149"/>
  <c r="B30" i="151"/>
  <c r="B30" i="152"/>
  <c r="B30" i="153"/>
  <c r="B30" i="154"/>
  <c r="B30" i="150"/>
  <c r="B19" i="151"/>
  <c r="B19" i="152"/>
  <c r="B19" i="153"/>
  <c r="B19" i="154"/>
  <c r="B19" i="150"/>
  <c r="I10" i="150"/>
  <c r="I10" i="149"/>
  <c r="C39" i="150"/>
  <c r="C39" i="151"/>
  <c r="C39" i="152"/>
  <c r="C39" i="153"/>
  <c r="C39" i="154"/>
  <c r="C39" i="149"/>
  <c r="O120" i="154"/>
  <c r="N120" i="154"/>
  <c r="N111" i="154" s="1"/>
  <c r="C120" i="154"/>
  <c r="Q118" i="154"/>
  <c r="O118" i="154"/>
  <c r="N118" i="154"/>
  <c r="N114" i="154" s="1"/>
  <c r="N115" i="154" s="1"/>
  <c r="B118" i="154"/>
  <c r="B117" i="154"/>
  <c r="B116" i="154"/>
  <c r="S115" i="154"/>
  <c r="J111" i="154" s="1"/>
  <c r="B115" i="154"/>
  <c r="O114" i="154"/>
  <c r="O115" i="154" s="1"/>
  <c r="B114" i="154"/>
  <c r="O113" i="154"/>
  <c r="N113" i="154"/>
  <c r="B112" i="154"/>
  <c r="B111" i="154"/>
  <c r="G110" i="154"/>
  <c r="B109" i="154"/>
  <c r="B107" i="154"/>
  <c r="B106" i="154"/>
  <c r="K105" i="154"/>
  <c r="B105" i="154"/>
  <c r="B104" i="154"/>
  <c r="K103" i="154"/>
  <c r="B103" i="154"/>
  <c r="B102" i="154"/>
  <c r="O120" i="153"/>
  <c r="O111" i="153" s="1"/>
  <c r="N120" i="153"/>
  <c r="N111" i="153" s="1"/>
  <c r="C120" i="153"/>
  <c r="Q118" i="153"/>
  <c r="O118" i="153"/>
  <c r="O114" i="153" s="1"/>
  <c r="O115" i="153" s="1"/>
  <c r="N118" i="153"/>
  <c r="N114" i="153" s="1"/>
  <c r="B118" i="153"/>
  <c r="B117" i="153"/>
  <c r="B116" i="153"/>
  <c r="S115" i="153"/>
  <c r="I117" i="153" s="1"/>
  <c r="B115" i="153"/>
  <c r="B114" i="153"/>
  <c r="O113" i="153"/>
  <c r="N113" i="153"/>
  <c r="B112" i="153"/>
  <c r="B111" i="153"/>
  <c r="G110" i="153"/>
  <c r="B109" i="153"/>
  <c r="B107" i="153"/>
  <c r="B106" i="153"/>
  <c r="K105" i="153"/>
  <c r="B105" i="153"/>
  <c r="B104" i="153"/>
  <c r="K103" i="153"/>
  <c r="B103" i="153"/>
  <c r="B102" i="153"/>
  <c r="O120" i="152"/>
  <c r="O111" i="152" s="1"/>
  <c r="N120" i="152"/>
  <c r="N111" i="152" s="1"/>
  <c r="C120" i="152"/>
  <c r="Q118" i="152"/>
  <c r="O118" i="152"/>
  <c r="O114" i="152" s="1"/>
  <c r="O115" i="152" s="1"/>
  <c r="N118" i="152"/>
  <c r="N114" i="152" s="1"/>
  <c r="N115" i="152" s="1"/>
  <c r="B118" i="152"/>
  <c r="B117" i="152"/>
  <c r="B116" i="152"/>
  <c r="S115" i="152"/>
  <c r="J111" i="152" s="1"/>
  <c r="B115" i="152"/>
  <c r="B114" i="152"/>
  <c r="O113" i="152"/>
  <c r="N113" i="152"/>
  <c r="B112" i="152"/>
  <c r="B111" i="152"/>
  <c r="G110" i="152"/>
  <c r="B109" i="152"/>
  <c r="B107" i="152"/>
  <c r="B106" i="152"/>
  <c r="K105" i="152"/>
  <c r="B105" i="152"/>
  <c r="B104" i="152"/>
  <c r="K103" i="152"/>
  <c r="B103" i="152"/>
  <c r="B102" i="152"/>
  <c r="O120" i="151"/>
  <c r="O111" i="151" s="1"/>
  <c r="N120" i="151"/>
  <c r="C120" i="151"/>
  <c r="Q118" i="151"/>
  <c r="O118" i="151"/>
  <c r="N118" i="151"/>
  <c r="B118" i="151"/>
  <c r="B117" i="151"/>
  <c r="B116" i="151"/>
  <c r="S115" i="151"/>
  <c r="I116" i="151" s="1"/>
  <c r="B115" i="151"/>
  <c r="O114" i="151"/>
  <c r="N114" i="151"/>
  <c r="B114" i="151"/>
  <c r="O113" i="151"/>
  <c r="N113" i="151"/>
  <c r="B112" i="151"/>
  <c r="N111" i="151"/>
  <c r="B111" i="151"/>
  <c r="G110" i="151"/>
  <c r="B109" i="151"/>
  <c r="B107" i="151"/>
  <c r="B106" i="151"/>
  <c r="K105" i="151"/>
  <c r="B105" i="151"/>
  <c r="B104" i="151"/>
  <c r="K103" i="151"/>
  <c r="B103" i="151"/>
  <c r="B102" i="151"/>
  <c r="O120" i="150"/>
  <c r="O111" i="150" s="1"/>
  <c r="N120" i="150"/>
  <c r="N111" i="150" s="1"/>
  <c r="C120" i="150"/>
  <c r="Q118" i="150"/>
  <c r="O118" i="150"/>
  <c r="O114" i="150" s="1"/>
  <c r="O115" i="150" s="1"/>
  <c r="N118" i="150"/>
  <c r="N114" i="150" s="1"/>
  <c r="N115" i="150" s="1"/>
  <c r="B118" i="150"/>
  <c r="B117" i="150"/>
  <c r="B116" i="150"/>
  <c r="S115" i="150"/>
  <c r="J111" i="150" s="1"/>
  <c r="B115" i="150"/>
  <c r="B114" i="150"/>
  <c r="O113" i="150"/>
  <c r="N113" i="150"/>
  <c r="B112" i="150"/>
  <c r="B111" i="150"/>
  <c r="G110" i="150"/>
  <c r="B109" i="150"/>
  <c r="B107" i="150"/>
  <c r="B106" i="150"/>
  <c r="K105" i="150"/>
  <c r="B105" i="150"/>
  <c r="B104" i="150"/>
  <c r="K103" i="150"/>
  <c r="B103" i="150"/>
  <c r="B102" i="150"/>
  <c r="O120" i="149"/>
  <c r="N120" i="149"/>
  <c r="N111" i="149" s="1"/>
  <c r="C120" i="149"/>
  <c r="Q118" i="149"/>
  <c r="O118" i="149"/>
  <c r="N118" i="149"/>
  <c r="B118" i="149"/>
  <c r="B117" i="149"/>
  <c r="B116" i="149"/>
  <c r="S115" i="149"/>
  <c r="J112" i="149" s="1"/>
  <c r="B115" i="149"/>
  <c r="O114" i="149"/>
  <c r="N114" i="149"/>
  <c r="B114" i="149"/>
  <c r="O113" i="149"/>
  <c r="N113" i="149"/>
  <c r="B112" i="149"/>
  <c r="B111" i="149"/>
  <c r="G110" i="149"/>
  <c r="B109" i="149"/>
  <c r="B107" i="149"/>
  <c r="B106" i="149"/>
  <c r="K105" i="149"/>
  <c r="B105" i="149"/>
  <c r="B104" i="149"/>
  <c r="K103" i="149"/>
  <c r="B103" i="149"/>
  <c r="B102" i="149"/>
  <c r="C39" i="148"/>
  <c r="I22" i="148"/>
  <c r="I21" i="148"/>
  <c r="T44" i="154"/>
  <c r="T44" i="153"/>
  <c r="T44" i="152"/>
  <c r="T44" i="151"/>
  <c r="T44" i="150"/>
  <c r="T44" i="149"/>
  <c r="S46" i="148"/>
  <c r="N46" i="148"/>
  <c r="B19" i="148"/>
  <c r="Q45" i="148"/>
  <c r="Z53" i="148"/>
  <c r="AA53" i="148"/>
  <c r="AB53" i="148"/>
  <c r="AC53" i="148"/>
  <c r="N44" i="148" s="1"/>
  <c r="AD53" i="148"/>
  <c r="I116" i="154" l="1"/>
  <c r="I116" i="152"/>
  <c r="I117" i="154"/>
  <c r="I117" i="149"/>
  <c r="I117" i="152"/>
  <c r="H111" i="150"/>
  <c r="S114" i="150" s="1"/>
  <c r="J112" i="151"/>
  <c r="I117" i="150"/>
  <c r="J112" i="154"/>
  <c r="I116" i="149"/>
  <c r="I117" i="151"/>
  <c r="H111" i="149"/>
  <c r="J112" i="153"/>
  <c r="H111" i="154"/>
  <c r="J112" i="152"/>
  <c r="H111" i="153"/>
  <c r="S114" i="153" s="1"/>
  <c r="H111" i="152"/>
  <c r="S114" i="152" s="1"/>
  <c r="J112" i="150"/>
  <c r="H111" i="151"/>
  <c r="I115" i="151" s="1"/>
  <c r="I118" i="151" s="1"/>
  <c r="H112" i="149"/>
  <c r="I116" i="150"/>
  <c r="H112" i="154"/>
  <c r="H112" i="153"/>
  <c r="H112" i="152"/>
  <c r="H112" i="151"/>
  <c r="H112" i="150"/>
  <c r="J111" i="149"/>
  <c r="V114" i="149" s="1"/>
  <c r="J111" i="153"/>
  <c r="V114" i="153" s="1"/>
  <c r="K114" i="153" s="1"/>
  <c r="I116" i="153"/>
  <c r="J111" i="151"/>
  <c r="V114" i="151" s="1"/>
  <c r="N115" i="153"/>
  <c r="N115" i="151"/>
  <c r="O115" i="151"/>
  <c r="N115" i="149"/>
  <c r="O115" i="149"/>
  <c r="V114" i="154"/>
  <c r="O111" i="154"/>
  <c r="K114" i="152"/>
  <c r="V114" i="152"/>
  <c r="V114" i="150"/>
  <c r="K114" i="150" s="1"/>
  <c r="O111" i="149"/>
  <c r="D8" i="145"/>
  <c r="J321" i="133"/>
  <c r="B318" i="133"/>
  <c r="B317" i="133"/>
  <c r="B315" i="133"/>
  <c r="B313" i="133"/>
  <c r="B312" i="133"/>
  <c r="B311" i="133"/>
  <c r="B309" i="133"/>
  <c r="B308" i="133"/>
  <c r="B307" i="133"/>
  <c r="B306" i="133"/>
  <c r="AN12" i="150"/>
  <c r="AN8" i="150"/>
  <c r="AN12" i="151"/>
  <c r="AN8" i="151"/>
  <c r="AN12" i="152"/>
  <c r="AN8" i="152"/>
  <c r="AN12" i="153"/>
  <c r="AN8" i="153"/>
  <c r="AN12" i="154"/>
  <c r="AN8" i="154"/>
  <c r="AN12" i="149"/>
  <c r="AN8" i="149"/>
  <c r="B106" i="148"/>
  <c r="B105" i="148"/>
  <c r="B104" i="148"/>
  <c r="B117" i="148"/>
  <c r="Q118" i="148"/>
  <c r="O113" i="148"/>
  <c r="N113" i="148"/>
  <c r="K103" i="148"/>
  <c r="N120" i="148"/>
  <c r="N111" i="148" s="1"/>
  <c r="O120" i="148"/>
  <c r="O111" i="148" s="1"/>
  <c r="S115" i="148"/>
  <c r="I116" i="148" s="1"/>
  <c r="O118" i="148"/>
  <c r="O114" i="148" s="1"/>
  <c r="N118" i="148"/>
  <c r="N114" i="148" s="1"/>
  <c r="AS8" i="177"/>
  <c r="AQ8" i="177"/>
  <c r="AS8" i="176"/>
  <c r="AQ8" i="176"/>
  <c r="AQ20" i="128"/>
  <c r="AQ18" i="163"/>
  <c r="AQ15" i="163"/>
  <c r="AQ14" i="163"/>
  <c r="AS8" i="163"/>
  <c r="AR8" i="163"/>
  <c r="AQ8" i="163"/>
  <c r="AQ18" i="128"/>
  <c r="AQ15" i="128"/>
  <c r="AQ14" i="128"/>
  <c r="AS8" i="128"/>
  <c r="AR8" i="128"/>
  <c r="AQ8" i="128"/>
  <c r="AQ18" i="162"/>
  <c r="AQ15" i="162"/>
  <c r="AQ14" i="162"/>
  <c r="AS8" i="162"/>
  <c r="AR8" i="162"/>
  <c r="AQ8" i="162"/>
  <c r="AQ15" i="161"/>
  <c r="AQ14" i="161"/>
  <c r="AQ13" i="126"/>
  <c r="AQ12" i="126"/>
  <c r="AS8" i="161"/>
  <c r="AR8" i="161"/>
  <c r="D52" i="126"/>
  <c r="D52" i="160"/>
  <c r="D52" i="159"/>
  <c r="AS19" i="160"/>
  <c r="AR19" i="160"/>
  <c r="AQ19" i="160"/>
  <c r="AQ18" i="160"/>
  <c r="AQ13" i="160"/>
  <c r="AQ12" i="160"/>
  <c r="AS8" i="160"/>
  <c r="AR8" i="160"/>
  <c r="AQ8" i="160"/>
  <c r="AQ7" i="160"/>
  <c r="AS19" i="126"/>
  <c r="AR19" i="126"/>
  <c r="AQ19" i="126"/>
  <c r="AQ18" i="126"/>
  <c r="AS8" i="126"/>
  <c r="AR8" i="126"/>
  <c r="AQ8" i="126"/>
  <c r="AQ7" i="126"/>
  <c r="AS19" i="159"/>
  <c r="AR19" i="159"/>
  <c r="AQ19" i="159"/>
  <c r="AQ18" i="159"/>
  <c r="AQ13" i="159"/>
  <c r="AQ12" i="159"/>
  <c r="AS8" i="159"/>
  <c r="AR8" i="159"/>
  <c r="AQ8" i="159"/>
  <c r="AQ7" i="159"/>
  <c r="AQ7" i="158"/>
  <c r="AQ18" i="158"/>
  <c r="AS19" i="158"/>
  <c r="AQ8" i="158"/>
  <c r="AR19" i="158"/>
  <c r="AQ19" i="158"/>
  <c r="AQ13" i="158"/>
  <c r="AQ12" i="158"/>
  <c r="AS8" i="158"/>
  <c r="AR8" i="158"/>
  <c r="AQ15" i="157"/>
  <c r="AQ14" i="157"/>
  <c r="AT8" i="157"/>
  <c r="AS8" i="157"/>
  <c r="AR8" i="157"/>
  <c r="AQ8" i="157"/>
  <c r="AQ15" i="125"/>
  <c r="AQ14" i="125"/>
  <c r="AT8" i="125"/>
  <c r="AS8" i="125"/>
  <c r="AR8" i="125"/>
  <c r="AQ8" i="125"/>
  <c r="AQ15" i="156"/>
  <c r="AQ14" i="156"/>
  <c r="AT8" i="156"/>
  <c r="AS8" i="156"/>
  <c r="AR8" i="156"/>
  <c r="AQ8" i="156"/>
  <c r="AQ15" i="155"/>
  <c r="AQ14" i="155"/>
  <c r="AT8" i="155"/>
  <c r="AS8" i="155"/>
  <c r="AR8" i="155"/>
  <c r="AQ8" i="155"/>
  <c r="H134" i="144"/>
  <c r="AB27" i="154"/>
  <c r="AB28" i="154"/>
  <c r="AB29" i="154"/>
  <c r="AD34" i="154"/>
  <c r="AB36" i="154"/>
  <c r="AB37" i="154"/>
  <c r="AB26" i="153"/>
  <c r="AB30" i="153"/>
  <c r="AB36" i="153"/>
  <c r="AB37" i="153"/>
  <c r="C38" i="154"/>
  <c r="I11" i="128"/>
  <c r="I22" i="163"/>
  <c r="I22" i="128"/>
  <c r="I22" i="162"/>
  <c r="I11" i="163"/>
  <c r="I11" i="162"/>
  <c r="I11" i="161"/>
  <c r="I22" i="161"/>
  <c r="AD57" i="154"/>
  <c r="AC57" i="154"/>
  <c r="AB57" i="154"/>
  <c r="AD56" i="154"/>
  <c r="AC56" i="154"/>
  <c r="AB56" i="154"/>
  <c r="AA56" i="154"/>
  <c r="Z56" i="154"/>
  <c r="AD55" i="154"/>
  <c r="AC55" i="154"/>
  <c r="AB55" i="154"/>
  <c r="AA55" i="154"/>
  <c r="Z55" i="154"/>
  <c r="AD54" i="154"/>
  <c r="AC54" i="154"/>
  <c r="AB54" i="154"/>
  <c r="AA54" i="154"/>
  <c r="Z54" i="154"/>
  <c r="AD53" i="154"/>
  <c r="AC53" i="154"/>
  <c r="AB53" i="154"/>
  <c r="Z53" i="154"/>
  <c r="AD52" i="154"/>
  <c r="AC52" i="154"/>
  <c r="AB52" i="154"/>
  <c r="AA52" i="154"/>
  <c r="Z52" i="154"/>
  <c r="AD51" i="154"/>
  <c r="AC51" i="154"/>
  <c r="AB51" i="154"/>
  <c r="AA51" i="154"/>
  <c r="Z51" i="154"/>
  <c r="AC50" i="154"/>
  <c r="AB50" i="154"/>
  <c r="AA50" i="154"/>
  <c r="Z50" i="154"/>
  <c r="AD49" i="154"/>
  <c r="AC49" i="154"/>
  <c r="AB49" i="154"/>
  <c r="AA49" i="154"/>
  <c r="Z49" i="154"/>
  <c r="Z48" i="154"/>
  <c r="Y48" i="154"/>
  <c r="AC47" i="154"/>
  <c r="AA45" i="154"/>
  <c r="Z45" i="154"/>
  <c r="AC44" i="154"/>
  <c r="AH44" i="154" s="1"/>
  <c r="AA44" i="154"/>
  <c r="Z44" i="154"/>
  <c r="Y44" i="154"/>
  <c r="AA43" i="154"/>
  <c r="Z43" i="154"/>
  <c r="AA42" i="154"/>
  <c r="Z42" i="154"/>
  <c r="AH38" i="154"/>
  <c r="AF38" i="154"/>
  <c r="AA37" i="154"/>
  <c r="Z37" i="154"/>
  <c r="AA36" i="154"/>
  <c r="AH35" i="154"/>
  <c r="AF35" i="154"/>
  <c r="AD35" i="154"/>
  <c r="AH34" i="154"/>
  <c r="AF34" i="154"/>
  <c r="AA33" i="154"/>
  <c r="Z33" i="154"/>
  <c r="AA30" i="154"/>
  <c r="Z30" i="154"/>
  <c r="AA29" i="154"/>
  <c r="Z29" i="154"/>
  <c r="AA28" i="154"/>
  <c r="Z28" i="154"/>
  <c r="AA27" i="154"/>
  <c r="Z27" i="154"/>
  <c r="AA26" i="154"/>
  <c r="Z26" i="154"/>
  <c r="AA25" i="154"/>
  <c r="Z25" i="154"/>
  <c r="AA24" i="154"/>
  <c r="Z24" i="154"/>
  <c r="AA23" i="154"/>
  <c r="Z23" i="154"/>
  <c r="AA22" i="154"/>
  <c r="Z22" i="154"/>
  <c r="AA21" i="154"/>
  <c r="Z21" i="154"/>
  <c r="AA20" i="154"/>
  <c r="Z20" i="154"/>
  <c r="AA19" i="154"/>
  <c r="Z19" i="154"/>
  <c r="AA18" i="154"/>
  <c r="Z18" i="154"/>
  <c r="AA17" i="154"/>
  <c r="Z17" i="154"/>
  <c r="AA16" i="154"/>
  <c r="Z16" i="154"/>
  <c r="AA15" i="154"/>
  <c r="Z15" i="154"/>
  <c r="AA14" i="154"/>
  <c r="Z14" i="154"/>
  <c r="AA13" i="154"/>
  <c r="Z13" i="154"/>
  <c r="AA12" i="154"/>
  <c r="Z12" i="154"/>
  <c r="AA11" i="154"/>
  <c r="Z11" i="154"/>
  <c r="AA10" i="154"/>
  <c r="Z10" i="154"/>
  <c r="AA9" i="154"/>
  <c r="Z9" i="154"/>
  <c r="AD8" i="154"/>
  <c r="AC8" i="154"/>
  <c r="AB8" i="154"/>
  <c r="AA8" i="154"/>
  <c r="Z8" i="154"/>
  <c r="Y8" i="154"/>
  <c r="Y7" i="154"/>
  <c r="P27" i="154"/>
  <c r="I25" i="154"/>
  <c r="I22" i="154"/>
  <c r="I21" i="154"/>
  <c r="P16" i="154"/>
  <c r="I14" i="154"/>
  <c r="I11" i="154"/>
  <c r="I10" i="154"/>
  <c r="AD57" i="153"/>
  <c r="AC57" i="153"/>
  <c r="AB57" i="153"/>
  <c r="AD56" i="153"/>
  <c r="AC56" i="153"/>
  <c r="AB56" i="153"/>
  <c r="AA56" i="153"/>
  <c r="Z56" i="153"/>
  <c r="AD55" i="153"/>
  <c r="AC55" i="153"/>
  <c r="AB55" i="153"/>
  <c r="AA55" i="153"/>
  <c r="Z55" i="153"/>
  <c r="AD54" i="153"/>
  <c r="AC54" i="153"/>
  <c r="AB54" i="153"/>
  <c r="AA54" i="153"/>
  <c r="Z54" i="153"/>
  <c r="AD53" i="153"/>
  <c r="AC53" i="153"/>
  <c r="AB53" i="153"/>
  <c r="Z53" i="153"/>
  <c r="AD52" i="153"/>
  <c r="AC52" i="153"/>
  <c r="AB52" i="153"/>
  <c r="AA52" i="153"/>
  <c r="Z52" i="153"/>
  <c r="AD51" i="153"/>
  <c r="AC51" i="153"/>
  <c r="AB51" i="153"/>
  <c r="AA51" i="153"/>
  <c r="Z51" i="153"/>
  <c r="AC50" i="153"/>
  <c r="AB50" i="153"/>
  <c r="AA50" i="153"/>
  <c r="Z50" i="153"/>
  <c r="AD49" i="153"/>
  <c r="AC49" i="153"/>
  <c r="AB49" i="153"/>
  <c r="AA49" i="153"/>
  <c r="Z49" i="153"/>
  <c r="Z48" i="153"/>
  <c r="Y48" i="153"/>
  <c r="AC47" i="153"/>
  <c r="AA45" i="153"/>
  <c r="Z45" i="153"/>
  <c r="AC44" i="153"/>
  <c r="AH44" i="153" s="1"/>
  <c r="AA44" i="153"/>
  <c r="Z44" i="153"/>
  <c r="Y44" i="153"/>
  <c r="AA43" i="153"/>
  <c r="Z43" i="153"/>
  <c r="AA42" i="153"/>
  <c r="Z42" i="153"/>
  <c r="AH38" i="153"/>
  <c r="AF38" i="153"/>
  <c r="AA37" i="153"/>
  <c r="Z37" i="153"/>
  <c r="AA36" i="153"/>
  <c r="AH35" i="153"/>
  <c r="AF35" i="153"/>
  <c r="AD35" i="153"/>
  <c r="AH34" i="153"/>
  <c r="AF34" i="153"/>
  <c r="AD34" i="153"/>
  <c r="AA33" i="153"/>
  <c r="Z33" i="153"/>
  <c r="AA30" i="153"/>
  <c r="Z30" i="153"/>
  <c r="AA29" i="153"/>
  <c r="Z29" i="153"/>
  <c r="AA28" i="153"/>
  <c r="Z28" i="153"/>
  <c r="AA27" i="153"/>
  <c r="Z27" i="153"/>
  <c r="AA26" i="153"/>
  <c r="Z26" i="153"/>
  <c r="AB25" i="153"/>
  <c r="AA25" i="153"/>
  <c r="Z25" i="153"/>
  <c r="AA24" i="153"/>
  <c r="Z24" i="153"/>
  <c r="AA23" i="153"/>
  <c r="Z23" i="153"/>
  <c r="AA22" i="153"/>
  <c r="Z22" i="153"/>
  <c r="AA21" i="153"/>
  <c r="Z21" i="153"/>
  <c r="AA20" i="153"/>
  <c r="Z20" i="153"/>
  <c r="AA19" i="153"/>
  <c r="Z19" i="153"/>
  <c r="AA18" i="153"/>
  <c r="Z18" i="153"/>
  <c r="AA17" i="153"/>
  <c r="Z17" i="153"/>
  <c r="AA16" i="153"/>
  <c r="Z16" i="153"/>
  <c r="AA15" i="153"/>
  <c r="Z15" i="153"/>
  <c r="AA14" i="153"/>
  <c r="Z14" i="153"/>
  <c r="AA13" i="153"/>
  <c r="Z13" i="153"/>
  <c r="AA12" i="153"/>
  <c r="Z12" i="153"/>
  <c r="AA11" i="153"/>
  <c r="Z11" i="153"/>
  <c r="AA10" i="153"/>
  <c r="Z10" i="153"/>
  <c r="AA9" i="153"/>
  <c r="Z9" i="153"/>
  <c r="AD8" i="153"/>
  <c r="AC8" i="153"/>
  <c r="AB8" i="153"/>
  <c r="AA8" i="153"/>
  <c r="Z8" i="153"/>
  <c r="Y8" i="153"/>
  <c r="Y7" i="153"/>
  <c r="P27" i="153"/>
  <c r="T25" i="153" s="1"/>
  <c r="I25" i="153"/>
  <c r="I22" i="153"/>
  <c r="I21" i="153"/>
  <c r="P16" i="153"/>
  <c r="I14" i="153"/>
  <c r="I11" i="153"/>
  <c r="I10" i="153"/>
  <c r="W22" i="152"/>
  <c r="U22" i="152"/>
  <c r="U22" i="151"/>
  <c r="W22" i="150"/>
  <c r="W22" i="149"/>
  <c r="U22" i="149"/>
  <c r="W11" i="152"/>
  <c r="U11" i="152"/>
  <c r="U11" i="151"/>
  <c r="W11" i="150"/>
  <c r="W11" i="149"/>
  <c r="U11" i="149"/>
  <c r="Z78" i="154"/>
  <c r="Z78" i="153"/>
  <c r="Z78" i="151"/>
  <c r="Z78" i="152"/>
  <c r="N42" i="152"/>
  <c r="N41" i="152"/>
  <c r="N40" i="152"/>
  <c r="N39" i="152"/>
  <c r="N38" i="152"/>
  <c r="N37" i="152"/>
  <c r="N35" i="152"/>
  <c r="AD57" i="152"/>
  <c r="AC57" i="152"/>
  <c r="AB57" i="152"/>
  <c r="AD56" i="152"/>
  <c r="AC56" i="152"/>
  <c r="AB56" i="152"/>
  <c r="AA56" i="152"/>
  <c r="Z56" i="152"/>
  <c r="AD55" i="152"/>
  <c r="AC55" i="152"/>
  <c r="AB55" i="152"/>
  <c r="AA55" i="152"/>
  <c r="Z55" i="152"/>
  <c r="AD54" i="152"/>
  <c r="AC54" i="152"/>
  <c r="AB54" i="152"/>
  <c r="AA54" i="152"/>
  <c r="Z54" i="152"/>
  <c r="AD53" i="152"/>
  <c r="AC53" i="152"/>
  <c r="AB53" i="152"/>
  <c r="Z53" i="152"/>
  <c r="AD52" i="152"/>
  <c r="AC52" i="152"/>
  <c r="AB52" i="152"/>
  <c r="AA52" i="152"/>
  <c r="Z52" i="152"/>
  <c r="AD51" i="152"/>
  <c r="AC51" i="152"/>
  <c r="AB51" i="152"/>
  <c r="AA51" i="152"/>
  <c r="Z51" i="152"/>
  <c r="AC50" i="152"/>
  <c r="AB50" i="152"/>
  <c r="AA50" i="152"/>
  <c r="Z50" i="152"/>
  <c r="AD49" i="152"/>
  <c r="AC49" i="152"/>
  <c r="AB49" i="152"/>
  <c r="AA49" i="152"/>
  <c r="Z49" i="152"/>
  <c r="Z48" i="152"/>
  <c r="Y48" i="152"/>
  <c r="AC47" i="152"/>
  <c r="AA45" i="152"/>
  <c r="Z45" i="152"/>
  <c r="AH44" i="152"/>
  <c r="AF44" i="152"/>
  <c r="AD44" i="152"/>
  <c r="AC44" i="152"/>
  <c r="AA44" i="152"/>
  <c r="Z44" i="152"/>
  <c r="Y44" i="152"/>
  <c r="AA43" i="152"/>
  <c r="Z43" i="152"/>
  <c r="AA42" i="152"/>
  <c r="Z42" i="152"/>
  <c r="AH38" i="152"/>
  <c r="AF38" i="152"/>
  <c r="AA37" i="152"/>
  <c r="Z37" i="152"/>
  <c r="AA36" i="152"/>
  <c r="AH35" i="152"/>
  <c r="AF35" i="152"/>
  <c r="AD35" i="152"/>
  <c r="AH34" i="152"/>
  <c r="AF34" i="152"/>
  <c r="AD34" i="152"/>
  <c r="AA33" i="152"/>
  <c r="Z33" i="152"/>
  <c r="AA30" i="152"/>
  <c r="Z30" i="152"/>
  <c r="AA29" i="152"/>
  <c r="Z29" i="152"/>
  <c r="AA28" i="152"/>
  <c r="Z28" i="152"/>
  <c r="AA27" i="152"/>
  <c r="Z27" i="152"/>
  <c r="AA26" i="152"/>
  <c r="Z26" i="152"/>
  <c r="AB25" i="152"/>
  <c r="AA25" i="152"/>
  <c r="Z25" i="152"/>
  <c r="AA24" i="152"/>
  <c r="Z24" i="152"/>
  <c r="AB23" i="152"/>
  <c r="AA23" i="152"/>
  <c r="Z23" i="152"/>
  <c r="AA22" i="152"/>
  <c r="Z22" i="152"/>
  <c r="AA21" i="152"/>
  <c r="Z21" i="152"/>
  <c r="AA20" i="152"/>
  <c r="Z20" i="152"/>
  <c r="AA19" i="152"/>
  <c r="Z19" i="152"/>
  <c r="AA18" i="152"/>
  <c r="Z18" i="152"/>
  <c r="AA17" i="152"/>
  <c r="Z17" i="152"/>
  <c r="AA16" i="152"/>
  <c r="Z16" i="152"/>
  <c r="AA15" i="152"/>
  <c r="Z15" i="152"/>
  <c r="AA14" i="152"/>
  <c r="Z14" i="152"/>
  <c r="AA13" i="152"/>
  <c r="Z13" i="152"/>
  <c r="AA12" i="152"/>
  <c r="Z12" i="152"/>
  <c r="AA11" i="152"/>
  <c r="Z11" i="152"/>
  <c r="AA10" i="152"/>
  <c r="Z10" i="152"/>
  <c r="AA9" i="152"/>
  <c r="Z9" i="152"/>
  <c r="AD8" i="152"/>
  <c r="AC8" i="152"/>
  <c r="AB8" i="152"/>
  <c r="AA8" i="152"/>
  <c r="Z8" i="152"/>
  <c r="Y8" i="152"/>
  <c r="Y7" i="152"/>
  <c r="P27" i="152"/>
  <c r="T25" i="152" s="1"/>
  <c r="I25" i="152"/>
  <c r="I22" i="152"/>
  <c r="I21" i="152"/>
  <c r="P16" i="152"/>
  <c r="T14" i="152" s="1"/>
  <c r="I14" i="152"/>
  <c r="I11" i="152"/>
  <c r="I10" i="152"/>
  <c r="N44" i="154"/>
  <c r="N44" i="153"/>
  <c r="N44" i="152"/>
  <c r="N44" i="151"/>
  <c r="R48" i="149"/>
  <c r="Y7" i="150"/>
  <c r="Y7" i="151"/>
  <c r="Y7" i="149"/>
  <c r="Y7" i="148"/>
  <c r="AD57" i="151"/>
  <c r="AC57" i="151"/>
  <c r="AB57" i="151"/>
  <c r="AD56" i="151"/>
  <c r="AC56" i="151"/>
  <c r="AB56" i="151"/>
  <c r="AA56" i="151"/>
  <c r="Z56" i="151"/>
  <c r="AD55" i="151"/>
  <c r="AC55" i="151"/>
  <c r="AB55" i="151"/>
  <c r="AA55" i="151"/>
  <c r="Z55" i="151"/>
  <c r="AD54" i="151"/>
  <c r="AC54" i="151"/>
  <c r="AB54" i="151"/>
  <c r="AA54" i="151"/>
  <c r="Z54" i="151"/>
  <c r="AD53" i="151"/>
  <c r="AC53" i="151"/>
  <c r="AB53" i="151"/>
  <c r="Z53" i="151"/>
  <c r="AD52" i="151"/>
  <c r="AC52" i="151"/>
  <c r="AB52" i="151"/>
  <c r="AA52" i="151"/>
  <c r="Z52" i="151"/>
  <c r="AD51" i="151"/>
  <c r="AC51" i="151"/>
  <c r="AB51" i="151"/>
  <c r="AA51" i="151"/>
  <c r="Z51" i="151"/>
  <c r="AC50" i="151"/>
  <c r="AB50" i="151"/>
  <c r="AA50" i="151"/>
  <c r="Z50" i="151"/>
  <c r="AD49" i="151"/>
  <c r="AC49" i="151"/>
  <c r="AB49" i="151"/>
  <c r="AA49" i="151"/>
  <c r="Z49" i="151"/>
  <c r="Z48" i="151"/>
  <c r="Y48" i="151"/>
  <c r="AC47" i="151"/>
  <c r="AA45" i="151"/>
  <c r="Z45" i="151"/>
  <c r="AH44" i="151"/>
  <c r="AD44" i="151"/>
  <c r="AC44" i="151"/>
  <c r="AF44" i="151" s="1"/>
  <c r="AA44" i="151"/>
  <c r="Z44" i="151"/>
  <c r="Y44" i="151"/>
  <c r="AA43" i="151"/>
  <c r="Z43" i="151"/>
  <c r="AA42" i="151"/>
  <c r="Z42" i="151"/>
  <c r="AH38" i="151"/>
  <c r="AF38" i="151"/>
  <c r="AA37" i="151"/>
  <c r="Z37" i="151"/>
  <c r="AA36" i="151"/>
  <c r="AH35" i="151"/>
  <c r="AF35" i="151"/>
  <c r="AD35" i="151"/>
  <c r="AH34" i="151"/>
  <c r="AF34" i="151"/>
  <c r="AD34" i="151"/>
  <c r="AA33" i="151"/>
  <c r="Z33" i="151"/>
  <c r="AA30" i="151"/>
  <c r="Z30" i="151"/>
  <c r="AA29" i="151"/>
  <c r="Z29" i="151"/>
  <c r="AA28" i="151"/>
  <c r="Z28" i="151"/>
  <c r="AA27" i="151"/>
  <c r="Z27" i="151"/>
  <c r="AA26" i="151"/>
  <c r="Z26" i="151"/>
  <c r="AA25" i="151"/>
  <c r="Z25" i="151"/>
  <c r="AA24" i="151"/>
  <c r="Z24" i="151"/>
  <c r="AA23" i="151"/>
  <c r="Z23" i="151"/>
  <c r="AA22" i="151"/>
  <c r="Z22" i="151"/>
  <c r="AA21" i="151"/>
  <c r="Z21" i="151"/>
  <c r="AA20" i="151"/>
  <c r="Z20" i="151"/>
  <c r="AA19" i="151"/>
  <c r="Z19" i="151"/>
  <c r="AA18" i="151"/>
  <c r="Z18" i="151"/>
  <c r="AA17" i="151"/>
  <c r="Z17" i="151"/>
  <c r="AA16" i="151"/>
  <c r="Z16" i="151"/>
  <c r="AA15" i="151"/>
  <c r="Z15" i="151"/>
  <c r="AA14" i="151"/>
  <c r="Z14" i="151"/>
  <c r="AA13" i="151"/>
  <c r="Z13" i="151"/>
  <c r="AA12" i="151"/>
  <c r="Z12" i="151"/>
  <c r="AA11" i="151"/>
  <c r="Z11" i="151"/>
  <c r="AA10" i="151"/>
  <c r="Z10" i="151"/>
  <c r="AA9" i="151"/>
  <c r="Z9" i="151"/>
  <c r="AD8" i="151"/>
  <c r="AC8" i="151"/>
  <c r="AB8" i="151"/>
  <c r="AA8" i="151"/>
  <c r="Z8" i="151"/>
  <c r="Y8" i="151"/>
  <c r="P27" i="151"/>
  <c r="T25" i="151" s="1"/>
  <c r="I24" i="151"/>
  <c r="I22" i="151"/>
  <c r="I21" i="151"/>
  <c r="P16" i="151"/>
  <c r="T14" i="151" s="1"/>
  <c r="I13" i="151" s="1"/>
  <c r="I11" i="151"/>
  <c r="I10" i="151"/>
  <c r="I24" i="150"/>
  <c r="N44" i="150"/>
  <c r="AD57" i="150"/>
  <c r="AC57" i="150"/>
  <c r="AB57" i="150"/>
  <c r="AD56" i="150"/>
  <c r="AC56" i="150"/>
  <c r="AB56" i="150"/>
  <c r="AA56" i="150"/>
  <c r="Z56" i="150"/>
  <c r="AD55" i="150"/>
  <c r="AC55" i="150"/>
  <c r="AB55" i="150"/>
  <c r="AA55" i="150"/>
  <c r="Z55" i="150"/>
  <c r="AD54" i="150"/>
  <c r="AC54" i="150"/>
  <c r="AB54" i="150"/>
  <c r="AA54" i="150"/>
  <c r="Z54" i="150"/>
  <c r="AD53" i="150"/>
  <c r="AC53" i="150"/>
  <c r="AB53" i="150"/>
  <c r="Z53" i="150"/>
  <c r="AD52" i="150"/>
  <c r="AC52" i="150"/>
  <c r="AB52" i="150"/>
  <c r="AA52" i="150"/>
  <c r="Z52" i="150"/>
  <c r="AD51" i="150"/>
  <c r="AC51" i="150"/>
  <c r="AB51" i="150"/>
  <c r="AA51" i="150"/>
  <c r="Z51" i="150"/>
  <c r="AC50" i="150"/>
  <c r="AB50" i="150"/>
  <c r="AA50" i="150"/>
  <c r="Z50" i="150"/>
  <c r="AD49" i="150"/>
  <c r="AC49" i="150"/>
  <c r="AB49" i="150"/>
  <c r="AA49" i="150"/>
  <c r="Z49" i="150"/>
  <c r="Z48" i="150"/>
  <c r="Y48" i="150"/>
  <c r="AC47" i="150"/>
  <c r="AA45" i="150"/>
  <c r="Z45" i="150"/>
  <c r="AH44" i="150"/>
  <c r="AD44" i="150"/>
  <c r="AC44" i="150"/>
  <c r="AF44" i="150" s="1"/>
  <c r="AA44" i="150"/>
  <c r="Z44" i="150"/>
  <c r="Y44" i="150"/>
  <c r="AA43" i="150"/>
  <c r="Z43" i="150"/>
  <c r="AA42" i="150"/>
  <c r="Z42" i="150"/>
  <c r="AH38" i="150"/>
  <c r="AF38" i="150"/>
  <c r="AA37" i="150"/>
  <c r="Z37" i="150"/>
  <c r="AA36" i="150"/>
  <c r="AH35" i="150"/>
  <c r="AF35" i="150"/>
  <c r="AD35" i="150"/>
  <c r="AH34" i="150"/>
  <c r="AF34" i="150"/>
  <c r="AD34" i="150"/>
  <c r="AA33" i="150"/>
  <c r="Z33" i="150"/>
  <c r="AA30" i="150"/>
  <c r="Z30" i="150"/>
  <c r="AA29" i="150"/>
  <c r="Z29" i="150"/>
  <c r="AA28" i="150"/>
  <c r="Z28" i="150"/>
  <c r="AA27" i="150"/>
  <c r="Z27" i="150"/>
  <c r="AA26" i="150"/>
  <c r="Z26" i="150"/>
  <c r="AB25" i="150"/>
  <c r="AA25" i="150"/>
  <c r="Z25" i="150"/>
  <c r="AA24" i="150"/>
  <c r="Z24" i="150"/>
  <c r="AA23" i="150"/>
  <c r="Z23" i="150"/>
  <c r="AA22" i="150"/>
  <c r="Z22" i="150"/>
  <c r="AA21" i="150"/>
  <c r="Z21" i="150"/>
  <c r="AA20" i="150"/>
  <c r="Z20" i="150"/>
  <c r="AA19" i="150"/>
  <c r="Z19" i="150"/>
  <c r="AA18" i="150"/>
  <c r="Z18" i="150"/>
  <c r="AA17" i="150"/>
  <c r="Z17" i="150"/>
  <c r="AA16" i="150"/>
  <c r="Z16" i="150"/>
  <c r="AA15" i="150"/>
  <c r="Z15" i="150"/>
  <c r="AA14" i="150"/>
  <c r="Z14" i="150"/>
  <c r="AA13" i="150"/>
  <c r="Z13" i="150"/>
  <c r="AA12" i="150"/>
  <c r="Z12" i="150"/>
  <c r="AA11" i="150"/>
  <c r="Z11" i="150"/>
  <c r="AA10" i="150"/>
  <c r="Z10" i="150"/>
  <c r="AA9" i="150"/>
  <c r="Z9" i="150"/>
  <c r="AD8" i="150"/>
  <c r="AC8" i="150"/>
  <c r="AB8" i="150"/>
  <c r="AA8" i="150"/>
  <c r="Z8" i="150"/>
  <c r="Y8" i="150"/>
  <c r="P27" i="150"/>
  <c r="T25" i="150" s="1"/>
  <c r="I22" i="150"/>
  <c r="I21" i="150"/>
  <c r="P16" i="150"/>
  <c r="T14" i="150" s="1"/>
  <c r="I11" i="150"/>
  <c r="N44" i="149"/>
  <c r="Z78" i="149"/>
  <c r="AD57" i="149"/>
  <c r="AC57" i="149"/>
  <c r="AB57" i="149"/>
  <c r="AD56" i="149"/>
  <c r="AC56" i="149"/>
  <c r="AB56" i="149"/>
  <c r="AA56" i="149"/>
  <c r="Z56" i="149"/>
  <c r="AD55" i="149"/>
  <c r="AC55" i="149"/>
  <c r="AB55" i="149"/>
  <c r="AA55" i="149"/>
  <c r="Z55" i="149"/>
  <c r="AD54" i="149"/>
  <c r="AC54" i="149"/>
  <c r="AB54" i="149"/>
  <c r="AA54" i="149"/>
  <c r="Z54" i="149"/>
  <c r="AD53" i="149"/>
  <c r="AC53" i="149"/>
  <c r="AB53" i="149"/>
  <c r="Z53" i="149"/>
  <c r="AD52" i="149"/>
  <c r="AC52" i="149"/>
  <c r="AB52" i="149"/>
  <c r="AA52" i="149"/>
  <c r="Z52" i="149"/>
  <c r="AD51" i="149"/>
  <c r="AC51" i="149"/>
  <c r="AB51" i="149"/>
  <c r="AA51" i="149"/>
  <c r="Z51" i="149"/>
  <c r="AC50" i="149"/>
  <c r="AB50" i="149"/>
  <c r="AA50" i="149"/>
  <c r="Z50" i="149"/>
  <c r="AD49" i="149"/>
  <c r="AC49" i="149"/>
  <c r="AB49" i="149"/>
  <c r="AA49" i="149"/>
  <c r="Z49" i="149"/>
  <c r="Z48" i="149"/>
  <c r="Y48" i="149"/>
  <c r="AC47" i="149"/>
  <c r="AA45" i="149"/>
  <c r="Z45" i="149"/>
  <c r="AH44" i="149"/>
  <c r="AF44" i="149"/>
  <c r="AD44" i="149"/>
  <c r="AC44" i="149"/>
  <c r="AA44" i="149"/>
  <c r="Z44" i="149"/>
  <c r="Y44" i="149"/>
  <c r="AA43" i="149"/>
  <c r="Z43" i="149"/>
  <c r="AA42" i="149"/>
  <c r="Z42" i="149"/>
  <c r="AH38" i="149"/>
  <c r="AF38" i="149"/>
  <c r="AA37" i="149"/>
  <c r="Z37" i="149"/>
  <c r="AA36" i="149"/>
  <c r="AH35" i="149"/>
  <c r="AF35" i="149"/>
  <c r="AD35" i="149"/>
  <c r="AH34" i="149"/>
  <c r="AF34" i="149"/>
  <c r="AD34" i="149"/>
  <c r="AA33" i="149"/>
  <c r="Z33" i="149"/>
  <c r="AA30" i="149"/>
  <c r="Z30" i="149"/>
  <c r="AA29" i="149"/>
  <c r="Z29" i="149"/>
  <c r="AA28" i="149"/>
  <c r="Z28" i="149"/>
  <c r="AA27" i="149"/>
  <c r="Z27" i="149"/>
  <c r="AA26" i="149"/>
  <c r="Z26" i="149"/>
  <c r="AA25" i="149"/>
  <c r="Z25" i="149"/>
  <c r="AA24" i="149"/>
  <c r="Z24" i="149"/>
  <c r="AA23" i="149"/>
  <c r="Z23" i="149"/>
  <c r="AA22" i="149"/>
  <c r="Z22" i="149"/>
  <c r="AA21" i="149"/>
  <c r="Z21" i="149"/>
  <c r="AA20" i="149"/>
  <c r="Z20" i="149"/>
  <c r="AA19" i="149"/>
  <c r="Z19" i="149"/>
  <c r="AA18" i="149"/>
  <c r="Z18" i="149"/>
  <c r="AA17" i="149"/>
  <c r="Z17" i="149"/>
  <c r="AA16" i="149"/>
  <c r="Z16" i="149"/>
  <c r="AA15" i="149"/>
  <c r="Z15" i="149"/>
  <c r="AA14" i="149"/>
  <c r="Z14" i="149"/>
  <c r="AA13" i="149"/>
  <c r="Z13" i="149"/>
  <c r="AA12" i="149"/>
  <c r="Z12" i="149"/>
  <c r="AA11" i="149"/>
  <c r="Z11" i="149"/>
  <c r="AA10" i="149"/>
  <c r="Z10" i="149"/>
  <c r="AA9" i="149"/>
  <c r="Z9" i="149"/>
  <c r="AD8" i="149"/>
  <c r="AC8" i="149"/>
  <c r="AB8" i="149"/>
  <c r="AA8" i="149"/>
  <c r="Z8" i="149"/>
  <c r="Y8" i="149"/>
  <c r="P27" i="149"/>
  <c r="I22" i="149"/>
  <c r="I21" i="149"/>
  <c r="P16" i="149"/>
  <c r="I13" i="125"/>
  <c r="N41" i="126"/>
  <c r="N41" i="160"/>
  <c r="N41" i="159"/>
  <c r="N58" i="158"/>
  <c r="N58" i="157"/>
  <c r="N58" i="156"/>
  <c r="N58" i="155"/>
  <c r="N58" i="125"/>
  <c r="AF54" i="125"/>
  <c r="AE54" i="125"/>
  <c r="AD54" i="125"/>
  <c r="AC54" i="125"/>
  <c r="AA54" i="125"/>
  <c r="AF53" i="125"/>
  <c r="AE53" i="125"/>
  <c r="AD53" i="125"/>
  <c r="AC53" i="125"/>
  <c r="AA53" i="125"/>
  <c r="AF52" i="125"/>
  <c r="AE52" i="125"/>
  <c r="AD52" i="125"/>
  <c r="AC52" i="125"/>
  <c r="AA52" i="125"/>
  <c r="AF51" i="125"/>
  <c r="AE51" i="125"/>
  <c r="AD51" i="125"/>
  <c r="AC51" i="125"/>
  <c r="AA51" i="125"/>
  <c r="AF50" i="125"/>
  <c r="AE50" i="125"/>
  <c r="AD50" i="125"/>
  <c r="AC50" i="125"/>
  <c r="AB50" i="125"/>
  <c r="AA50" i="125"/>
  <c r="AA49" i="125"/>
  <c r="AC45" i="125"/>
  <c r="AG43" i="125"/>
  <c r="AA43" i="125"/>
  <c r="Z43" i="125"/>
  <c r="AH42" i="125"/>
  <c r="AC42" i="125"/>
  <c r="AD42" i="125" s="1"/>
  <c r="AA42" i="125"/>
  <c r="Z42" i="125"/>
  <c r="Y42" i="125"/>
  <c r="AH41" i="125"/>
  <c r="AH40" i="125"/>
  <c r="AF40" i="125"/>
  <c r="AH38" i="125"/>
  <c r="AF38" i="125"/>
  <c r="AH37" i="125"/>
  <c r="AF37" i="125"/>
  <c r="AH36" i="125"/>
  <c r="AF36" i="125"/>
  <c r="AH35" i="125"/>
  <c r="AF35" i="125"/>
  <c r="AH34" i="125"/>
  <c r="AF34" i="125"/>
  <c r="AB33" i="125"/>
  <c r="AA33" i="125"/>
  <c r="Z33" i="125"/>
  <c r="AB32" i="125"/>
  <c r="AA32" i="125"/>
  <c r="Z32" i="125"/>
  <c r="AA31" i="125"/>
  <c r="Z31" i="125"/>
  <c r="AA30" i="125"/>
  <c r="Z30" i="125"/>
  <c r="AB29" i="125"/>
  <c r="AA29" i="125"/>
  <c r="Z29" i="125"/>
  <c r="AA25" i="125"/>
  <c r="Z25" i="125"/>
  <c r="AA24" i="125"/>
  <c r="Z24" i="125"/>
  <c r="AA23" i="125"/>
  <c r="Z23" i="125"/>
  <c r="AA22" i="125"/>
  <c r="Z22" i="125"/>
  <c r="AA21" i="125"/>
  <c r="Z21" i="125"/>
  <c r="AA20" i="125"/>
  <c r="Z20" i="125"/>
  <c r="AA16" i="125"/>
  <c r="Z16" i="125"/>
  <c r="AA14" i="125"/>
  <c r="Z14" i="125"/>
  <c r="AA13" i="125"/>
  <c r="Z13" i="125"/>
  <c r="AA12" i="125"/>
  <c r="Z12" i="125"/>
  <c r="AA11" i="125"/>
  <c r="Z11" i="125"/>
  <c r="AA10" i="125"/>
  <c r="Z10" i="125"/>
  <c r="AA9" i="125"/>
  <c r="Z9" i="125"/>
  <c r="AD8" i="125"/>
  <c r="AC8" i="125"/>
  <c r="AB8" i="125"/>
  <c r="AA8" i="125"/>
  <c r="Z8" i="125"/>
  <c r="Y8" i="125"/>
  <c r="Z7" i="125"/>
  <c r="Y7" i="125"/>
  <c r="I27" i="125"/>
  <c r="I25" i="125"/>
  <c r="I24" i="125"/>
  <c r="T23" i="125"/>
  <c r="I22" i="125"/>
  <c r="I21" i="125"/>
  <c r="R20" i="125"/>
  <c r="O20" i="125"/>
  <c r="R19" i="125"/>
  <c r="O19" i="125"/>
  <c r="I16" i="125"/>
  <c r="I14" i="125"/>
  <c r="T12" i="125"/>
  <c r="I11" i="125"/>
  <c r="I10" i="125"/>
  <c r="I21" i="157"/>
  <c r="I21" i="156"/>
  <c r="I10" i="157"/>
  <c r="I10" i="156"/>
  <c r="I21" i="155"/>
  <c r="I10" i="155"/>
  <c r="I11" i="155"/>
  <c r="AF54" i="157"/>
  <c r="AE54" i="157"/>
  <c r="AD54" i="157"/>
  <c r="AC54" i="157"/>
  <c r="AA54" i="157"/>
  <c r="AF53" i="157"/>
  <c r="AE53" i="157"/>
  <c r="AD53" i="157"/>
  <c r="AC53" i="157"/>
  <c r="AA53" i="157"/>
  <c r="AF52" i="157"/>
  <c r="AE52" i="157"/>
  <c r="AD52" i="157"/>
  <c r="AC52" i="157"/>
  <c r="AA52" i="157"/>
  <c r="AF51" i="157"/>
  <c r="AE51" i="157"/>
  <c r="AD51" i="157"/>
  <c r="AC51" i="157"/>
  <c r="AA51" i="157"/>
  <c r="AF50" i="157"/>
  <c r="AE50" i="157"/>
  <c r="AD50" i="157"/>
  <c r="AC50" i="157"/>
  <c r="AB50" i="157"/>
  <c r="AA50" i="157"/>
  <c r="AA49" i="157"/>
  <c r="AC45" i="157"/>
  <c r="AG43" i="157"/>
  <c r="AE43" i="157"/>
  <c r="AF41" i="157" s="1"/>
  <c r="AA43" i="157"/>
  <c r="Z43" i="157"/>
  <c r="AC42" i="157"/>
  <c r="AH42" i="157" s="1"/>
  <c r="AA42" i="157"/>
  <c r="Z42" i="157"/>
  <c r="Y42" i="157"/>
  <c r="AH41" i="157"/>
  <c r="AH40" i="157"/>
  <c r="AF40" i="157"/>
  <c r="AH38" i="157"/>
  <c r="AF38" i="157"/>
  <c r="AH37" i="157"/>
  <c r="AF37" i="157"/>
  <c r="AH36" i="157"/>
  <c r="AF36" i="157"/>
  <c r="AH35" i="157"/>
  <c r="AF35" i="157"/>
  <c r="AH34" i="157"/>
  <c r="AF34" i="157"/>
  <c r="AB33" i="157"/>
  <c r="AA33" i="157"/>
  <c r="Z33" i="157"/>
  <c r="AA32" i="157"/>
  <c r="Z32" i="157"/>
  <c r="AB31" i="157"/>
  <c r="AA31" i="157"/>
  <c r="Z31" i="157"/>
  <c r="AA30" i="157"/>
  <c r="Z30" i="157"/>
  <c r="AA29" i="157"/>
  <c r="Z29" i="157"/>
  <c r="AA25" i="157"/>
  <c r="Z25" i="157"/>
  <c r="AA24" i="157"/>
  <c r="Z24" i="157"/>
  <c r="AA23" i="157"/>
  <c r="Z23" i="157"/>
  <c r="AA22" i="157"/>
  <c r="Z22" i="157"/>
  <c r="AA21" i="157"/>
  <c r="Z21" i="157"/>
  <c r="AA20" i="157"/>
  <c r="Z20" i="157"/>
  <c r="AA16" i="157"/>
  <c r="Z16" i="157"/>
  <c r="AA14" i="157"/>
  <c r="Z14" i="157"/>
  <c r="AA13" i="157"/>
  <c r="Z13" i="157"/>
  <c r="AA12" i="157"/>
  <c r="Z12" i="157"/>
  <c r="AA11" i="157"/>
  <c r="Z11" i="157"/>
  <c r="AA10" i="157"/>
  <c r="Z10" i="157"/>
  <c r="AA9" i="157"/>
  <c r="Z9" i="157"/>
  <c r="AD8" i="157"/>
  <c r="AC8" i="157"/>
  <c r="AB8" i="157"/>
  <c r="AA8" i="157"/>
  <c r="Z8" i="157"/>
  <c r="Y8" i="157"/>
  <c r="Z7" i="157"/>
  <c r="Y7" i="157"/>
  <c r="I27" i="157"/>
  <c r="I25" i="157"/>
  <c r="T23" i="157"/>
  <c r="I22" i="157"/>
  <c r="R20" i="157"/>
  <c r="O20" i="157"/>
  <c r="R19" i="157"/>
  <c r="O19" i="157"/>
  <c r="I16" i="157"/>
  <c r="I14" i="157"/>
  <c r="T12" i="157"/>
  <c r="I11" i="157"/>
  <c r="I22" i="156"/>
  <c r="AF54" i="156"/>
  <c r="AE54" i="156"/>
  <c r="AD54" i="156"/>
  <c r="AC54" i="156"/>
  <c r="AA54" i="156"/>
  <c r="AF53" i="156"/>
  <c r="AE53" i="156"/>
  <c r="AD53" i="156"/>
  <c r="AC53" i="156"/>
  <c r="AA53" i="156"/>
  <c r="AF52" i="156"/>
  <c r="AE52" i="156"/>
  <c r="AD52" i="156"/>
  <c r="AC52" i="156"/>
  <c r="AA52" i="156"/>
  <c r="AF51" i="156"/>
  <c r="AE51" i="156"/>
  <c r="AD51" i="156"/>
  <c r="AC51" i="156"/>
  <c r="AA51" i="156"/>
  <c r="AF50" i="156"/>
  <c r="AE50" i="156"/>
  <c r="AD50" i="156"/>
  <c r="AC50" i="156"/>
  <c r="AB50" i="156"/>
  <c r="AA50" i="156"/>
  <c r="AA49" i="156"/>
  <c r="AC45" i="156"/>
  <c r="AA43" i="156"/>
  <c r="Z43" i="156"/>
  <c r="AC42" i="156"/>
  <c r="AH42" i="156" s="1"/>
  <c r="AA42" i="156"/>
  <c r="Z42" i="156"/>
  <c r="Y42" i="156"/>
  <c r="AH41" i="156"/>
  <c r="AH40" i="156"/>
  <c r="AF40" i="156"/>
  <c r="AH38" i="156"/>
  <c r="AF38" i="156"/>
  <c r="AH37" i="156"/>
  <c r="AF37" i="156"/>
  <c r="AH36" i="156"/>
  <c r="AF36" i="156"/>
  <c r="AH35" i="156"/>
  <c r="AF35" i="156"/>
  <c r="AH34" i="156"/>
  <c r="AF34" i="156"/>
  <c r="AB33" i="156"/>
  <c r="AA33" i="156"/>
  <c r="Z33" i="156"/>
  <c r="AB32" i="156"/>
  <c r="AA32" i="156"/>
  <c r="Z32" i="156"/>
  <c r="AB31" i="156"/>
  <c r="AA31" i="156"/>
  <c r="Z31" i="156"/>
  <c r="AA30" i="156"/>
  <c r="Z30" i="156"/>
  <c r="AA29" i="156"/>
  <c r="Z29" i="156"/>
  <c r="AA25" i="156"/>
  <c r="Z25" i="156"/>
  <c r="AA24" i="156"/>
  <c r="Z24" i="156"/>
  <c r="AA23" i="156"/>
  <c r="Z23" i="156"/>
  <c r="AA22" i="156"/>
  <c r="Z22" i="156"/>
  <c r="AA21" i="156"/>
  <c r="Z21" i="156"/>
  <c r="AA20" i="156"/>
  <c r="Z20" i="156"/>
  <c r="AA16" i="156"/>
  <c r="Z16" i="156"/>
  <c r="AA14" i="156"/>
  <c r="Z14" i="156"/>
  <c r="AA13" i="156"/>
  <c r="Z13" i="156"/>
  <c r="AA12" i="156"/>
  <c r="Z12" i="156"/>
  <c r="AA11" i="156"/>
  <c r="Z11" i="156"/>
  <c r="AA10" i="156"/>
  <c r="Z10" i="156"/>
  <c r="AA9" i="156"/>
  <c r="Z9" i="156"/>
  <c r="AD8" i="156"/>
  <c r="AC8" i="156"/>
  <c r="AB8" i="156"/>
  <c r="AA8" i="156"/>
  <c r="Z8" i="156"/>
  <c r="Y8" i="156"/>
  <c r="Z7" i="156"/>
  <c r="Y7" i="156"/>
  <c r="W47" i="125"/>
  <c r="W46" i="125"/>
  <c r="W47" i="157"/>
  <c r="W46" i="157"/>
  <c r="W47" i="156"/>
  <c r="W46" i="156"/>
  <c r="I27" i="156"/>
  <c r="I25" i="156"/>
  <c r="T23" i="156"/>
  <c r="R20" i="156"/>
  <c r="O20" i="156"/>
  <c r="R19" i="156"/>
  <c r="O19" i="156"/>
  <c r="I16" i="156"/>
  <c r="I14" i="156"/>
  <c r="T12" i="156"/>
  <c r="I11" i="156"/>
  <c r="I24" i="126"/>
  <c r="I13" i="126"/>
  <c r="AC50" i="126"/>
  <c r="AB50" i="126"/>
  <c r="AA50" i="126"/>
  <c r="Z50" i="126"/>
  <c r="Y50" i="126"/>
  <c r="AD49" i="126"/>
  <c r="AC49" i="126"/>
  <c r="AB49" i="126"/>
  <c r="AA49" i="126"/>
  <c r="Z49" i="126"/>
  <c r="Y49" i="126"/>
  <c r="AD48" i="126"/>
  <c r="AC48" i="126"/>
  <c r="AB48" i="126"/>
  <c r="AA48" i="126"/>
  <c r="Z48" i="126"/>
  <c r="Y48" i="126"/>
  <c r="AA47" i="126"/>
  <c r="AC45" i="126"/>
  <c r="AB45" i="126"/>
  <c r="AA45" i="126"/>
  <c r="Z45" i="126"/>
  <c r="Y45" i="126"/>
  <c r="AC44" i="126"/>
  <c r="AB44" i="126"/>
  <c r="AA44" i="126"/>
  <c r="Z44" i="126"/>
  <c r="Y44" i="126"/>
  <c r="AC43" i="126"/>
  <c r="AB43" i="126"/>
  <c r="AA43" i="126"/>
  <c r="Z43" i="126"/>
  <c r="AA42" i="126"/>
  <c r="Y41" i="126"/>
  <c r="AC40" i="126"/>
  <c r="AH38" i="126"/>
  <c r="AF38" i="126"/>
  <c r="AG37" i="126"/>
  <c r="AA37" i="126"/>
  <c r="Z37" i="126"/>
  <c r="AB35" i="126"/>
  <c r="AA35" i="126"/>
  <c r="Z35" i="126"/>
  <c r="AA34" i="126"/>
  <c r="Z34" i="126"/>
  <c r="AA33" i="126"/>
  <c r="Z33" i="126"/>
  <c r="AA32" i="126"/>
  <c r="Z32" i="126"/>
  <c r="AA27" i="126"/>
  <c r="Z27" i="126"/>
  <c r="AA26" i="126"/>
  <c r="Z26" i="126"/>
  <c r="AA25" i="126"/>
  <c r="Z25" i="126"/>
  <c r="AA24" i="126"/>
  <c r="Z24" i="126"/>
  <c r="AA23" i="126"/>
  <c r="Z23" i="126"/>
  <c r="AA22" i="126"/>
  <c r="Z22" i="126"/>
  <c r="AH21" i="126"/>
  <c r="AF21" i="126"/>
  <c r="AA20" i="126"/>
  <c r="Z20" i="126"/>
  <c r="AA19" i="126"/>
  <c r="Z19" i="126"/>
  <c r="AA17" i="126"/>
  <c r="Z17" i="126"/>
  <c r="AA16" i="126"/>
  <c r="Z16" i="126"/>
  <c r="AA15" i="126"/>
  <c r="Z15" i="126"/>
  <c r="AA14" i="126"/>
  <c r="Z14" i="126"/>
  <c r="AA12" i="126"/>
  <c r="Z12" i="126"/>
  <c r="AA11" i="126"/>
  <c r="Z11" i="126"/>
  <c r="AA10" i="126"/>
  <c r="Z10" i="126"/>
  <c r="AA9" i="126"/>
  <c r="Z9" i="126"/>
  <c r="AD8" i="126"/>
  <c r="AC8" i="126"/>
  <c r="AB8" i="126"/>
  <c r="AA8" i="126"/>
  <c r="Z8" i="126"/>
  <c r="Y8" i="126"/>
  <c r="Z7" i="126"/>
  <c r="Y7" i="126"/>
  <c r="V26" i="126"/>
  <c r="T25" i="126"/>
  <c r="AG20" i="126" s="1"/>
  <c r="S25" i="126"/>
  <c r="I25" i="126"/>
  <c r="I22" i="126"/>
  <c r="V15" i="126"/>
  <c r="T14" i="126"/>
  <c r="S14" i="126"/>
  <c r="I14" i="126"/>
  <c r="I11" i="126"/>
  <c r="W46" i="126"/>
  <c r="W45" i="126"/>
  <c r="AE10" i="126" s="1"/>
  <c r="N43" i="126"/>
  <c r="N42" i="126"/>
  <c r="N39" i="126"/>
  <c r="N38" i="126"/>
  <c r="N37" i="126"/>
  <c r="N36" i="126"/>
  <c r="N35" i="126"/>
  <c r="N43" i="160"/>
  <c r="N42" i="160"/>
  <c r="N39" i="160"/>
  <c r="N38" i="160"/>
  <c r="N37" i="160"/>
  <c r="N36" i="160"/>
  <c r="N35" i="160"/>
  <c r="W46" i="160"/>
  <c r="W45" i="160"/>
  <c r="AG10" i="160" s="1"/>
  <c r="AC50" i="160"/>
  <c r="AB50" i="160"/>
  <c r="AA50" i="160"/>
  <c r="Z50" i="160"/>
  <c r="Y50" i="160"/>
  <c r="AD49" i="160"/>
  <c r="AC49" i="160"/>
  <c r="AB49" i="160"/>
  <c r="AA49" i="160"/>
  <c r="Z49" i="160"/>
  <c r="Y49" i="160"/>
  <c r="AD48" i="160"/>
  <c r="AC48" i="160"/>
  <c r="AB48" i="160"/>
  <c r="AA48" i="160"/>
  <c r="Z48" i="160"/>
  <c r="Y48" i="160"/>
  <c r="AA47" i="160"/>
  <c r="AC45" i="160"/>
  <c r="AB45" i="160"/>
  <c r="AA45" i="160"/>
  <c r="Z45" i="160"/>
  <c r="Y45" i="160"/>
  <c r="AC44" i="160"/>
  <c r="AB44" i="160"/>
  <c r="AA44" i="160"/>
  <c r="Z44" i="160"/>
  <c r="Y44" i="160"/>
  <c r="AC43" i="160"/>
  <c r="AB43" i="160"/>
  <c r="AA43" i="160"/>
  <c r="Z43" i="160"/>
  <c r="AA42" i="160"/>
  <c r="Y41" i="160"/>
  <c r="AC40" i="160"/>
  <c r="AH38" i="160"/>
  <c r="AF38" i="160"/>
  <c r="AE37" i="160"/>
  <c r="AA37" i="160"/>
  <c r="Z37" i="160"/>
  <c r="AA35" i="160"/>
  <c r="Z35" i="160"/>
  <c r="AB34" i="160"/>
  <c r="AA34" i="160"/>
  <c r="Z34" i="160"/>
  <c r="AB33" i="160"/>
  <c r="AA33" i="160"/>
  <c r="Z33" i="160"/>
  <c r="AA32" i="160"/>
  <c r="Z32" i="160"/>
  <c r="AA27" i="160"/>
  <c r="Z27" i="160"/>
  <c r="AA26" i="160"/>
  <c r="Z26" i="160"/>
  <c r="AA25" i="160"/>
  <c r="Z25" i="160"/>
  <c r="AA24" i="160"/>
  <c r="Z24" i="160"/>
  <c r="AA23" i="160"/>
  <c r="Z23" i="160"/>
  <c r="AA22" i="160"/>
  <c r="Z22" i="160"/>
  <c r="AH21" i="160"/>
  <c r="AF21" i="160"/>
  <c r="AA20" i="160"/>
  <c r="Z20" i="160"/>
  <c r="AA19" i="160"/>
  <c r="Z19" i="160"/>
  <c r="AA17" i="160"/>
  <c r="Z17" i="160"/>
  <c r="AA16" i="160"/>
  <c r="Z16" i="160"/>
  <c r="AA15" i="160"/>
  <c r="Z15" i="160"/>
  <c r="AA14" i="160"/>
  <c r="Z14" i="160"/>
  <c r="AA12" i="160"/>
  <c r="Z12" i="160"/>
  <c r="AA11" i="160"/>
  <c r="Z11" i="160"/>
  <c r="AA10" i="160"/>
  <c r="Z10" i="160"/>
  <c r="AA9" i="160"/>
  <c r="Z9" i="160"/>
  <c r="AD8" i="160"/>
  <c r="AC8" i="160"/>
  <c r="AB8" i="160"/>
  <c r="AA8" i="160"/>
  <c r="Z8" i="160"/>
  <c r="Y8" i="160"/>
  <c r="Z7" i="160"/>
  <c r="Y7" i="160"/>
  <c r="V26" i="160"/>
  <c r="T25" i="160"/>
  <c r="AG20" i="160" s="1"/>
  <c r="S25" i="160"/>
  <c r="I25" i="160"/>
  <c r="I22" i="160"/>
  <c r="V15" i="160"/>
  <c r="T14" i="160"/>
  <c r="S14" i="160"/>
  <c r="I14" i="160"/>
  <c r="I11" i="160"/>
  <c r="B29" i="126"/>
  <c r="W46" i="159"/>
  <c r="W45" i="159"/>
  <c r="AG12" i="159" s="1"/>
  <c r="N43" i="159"/>
  <c r="N42" i="159"/>
  <c r="N39" i="159"/>
  <c r="N38" i="159"/>
  <c r="N37" i="159"/>
  <c r="N36" i="159"/>
  <c r="N35" i="159"/>
  <c r="AC50" i="159"/>
  <c r="AB50" i="159"/>
  <c r="AA50" i="159"/>
  <c r="Z50" i="159"/>
  <c r="Y50" i="159"/>
  <c r="AD49" i="159"/>
  <c r="AC49" i="159"/>
  <c r="AB49" i="159"/>
  <c r="AA49" i="159"/>
  <c r="Z49" i="159"/>
  <c r="Y49" i="159"/>
  <c r="AD48" i="159"/>
  <c r="AC48" i="159"/>
  <c r="AB48" i="159"/>
  <c r="AA48" i="159"/>
  <c r="Z48" i="159"/>
  <c r="Y48" i="159"/>
  <c r="AA47" i="159"/>
  <c r="AC45" i="159"/>
  <c r="AB45" i="159"/>
  <c r="AA45" i="159"/>
  <c r="Z45" i="159"/>
  <c r="Y45" i="159"/>
  <c r="AC44" i="159"/>
  <c r="AB44" i="159"/>
  <c r="AA44" i="159"/>
  <c r="Z44" i="159"/>
  <c r="Y44" i="159"/>
  <c r="AC43" i="159"/>
  <c r="AB43" i="159"/>
  <c r="AA43" i="159"/>
  <c r="Z43" i="159"/>
  <c r="AA42" i="159"/>
  <c r="Y41" i="159"/>
  <c r="AC40" i="159"/>
  <c r="AH38" i="159"/>
  <c r="AF38" i="159"/>
  <c r="AA37" i="159"/>
  <c r="Z37" i="159"/>
  <c r="AB35" i="159"/>
  <c r="AA35" i="159"/>
  <c r="Z35" i="159"/>
  <c r="AB34" i="159"/>
  <c r="AA34" i="159"/>
  <c r="Z34" i="159"/>
  <c r="AB33" i="159"/>
  <c r="AA33" i="159"/>
  <c r="Z33" i="159"/>
  <c r="AA32" i="159"/>
  <c r="Z32" i="159"/>
  <c r="AA27" i="159"/>
  <c r="Z27" i="159"/>
  <c r="AA26" i="159"/>
  <c r="Z26" i="159"/>
  <c r="AA25" i="159"/>
  <c r="Z25" i="159"/>
  <c r="AA24" i="159"/>
  <c r="Z24" i="159"/>
  <c r="AA23" i="159"/>
  <c r="Z23" i="159"/>
  <c r="AA22" i="159"/>
  <c r="Z22" i="159"/>
  <c r="AH21" i="159"/>
  <c r="AF21" i="159"/>
  <c r="AA20" i="159"/>
  <c r="Z20" i="159"/>
  <c r="AA19" i="159"/>
  <c r="Z19" i="159"/>
  <c r="AA17" i="159"/>
  <c r="Z17" i="159"/>
  <c r="AA16" i="159"/>
  <c r="Z16" i="159"/>
  <c r="AA15" i="159"/>
  <c r="Z15" i="159"/>
  <c r="AA14" i="159"/>
  <c r="Z14" i="159"/>
  <c r="AA12" i="159"/>
  <c r="Z12" i="159"/>
  <c r="AA11" i="159"/>
  <c r="Z11" i="159"/>
  <c r="AA10" i="159"/>
  <c r="Z10" i="159"/>
  <c r="AA9" i="159"/>
  <c r="Z9" i="159"/>
  <c r="AD8" i="159"/>
  <c r="AC8" i="159"/>
  <c r="AB8" i="159"/>
  <c r="AA8" i="159"/>
  <c r="Z8" i="159"/>
  <c r="Y8" i="159"/>
  <c r="Z7" i="159"/>
  <c r="Y7" i="159"/>
  <c r="V26" i="159"/>
  <c r="T25" i="159"/>
  <c r="S25" i="159"/>
  <c r="I25" i="159"/>
  <c r="I22" i="159"/>
  <c r="V15" i="159"/>
  <c r="T14" i="159"/>
  <c r="S14" i="159"/>
  <c r="I14" i="159"/>
  <c r="I11" i="159"/>
  <c r="N41" i="158"/>
  <c r="S25" i="158"/>
  <c r="T25" i="158"/>
  <c r="H80" i="124"/>
  <c r="I80" i="124"/>
  <c r="H81" i="124"/>
  <c r="I81" i="124"/>
  <c r="H75" i="124"/>
  <c r="H76" i="124"/>
  <c r="I75" i="124"/>
  <c r="I76" i="124"/>
  <c r="I115" i="150" l="1"/>
  <c r="I118" i="150" s="1"/>
  <c r="S114" i="151"/>
  <c r="K114" i="151" s="1"/>
  <c r="I115" i="153"/>
  <c r="I118" i="153" s="1"/>
  <c r="T14" i="153"/>
  <c r="I13" i="153" s="1"/>
  <c r="Q12" i="153"/>
  <c r="Q11" i="153"/>
  <c r="T14" i="154"/>
  <c r="I13" i="154" s="1"/>
  <c r="Q12" i="154"/>
  <c r="Q11" i="154"/>
  <c r="Q11" i="149"/>
  <c r="Q12" i="149"/>
  <c r="T25" i="154"/>
  <c r="Q21" i="154"/>
  <c r="T25" i="149"/>
  <c r="T14" i="149"/>
  <c r="I117" i="148"/>
  <c r="I115" i="152"/>
  <c r="I118" i="152" s="1"/>
  <c r="J111" i="148"/>
  <c r="H112" i="148"/>
  <c r="H111" i="148"/>
  <c r="J112" i="148"/>
  <c r="I13" i="150"/>
  <c r="I115" i="154"/>
  <c r="I118" i="154" s="1"/>
  <c r="S114" i="154"/>
  <c r="K114" i="154" s="1"/>
  <c r="I115" i="149"/>
  <c r="I118" i="149" s="1"/>
  <c r="S114" i="149"/>
  <c r="K114" i="149"/>
  <c r="O10" i="126"/>
  <c r="N115" i="148"/>
  <c r="O115" i="148"/>
  <c r="O12" i="160"/>
  <c r="O23" i="126"/>
  <c r="AF42" i="125"/>
  <c r="AD44" i="153"/>
  <c r="AD44" i="154"/>
  <c r="AF44" i="153"/>
  <c r="AF44" i="154"/>
  <c r="AG10" i="159"/>
  <c r="U22" i="154"/>
  <c r="AB30" i="125"/>
  <c r="AB43" i="157"/>
  <c r="AD42" i="157"/>
  <c r="AF42" i="157"/>
  <c r="AB30" i="156"/>
  <c r="AD42" i="156"/>
  <c r="AF42" i="156"/>
  <c r="AE10" i="160"/>
  <c r="AE10" i="159"/>
  <c r="AE12" i="159"/>
  <c r="AB12" i="159" s="1"/>
  <c r="O12" i="126"/>
  <c r="AG10" i="126"/>
  <c r="AE12" i="160"/>
  <c r="AG12" i="160"/>
  <c r="AE12" i="126"/>
  <c r="AG12" i="126"/>
  <c r="O23" i="160"/>
  <c r="O21" i="160"/>
  <c r="O21" i="126"/>
  <c r="AB32" i="126"/>
  <c r="AB33" i="126"/>
  <c r="O10" i="160"/>
  <c r="O12" i="159"/>
  <c r="O21" i="159"/>
  <c r="O23" i="159"/>
  <c r="O10" i="159"/>
  <c r="S14" i="158"/>
  <c r="T14" i="158"/>
  <c r="Z26" i="158"/>
  <c r="AA26" i="158"/>
  <c r="Z27" i="158"/>
  <c r="AA27" i="158"/>
  <c r="AD48" i="158"/>
  <c r="AD49" i="158"/>
  <c r="W46" i="158"/>
  <c r="W45" i="158"/>
  <c r="B31" i="144"/>
  <c r="B30" i="144"/>
  <c r="B29" i="144"/>
  <c r="B27" i="144"/>
  <c r="B27" i="143"/>
  <c r="B29" i="143"/>
  <c r="B30" i="143"/>
  <c r="P29" i="144"/>
  <c r="P28" i="144"/>
  <c r="W46" i="155"/>
  <c r="AA42" i="158"/>
  <c r="Z43" i="158"/>
  <c r="AA43" i="158"/>
  <c r="AB43" i="158"/>
  <c r="AC43" i="158"/>
  <c r="Z44" i="158"/>
  <c r="AA44" i="158"/>
  <c r="AB44" i="158"/>
  <c r="AC44" i="158"/>
  <c r="Z45" i="158"/>
  <c r="AA45" i="158"/>
  <c r="AB45" i="158"/>
  <c r="AC45" i="158"/>
  <c r="AA47" i="158"/>
  <c r="Z48" i="158"/>
  <c r="AA48" i="158"/>
  <c r="AB48" i="158"/>
  <c r="AC48" i="158"/>
  <c r="Z49" i="158"/>
  <c r="AA49" i="158"/>
  <c r="AB49" i="158"/>
  <c r="AC49" i="158"/>
  <c r="Z50" i="158"/>
  <c r="AA50" i="158"/>
  <c r="AB50" i="158"/>
  <c r="AC50" i="158"/>
  <c r="Y49" i="158"/>
  <c r="Y50" i="158"/>
  <c r="Y44" i="158"/>
  <c r="Y45" i="158"/>
  <c r="Y48" i="158"/>
  <c r="Y41" i="158"/>
  <c r="AH21" i="158"/>
  <c r="AA37" i="158"/>
  <c r="Z37" i="158"/>
  <c r="Z19" i="158"/>
  <c r="AA19" i="158"/>
  <c r="Z20" i="158"/>
  <c r="AA20" i="158"/>
  <c r="Z22" i="158"/>
  <c r="AA22" i="158"/>
  <c r="Z23" i="158"/>
  <c r="AA23" i="158"/>
  <c r="Z24" i="158"/>
  <c r="AA24" i="158"/>
  <c r="Z25" i="158"/>
  <c r="AA25" i="158"/>
  <c r="Z15" i="158"/>
  <c r="AA15" i="158"/>
  <c r="Z16" i="158"/>
  <c r="AA16" i="158"/>
  <c r="Z17" i="158"/>
  <c r="AA17" i="158"/>
  <c r="Z14" i="158"/>
  <c r="AA14" i="158"/>
  <c r="Z49" i="148"/>
  <c r="AA49" i="148"/>
  <c r="AB49" i="148"/>
  <c r="AC49" i="148"/>
  <c r="AD49" i="148"/>
  <c r="Z50" i="148"/>
  <c r="AA50" i="148"/>
  <c r="AB50" i="148"/>
  <c r="AC50" i="148"/>
  <c r="Z51" i="148"/>
  <c r="AA51" i="148"/>
  <c r="AB51" i="148"/>
  <c r="AC51" i="148"/>
  <c r="AD51" i="148"/>
  <c r="Z52" i="148"/>
  <c r="AA52" i="148"/>
  <c r="AB52" i="148"/>
  <c r="AC52" i="148"/>
  <c r="AD52" i="148"/>
  <c r="Z55" i="148"/>
  <c r="AB55" i="148"/>
  <c r="AC55" i="148"/>
  <c r="AD55" i="148"/>
  <c r="Z56" i="148"/>
  <c r="AA56" i="148"/>
  <c r="AB56" i="148"/>
  <c r="AC56" i="148"/>
  <c r="AD56" i="148"/>
  <c r="Z57" i="148"/>
  <c r="AA57" i="148"/>
  <c r="AB57" i="148"/>
  <c r="AC57" i="148"/>
  <c r="AD57" i="148"/>
  <c r="Z58" i="148"/>
  <c r="AA58" i="148"/>
  <c r="AB58" i="148"/>
  <c r="AC58" i="148"/>
  <c r="AD58" i="148"/>
  <c r="AB59" i="148"/>
  <c r="AC59" i="148"/>
  <c r="AD59" i="148"/>
  <c r="Z48" i="148"/>
  <c r="Z20" i="155"/>
  <c r="AA20" i="155"/>
  <c r="Z21" i="155"/>
  <c r="AA21" i="155"/>
  <c r="Z22" i="155"/>
  <c r="AA22" i="155"/>
  <c r="Z23" i="155"/>
  <c r="AA23" i="155"/>
  <c r="Z24" i="155"/>
  <c r="AA24" i="155"/>
  <c r="Z25" i="155"/>
  <c r="AA25" i="155"/>
  <c r="Y24" i="155"/>
  <c r="W47" i="155"/>
  <c r="P29" i="143"/>
  <c r="P28" i="143"/>
  <c r="W48" i="155" s="1"/>
  <c r="R36" i="142"/>
  <c r="R35" i="142"/>
  <c r="B31" i="143"/>
  <c r="B41" i="142"/>
  <c r="B40" i="142"/>
  <c r="B39" i="142"/>
  <c r="B37" i="142"/>
  <c r="AA50" i="155"/>
  <c r="AB50" i="155"/>
  <c r="AC50" i="155"/>
  <c r="AD50" i="155"/>
  <c r="AE50" i="155"/>
  <c r="AF50" i="155"/>
  <c r="AA51" i="155"/>
  <c r="AC51" i="155"/>
  <c r="AD51" i="155"/>
  <c r="AE51" i="155"/>
  <c r="AF51" i="155"/>
  <c r="AA52" i="155"/>
  <c r="AC52" i="155"/>
  <c r="AD52" i="155"/>
  <c r="AE52" i="155"/>
  <c r="AF52" i="155"/>
  <c r="AA53" i="155"/>
  <c r="AC53" i="155"/>
  <c r="AD53" i="155"/>
  <c r="AE53" i="155"/>
  <c r="AF53" i="155"/>
  <c r="AA54" i="155"/>
  <c r="AC54" i="155"/>
  <c r="AD54" i="155"/>
  <c r="AE54" i="155"/>
  <c r="AF54" i="155"/>
  <c r="AA49" i="155"/>
  <c r="Y12" i="148"/>
  <c r="Z12" i="148"/>
  <c r="AA12" i="148"/>
  <c r="Z16" i="148"/>
  <c r="AA16" i="148"/>
  <c r="Z17" i="148"/>
  <c r="AA17" i="148"/>
  <c r="Z18" i="148"/>
  <c r="AA18" i="148"/>
  <c r="Z19" i="148"/>
  <c r="AA19" i="148"/>
  <c r="Z20" i="148"/>
  <c r="AA20" i="148"/>
  <c r="Z21" i="148"/>
  <c r="AA21" i="148"/>
  <c r="Y20" i="148"/>
  <c r="C46" i="133"/>
  <c r="D46" i="133"/>
  <c r="E46" i="133"/>
  <c r="J46" i="133"/>
  <c r="C47" i="133"/>
  <c r="D47" i="133"/>
  <c r="E47" i="133"/>
  <c r="C48" i="133"/>
  <c r="D48" i="133"/>
  <c r="E48" i="133"/>
  <c r="C49" i="133"/>
  <c r="D49" i="133"/>
  <c r="E49" i="133"/>
  <c r="C50" i="133"/>
  <c r="D50" i="133"/>
  <c r="E50" i="133"/>
  <c r="J50" i="133"/>
  <c r="C51" i="133"/>
  <c r="D51" i="133"/>
  <c r="E51" i="133"/>
  <c r="C52" i="133"/>
  <c r="D52" i="133"/>
  <c r="E52" i="133"/>
  <c r="C53" i="133"/>
  <c r="D53" i="133"/>
  <c r="E53" i="133"/>
  <c r="J53" i="133"/>
  <c r="F53" i="133"/>
  <c r="L53" i="133" s="1"/>
  <c r="B47" i="139"/>
  <c r="C47" i="139"/>
  <c r="E47" i="139"/>
  <c r="L47" i="139"/>
  <c r="A47" i="139" s="1"/>
  <c r="M47" i="139"/>
  <c r="N47" i="139"/>
  <c r="O47" i="139"/>
  <c r="D47" i="139" s="1"/>
  <c r="R47" i="139"/>
  <c r="T47" i="139"/>
  <c r="I47" i="139" s="1"/>
  <c r="J47" i="133" s="1"/>
  <c r="U47" i="139"/>
  <c r="J47" i="139" s="1"/>
  <c r="K47" i="133" s="1"/>
  <c r="B48" i="139"/>
  <c r="D48" i="139"/>
  <c r="E48" i="139"/>
  <c r="L48" i="139"/>
  <c r="A48" i="139" s="1"/>
  <c r="M48" i="139"/>
  <c r="N48" i="139"/>
  <c r="C48" i="139" s="1"/>
  <c r="O48" i="139"/>
  <c r="R48" i="139"/>
  <c r="T48" i="139"/>
  <c r="I48" i="139" s="1"/>
  <c r="J48" i="133" s="1"/>
  <c r="U48" i="139"/>
  <c r="J48" i="139" s="1"/>
  <c r="K48" i="133" s="1"/>
  <c r="D49" i="139"/>
  <c r="E49" i="139"/>
  <c r="L49" i="139"/>
  <c r="A49" i="139" s="1"/>
  <c r="M49" i="139"/>
  <c r="B49" i="139" s="1"/>
  <c r="N49" i="139"/>
  <c r="C49" i="139" s="1"/>
  <c r="O49" i="139"/>
  <c r="R49" i="139"/>
  <c r="T49" i="139"/>
  <c r="I49" i="139" s="1"/>
  <c r="J49" i="133" s="1"/>
  <c r="U49" i="139"/>
  <c r="J49" i="139" s="1"/>
  <c r="K49" i="133" s="1"/>
  <c r="E50" i="139"/>
  <c r="L50" i="139"/>
  <c r="A50" i="139" s="1"/>
  <c r="Y23" i="155" s="1"/>
  <c r="M50" i="139"/>
  <c r="B50" i="139" s="1"/>
  <c r="N50" i="139"/>
  <c r="C50" i="139" s="1"/>
  <c r="O50" i="139"/>
  <c r="D50" i="139" s="1"/>
  <c r="R50" i="139"/>
  <c r="T50" i="139"/>
  <c r="I50" i="139" s="1"/>
  <c r="U50" i="139"/>
  <c r="J50" i="139" s="1"/>
  <c r="K50" i="133" s="1"/>
  <c r="C51" i="139"/>
  <c r="D51" i="139"/>
  <c r="E51" i="139"/>
  <c r="L51" i="139"/>
  <c r="A51" i="139" s="1"/>
  <c r="Y26" i="158" s="1"/>
  <c r="M51" i="139"/>
  <c r="B51" i="139" s="1"/>
  <c r="N51" i="139"/>
  <c r="O51" i="139"/>
  <c r="R51" i="139"/>
  <c r="T51" i="139"/>
  <c r="I51" i="139" s="1"/>
  <c r="J51" i="133" s="1"/>
  <c r="U51" i="139"/>
  <c r="J51" i="139" s="1"/>
  <c r="K51" i="133" s="1"/>
  <c r="B52" i="139"/>
  <c r="C52" i="139"/>
  <c r="E52" i="139"/>
  <c r="L52" i="139"/>
  <c r="A52" i="139" s="1"/>
  <c r="M52" i="139"/>
  <c r="N52" i="139"/>
  <c r="O52" i="139"/>
  <c r="D52" i="139" s="1"/>
  <c r="R52" i="139"/>
  <c r="T52" i="139"/>
  <c r="I52" i="139" s="1"/>
  <c r="J52" i="133" s="1"/>
  <c r="U52" i="139"/>
  <c r="J52" i="139" s="1"/>
  <c r="K52" i="133" s="1"/>
  <c r="B53" i="139"/>
  <c r="C53" i="139"/>
  <c r="D53" i="139"/>
  <c r="E53" i="139"/>
  <c r="I53" i="139"/>
  <c r="L53" i="139"/>
  <c r="A53" i="139" s="1"/>
  <c r="B53" i="133" s="1"/>
  <c r="M53" i="139"/>
  <c r="N53" i="139"/>
  <c r="O53" i="139"/>
  <c r="R53" i="139"/>
  <c r="T53" i="139"/>
  <c r="U53" i="139"/>
  <c r="J53" i="139" s="1"/>
  <c r="K53" i="133" s="1"/>
  <c r="E14" i="139"/>
  <c r="L14" i="139"/>
  <c r="A14" i="139" s="1"/>
  <c r="M14" i="139"/>
  <c r="B14" i="139" s="1"/>
  <c r="C14" i="133" s="1"/>
  <c r="N14" i="139"/>
  <c r="C14" i="139" s="1"/>
  <c r="D14" i="133" s="1"/>
  <c r="O14" i="139"/>
  <c r="D14" i="139" s="1"/>
  <c r="E14" i="133" s="1"/>
  <c r="R14" i="139"/>
  <c r="T14" i="139"/>
  <c r="I14" i="139" s="1"/>
  <c r="J14" i="133" s="1"/>
  <c r="U14" i="139"/>
  <c r="J14" i="139" s="1"/>
  <c r="K14" i="133" s="1"/>
  <c r="Y48" i="148"/>
  <c r="I11" i="148"/>
  <c r="U8" i="146"/>
  <c r="X43" i="172"/>
  <c r="W43" i="172"/>
  <c r="X42" i="172"/>
  <c r="W42" i="172"/>
  <c r="Q43" i="172"/>
  <c r="P43" i="172"/>
  <c r="Q42" i="172"/>
  <c r="P42" i="172"/>
  <c r="J43" i="172"/>
  <c r="I43" i="172"/>
  <c r="J42" i="172"/>
  <c r="I42" i="172"/>
  <c r="V41" i="172"/>
  <c r="O41" i="172"/>
  <c r="H41" i="172"/>
  <c r="B4" i="177"/>
  <c r="Z7" i="177" s="1"/>
  <c r="L127" i="177"/>
  <c r="C124" i="177"/>
  <c r="C122" i="177"/>
  <c r="B120" i="177"/>
  <c r="B119" i="177"/>
  <c r="B118" i="177"/>
  <c r="B116" i="177"/>
  <c r="B115" i="177"/>
  <c r="B113" i="177"/>
  <c r="B112" i="177"/>
  <c r="E106" i="177"/>
  <c r="D106" i="177"/>
  <c r="B103" i="177"/>
  <c r="B102" i="177"/>
  <c r="AF97" i="177"/>
  <c r="Z97" i="177"/>
  <c r="W97" i="177"/>
  <c r="AF96" i="177"/>
  <c r="Z96" i="177"/>
  <c r="W96" i="177"/>
  <c r="AF95" i="177"/>
  <c r="Z95" i="177"/>
  <c r="W95" i="177"/>
  <c r="N91" i="177"/>
  <c r="T90" i="177"/>
  <c r="N90" i="177"/>
  <c r="T89" i="177"/>
  <c r="N89" i="177"/>
  <c r="Z88" i="177"/>
  <c r="T88" i="177"/>
  <c r="N88" i="177"/>
  <c r="AG87" i="177"/>
  <c r="AF87" i="177"/>
  <c r="T87" i="177"/>
  <c r="N87" i="177"/>
  <c r="Z80" i="177"/>
  <c r="Z91" i="177" s="1"/>
  <c r="N80" i="177"/>
  <c r="T79" i="177"/>
  <c r="N79" i="177"/>
  <c r="T78" i="177"/>
  <c r="N78" i="177"/>
  <c r="T77" i="177"/>
  <c r="N77" i="177"/>
  <c r="AG76" i="177"/>
  <c r="T76" i="177"/>
  <c r="AG80" i="177" s="1"/>
  <c r="N76" i="177"/>
  <c r="Y73" i="177"/>
  <c r="Y72" i="177"/>
  <c r="Y71" i="177"/>
  <c r="P71" i="177" s="1"/>
  <c r="T70" i="177"/>
  <c r="U70" i="177" s="1"/>
  <c r="P70" i="177"/>
  <c r="N69" i="177"/>
  <c r="N52" i="177"/>
  <c r="N51" i="177"/>
  <c r="N50" i="177"/>
  <c r="N49" i="177"/>
  <c r="AC48" i="177"/>
  <c r="T48" i="177"/>
  <c r="T47" i="177"/>
  <c r="T46" i="177"/>
  <c r="R44" i="177"/>
  <c r="N44" i="177"/>
  <c r="AB43" i="177"/>
  <c r="AB42" i="177"/>
  <c r="N42" i="177"/>
  <c r="AB41" i="177"/>
  <c r="N41" i="177"/>
  <c r="N40" i="177"/>
  <c r="N39" i="177"/>
  <c r="N38" i="177"/>
  <c r="AH37" i="177"/>
  <c r="AF37" i="177"/>
  <c r="AD37" i="177"/>
  <c r="N37" i="177"/>
  <c r="AH36" i="177"/>
  <c r="AF36" i="177"/>
  <c r="AD36" i="177"/>
  <c r="N36" i="177"/>
  <c r="AH35" i="177"/>
  <c r="AF35" i="177"/>
  <c r="AD35" i="177"/>
  <c r="N35" i="177"/>
  <c r="C37" i="177"/>
  <c r="AH34" i="177"/>
  <c r="AF34" i="177"/>
  <c r="AD34" i="177"/>
  <c r="N34" i="177"/>
  <c r="C36" i="177"/>
  <c r="AH33" i="177"/>
  <c r="AF33" i="177"/>
  <c r="AD33" i="177"/>
  <c r="AH32" i="177"/>
  <c r="AF32" i="177"/>
  <c r="AD32" i="177"/>
  <c r="AH31" i="177"/>
  <c r="AF31" i="177"/>
  <c r="AD31" i="177"/>
  <c r="AH30" i="177"/>
  <c r="AF30" i="177"/>
  <c r="AD30" i="177"/>
  <c r="S30" i="177"/>
  <c r="AB29" i="177"/>
  <c r="AB28" i="177"/>
  <c r="B28" i="177"/>
  <c r="D27" i="177"/>
  <c r="U26" i="177"/>
  <c r="D26" i="177"/>
  <c r="W25" i="177"/>
  <c r="P25" i="177"/>
  <c r="I25" i="177"/>
  <c r="D25" i="177"/>
  <c r="W24" i="177"/>
  <c r="P24" i="177"/>
  <c r="D24" i="177"/>
  <c r="B24" i="177"/>
  <c r="P23" i="177"/>
  <c r="B23" i="177"/>
  <c r="W22" i="177"/>
  <c r="V22" i="177"/>
  <c r="P22" i="177"/>
  <c r="I22" i="177"/>
  <c r="B22" i="177"/>
  <c r="I21" i="177"/>
  <c r="B21" i="177"/>
  <c r="F20" i="177"/>
  <c r="B20" i="177"/>
  <c r="AB19" i="177"/>
  <c r="AQ17" i="177"/>
  <c r="B17" i="177"/>
  <c r="D16" i="177"/>
  <c r="AQ15" i="177"/>
  <c r="U15" i="177"/>
  <c r="D15" i="177"/>
  <c r="W14" i="177"/>
  <c r="P14" i="177"/>
  <c r="I14" i="177"/>
  <c r="D14" i="177"/>
  <c r="W13" i="177"/>
  <c r="P13" i="177"/>
  <c r="D13" i="177"/>
  <c r="B13" i="177"/>
  <c r="P12" i="177"/>
  <c r="B12" i="177"/>
  <c r="W11" i="177"/>
  <c r="V11" i="177"/>
  <c r="P11" i="177"/>
  <c r="I11" i="177"/>
  <c r="B11" i="177"/>
  <c r="AN10" i="177"/>
  <c r="I10" i="177"/>
  <c r="B10" i="177"/>
  <c r="AN9" i="177"/>
  <c r="U9" i="177"/>
  <c r="F9" i="177"/>
  <c r="B9" i="177"/>
  <c r="AD8" i="177"/>
  <c r="AC8" i="177"/>
  <c r="AB8" i="177"/>
  <c r="AA8" i="177"/>
  <c r="Z8" i="177"/>
  <c r="Y8" i="177"/>
  <c r="AN7" i="177"/>
  <c r="Y7" i="177"/>
  <c r="B7" i="177"/>
  <c r="S6" i="177"/>
  <c r="AN5" i="177"/>
  <c r="S5" i="177"/>
  <c r="S4" i="177"/>
  <c r="K4" i="177"/>
  <c r="F4" i="177"/>
  <c r="AN2" i="177"/>
  <c r="B115" i="176"/>
  <c r="B115" i="175"/>
  <c r="C124" i="176"/>
  <c r="C122" i="176"/>
  <c r="B120" i="176"/>
  <c r="B119" i="176"/>
  <c r="B118" i="176"/>
  <c r="B116" i="176"/>
  <c r="B113" i="176"/>
  <c r="B112" i="176"/>
  <c r="C36" i="176"/>
  <c r="C37" i="176"/>
  <c r="T90" i="176"/>
  <c r="AG87" i="176"/>
  <c r="AG76" i="176"/>
  <c r="D24" i="176"/>
  <c r="AF87" i="176"/>
  <c r="AF97" i="176"/>
  <c r="Z97" i="176"/>
  <c r="W97" i="176"/>
  <c r="AF96" i="176"/>
  <c r="Z96" i="176"/>
  <c r="W96" i="176"/>
  <c r="AF95" i="176"/>
  <c r="Z95" i="176"/>
  <c r="W95" i="176"/>
  <c r="B4" i="176"/>
  <c r="Z7" i="176" s="1"/>
  <c r="L127" i="176"/>
  <c r="E106" i="176"/>
  <c r="D106" i="176"/>
  <c r="B103" i="176"/>
  <c r="B102" i="176"/>
  <c r="N91" i="176"/>
  <c r="N90" i="176"/>
  <c r="T89" i="176"/>
  <c r="N89" i="176"/>
  <c r="Z88" i="176"/>
  <c r="T88" i="176"/>
  <c r="N88" i="176"/>
  <c r="T87" i="176"/>
  <c r="AF90" i="176" s="1"/>
  <c r="N87" i="176"/>
  <c r="Z80" i="176"/>
  <c r="Z91" i="176" s="1"/>
  <c r="N80" i="176"/>
  <c r="T79" i="176"/>
  <c r="N79" i="176"/>
  <c r="T78" i="176"/>
  <c r="N78" i="176"/>
  <c r="T77" i="176"/>
  <c r="N77" i="176"/>
  <c r="T76" i="176"/>
  <c r="AG80" i="176" s="1"/>
  <c r="N76" i="176"/>
  <c r="Y73" i="176"/>
  <c r="Y72" i="176"/>
  <c r="Y71" i="176"/>
  <c r="P71" i="176" s="1"/>
  <c r="T70" i="176"/>
  <c r="U70" i="176" s="1"/>
  <c r="P70" i="176"/>
  <c r="N69" i="176"/>
  <c r="N52" i="176"/>
  <c r="N51" i="176"/>
  <c r="N50" i="176"/>
  <c r="N49" i="176"/>
  <c r="AC48" i="176"/>
  <c r="T48" i="176"/>
  <c r="T47" i="176"/>
  <c r="T46" i="176"/>
  <c r="R44" i="176"/>
  <c r="N44" i="176"/>
  <c r="AB43" i="176"/>
  <c r="AB42" i="176"/>
  <c r="N42" i="176"/>
  <c r="AB41" i="176"/>
  <c r="N41" i="176"/>
  <c r="N40" i="176"/>
  <c r="N39" i="176"/>
  <c r="N38" i="176"/>
  <c r="AH37" i="176"/>
  <c r="AF37" i="176"/>
  <c r="AD37" i="176"/>
  <c r="N37" i="176"/>
  <c r="AH36" i="176"/>
  <c r="AF36" i="176"/>
  <c r="AD36" i="176"/>
  <c r="N36" i="176"/>
  <c r="AH35" i="176"/>
  <c r="AF35" i="176"/>
  <c r="AD35" i="176"/>
  <c r="N35" i="176"/>
  <c r="AH34" i="176"/>
  <c r="AF34" i="176"/>
  <c r="AD34" i="176"/>
  <c r="N34" i="176"/>
  <c r="AH33" i="176"/>
  <c r="AF33" i="176"/>
  <c r="AD33" i="176"/>
  <c r="AH32" i="176"/>
  <c r="AF32" i="176"/>
  <c r="AD32" i="176"/>
  <c r="AH31" i="176"/>
  <c r="AF31" i="176"/>
  <c r="AD31" i="176"/>
  <c r="AH30" i="176"/>
  <c r="AF30" i="176"/>
  <c r="AD30" i="176"/>
  <c r="S30" i="176"/>
  <c r="AB29" i="176"/>
  <c r="AB28" i="176"/>
  <c r="B28" i="176"/>
  <c r="D27" i="176"/>
  <c r="U26" i="176"/>
  <c r="D26" i="176"/>
  <c r="W25" i="176"/>
  <c r="P25" i="176"/>
  <c r="I25" i="176"/>
  <c r="D25" i="176"/>
  <c r="W24" i="176"/>
  <c r="P24" i="176"/>
  <c r="B24" i="176"/>
  <c r="P23" i="176"/>
  <c r="B23" i="176"/>
  <c r="W22" i="176"/>
  <c r="V22" i="176"/>
  <c r="P22" i="176"/>
  <c r="I22" i="176"/>
  <c r="B22" i="176"/>
  <c r="I21" i="176"/>
  <c r="B21" i="176"/>
  <c r="F20" i="176"/>
  <c r="B20" i="176"/>
  <c r="AQ17" i="176"/>
  <c r="B17" i="176"/>
  <c r="D16" i="176"/>
  <c r="AQ15" i="176"/>
  <c r="U15" i="176"/>
  <c r="D15" i="176"/>
  <c r="W14" i="176"/>
  <c r="P14" i="176"/>
  <c r="I14" i="176"/>
  <c r="D14" i="176"/>
  <c r="W13" i="176"/>
  <c r="P13" i="176"/>
  <c r="D13" i="176"/>
  <c r="B13" i="176"/>
  <c r="P12" i="176"/>
  <c r="B12" i="176"/>
  <c r="W11" i="176"/>
  <c r="V11" i="176"/>
  <c r="P11" i="176"/>
  <c r="I11" i="176"/>
  <c r="B11" i="176"/>
  <c r="AN10" i="176"/>
  <c r="I10" i="176"/>
  <c r="B10" i="176"/>
  <c r="AN9" i="176"/>
  <c r="U9" i="176"/>
  <c r="F9" i="176"/>
  <c r="B9" i="176"/>
  <c r="AD8" i="176"/>
  <c r="AC8" i="176"/>
  <c r="AB8" i="176"/>
  <c r="AA8" i="176"/>
  <c r="Z8" i="176"/>
  <c r="Y8" i="176"/>
  <c r="AN7" i="176"/>
  <c r="Y7" i="176"/>
  <c r="B7" i="176"/>
  <c r="S6" i="176"/>
  <c r="AN5" i="176"/>
  <c r="S5" i="176"/>
  <c r="S4" i="176"/>
  <c r="K4" i="176"/>
  <c r="F4" i="176"/>
  <c r="AN2" i="176"/>
  <c r="F128" i="133"/>
  <c r="L128" i="133" s="1"/>
  <c r="F133" i="133"/>
  <c r="L133" i="133" s="1"/>
  <c r="F136" i="133"/>
  <c r="L136" i="133" s="1"/>
  <c r="F140" i="133"/>
  <c r="L140" i="133" s="1"/>
  <c r="F123" i="133"/>
  <c r="L123" i="133" s="1"/>
  <c r="I22" i="175"/>
  <c r="I11" i="175"/>
  <c r="E144" i="139"/>
  <c r="E145" i="139"/>
  <c r="L144" i="139"/>
  <c r="A144" i="139" s="1"/>
  <c r="M144" i="139"/>
  <c r="B144" i="139" s="1"/>
  <c r="C141" i="133" s="1"/>
  <c r="N144" i="139"/>
  <c r="C144" i="139" s="1"/>
  <c r="D141" i="133" s="1"/>
  <c r="O144" i="139"/>
  <c r="D144" i="139" s="1"/>
  <c r="E141" i="133" s="1"/>
  <c r="R144" i="139"/>
  <c r="T144" i="139"/>
  <c r="I144" i="139" s="1"/>
  <c r="J141" i="133" s="1"/>
  <c r="U144" i="139"/>
  <c r="J144" i="139" s="1"/>
  <c r="K141" i="133" s="1"/>
  <c r="L145" i="139"/>
  <c r="A145" i="139" s="1"/>
  <c r="M145" i="139"/>
  <c r="B145" i="139" s="1"/>
  <c r="N145" i="139"/>
  <c r="C145" i="139" s="1"/>
  <c r="D142" i="133" s="1"/>
  <c r="O145" i="139"/>
  <c r="D145" i="139" s="1"/>
  <c r="E142" i="133" s="1"/>
  <c r="R145" i="139"/>
  <c r="T145" i="139"/>
  <c r="I145" i="139" s="1"/>
  <c r="J142" i="133" s="1"/>
  <c r="U145" i="139"/>
  <c r="J145" i="139" s="1"/>
  <c r="K142" i="133" s="1"/>
  <c r="B28" i="171"/>
  <c r="L28" i="171"/>
  <c r="K28" i="171"/>
  <c r="J28" i="171"/>
  <c r="I28" i="171"/>
  <c r="H28" i="171"/>
  <c r="G28" i="171"/>
  <c r="F28" i="171"/>
  <c r="E28" i="171"/>
  <c r="D28" i="171"/>
  <c r="C28" i="171"/>
  <c r="W32" i="171"/>
  <c r="AZ142" i="133" s="1"/>
  <c r="F142" i="133" s="1"/>
  <c r="L142" i="133" s="1"/>
  <c r="W31" i="171"/>
  <c r="AZ141" i="133" s="1"/>
  <c r="F141" i="133" s="1"/>
  <c r="L141" i="133" s="1"/>
  <c r="L30" i="171"/>
  <c r="K30" i="171"/>
  <c r="J30" i="171"/>
  <c r="I30" i="171"/>
  <c r="B30" i="171"/>
  <c r="R44" i="175"/>
  <c r="L7" i="175" s="1"/>
  <c r="B26" i="174"/>
  <c r="N27" i="174"/>
  <c r="N29" i="174"/>
  <c r="N28" i="174"/>
  <c r="U15" i="175"/>
  <c r="U26" i="175"/>
  <c r="W25" i="175"/>
  <c r="W24" i="175"/>
  <c r="W22" i="175"/>
  <c r="V22" i="175"/>
  <c r="W13" i="175"/>
  <c r="W14" i="175"/>
  <c r="W11" i="175"/>
  <c r="V11" i="175"/>
  <c r="Y21" i="150" l="1"/>
  <c r="Y21" i="149"/>
  <c r="Y21" i="152"/>
  <c r="Y25" i="157"/>
  <c r="Y21" i="153"/>
  <c r="Y25" i="156"/>
  <c r="Y21" i="154"/>
  <c r="Y21" i="151"/>
  <c r="Y25" i="125"/>
  <c r="Y27" i="126"/>
  <c r="Y27" i="160"/>
  <c r="Y27" i="159"/>
  <c r="Y25" i="155"/>
  <c r="Y27" i="158"/>
  <c r="Y21" i="148"/>
  <c r="B52" i="133"/>
  <c r="Y19" i="148"/>
  <c r="Y25" i="158"/>
  <c r="Y17" i="154"/>
  <c r="Y17" i="151"/>
  <c r="Y17" i="152"/>
  <c r="Y17" i="153"/>
  <c r="Y17" i="150"/>
  <c r="Y17" i="149"/>
  <c r="Y16" i="149"/>
  <c r="Y16" i="152"/>
  <c r="Y16" i="154"/>
  <c r="Y16" i="151"/>
  <c r="Y16" i="150"/>
  <c r="Y16" i="153"/>
  <c r="Y18" i="154"/>
  <c r="Y18" i="150"/>
  <c r="Y18" i="149"/>
  <c r="Y18" i="152"/>
  <c r="Y18" i="153"/>
  <c r="Y18" i="151"/>
  <c r="B31" i="171"/>
  <c r="Y26" i="177"/>
  <c r="Y26" i="176"/>
  <c r="Y26" i="175"/>
  <c r="B51" i="133"/>
  <c r="Y19" i="152"/>
  <c r="Y23" i="157"/>
  <c r="Y19" i="149"/>
  <c r="Y19" i="154"/>
  <c r="Y19" i="151"/>
  <c r="Y23" i="125"/>
  <c r="Y25" i="126"/>
  <c r="Y25" i="160"/>
  <c r="Y25" i="159"/>
  <c r="Y19" i="153"/>
  <c r="Y19" i="150"/>
  <c r="Y23" i="156"/>
  <c r="Y27" i="176"/>
  <c r="Y27" i="175"/>
  <c r="Y27" i="177"/>
  <c r="Y20" i="154"/>
  <c r="Y20" i="151"/>
  <c r="Y24" i="125"/>
  <c r="Y26" i="126"/>
  <c r="Y26" i="160"/>
  <c r="Y26" i="159"/>
  <c r="Y20" i="153"/>
  <c r="Y24" i="156"/>
  <c r="Y20" i="150"/>
  <c r="Y20" i="149"/>
  <c r="Y24" i="157"/>
  <c r="Y20" i="152"/>
  <c r="B50" i="133"/>
  <c r="AG90" i="176"/>
  <c r="AF91" i="176"/>
  <c r="AG91" i="177"/>
  <c r="AG91" i="176"/>
  <c r="U79" i="177"/>
  <c r="U90" i="177"/>
  <c r="AG78" i="177"/>
  <c r="AF79" i="177"/>
  <c r="AG79" i="177"/>
  <c r="AF80" i="177"/>
  <c r="AF79" i="176"/>
  <c r="T44" i="148"/>
  <c r="Y87" i="177"/>
  <c r="Y88" i="177" s="1"/>
  <c r="AF89" i="177"/>
  <c r="AG89" i="177"/>
  <c r="AF90" i="177"/>
  <c r="AG90" i="177"/>
  <c r="AF91" i="177"/>
  <c r="Y76" i="177"/>
  <c r="Y77" i="177" s="1"/>
  <c r="AF78" i="177"/>
  <c r="AF89" i="176"/>
  <c r="AG89" i="176"/>
  <c r="AF78" i="176"/>
  <c r="AG78" i="176"/>
  <c r="AG79" i="176"/>
  <c r="AF80" i="176"/>
  <c r="W49" i="155"/>
  <c r="W49" i="157"/>
  <c r="W49" i="156"/>
  <c r="W49" i="125"/>
  <c r="W48" i="125"/>
  <c r="W48" i="157"/>
  <c r="W48" i="156"/>
  <c r="W48" i="158"/>
  <c r="W48" i="159"/>
  <c r="W48" i="160"/>
  <c r="W48" i="126"/>
  <c r="AB10" i="159"/>
  <c r="W47" i="158"/>
  <c r="W47" i="159"/>
  <c r="W47" i="160"/>
  <c r="W47" i="126"/>
  <c r="B14" i="133"/>
  <c r="Y12" i="154"/>
  <c r="Y12" i="151"/>
  <c r="Y12" i="152"/>
  <c r="Y12" i="150"/>
  <c r="Y12" i="153"/>
  <c r="Y12" i="149"/>
  <c r="AC39" i="133"/>
  <c r="Y24" i="126"/>
  <c r="Y22" i="156"/>
  <c r="Y22" i="125"/>
  <c r="Y24" i="160"/>
  <c r="Y22" i="157"/>
  <c r="Y24" i="159"/>
  <c r="Y18" i="148"/>
  <c r="Y22" i="155"/>
  <c r="B49" i="133"/>
  <c r="Y24" i="158"/>
  <c r="Y23" i="159"/>
  <c r="Y21" i="156"/>
  <c r="Y23" i="126"/>
  <c r="Y21" i="157"/>
  <c r="Y21" i="125"/>
  <c r="Y23" i="160"/>
  <c r="Y21" i="155"/>
  <c r="Y17" i="148"/>
  <c r="B48" i="133"/>
  <c r="Y23" i="158"/>
  <c r="Y20" i="157"/>
  <c r="Y22" i="160"/>
  <c r="Y20" i="125"/>
  <c r="Y22" i="126"/>
  <c r="Y22" i="159"/>
  <c r="Y20" i="156"/>
  <c r="B47" i="133"/>
  <c r="Y20" i="155"/>
  <c r="Y22" i="158"/>
  <c r="Y16" i="148"/>
  <c r="AB12" i="160"/>
  <c r="AB10" i="160"/>
  <c r="AB10" i="126"/>
  <c r="AB12" i="126"/>
  <c r="F46" i="133"/>
  <c r="L46" i="133" s="1"/>
  <c r="O10" i="158"/>
  <c r="O23" i="158"/>
  <c r="AG10" i="158"/>
  <c r="AG12" i="158"/>
  <c r="AE10" i="158"/>
  <c r="O21" i="158"/>
  <c r="AE12" i="158"/>
  <c r="O12" i="158"/>
  <c r="F5" i="177"/>
  <c r="C142" i="133"/>
  <c r="G32" i="171"/>
  <c r="B142" i="133"/>
  <c r="B32" i="171"/>
  <c r="B141" i="133"/>
  <c r="G31" i="171"/>
  <c r="I31" i="171"/>
  <c r="I32" i="171"/>
  <c r="L7" i="177"/>
  <c r="X80" i="177"/>
  <c r="Y80" i="177"/>
  <c r="Y91" i="177" s="1"/>
  <c r="U78" i="177"/>
  <c r="X91" i="177"/>
  <c r="U89" i="177"/>
  <c r="U79" i="176"/>
  <c r="U78" i="176"/>
  <c r="Y76" i="176"/>
  <c r="Y77" i="176" s="1"/>
  <c r="X80" i="176" s="1"/>
  <c r="F5" i="176"/>
  <c r="Y80" i="176"/>
  <c r="Y91" i="176" s="1"/>
  <c r="U89" i="176"/>
  <c r="L7" i="176"/>
  <c r="U90" i="176"/>
  <c r="Y87" i="176"/>
  <c r="Y88" i="176" s="1"/>
  <c r="X91" i="176" s="1"/>
  <c r="AC37" i="133" l="1"/>
  <c r="AE20" i="160"/>
  <c r="AE37" i="133"/>
  <c r="AE39" i="133"/>
  <c r="AD37" i="133"/>
  <c r="AD39" i="133"/>
  <c r="AB20" i="160" l="1"/>
  <c r="AD30" i="175"/>
  <c r="AD31" i="175"/>
  <c r="E125" i="139"/>
  <c r="E126" i="139"/>
  <c r="E127" i="139"/>
  <c r="E128" i="139"/>
  <c r="E129" i="139"/>
  <c r="E130" i="139"/>
  <c r="E131" i="139"/>
  <c r="E132" i="139"/>
  <c r="E133" i="139"/>
  <c r="E134" i="139"/>
  <c r="E135" i="139"/>
  <c r="E136" i="139"/>
  <c r="E137" i="139"/>
  <c r="E138" i="139"/>
  <c r="E139" i="139"/>
  <c r="E140" i="139"/>
  <c r="E141" i="139"/>
  <c r="E142" i="139"/>
  <c r="E143" i="139"/>
  <c r="E146" i="139"/>
  <c r="E147" i="139"/>
  <c r="R125" i="139"/>
  <c r="T125" i="139"/>
  <c r="I125" i="139" s="1"/>
  <c r="J124" i="133" s="1"/>
  <c r="U125" i="139"/>
  <c r="J125" i="139" s="1"/>
  <c r="K124" i="133" s="1"/>
  <c r="R126" i="139"/>
  <c r="T126" i="139"/>
  <c r="I126" i="139" s="1"/>
  <c r="J125" i="133" s="1"/>
  <c r="U126" i="139"/>
  <c r="J126" i="139" s="1"/>
  <c r="K125" i="133" s="1"/>
  <c r="R127" i="139"/>
  <c r="T127" i="139"/>
  <c r="I127" i="139" s="1"/>
  <c r="J126" i="133" s="1"/>
  <c r="U127" i="139"/>
  <c r="J127" i="139" s="1"/>
  <c r="K126" i="133" s="1"/>
  <c r="R128" i="139"/>
  <c r="T128" i="139"/>
  <c r="I128" i="139" s="1"/>
  <c r="J127" i="133" s="1"/>
  <c r="U128" i="139"/>
  <c r="J128" i="139" s="1"/>
  <c r="K127" i="133" s="1"/>
  <c r="R129" i="139"/>
  <c r="T129" i="139"/>
  <c r="I129" i="139" s="1"/>
  <c r="J128" i="133" s="1"/>
  <c r="U129" i="139"/>
  <c r="J129" i="139" s="1"/>
  <c r="K128" i="133" s="1"/>
  <c r="R130" i="139"/>
  <c r="T130" i="139"/>
  <c r="I130" i="139" s="1"/>
  <c r="J129" i="133" s="1"/>
  <c r="U130" i="139"/>
  <c r="J130" i="139" s="1"/>
  <c r="K129" i="133" s="1"/>
  <c r="R131" i="139"/>
  <c r="T131" i="139"/>
  <c r="I131" i="139" s="1"/>
  <c r="J130" i="133" s="1"/>
  <c r="U131" i="139"/>
  <c r="J131" i="139" s="1"/>
  <c r="K130" i="133" s="1"/>
  <c r="R132" i="139"/>
  <c r="T132" i="139"/>
  <c r="I132" i="139" s="1"/>
  <c r="J131" i="133" s="1"/>
  <c r="U132" i="139"/>
  <c r="J132" i="139" s="1"/>
  <c r="K131" i="133" s="1"/>
  <c r="R133" i="139"/>
  <c r="T133" i="139"/>
  <c r="I133" i="139" s="1"/>
  <c r="J132" i="133" s="1"/>
  <c r="U133" i="139"/>
  <c r="J133" i="139" s="1"/>
  <c r="K132" i="133" s="1"/>
  <c r="R134" i="139"/>
  <c r="T134" i="139"/>
  <c r="I134" i="139" s="1"/>
  <c r="J133" i="133" s="1"/>
  <c r="U134" i="139"/>
  <c r="J134" i="139" s="1"/>
  <c r="K133" i="133" s="1"/>
  <c r="R135" i="139"/>
  <c r="T135" i="139"/>
  <c r="I135" i="139" s="1"/>
  <c r="J134" i="133" s="1"/>
  <c r="U135" i="139"/>
  <c r="J135" i="139" s="1"/>
  <c r="K134" i="133" s="1"/>
  <c r="R136" i="139"/>
  <c r="T136" i="139"/>
  <c r="I136" i="139" s="1"/>
  <c r="J135" i="133" s="1"/>
  <c r="U136" i="139"/>
  <c r="J136" i="139" s="1"/>
  <c r="K135" i="133" s="1"/>
  <c r="R137" i="139"/>
  <c r="T137" i="139"/>
  <c r="I137" i="139" s="1"/>
  <c r="J136" i="133" s="1"/>
  <c r="U137" i="139"/>
  <c r="J137" i="139" s="1"/>
  <c r="K136" i="133" s="1"/>
  <c r="R138" i="139"/>
  <c r="T138" i="139"/>
  <c r="I138" i="139" s="1"/>
  <c r="J137" i="133" s="1"/>
  <c r="U138" i="139"/>
  <c r="J138" i="139" s="1"/>
  <c r="K137" i="133" s="1"/>
  <c r="R139" i="139"/>
  <c r="T139" i="139"/>
  <c r="I139" i="139" s="1"/>
  <c r="J138" i="133" s="1"/>
  <c r="U139" i="139"/>
  <c r="J139" i="139" s="1"/>
  <c r="K138" i="133" s="1"/>
  <c r="R140" i="139"/>
  <c r="T140" i="139"/>
  <c r="I140" i="139" s="1"/>
  <c r="J139" i="133" s="1"/>
  <c r="U140" i="139"/>
  <c r="J140" i="139" s="1"/>
  <c r="K139" i="133" s="1"/>
  <c r="R141" i="139"/>
  <c r="T141" i="139"/>
  <c r="I141" i="139" s="1"/>
  <c r="J140" i="133" s="1"/>
  <c r="U141" i="139"/>
  <c r="J141" i="139" s="1"/>
  <c r="K140" i="133" s="1"/>
  <c r="R142" i="139"/>
  <c r="T142" i="139"/>
  <c r="I142" i="139" s="1"/>
  <c r="U142" i="139"/>
  <c r="J142" i="139" s="1"/>
  <c r="R146" i="139"/>
  <c r="T146" i="139"/>
  <c r="I146" i="139" s="1"/>
  <c r="U146" i="139"/>
  <c r="J146" i="139" s="1"/>
  <c r="R147" i="139"/>
  <c r="T147" i="139"/>
  <c r="I147" i="139" s="1"/>
  <c r="U147" i="139"/>
  <c r="J147" i="139" s="1"/>
  <c r="U124" i="139"/>
  <c r="J124" i="139" s="1"/>
  <c r="T124" i="139"/>
  <c r="I124" i="139" s="1"/>
  <c r="R124" i="139"/>
  <c r="M125" i="139"/>
  <c r="B125" i="139" s="1"/>
  <c r="N125" i="139"/>
  <c r="C125" i="139" s="1"/>
  <c r="O125" i="139"/>
  <c r="D125" i="139" s="1"/>
  <c r="E124" i="133" s="1"/>
  <c r="M126" i="139"/>
  <c r="B126" i="139" s="1"/>
  <c r="N126" i="139"/>
  <c r="C126" i="139" s="1"/>
  <c r="O126" i="139"/>
  <c r="D126" i="139" s="1"/>
  <c r="E125" i="133" s="1"/>
  <c r="M127" i="139"/>
  <c r="B127" i="139" s="1"/>
  <c r="N127" i="139"/>
  <c r="C127" i="139" s="1"/>
  <c r="O127" i="139"/>
  <c r="D127" i="139" s="1"/>
  <c r="E126" i="133" s="1"/>
  <c r="M128" i="139"/>
  <c r="B128" i="139" s="1"/>
  <c r="N128" i="139"/>
  <c r="C128" i="139" s="1"/>
  <c r="O128" i="139"/>
  <c r="D128" i="139" s="1"/>
  <c r="E127" i="133" s="1"/>
  <c r="M129" i="139"/>
  <c r="B129" i="139" s="1"/>
  <c r="C128" i="133" s="1"/>
  <c r="N129" i="139"/>
  <c r="C129" i="139" s="1"/>
  <c r="D128" i="133" s="1"/>
  <c r="O129" i="139"/>
  <c r="D129" i="139" s="1"/>
  <c r="E128" i="133" s="1"/>
  <c r="M130" i="139"/>
  <c r="B130" i="139" s="1"/>
  <c r="N130" i="139"/>
  <c r="C130" i="139" s="1"/>
  <c r="O130" i="139"/>
  <c r="D130" i="139" s="1"/>
  <c r="E129" i="133" s="1"/>
  <c r="M131" i="139"/>
  <c r="B131" i="139" s="1"/>
  <c r="N131" i="139"/>
  <c r="C131" i="139" s="1"/>
  <c r="O131" i="139"/>
  <c r="D131" i="139" s="1"/>
  <c r="E130" i="133" s="1"/>
  <c r="M132" i="139"/>
  <c r="B132" i="139" s="1"/>
  <c r="N132" i="139"/>
  <c r="C132" i="139" s="1"/>
  <c r="O132" i="139"/>
  <c r="D132" i="139" s="1"/>
  <c r="E131" i="133" s="1"/>
  <c r="M133" i="139"/>
  <c r="B133" i="139" s="1"/>
  <c r="N133" i="139"/>
  <c r="C133" i="139" s="1"/>
  <c r="O133" i="139"/>
  <c r="D133" i="139" s="1"/>
  <c r="E132" i="133" s="1"/>
  <c r="M134" i="139"/>
  <c r="B134" i="139" s="1"/>
  <c r="C133" i="133" s="1"/>
  <c r="N134" i="139"/>
  <c r="C134" i="139" s="1"/>
  <c r="D133" i="133" s="1"/>
  <c r="O134" i="139"/>
  <c r="D134" i="139" s="1"/>
  <c r="E133" i="133" s="1"/>
  <c r="M135" i="139"/>
  <c r="B135" i="139" s="1"/>
  <c r="N135" i="139"/>
  <c r="C135" i="139" s="1"/>
  <c r="O135" i="139"/>
  <c r="D135" i="139" s="1"/>
  <c r="E134" i="133" s="1"/>
  <c r="M136" i="139"/>
  <c r="B136" i="139" s="1"/>
  <c r="N136" i="139"/>
  <c r="C136" i="139" s="1"/>
  <c r="O136" i="139"/>
  <c r="D136" i="139" s="1"/>
  <c r="E135" i="133" s="1"/>
  <c r="M137" i="139"/>
  <c r="B137" i="139" s="1"/>
  <c r="C136" i="133" s="1"/>
  <c r="N137" i="139"/>
  <c r="C137" i="139" s="1"/>
  <c r="D136" i="133" s="1"/>
  <c r="O137" i="139"/>
  <c r="D137" i="139" s="1"/>
  <c r="E136" i="133" s="1"/>
  <c r="M138" i="139"/>
  <c r="B138" i="139" s="1"/>
  <c r="N138" i="139"/>
  <c r="C138" i="139" s="1"/>
  <c r="O138" i="139"/>
  <c r="D138" i="139" s="1"/>
  <c r="E137" i="133" s="1"/>
  <c r="M139" i="139"/>
  <c r="B139" i="139" s="1"/>
  <c r="N139" i="139"/>
  <c r="C139" i="139" s="1"/>
  <c r="O139" i="139"/>
  <c r="D139" i="139" s="1"/>
  <c r="E138" i="133" s="1"/>
  <c r="M140" i="139"/>
  <c r="B140" i="139" s="1"/>
  <c r="N140" i="139"/>
  <c r="C140" i="139" s="1"/>
  <c r="O140" i="139"/>
  <c r="D140" i="139" s="1"/>
  <c r="E139" i="133" s="1"/>
  <c r="M141" i="139"/>
  <c r="B141" i="139" s="1"/>
  <c r="C140" i="133" s="1"/>
  <c r="N141" i="139"/>
  <c r="C141" i="139" s="1"/>
  <c r="D140" i="133" s="1"/>
  <c r="O141" i="139"/>
  <c r="D141" i="139" s="1"/>
  <c r="E140" i="133" s="1"/>
  <c r="M142" i="139"/>
  <c r="B142" i="139" s="1"/>
  <c r="N142" i="139"/>
  <c r="C142" i="139" s="1"/>
  <c r="O142" i="139"/>
  <c r="D142" i="139" s="1"/>
  <c r="M146" i="139"/>
  <c r="B146" i="139" s="1"/>
  <c r="N146" i="139"/>
  <c r="C146" i="139" s="1"/>
  <c r="O146" i="139"/>
  <c r="D146" i="139" s="1"/>
  <c r="M147" i="139"/>
  <c r="B147" i="139" s="1"/>
  <c r="N147" i="139"/>
  <c r="C147" i="139" s="1"/>
  <c r="O147" i="139"/>
  <c r="D147" i="139" s="1"/>
  <c r="M124" i="139"/>
  <c r="B124" i="139" s="1"/>
  <c r="N124" i="139"/>
  <c r="C124" i="139" s="1"/>
  <c r="O124" i="139"/>
  <c r="D124" i="139" s="1"/>
  <c r="P124" i="139"/>
  <c r="E124" i="139" s="1"/>
  <c r="L146" i="139"/>
  <c r="A146" i="139" s="1"/>
  <c r="Y28" i="175" s="1"/>
  <c r="L147" i="139"/>
  <c r="A147" i="139" s="1"/>
  <c r="L125" i="139"/>
  <c r="A125" i="139" s="1"/>
  <c r="L126" i="139"/>
  <c r="A126" i="139" s="1"/>
  <c r="L127" i="139"/>
  <c r="A127" i="139" s="1"/>
  <c r="L128" i="139"/>
  <c r="A128" i="139" s="1"/>
  <c r="L129" i="139"/>
  <c r="A129" i="139" s="1"/>
  <c r="B128" i="133" s="1"/>
  <c r="L130" i="139"/>
  <c r="A130" i="139" s="1"/>
  <c r="L131" i="139"/>
  <c r="A131" i="139" s="1"/>
  <c r="L132" i="139"/>
  <c r="A132" i="139" s="1"/>
  <c r="L133" i="139"/>
  <c r="A133" i="139" s="1"/>
  <c r="L134" i="139"/>
  <c r="A134" i="139" s="1"/>
  <c r="B133" i="133" s="1"/>
  <c r="L135" i="139"/>
  <c r="A135" i="139" s="1"/>
  <c r="L136" i="139"/>
  <c r="A136" i="139" s="1"/>
  <c r="L137" i="139"/>
  <c r="A137" i="139" s="1"/>
  <c r="B136" i="133" s="1"/>
  <c r="L138" i="139"/>
  <c r="A138" i="139" s="1"/>
  <c r="L139" i="139"/>
  <c r="A139" i="139" s="1"/>
  <c r="L140" i="139"/>
  <c r="A140" i="139" s="1"/>
  <c r="L141" i="139"/>
  <c r="A141" i="139" s="1"/>
  <c r="B140" i="133" s="1"/>
  <c r="L142" i="139"/>
  <c r="A142" i="139" s="1"/>
  <c r="L124" i="139"/>
  <c r="A124" i="139" s="1"/>
  <c r="L121" i="175"/>
  <c r="B116" i="175"/>
  <c r="B113" i="175"/>
  <c r="B112" i="175"/>
  <c r="B110" i="175"/>
  <c r="B108" i="175"/>
  <c r="E106" i="175"/>
  <c r="D106" i="175"/>
  <c r="B103" i="175"/>
  <c r="B102" i="175"/>
  <c r="Z97" i="175"/>
  <c r="Z96" i="175"/>
  <c r="Z95" i="175"/>
  <c r="AF91" i="175"/>
  <c r="Y91" i="175"/>
  <c r="N91" i="175"/>
  <c r="AF90" i="175"/>
  <c r="AD90" i="175"/>
  <c r="T90" i="175"/>
  <c r="N90" i="175"/>
  <c r="AF89" i="175"/>
  <c r="AD89" i="175"/>
  <c r="T89" i="175"/>
  <c r="N89" i="175"/>
  <c r="AF88" i="175"/>
  <c r="Z88" i="175"/>
  <c r="T88" i="175"/>
  <c r="N88" i="175"/>
  <c r="AD87" i="175"/>
  <c r="T87" i="175"/>
  <c r="N87" i="175"/>
  <c r="AF80" i="175"/>
  <c r="Z80" i="175"/>
  <c r="Z91" i="175" s="1"/>
  <c r="Y80" i="175"/>
  <c r="N80" i="175"/>
  <c r="AF79" i="175"/>
  <c r="T79" i="175"/>
  <c r="N79" i="175"/>
  <c r="AF78" i="175"/>
  <c r="T78" i="175"/>
  <c r="N78" i="175"/>
  <c r="T77" i="175"/>
  <c r="N77" i="175"/>
  <c r="T76" i="175"/>
  <c r="N76" i="175"/>
  <c r="Y73" i="175"/>
  <c r="Y72" i="175"/>
  <c r="Y71" i="175"/>
  <c r="P71" i="175" s="1"/>
  <c r="U70" i="175"/>
  <c r="T70" i="175"/>
  <c r="AD80" i="175" s="1"/>
  <c r="AD91" i="175" s="1"/>
  <c r="P70" i="175"/>
  <c r="N69" i="175"/>
  <c r="N52" i="175"/>
  <c r="N51" i="175"/>
  <c r="N50" i="175"/>
  <c r="N49" i="175"/>
  <c r="AC48" i="175"/>
  <c r="T48" i="175"/>
  <c r="T47" i="175"/>
  <c r="T46" i="175"/>
  <c r="N44" i="175"/>
  <c r="AB43" i="175"/>
  <c r="N42" i="175"/>
  <c r="N41" i="175"/>
  <c r="C41" i="175"/>
  <c r="N40" i="175"/>
  <c r="N39" i="175"/>
  <c r="N38" i="175"/>
  <c r="N37" i="175"/>
  <c r="C37" i="175"/>
  <c r="N36" i="175"/>
  <c r="N35" i="175"/>
  <c r="C35" i="175"/>
  <c r="N34" i="175"/>
  <c r="S30" i="175"/>
  <c r="B28" i="175"/>
  <c r="D27" i="175"/>
  <c r="B27" i="175"/>
  <c r="D26" i="175"/>
  <c r="P25" i="175"/>
  <c r="I25" i="175"/>
  <c r="D25" i="175"/>
  <c r="P24" i="175"/>
  <c r="I24" i="175"/>
  <c r="D24" i="175"/>
  <c r="B24" i="175"/>
  <c r="P23" i="175"/>
  <c r="B23" i="175"/>
  <c r="P22" i="175"/>
  <c r="B22" i="175"/>
  <c r="I21" i="175"/>
  <c r="B21" i="175"/>
  <c r="F20" i="175"/>
  <c r="B20" i="175"/>
  <c r="AQ17" i="175"/>
  <c r="B17" i="175"/>
  <c r="D16" i="175"/>
  <c r="B16" i="175"/>
  <c r="AQ15" i="175"/>
  <c r="D15" i="175"/>
  <c r="I14" i="175"/>
  <c r="D14" i="175"/>
  <c r="I13" i="175"/>
  <c r="D13" i="175"/>
  <c r="B13" i="175"/>
  <c r="B12" i="175"/>
  <c r="B11" i="175"/>
  <c r="AN10" i="175"/>
  <c r="I10" i="175"/>
  <c r="B10" i="175"/>
  <c r="AN9" i="175"/>
  <c r="U9" i="175"/>
  <c r="F9" i="175"/>
  <c r="B9" i="175"/>
  <c r="AS8" i="175"/>
  <c r="AQ8" i="175"/>
  <c r="AD8" i="175"/>
  <c r="AC8" i="175"/>
  <c r="AB8" i="175"/>
  <c r="AA8" i="175"/>
  <c r="Z8" i="175"/>
  <c r="Y8" i="175"/>
  <c r="AN7" i="175"/>
  <c r="Z7" i="175"/>
  <c r="Y7" i="175"/>
  <c r="B7" i="175"/>
  <c r="S6" i="175"/>
  <c r="AN5" i="175"/>
  <c r="S5" i="175"/>
  <c r="S4" i="175"/>
  <c r="K4" i="175"/>
  <c r="F4" i="175"/>
  <c r="B4" i="175"/>
  <c r="AN2" i="175"/>
  <c r="M85" i="174"/>
  <c r="C75" i="174"/>
  <c r="C73" i="174"/>
  <c r="H23" i="174"/>
  <c r="E23" i="174"/>
  <c r="B23" i="174"/>
  <c r="U11" i="174"/>
  <c r="U10" i="174"/>
  <c r="B10" i="174"/>
  <c r="B8" i="174"/>
  <c r="D7" i="174"/>
  <c r="B7" i="174"/>
  <c r="U6" i="174"/>
  <c r="U5" i="174"/>
  <c r="U3" i="174"/>
  <c r="C131" i="124"/>
  <c r="C129" i="124"/>
  <c r="C128" i="124"/>
  <c r="C126" i="124"/>
  <c r="C125" i="124"/>
  <c r="C124" i="124"/>
  <c r="C123" i="124"/>
  <c r="C122" i="124"/>
  <c r="C120" i="124"/>
  <c r="AD45" i="133" l="1"/>
  <c r="Z10" i="175"/>
  <c r="Z10" i="177"/>
  <c r="Z10" i="176"/>
  <c r="C125" i="133"/>
  <c r="Z28" i="177"/>
  <c r="Z28" i="176"/>
  <c r="Y14" i="175"/>
  <c r="Y14" i="177"/>
  <c r="Y14" i="176"/>
  <c r="B129" i="133"/>
  <c r="Y12" i="175"/>
  <c r="B127" i="133"/>
  <c r="Y12" i="177"/>
  <c r="Y12" i="176"/>
  <c r="Z12" i="175"/>
  <c r="C127" i="133"/>
  <c r="Z12" i="177"/>
  <c r="Z12" i="176"/>
  <c r="AA24" i="175"/>
  <c r="D139" i="133"/>
  <c r="AA24" i="177"/>
  <c r="AA24" i="176"/>
  <c r="Z11" i="175"/>
  <c r="Z11" i="176"/>
  <c r="C126" i="133"/>
  <c r="Z11" i="177"/>
  <c r="Y29" i="175"/>
  <c r="Y29" i="176"/>
  <c r="Y29" i="177"/>
  <c r="Z24" i="175"/>
  <c r="Z24" i="177"/>
  <c r="Z24" i="176"/>
  <c r="C139" i="133"/>
  <c r="AA17" i="175"/>
  <c r="AA17" i="177"/>
  <c r="AA17" i="176"/>
  <c r="D132" i="133"/>
  <c r="Z17" i="175"/>
  <c r="Z17" i="177"/>
  <c r="C132" i="133"/>
  <c r="Z17" i="176"/>
  <c r="AA23" i="175"/>
  <c r="AA23" i="176"/>
  <c r="D138" i="133"/>
  <c r="AA23" i="177"/>
  <c r="AA16" i="175"/>
  <c r="D131" i="133"/>
  <c r="AA16" i="177"/>
  <c r="AA16" i="176"/>
  <c r="AA10" i="175"/>
  <c r="AA10" i="177"/>
  <c r="AA10" i="176"/>
  <c r="D125" i="133"/>
  <c r="Y24" i="175"/>
  <c r="Y24" i="177"/>
  <c r="Y24" i="176"/>
  <c r="B139" i="133"/>
  <c r="Z16" i="175"/>
  <c r="C131" i="133"/>
  <c r="Z16" i="177"/>
  <c r="Z16" i="176"/>
  <c r="AA9" i="175"/>
  <c r="AA9" i="176"/>
  <c r="AA9" i="177"/>
  <c r="D124" i="133"/>
  <c r="AA22" i="175"/>
  <c r="AA22" i="176"/>
  <c r="D137" i="133"/>
  <c r="AA22" i="177"/>
  <c r="Z9" i="175"/>
  <c r="Z9" i="176"/>
  <c r="Z9" i="177"/>
  <c r="C124" i="133"/>
  <c r="AA19" i="175"/>
  <c r="AA19" i="176"/>
  <c r="D134" i="133"/>
  <c r="AA19" i="177"/>
  <c r="Y11" i="175"/>
  <c r="Y11" i="177"/>
  <c r="Y11" i="176"/>
  <c r="B126" i="133"/>
  <c r="Y9" i="175"/>
  <c r="Y9" i="176"/>
  <c r="B124" i="133"/>
  <c r="Y9" i="177"/>
  <c r="Y23" i="175"/>
  <c r="Y23" i="176"/>
  <c r="B138" i="133"/>
  <c r="Y23" i="177"/>
  <c r="Y22" i="175"/>
  <c r="B137" i="133"/>
  <c r="Y22" i="176"/>
  <c r="Y22" i="177"/>
  <c r="Z22" i="175"/>
  <c r="C137" i="133"/>
  <c r="Z22" i="176"/>
  <c r="Z22" i="177"/>
  <c r="AA15" i="175"/>
  <c r="AA15" i="177"/>
  <c r="D130" i="133"/>
  <c r="AA15" i="176"/>
  <c r="Z15" i="175"/>
  <c r="Z15" i="176"/>
  <c r="C130" i="133"/>
  <c r="Z15" i="177"/>
  <c r="Z23" i="175"/>
  <c r="Z23" i="176"/>
  <c r="C138" i="133"/>
  <c r="Z23" i="177"/>
  <c r="Y20" i="175"/>
  <c r="B135" i="133"/>
  <c r="Y20" i="177"/>
  <c r="Y20" i="176"/>
  <c r="Z29" i="175"/>
  <c r="Z29" i="176"/>
  <c r="Z29" i="177"/>
  <c r="Y10" i="175"/>
  <c r="Y10" i="177"/>
  <c r="Y10" i="176"/>
  <c r="B125" i="133"/>
  <c r="AA11" i="175"/>
  <c r="AA11" i="176"/>
  <c r="D126" i="133"/>
  <c r="AA11" i="177"/>
  <c r="AA14" i="175"/>
  <c r="AA14" i="177"/>
  <c r="AA14" i="176"/>
  <c r="D129" i="133"/>
  <c r="AA28" i="177"/>
  <c r="AA28" i="176"/>
  <c r="Z14" i="175"/>
  <c r="Z14" i="177"/>
  <c r="Z14" i="176"/>
  <c r="C129" i="133"/>
  <c r="Y28" i="177"/>
  <c r="Y28" i="176"/>
  <c r="AA29" i="175"/>
  <c r="AA29" i="176"/>
  <c r="AA29" i="177"/>
  <c r="Y19" i="175"/>
  <c r="Y19" i="177"/>
  <c r="B134" i="133"/>
  <c r="Y19" i="176"/>
  <c r="Y17" i="175"/>
  <c r="Y17" i="177"/>
  <c r="B132" i="133"/>
  <c r="Y17" i="176"/>
  <c r="AA20" i="175"/>
  <c r="AA20" i="177"/>
  <c r="D135" i="133"/>
  <c r="AA20" i="176"/>
  <c r="Y16" i="175"/>
  <c r="B131" i="133"/>
  <c r="Y16" i="177"/>
  <c r="Y16" i="176"/>
  <c r="Z20" i="175"/>
  <c r="Z20" i="177"/>
  <c r="C135" i="133"/>
  <c r="Z20" i="176"/>
  <c r="Y15" i="175"/>
  <c r="Y15" i="176"/>
  <c r="B130" i="133"/>
  <c r="Y15" i="177"/>
  <c r="Z19" i="175"/>
  <c r="C134" i="133"/>
  <c r="Z19" i="176"/>
  <c r="Z19" i="177"/>
  <c r="AA12" i="175"/>
  <c r="D127" i="133"/>
  <c r="AA12" i="177"/>
  <c r="AA12" i="176"/>
  <c r="AB19" i="176"/>
  <c r="AB42" i="175"/>
  <c r="F5" i="175"/>
  <c r="AB20" i="175"/>
  <c r="AE79" i="175"/>
  <c r="AB41" i="175"/>
  <c r="Y76" i="175"/>
  <c r="Y77" i="175" s="1"/>
  <c r="AE91" i="175"/>
  <c r="AD92" i="175" s="1"/>
  <c r="U89" i="175"/>
  <c r="AE77" i="175"/>
  <c r="AE80" i="175"/>
  <c r="AD81" i="175" s="1"/>
  <c r="AE89" i="175"/>
  <c r="U78" i="175"/>
  <c r="AE78" i="175"/>
  <c r="U90" i="175"/>
  <c r="U79" i="175"/>
  <c r="AE90" i="175"/>
  <c r="Y87" i="175"/>
  <c r="Y88" i="175" s="1"/>
  <c r="AE88" i="175"/>
  <c r="P28" i="124"/>
  <c r="T44" i="177" l="1"/>
  <c r="T44" i="176"/>
  <c r="T44" i="175"/>
  <c r="Q29" i="174"/>
  <c r="Q28" i="174"/>
  <c r="AB29" i="175"/>
  <c r="F27" i="133"/>
  <c r="F35" i="133"/>
  <c r="F77" i="133"/>
  <c r="F82" i="133"/>
  <c r="F92" i="133"/>
  <c r="F102" i="133"/>
  <c r="F106" i="133"/>
  <c r="F107" i="133"/>
  <c r="F108" i="133"/>
  <c r="F112" i="133"/>
  <c r="F116" i="133"/>
  <c r="F119" i="133"/>
  <c r="F153" i="133"/>
  <c r="F156" i="133"/>
  <c r="F157" i="133"/>
  <c r="F159" i="133"/>
  <c r="F160" i="133"/>
  <c r="F161" i="133"/>
  <c r="F163" i="133"/>
  <c r="F166" i="133"/>
  <c r="F167" i="133"/>
  <c r="F181" i="133"/>
  <c r="F192" i="133"/>
  <c r="AG39" i="176" l="1"/>
  <c r="AE22" i="176"/>
  <c r="AG22" i="176"/>
  <c r="AE39" i="176"/>
  <c r="AE39" i="177"/>
  <c r="AG39" i="177"/>
  <c r="AG38" i="177"/>
  <c r="AE22" i="177"/>
  <c r="AG22" i="177"/>
  <c r="AG40" i="177"/>
  <c r="AG40" i="175"/>
  <c r="AG39" i="175"/>
  <c r="AE39" i="175"/>
  <c r="AM7" i="169"/>
  <c r="AZ158" i="133"/>
  <c r="W26" i="171"/>
  <c r="AB39" i="176" l="1"/>
  <c r="AW169" i="133" s="1"/>
  <c r="AB39" i="177"/>
  <c r="AX169" i="133" s="1"/>
  <c r="AB22" i="177"/>
  <c r="AX137" i="133" s="1"/>
  <c r="AB22" i="176"/>
  <c r="AW137" i="133" s="1"/>
  <c r="AE40" i="175"/>
  <c r="AB40" i="175" s="1"/>
  <c r="AV170" i="133" s="1"/>
  <c r="AE38" i="175"/>
  <c r="AB39" i="175"/>
  <c r="AV169" i="133" s="1"/>
  <c r="AG22" i="175"/>
  <c r="H85" i="142"/>
  <c r="U5" i="147"/>
  <c r="U5" i="146"/>
  <c r="U5" i="145"/>
  <c r="U5" i="144"/>
  <c r="U5" i="143"/>
  <c r="AZ191" i="133" l="1"/>
  <c r="E183" i="139"/>
  <c r="L183" i="139"/>
  <c r="A183" i="139" s="1"/>
  <c r="B62" i="171" s="1"/>
  <c r="M183" i="139"/>
  <c r="B183" i="139" s="1"/>
  <c r="G62" i="171" s="1"/>
  <c r="N183" i="139"/>
  <c r="C183" i="139" s="1"/>
  <c r="I62" i="171" s="1"/>
  <c r="O183" i="139"/>
  <c r="D183" i="139" s="1"/>
  <c r="E191" i="133" s="1"/>
  <c r="R183" i="139"/>
  <c r="T183" i="139"/>
  <c r="I183" i="139" s="1"/>
  <c r="J191" i="133" s="1"/>
  <c r="U183" i="139"/>
  <c r="J183" i="139" s="1"/>
  <c r="K191" i="133" s="1"/>
  <c r="L199" i="8"/>
  <c r="K199" i="8" s="1"/>
  <c r="AP23" i="169"/>
  <c r="AP20" i="169"/>
  <c r="AR15" i="169"/>
  <c r="AP14" i="169"/>
  <c r="AR8" i="169"/>
  <c r="AP8" i="169"/>
  <c r="AP23" i="130"/>
  <c r="AP20" i="130"/>
  <c r="AR15" i="130"/>
  <c r="AP14" i="130"/>
  <c r="AR8" i="130"/>
  <c r="AP8" i="130"/>
  <c r="AP23" i="168"/>
  <c r="AP20" i="168"/>
  <c r="AR15" i="168"/>
  <c r="AP14" i="168"/>
  <c r="AR8" i="168"/>
  <c r="AP8" i="168"/>
  <c r="AP16" i="129"/>
  <c r="AP14" i="129"/>
  <c r="AR8" i="129"/>
  <c r="AP8" i="129"/>
  <c r="I22" i="129"/>
  <c r="I21" i="129"/>
  <c r="F191" i="133" l="1"/>
  <c r="L191" i="133" s="1"/>
  <c r="AE23" i="175"/>
  <c r="AE22" i="175"/>
  <c r="AB22" i="175" s="1"/>
  <c r="AV137" i="133" s="1"/>
  <c r="F137" i="133" s="1"/>
  <c r="L137" i="133" s="1"/>
  <c r="D191" i="133"/>
  <c r="C191" i="133"/>
  <c r="B191" i="133"/>
  <c r="K4" i="133"/>
  <c r="L7" i="137"/>
  <c r="E202" i="139"/>
  <c r="L202" i="139"/>
  <c r="A202" i="139" s="1"/>
  <c r="B195" i="133" s="1"/>
  <c r="M202" i="139"/>
  <c r="B202" i="139" s="1"/>
  <c r="C195" i="133" s="1"/>
  <c r="N202" i="139"/>
  <c r="C202" i="139" s="1"/>
  <c r="D195" i="133" s="1"/>
  <c r="O202" i="139"/>
  <c r="D202" i="139" s="1"/>
  <c r="R202" i="139"/>
  <c r="T202" i="139"/>
  <c r="I202" i="139" s="1"/>
  <c r="J195" i="133" s="1"/>
  <c r="U202" i="139"/>
  <c r="J202" i="139" s="1"/>
  <c r="K195" i="133" s="1"/>
  <c r="E203" i="139"/>
  <c r="L203" i="139"/>
  <c r="A203" i="139" s="1"/>
  <c r="B196" i="133" s="1"/>
  <c r="M203" i="139"/>
  <c r="B203" i="139" s="1"/>
  <c r="C196" i="133" s="1"/>
  <c r="N203" i="139"/>
  <c r="C203" i="139" s="1"/>
  <c r="D196" i="133" s="1"/>
  <c r="O203" i="139"/>
  <c r="D203" i="139" s="1"/>
  <c r="R203" i="139"/>
  <c r="T203" i="139"/>
  <c r="I203" i="139" s="1"/>
  <c r="J196" i="133" s="1"/>
  <c r="U203" i="139"/>
  <c r="J203" i="139" s="1"/>
  <c r="K196" i="133" s="1"/>
  <c r="E204" i="139"/>
  <c r="L204" i="139"/>
  <c r="A204" i="139" s="1"/>
  <c r="B197" i="133" s="1"/>
  <c r="M204" i="139"/>
  <c r="B204" i="139" s="1"/>
  <c r="C197" i="133" s="1"/>
  <c r="N204" i="139"/>
  <c r="C204" i="139" s="1"/>
  <c r="D197" i="133" s="1"/>
  <c r="O204" i="139"/>
  <c r="D204" i="139" s="1"/>
  <c r="R204" i="139"/>
  <c r="T204" i="139"/>
  <c r="I204" i="139" s="1"/>
  <c r="J197" i="133" s="1"/>
  <c r="U204" i="139"/>
  <c r="J204" i="139" s="1"/>
  <c r="K197" i="133" s="1"/>
  <c r="E205" i="139"/>
  <c r="L205" i="139"/>
  <c r="A205" i="139" s="1"/>
  <c r="B198" i="133" s="1"/>
  <c r="M205" i="139"/>
  <c r="B205" i="139" s="1"/>
  <c r="C198" i="133" s="1"/>
  <c r="N205" i="139"/>
  <c r="C205" i="139" s="1"/>
  <c r="D198" i="133" s="1"/>
  <c r="O205" i="139"/>
  <c r="D205" i="139" s="1"/>
  <c r="R205" i="139"/>
  <c r="T205" i="139"/>
  <c r="I205" i="139" s="1"/>
  <c r="J198" i="133" s="1"/>
  <c r="U205" i="139"/>
  <c r="J205" i="139" s="1"/>
  <c r="K198" i="133" s="1"/>
  <c r="E206" i="139"/>
  <c r="L206" i="139"/>
  <c r="A206" i="139" s="1"/>
  <c r="B199" i="133" s="1"/>
  <c r="M206" i="139"/>
  <c r="B206" i="139" s="1"/>
  <c r="C199" i="133" s="1"/>
  <c r="N206" i="139"/>
  <c r="C206" i="139" s="1"/>
  <c r="D199" i="133" s="1"/>
  <c r="O206" i="139"/>
  <c r="D206" i="139" s="1"/>
  <c r="R206" i="139"/>
  <c r="T206" i="139"/>
  <c r="I206" i="139" s="1"/>
  <c r="J199" i="133" s="1"/>
  <c r="U206" i="139"/>
  <c r="J206" i="139" s="1"/>
  <c r="K199" i="133" s="1"/>
  <c r="E207" i="139"/>
  <c r="L207" i="139"/>
  <c r="A207" i="139" s="1"/>
  <c r="B200" i="133" s="1"/>
  <c r="M207" i="139"/>
  <c r="B207" i="139" s="1"/>
  <c r="C200" i="133" s="1"/>
  <c r="N207" i="139"/>
  <c r="C207" i="139" s="1"/>
  <c r="D200" i="133" s="1"/>
  <c r="O207" i="139"/>
  <c r="D207" i="139" s="1"/>
  <c r="R207" i="139"/>
  <c r="T207" i="139"/>
  <c r="I207" i="139" s="1"/>
  <c r="J200" i="133" s="1"/>
  <c r="U207" i="139"/>
  <c r="J207" i="139" s="1"/>
  <c r="K200" i="133" s="1"/>
  <c r="E208" i="139"/>
  <c r="L208" i="139"/>
  <c r="A208" i="139" s="1"/>
  <c r="B201" i="133" s="1"/>
  <c r="M208" i="139"/>
  <c r="B208" i="139" s="1"/>
  <c r="C201" i="133" s="1"/>
  <c r="N208" i="139"/>
  <c r="C208" i="139" s="1"/>
  <c r="D201" i="133" s="1"/>
  <c r="O208" i="139"/>
  <c r="D208" i="139" s="1"/>
  <c r="R208" i="139"/>
  <c r="T208" i="139"/>
  <c r="I208" i="139" s="1"/>
  <c r="J201" i="133" s="1"/>
  <c r="U208" i="139"/>
  <c r="J208" i="139" s="1"/>
  <c r="K201" i="133" s="1"/>
  <c r="E209" i="139"/>
  <c r="L209" i="139"/>
  <c r="A209" i="139" s="1"/>
  <c r="B202" i="133" s="1"/>
  <c r="M209" i="139"/>
  <c r="B209" i="139" s="1"/>
  <c r="C202" i="133" s="1"/>
  <c r="N209" i="139"/>
  <c r="C209" i="139" s="1"/>
  <c r="D202" i="133" s="1"/>
  <c r="O209" i="139"/>
  <c r="D209" i="139" s="1"/>
  <c r="R209" i="139"/>
  <c r="T209" i="139"/>
  <c r="I209" i="139" s="1"/>
  <c r="J202" i="133" s="1"/>
  <c r="U209" i="139"/>
  <c r="J209" i="139" s="1"/>
  <c r="K202" i="133" s="1"/>
  <c r="E210" i="139"/>
  <c r="L210" i="139"/>
  <c r="A210" i="139" s="1"/>
  <c r="M210" i="139"/>
  <c r="B210" i="139" s="1"/>
  <c r="N210" i="139"/>
  <c r="C210" i="139" s="1"/>
  <c r="O210" i="139"/>
  <c r="D210" i="139" s="1"/>
  <c r="R210" i="139"/>
  <c r="T210" i="139"/>
  <c r="I210" i="139" s="1"/>
  <c r="U210" i="139"/>
  <c r="J210" i="139" s="1"/>
  <c r="M199" i="139"/>
  <c r="N199" i="139"/>
  <c r="O199" i="139"/>
  <c r="R199" i="139"/>
  <c r="T199" i="139"/>
  <c r="U199" i="139"/>
  <c r="L200" i="139"/>
  <c r="M200" i="139"/>
  <c r="N200" i="139"/>
  <c r="O200" i="139"/>
  <c r="R200" i="139"/>
  <c r="T200" i="139"/>
  <c r="U200" i="139"/>
  <c r="L201" i="139"/>
  <c r="M201" i="139"/>
  <c r="N201" i="139"/>
  <c r="O201" i="139"/>
  <c r="R201" i="139"/>
  <c r="T201" i="139"/>
  <c r="U201" i="139"/>
  <c r="T89" i="154" l="1"/>
  <c r="T88" i="154"/>
  <c r="T80" i="154"/>
  <c r="T79" i="154"/>
  <c r="AF97" i="160" l="1"/>
  <c r="AF97" i="159"/>
  <c r="L2" i="139" l="1"/>
  <c r="I10" i="133" l="1"/>
  <c r="H10" i="133"/>
  <c r="J3" i="133"/>
  <c r="J4" i="133"/>
  <c r="G8" i="8"/>
  <c r="A219" i="8" l="1"/>
  <c r="L199" i="139" s="1"/>
  <c r="F10" i="8"/>
  <c r="D10" i="8"/>
  <c r="E10" i="8"/>
  <c r="C10" i="8"/>
  <c r="B10" i="8"/>
  <c r="A10" i="8"/>
  <c r="H1" i="8"/>
  <c r="H2" i="8"/>
  <c r="A2" i="8"/>
  <c r="K11" i="124"/>
  <c r="K9" i="124"/>
  <c r="K10" i="124"/>
  <c r="K8" i="124"/>
  <c r="L19" i="137" l="1"/>
  <c r="C65" i="137"/>
  <c r="C62" i="137"/>
  <c r="C58" i="137"/>
  <c r="C54" i="137"/>
  <c r="D70" i="137"/>
  <c r="C52" i="137"/>
  <c r="C51" i="137"/>
  <c r="B30" i="137"/>
  <c r="H2" i="138" l="1"/>
  <c r="D86" i="137"/>
  <c r="C89" i="137"/>
  <c r="C77" i="137"/>
  <c r="C75" i="137"/>
  <c r="C74" i="137"/>
  <c r="C73" i="137"/>
  <c r="D106" i="128"/>
  <c r="D106" i="129"/>
  <c r="C125" i="169"/>
  <c r="C123" i="169"/>
  <c r="B121" i="169"/>
  <c r="B120" i="169"/>
  <c r="B119" i="169"/>
  <c r="B122" i="168"/>
  <c r="B121" i="168"/>
  <c r="B120" i="168"/>
  <c r="C127" i="168"/>
  <c r="C125" i="168"/>
  <c r="D106" i="130"/>
  <c r="AK5" i="160" l="1"/>
  <c r="AK5" i="159"/>
  <c r="AK5" i="158"/>
  <c r="W97" i="160"/>
  <c r="W97" i="159"/>
  <c r="B51" i="126"/>
  <c r="B51" i="159"/>
  <c r="B51" i="160"/>
  <c r="B51" i="158"/>
  <c r="D52" i="158"/>
  <c r="W107" i="157"/>
  <c r="W106" i="157"/>
  <c r="W105" i="157"/>
  <c r="W107" i="156"/>
  <c r="W106" i="156"/>
  <c r="W105" i="156"/>
  <c r="B100" i="154"/>
  <c r="B100" i="153"/>
  <c r="B100" i="152"/>
  <c r="B100" i="151"/>
  <c r="B100" i="150"/>
  <c r="B100" i="149"/>
  <c r="Z66" i="169"/>
  <c r="F5" i="169" s="1"/>
  <c r="Z66" i="168"/>
  <c r="F5" i="168" s="1"/>
  <c r="Y62" i="166"/>
  <c r="F5" i="166" s="1"/>
  <c r="Y62" i="165"/>
  <c r="F5" i="165" s="1"/>
  <c r="Y71" i="163"/>
  <c r="F5" i="163" s="1"/>
  <c r="Y71" i="162"/>
  <c r="F5" i="162" s="1"/>
  <c r="Y71" i="160"/>
  <c r="F5" i="160" s="1"/>
  <c r="Y71" i="159"/>
  <c r="F5" i="159" s="1"/>
  <c r="Y81" i="157"/>
  <c r="F5" i="157" s="1"/>
  <c r="Y81" i="156"/>
  <c r="F5" i="156" s="1"/>
  <c r="B20" i="126"/>
  <c r="B20" i="160"/>
  <c r="B20" i="159"/>
  <c r="B20" i="158"/>
  <c r="F204" i="133"/>
  <c r="J24" i="130" l="1"/>
  <c r="J25" i="130"/>
  <c r="J13" i="130"/>
  <c r="J14" i="130"/>
  <c r="S6" i="130"/>
  <c r="S5" i="130"/>
  <c r="S4" i="130"/>
  <c r="T83" i="130"/>
  <c r="T82" i="130"/>
  <c r="T72" i="130"/>
  <c r="T71" i="130"/>
  <c r="Z62" i="130"/>
  <c r="K4" i="130" s="1"/>
  <c r="T63" i="130"/>
  <c r="F4" i="130"/>
  <c r="N62" i="130"/>
  <c r="P63" i="130"/>
  <c r="J25" i="169"/>
  <c r="J14" i="169"/>
  <c r="N37" i="169"/>
  <c r="N37" i="168"/>
  <c r="U65" i="169"/>
  <c r="U83" i="169"/>
  <c r="U74" i="169"/>
  <c r="F4" i="169"/>
  <c r="J25" i="168"/>
  <c r="J14" i="168"/>
  <c r="D26" i="130" l="1"/>
  <c r="D25" i="130"/>
  <c r="D24" i="130"/>
  <c r="D15" i="130"/>
  <c r="D14" i="130"/>
  <c r="D13" i="130"/>
  <c r="D26" i="169"/>
  <c r="D25" i="169"/>
  <c r="D24" i="169"/>
  <c r="D15" i="169"/>
  <c r="D14" i="169"/>
  <c r="D13" i="169"/>
  <c r="U83" i="168"/>
  <c r="U74" i="168"/>
  <c r="U65" i="168"/>
  <c r="F4" i="168"/>
  <c r="D26" i="168"/>
  <c r="D25" i="168"/>
  <c r="D24" i="168"/>
  <c r="D15" i="168"/>
  <c r="D14" i="168"/>
  <c r="D13" i="168"/>
  <c r="D26" i="167"/>
  <c r="D25" i="167"/>
  <c r="D24" i="167"/>
  <c r="D15" i="167"/>
  <c r="D15" i="129"/>
  <c r="D14" i="167"/>
  <c r="D14" i="129"/>
  <c r="D13" i="167"/>
  <c r="B24" i="168"/>
  <c r="B24" i="169"/>
  <c r="B24" i="130"/>
  <c r="B24" i="167"/>
  <c r="B13" i="168"/>
  <c r="B13" i="169"/>
  <c r="B13" i="130"/>
  <c r="B13" i="167"/>
  <c r="Q65" i="168"/>
  <c r="U83" i="167"/>
  <c r="U82" i="167"/>
  <c r="J25" i="167"/>
  <c r="J24" i="167"/>
  <c r="U74" i="167"/>
  <c r="U73" i="167"/>
  <c r="U65" i="167"/>
  <c r="J14" i="167"/>
  <c r="J13" i="167"/>
  <c r="N37" i="130"/>
  <c r="N37" i="167"/>
  <c r="F4" i="167"/>
  <c r="T81" i="129"/>
  <c r="T80" i="129"/>
  <c r="T70" i="129"/>
  <c r="T69" i="129"/>
  <c r="T61" i="129"/>
  <c r="I24" i="129"/>
  <c r="I25" i="129"/>
  <c r="I13" i="129"/>
  <c r="I14" i="129"/>
  <c r="I14" i="166"/>
  <c r="T79" i="166"/>
  <c r="T70" i="166"/>
  <c r="T61" i="166"/>
  <c r="F4" i="166"/>
  <c r="N35" i="166"/>
  <c r="T79" i="165"/>
  <c r="T70" i="165"/>
  <c r="T61" i="165"/>
  <c r="N35" i="165"/>
  <c r="F4" i="165"/>
  <c r="I14" i="165"/>
  <c r="I25" i="164"/>
  <c r="I24" i="164"/>
  <c r="K4" i="164"/>
  <c r="T61" i="164"/>
  <c r="T79" i="164"/>
  <c r="T78" i="164"/>
  <c r="T70" i="164"/>
  <c r="T69" i="164"/>
  <c r="I14" i="164"/>
  <c r="I13" i="164"/>
  <c r="F4" i="164"/>
  <c r="F4" i="129"/>
  <c r="P61" i="166"/>
  <c r="P61" i="165"/>
  <c r="P61" i="164"/>
  <c r="D26" i="166" l="1"/>
  <c r="D25" i="166"/>
  <c r="D24" i="166"/>
  <c r="B24" i="166"/>
  <c r="D15" i="166"/>
  <c r="D14" i="166"/>
  <c r="D13" i="166"/>
  <c r="B13" i="166"/>
  <c r="D26" i="165"/>
  <c r="D25" i="165"/>
  <c r="D24" i="165"/>
  <c r="B24" i="165"/>
  <c r="D15" i="165"/>
  <c r="D14" i="165"/>
  <c r="D13" i="165"/>
  <c r="B13" i="165"/>
  <c r="D26" i="129"/>
  <c r="D25" i="129"/>
  <c r="D24" i="129"/>
  <c r="B24" i="129"/>
  <c r="D13" i="129"/>
  <c r="B13" i="129"/>
  <c r="D26" i="164"/>
  <c r="D25" i="164"/>
  <c r="D24" i="164"/>
  <c r="B24" i="164"/>
  <c r="D15" i="164"/>
  <c r="D14" i="164"/>
  <c r="D13" i="164"/>
  <c r="B13" i="164"/>
  <c r="N35" i="129"/>
  <c r="N35" i="164"/>
  <c r="S6" i="129"/>
  <c r="S5" i="129"/>
  <c r="S4" i="129"/>
  <c r="N35" i="128"/>
  <c r="T89" i="128"/>
  <c r="T88" i="128"/>
  <c r="T78" i="128"/>
  <c r="T77" i="128"/>
  <c r="T69" i="128"/>
  <c r="I24" i="128"/>
  <c r="I25" i="128"/>
  <c r="I14" i="128"/>
  <c r="D26" i="128"/>
  <c r="D25" i="128"/>
  <c r="D24" i="128"/>
  <c r="B24" i="128"/>
  <c r="D15" i="128"/>
  <c r="D14" i="128"/>
  <c r="D13" i="128"/>
  <c r="B13" i="128"/>
  <c r="K4" i="128"/>
  <c r="F4" i="128"/>
  <c r="P69" i="128"/>
  <c r="S6" i="128"/>
  <c r="S5" i="128"/>
  <c r="S4" i="128"/>
  <c r="D26" i="163"/>
  <c r="D25" i="163"/>
  <c r="D24" i="163"/>
  <c r="B24" i="163"/>
  <c r="D15" i="163"/>
  <c r="D14" i="163"/>
  <c r="D13" i="163"/>
  <c r="B13" i="163"/>
  <c r="T90" i="163"/>
  <c r="T79" i="163"/>
  <c r="T70" i="163"/>
  <c r="F4" i="163"/>
  <c r="P70" i="163"/>
  <c r="N35" i="163"/>
  <c r="N35" i="162"/>
  <c r="D26" i="162"/>
  <c r="D25" i="162"/>
  <c r="D24" i="162"/>
  <c r="B24" i="162"/>
  <c r="D15" i="162"/>
  <c r="D14" i="162"/>
  <c r="D13" i="162"/>
  <c r="B13" i="162"/>
  <c r="T90" i="162"/>
  <c r="T79" i="162"/>
  <c r="T70" i="162"/>
  <c r="F4" i="162"/>
  <c r="N35" i="161"/>
  <c r="I25" i="161"/>
  <c r="I24" i="161"/>
  <c r="I14" i="161"/>
  <c r="I13" i="161"/>
  <c r="T90" i="161"/>
  <c r="T89" i="161"/>
  <c r="T79" i="161"/>
  <c r="T78" i="161"/>
  <c r="T70" i="161"/>
  <c r="F4" i="161"/>
  <c r="D26" i="161"/>
  <c r="D25" i="161"/>
  <c r="D24" i="161"/>
  <c r="B24" i="161"/>
  <c r="D15" i="161"/>
  <c r="D14" i="161"/>
  <c r="D13" i="161"/>
  <c r="B13" i="161"/>
  <c r="T89" i="126"/>
  <c r="T88" i="126"/>
  <c r="T78" i="126"/>
  <c r="T77" i="126"/>
  <c r="Y68" i="126"/>
  <c r="K4" i="126" s="1"/>
  <c r="P69" i="126"/>
  <c r="T69" i="126"/>
  <c r="S6" i="126"/>
  <c r="S5" i="126"/>
  <c r="S4" i="126"/>
  <c r="F4" i="126"/>
  <c r="D26" i="126"/>
  <c r="D25" i="126"/>
  <c r="D24" i="126"/>
  <c r="B24" i="126"/>
  <c r="D15" i="126"/>
  <c r="D14" i="126"/>
  <c r="D13" i="126"/>
  <c r="B13" i="126"/>
  <c r="T90" i="160"/>
  <c r="T79" i="160"/>
  <c r="T70" i="160"/>
  <c r="F4" i="160"/>
  <c r="D26" i="160"/>
  <c r="D25" i="160"/>
  <c r="D24" i="160"/>
  <c r="B24" i="160"/>
  <c r="D15" i="160"/>
  <c r="D14" i="160"/>
  <c r="D13" i="160"/>
  <c r="B13" i="160"/>
  <c r="T70" i="159"/>
  <c r="T90" i="159"/>
  <c r="T79" i="159"/>
  <c r="F4" i="159"/>
  <c r="D26" i="159"/>
  <c r="D25" i="159"/>
  <c r="D24" i="159"/>
  <c r="B24" i="159"/>
  <c r="D15" i="159"/>
  <c r="D14" i="159"/>
  <c r="D13" i="159"/>
  <c r="B13" i="159"/>
  <c r="N36" i="158"/>
  <c r="T70" i="158"/>
  <c r="T90" i="158"/>
  <c r="T89" i="158"/>
  <c r="I25" i="158"/>
  <c r="I24" i="158"/>
  <c r="F4" i="158"/>
  <c r="T79" i="158"/>
  <c r="T78" i="158"/>
  <c r="I14" i="158"/>
  <c r="I13" i="158"/>
  <c r="D26" i="158"/>
  <c r="D25" i="158"/>
  <c r="D24" i="158"/>
  <c r="B24" i="158"/>
  <c r="D15" i="158"/>
  <c r="D14" i="158"/>
  <c r="D13" i="158"/>
  <c r="B13" i="158"/>
  <c r="AK6" i="125"/>
  <c r="AK5" i="125"/>
  <c r="AK4" i="125"/>
  <c r="T80" i="125"/>
  <c r="N42" i="125"/>
  <c r="N41" i="125"/>
  <c r="N39" i="125"/>
  <c r="N37" i="125"/>
  <c r="N35" i="125"/>
  <c r="T100" i="125"/>
  <c r="T99" i="125"/>
  <c r="T89" i="125"/>
  <c r="T88" i="125"/>
  <c r="F4" i="125"/>
  <c r="I25" i="155"/>
  <c r="T100" i="157"/>
  <c r="T89" i="157"/>
  <c r="T80" i="157"/>
  <c r="N42" i="157"/>
  <c r="N41" i="157"/>
  <c r="N39" i="157"/>
  <c r="N38" i="157"/>
  <c r="N37" i="157"/>
  <c r="N35" i="157"/>
  <c r="F4" i="157"/>
  <c r="T80" i="156"/>
  <c r="N38" i="156"/>
  <c r="T100" i="156"/>
  <c r="N42" i="156"/>
  <c r="N41" i="156"/>
  <c r="N39" i="156"/>
  <c r="N37" i="156"/>
  <c r="N35" i="156"/>
  <c r="T89" i="156"/>
  <c r="F4" i="156"/>
  <c r="I24" i="155"/>
  <c r="I13" i="155"/>
  <c r="T80" i="155"/>
  <c r="I16" i="155"/>
  <c r="T100" i="155"/>
  <c r="T99" i="155"/>
  <c r="T89" i="155"/>
  <c r="T88" i="155"/>
  <c r="N42" i="155"/>
  <c r="N41" i="155"/>
  <c r="N39" i="155"/>
  <c r="N37" i="155"/>
  <c r="N35" i="155"/>
  <c r="I14" i="155"/>
  <c r="F4" i="155"/>
  <c r="D26" i="125"/>
  <c r="D25" i="125"/>
  <c r="D24" i="125"/>
  <c r="B24" i="125"/>
  <c r="D15" i="125"/>
  <c r="D14" i="125"/>
  <c r="D13" i="125"/>
  <c r="B13" i="125"/>
  <c r="D26" i="157"/>
  <c r="D25" i="157"/>
  <c r="D24" i="157"/>
  <c r="B24" i="157"/>
  <c r="D15" i="157"/>
  <c r="D14" i="157"/>
  <c r="D13" i="157"/>
  <c r="B13" i="157"/>
  <c r="D24" i="156"/>
  <c r="D13" i="156"/>
  <c r="D24" i="155"/>
  <c r="D13" i="155"/>
  <c r="D26" i="156"/>
  <c r="D25" i="156"/>
  <c r="B24" i="156"/>
  <c r="D15" i="156"/>
  <c r="D14" i="156"/>
  <c r="B13" i="156"/>
  <c r="D26" i="155"/>
  <c r="D25" i="155"/>
  <c r="B24" i="155"/>
  <c r="D15" i="155"/>
  <c r="D14" i="155"/>
  <c r="B13" i="155"/>
  <c r="D24" i="154" l="1"/>
  <c r="D13" i="154"/>
  <c r="D24" i="153"/>
  <c r="D13" i="153"/>
  <c r="T72" i="154"/>
  <c r="T71" i="154"/>
  <c r="F5" i="154"/>
  <c r="F4" i="154"/>
  <c r="AL19" i="152"/>
  <c r="T73" i="153"/>
  <c r="T71" i="153"/>
  <c r="T89" i="153"/>
  <c r="T88" i="153"/>
  <c r="T80" i="153"/>
  <c r="T79" i="153"/>
  <c r="F5" i="153"/>
  <c r="F4" i="153"/>
  <c r="Y76" i="152"/>
  <c r="E5" i="152" s="1"/>
  <c r="T89" i="152"/>
  <c r="T80" i="152"/>
  <c r="T71" i="152"/>
  <c r="F4" i="152"/>
  <c r="T89" i="151"/>
  <c r="T88" i="151"/>
  <c r="T80" i="151"/>
  <c r="T79" i="151"/>
  <c r="T72" i="151"/>
  <c r="T71" i="151"/>
  <c r="F5" i="151"/>
  <c r="F4" i="151"/>
  <c r="D24" i="151"/>
  <c r="D13" i="151"/>
  <c r="T89" i="150"/>
  <c r="T88" i="150"/>
  <c r="T80" i="150"/>
  <c r="T79" i="150"/>
  <c r="T73" i="150"/>
  <c r="T71" i="150"/>
  <c r="F5" i="150"/>
  <c r="F4" i="150"/>
  <c r="D24" i="150"/>
  <c r="D13" i="150"/>
  <c r="T89" i="149"/>
  <c r="T80" i="149"/>
  <c r="T71" i="149"/>
  <c r="N40" i="149"/>
  <c r="N38" i="149"/>
  <c r="AL4" i="154"/>
  <c r="AL4" i="153"/>
  <c r="AL4" i="152"/>
  <c r="AL4" i="151"/>
  <c r="AL4" i="150"/>
  <c r="AL4" i="149"/>
  <c r="Y76" i="149"/>
  <c r="E5" i="149" s="1"/>
  <c r="F4" i="149"/>
  <c r="D26" i="154"/>
  <c r="D25" i="154"/>
  <c r="B24" i="154"/>
  <c r="D15" i="154"/>
  <c r="D14" i="154"/>
  <c r="B13" i="154"/>
  <c r="D26" i="153"/>
  <c r="D25" i="153"/>
  <c r="B24" i="153"/>
  <c r="D15" i="153"/>
  <c r="D14" i="153"/>
  <c r="B13" i="153"/>
  <c r="D26" i="152"/>
  <c r="D25" i="152"/>
  <c r="D24" i="152"/>
  <c r="B24" i="152"/>
  <c r="D15" i="152"/>
  <c r="D14" i="152"/>
  <c r="D13" i="152"/>
  <c r="B13" i="152"/>
  <c r="D26" i="151"/>
  <c r="D25" i="151"/>
  <c r="B24" i="151"/>
  <c r="D15" i="151"/>
  <c r="D14" i="151"/>
  <c r="B13" i="151"/>
  <c r="D26" i="150"/>
  <c r="D25" i="150"/>
  <c r="B24" i="150"/>
  <c r="D15" i="150"/>
  <c r="D14" i="150"/>
  <c r="B13" i="150"/>
  <c r="D26" i="149"/>
  <c r="D25" i="149"/>
  <c r="D24" i="149"/>
  <c r="B24" i="149"/>
  <c r="D15" i="149"/>
  <c r="D14" i="149"/>
  <c r="D13" i="149"/>
  <c r="B13" i="149"/>
  <c r="N39" i="150"/>
  <c r="N39" i="151"/>
  <c r="N39" i="153"/>
  <c r="N39" i="154"/>
  <c r="N39" i="149"/>
  <c r="N39" i="148"/>
  <c r="D26" i="148" l="1"/>
  <c r="D25" i="148"/>
  <c r="D24" i="148"/>
  <c r="B24" i="148"/>
  <c r="B13" i="148"/>
  <c r="D15" i="148"/>
  <c r="D13" i="148"/>
  <c r="T71" i="148"/>
  <c r="F4" i="148"/>
  <c r="N87" i="148"/>
  <c r="N86" i="148"/>
  <c r="N78" i="148"/>
  <c r="N77" i="148"/>
  <c r="T89" i="148"/>
  <c r="T88" i="148"/>
  <c r="B4" i="148"/>
  <c r="T80" i="148"/>
  <c r="T79" i="148"/>
  <c r="D14" i="148"/>
  <c r="N79" i="148"/>
  <c r="BC1" i="133" l="1"/>
  <c r="K1" i="133" l="1"/>
  <c r="N75" i="124"/>
  <c r="N76" i="124"/>
  <c r="N77" i="124"/>
  <c r="N78" i="124"/>
  <c r="N79" i="124"/>
  <c r="N80" i="124"/>
  <c r="N81" i="124"/>
  <c r="N82" i="124"/>
  <c r="N86" i="124"/>
  <c r="N87" i="124"/>
  <c r="N88" i="124"/>
  <c r="N91" i="124"/>
  <c r="N92" i="124"/>
  <c r="N93" i="124"/>
  <c r="N74" i="124"/>
  <c r="AK2" i="126"/>
  <c r="AN5" i="155"/>
  <c r="AN5" i="156"/>
  <c r="AN5" i="157"/>
  <c r="G150" i="124"/>
  <c r="C142" i="124"/>
  <c r="C141" i="124"/>
  <c r="C140" i="124"/>
  <c r="C139" i="124"/>
  <c r="C137" i="124"/>
  <c r="C136" i="124"/>
  <c r="C134" i="124"/>
  <c r="N95" i="124" l="1"/>
  <c r="K5" i="133" s="1"/>
  <c r="AI7" i="172" l="1"/>
  <c r="B300" i="137"/>
  <c r="H93" i="124"/>
  <c r="H88" i="124"/>
  <c r="K85" i="124"/>
  <c r="I85" i="124"/>
  <c r="E95" i="124"/>
  <c r="L100" i="124"/>
  <c r="K98" i="124"/>
  <c r="B301" i="137"/>
  <c r="H297" i="137" l="1"/>
  <c r="B297" i="137"/>
  <c r="B46" i="172"/>
  <c r="AI11" i="172"/>
  <c r="BC5" i="133"/>
  <c r="BC3" i="133"/>
  <c r="B213" i="133"/>
  <c r="B211" i="133"/>
  <c r="J215" i="133"/>
  <c r="H8" i="133"/>
  <c r="H6" i="133"/>
  <c r="C6" i="133"/>
  <c r="C3" i="133"/>
  <c r="B1" i="133"/>
  <c r="B6" i="133"/>
  <c r="N54" i="125" l="1"/>
  <c r="L122" i="130"/>
  <c r="B116" i="130"/>
  <c r="B113" i="130"/>
  <c r="B112" i="130"/>
  <c r="B110" i="130"/>
  <c r="B109" i="130"/>
  <c r="B108" i="130"/>
  <c r="E106" i="130"/>
  <c r="B103" i="130"/>
  <c r="B102" i="130"/>
  <c r="AA92" i="130"/>
  <c r="AA91" i="130"/>
  <c r="AA90" i="130"/>
  <c r="AA73" i="130"/>
  <c r="Z61" i="130"/>
  <c r="Z60" i="130"/>
  <c r="N84" i="130"/>
  <c r="N83" i="130"/>
  <c r="N82" i="130"/>
  <c r="N81" i="130"/>
  <c r="N80" i="130"/>
  <c r="N73" i="130"/>
  <c r="N72" i="130"/>
  <c r="N71" i="130"/>
  <c r="N70" i="130"/>
  <c r="N69" i="130"/>
  <c r="AM7" i="130"/>
  <c r="AM2" i="130"/>
  <c r="N57" i="130"/>
  <c r="N56" i="130"/>
  <c r="N55" i="130"/>
  <c r="N54" i="130"/>
  <c r="T52" i="130"/>
  <c r="T51" i="130"/>
  <c r="P52" i="130"/>
  <c r="N46" i="130"/>
  <c r="N45" i="130"/>
  <c r="N43" i="130"/>
  <c r="N42" i="130"/>
  <c r="N40" i="130"/>
  <c r="N39" i="130"/>
  <c r="N38" i="130"/>
  <c r="B39" i="130"/>
  <c r="C37" i="130"/>
  <c r="C36" i="130"/>
  <c r="C34" i="130"/>
  <c r="J22" i="130"/>
  <c r="J21" i="130"/>
  <c r="J11" i="130"/>
  <c r="J10" i="130"/>
  <c r="B28" i="130"/>
  <c r="E27" i="130"/>
  <c r="B27" i="130"/>
  <c r="B23" i="130"/>
  <c r="B22" i="130"/>
  <c r="B21" i="130"/>
  <c r="B17" i="130"/>
  <c r="E16" i="130"/>
  <c r="B16" i="130"/>
  <c r="B12" i="130"/>
  <c r="B11" i="130"/>
  <c r="B10" i="130"/>
  <c r="AM7" i="168"/>
  <c r="AM7" i="167"/>
  <c r="I21" i="128"/>
  <c r="I10" i="128"/>
  <c r="L125" i="129"/>
  <c r="B116" i="129"/>
  <c r="B113" i="129"/>
  <c r="B112" i="129"/>
  <c r="B110" i="129"/>
  <c r="B109" i="129"/>
  <c r="B108" i="129"/>
  <c r="E106" i="129"/>
  <c r="B103" i="129"/>
  <c r="B102" i="129"/>
  <c r="Z88" i="129"/>
  <c r="Z87" i="129"/>
  <c r="Z86" i="129"/>
  <c r="Z71" i="129"/>
  <c r="Y60" i="129"/>
  <c r="K4" i="129" s="1"/>
  <c r="Y59" i="129"/>
  <c r="Y58" i="129"/>
  <c r="N82" i="129"/>
  <c r="N81" i="129"/>
  <c r="N80" i="129"/>
  <c r="N79" i="129"/>
  <c r="N78" i="129"/>
  <c r="N71" i="129"/>
  <c r="N70" i="129"/>
  <c r="N69" i="129"/>
  <c r="N68" i="129"/>
  <c r="N67" i="129"/>
  <c r="P61" i="129"/>
  <c r="N60" i="129"/>
  <c r="AK7" i="129"/>
  <c r="AK2" i="129"/>
  <c r="N52" i="129"/>
  <c r="N51" i="129"/>
  <c r="N50" i="129"/>
  <c r="N49" i="129"/>
  <c r="T48" i="129"/>
  <c r="T47" i="129"/>
  <c r="T46" i="129"/>
  <c r="N42" i="129"/>
  <c r="N41" i="129"/>
  <c r="N40" i="129"/>
  <c r="N38" i="129"/>
  <c r="N37" i="129"/>
  <c r="N36" i="129"/>
  <c r="B41" i="129"/>
  <c r="C39" i="129"/>
  <c r="C38" i="129"/>
  <c r="C34" i="129"/>
  <c r="B28" i="129"/>
  <c r="D27" i="129"/>
  <c r="B27" i="129"/>
  <c r="B23" i="129"/>
  <c r="B22" i="129"/>
  <c r="B21" i="129"/>
  <c r="B17" i="129"/>
  <c r="D16" i="129"/>
  <c r="B16" i="129"/>
  <c r="B12" i="129"/>
  <c r="B11" i="129"/>
  <c r="B10" i="129"/>
  <c r="I11" i="129"/>
  <c r="I10" i="129"/>
  <c r="AK7" i="166"/>
  <c r="AK7" i="165"/>
  <c r="AK7" i="164"/>
  <c r="AN7" i="163"/>
  <c r="AN7" i="162"/>
  <c r="AN7" i="161"/>
  <c r="Y95" i="128"/>
  <c r="Y94" i="128"/>
  <c r="Y93" i="128"/>
  <c r="Z79" i="128"/>
  <c r="Y68" i="128"/>
  <c r="Y67" i="128"/>
  <c r="Y66" i="128"/>
  <c r="N90" i="128"/>
  <c r="N89" i="128"/>
  <c r="N88" i="128"/>
  <c r="N87" i="128"/>
  <c r="N86" i="128"/>
  <c r="N79" i="128"/>
  <c r="N78" i="128"/>
  <c r="N77" i="128"/>
  <c r="N76" i="128"/>
  <c r="N75" i="128"/>
  <c r="N68" i="128"/>
  <c r="Z95" i="126"/>
  <c r="Z79" i="126"/>
  <c r="Y67" i="126"/>
  <c r="Y66" i="126"/>
  <c r="N90" i="126"/>
  <c r="N89" i="126"/>
  <c r="N88" i="126"/>
  <c r="N87" i="126"/>
  <c r="N86" i="126"/>
  <c r="N79" i="126"/>
  <c r="N78" i="126"/>
  <c r="N77" i="126"/>
  <c r="N76" i="126"/>
  <c r="N75" i="126"/>
  <c r="N68" i="126"/>
  <c r="Y106" i="125"/>
  <c r="Z90" i="125"/>
  <c r="Y79" i="125"/>
  <c r="Y78" i="125"/>
  <c r="K4" i="125" s="1"/>
  <c r="Y77" i="125"/>
  <c r="F5" i="125" s="1"/>
  <c r="N101" i="125"/>
  <c r="N100" i="125"/>
  <c r="N99" i="125"/>
  <c r="N98" i="125"/>
  <c r="N97" i="125"/>
  <c r="N90" i="125"/>
  <c r="N89" i="125"/>
  <c r="N88" i="125"/>
  <c r="N87" i="125"/>
  <c r="N86" i="125"/>
  <c r="N79" i="125"/>
  <c r="L121" i="128"/>
  <c r="B116" i="128"/>
  <c r="B113" i="128"/>
  <c r="B112" i="128"/>
  <c r="B110" i="128"/>
  <c r="B108" i="128"/>
  <c r="E106" i="128"/>
  <c r="B103" i="128"/>
  <c r="B102" i="128"/>
  <c r="AN7" i="128"/>
  <c r="AN2" i="128"/>
  <c r="N52" i="128"/>
  <c r="N51" i="128"/>
  <c r="N50" i="128"/>
  <c r="N49" i="128"/>
  <c r="T48" i="128"/>
  <c r="T47" i="128"/>
  <c r="T46" i="128"/>
  <c r="N42" i="128"/>
  <c r="N41" i="128"/>
  <c r="N40" i="128"/>
  <c r="N38" i="128"/>
  <c r="N37" i="128"/>
  <c r="N36" i="128"/>
  <c r="N34" i="128"/>
  <c r="B44" i="128"/>
  <c r="C42" i="128"/>
  <c r="C41" i="128"/>
  <c r="C37" i="128"/>
  <c r="B28" i="128"/>
  <c r="D27" i="128"/>
  <c r="B27" i="128"/>
  <c r="B23" i="128"/>
  <c r="B22" i="128"/>
  <c r="B21" i="128"/>
  <c r="B17" i="128"/>
  <c r="D16" i="128"/>
  <c r="B16" i="128"/>
  <c r="B12" i="128"/>
  <c r="B11" i="128"/>
  <c r="B10" i="128"/>
  <c r="L112" i="126"/>
  <c r="B108" i="126"/>
  <c r="B105" i="126"/>
  <c r="B104" i="126"/>
  <c r="B102" i="126"/>
  <c r="AK5" i="126"/>
  <c r="N53" i="126"/>
  <c r="N52" i="126"/>
  <c r="N51" i="126"/>
  <c r="N50" i="126"/>
  <c r="T49" i="126"/>
  <c r="T48" i="126"/>
  <c r="T47" i="126"/>
  <c r="B41" i="126"/>
  <c r="C39" i="126"/>
  <c r="C38" i="126"/>
  <c r="C37" i="126"/>
  <c r="B28" i="126"/>
  <c r="B27" i="126"/>
  <c r="B23" i="126"/>
  <c r="B22" i="126"/>
  <c r="B21" i="126"/>
  <c r="B17" i="126"/>
  <c r="B16" i="126"/>
  <c r="B12" i="126"/>
  <c r="B11" i="126"/>
  <c r="B10" i="126"/>
  <c r="L122" i="125"/>
  <c r="B121" i="125"/>
  <c r="B118" i="125"/>
  <c r="B117" i="125"/>
  <c r="B115" i="125"/>
  <c r="B114" i="125"/>
  <c r="B112" i="125"/>
  <c r="N70" i="125"/>
  <c r="N69" i="125"/>
  <c r="N68" i="125"/>
  <c r="N67" i="125"/>
  <c r="N60" i="125"/>
  <c r="N59" i="125"/>
  <c r="N56" i="125"/>
  <c r="N55" i="125"/>
  <c r="AN5" i="125"/>
  <c r="AN2" i="125"/>
  <c r="T50" i="125"/>
  <c r="T49" i="125"/>
  <c r="T48" i="125"/>
  <c r="B41" i="125"/>
  <c r="C39" i="125"/>
  <c r="C38" i="125"/>
  <c r="C37" i="125"/>
  <c r="B28" i="125"/>
  <c r="B23" i="125"/>
  <c r="B22" i="125"/>
  <c r="B21" i="125"/>
  <c r="B17" i="125"/>
  <c r="B12" i="125"/>
  <c r="B11" i="125"/>
  <c r="B10" i="125"/>
  <c r="AK7" i="126"/>
  <c r="AK7" i="160"/>
  <c r="AK7" i="159"/>
  <c r="AK7" i="158"/>
  <c r="AN7" i="125"/>
  <c r="AN7" i="157"/>
  <c r="AN7" i="156"/>
  <c r="AN7" i="155"/>
  <c r="AL5" i="149"/>
  <c r="AL5" i="150"/>
  <c r="AL5" i="151"/>
  <c r="AL5" i="152"/>
  <c r="AL5" i="153"/>
  <c r="AL5" i="154"/>
  <c r="AL5" i="148"/>
  <c r="AL7" i="154"/>
  <c r="AL7" i="153"/>
  <c r="AL7" i="152"/>
  <c r="AL7" i="151"/>
  <c r="AL7" i="150"/>
  <c r="AL7" i="149"/>
  <c r="AL7" i="148"/>
  <c r="B20" i="168"/>
  <c r="B20" i="169"/>
  <c r="B20" i="130"/>
  <c r="B20" i="167"/>
  <c r="B9" i="168"/>
  <c r="B9" i="169"/>
  <c r="B9" i="130"/>
  <c r="B9" i="167"/>
  <c r="B20" i="165"/>
  <c r="B20" i="166"/>
  <c r="B20" i="129"/>
  <c r="B20" i="164"/>
  <c r="B9" i="165"/>
  <c r="B9" i="166"/>
  <c r="B9" i="129"/>
  <c r="B9" i="164"/>
  <c r="B20" i="162"/>
  <c r="B20" i="163"/>
  <c r="B20" i="128"/>
  <c r="B20" i="161"/>
  <c r="B9" i="162"/>
  <c r="B9" i="163"/>
  <c r="B9" i="128"/>
  <c r="B9" i="161"/>
  <c r="B9" i="159"/>
  <c r="B9" i="160"/>
  <c r="B9" i="126"/>
  <c r="B9" i="158"/>
  <c r="B20" i="156"/>
  <c r="B20" i="157"/>
  <c r="B20" i="125"/>
  <c r="B20" i="155"/>
  <c r="B9" i="156"/>
  <c r="B9" i="157"/>
  <c r="B9" i="125"/>
  <c r="B9" i="155"/>
  <c r="B20" i="151"/>
  <c r="B20" i="152"/>
  <c r="B20" i="153"/>
  <c r="B20" i="154"/>
  <c r="B20" i="150"/>
  <c r="B9" i="151"/>
  <c r="B9" i="152"/>
  <c r="B9" i="153"/>
  <c r="B9" i="154"/>
  <c r="B9" i="150"/>
  <c r="B20" i="149"/>
  <c r="B9" i="149"/>
  <c r="B20" i="148"/>
  <c r="B9" i="148"/>
  <c r="U8" i="147"/>
  <c r="D7" i="147"/>
  <c r="D7" i="146"/>
  <c r="B31" i="145"/>
  <c r="B30" i="145"/>
  <c r="P29" i="145"/>
  <c r="P28" i="145"/>
  <c r="B27" i="145"/>
  <c r="U8" i="144"/>
  <c r="U8" i="143"/>
  <c r="U8" i="142"/>
  <c r="I11" i="138"/>
  <c r="H19" i="138"/>
  <c r="I30" i="124"/>
  <c r="K23" i="124"/>
  <c r="K17" i="124"/>
  <c r="K16" i="124"/>
  <c r="K6" i="124"/>
  <c r="H139" i="137"/>
  <c r="C131" i="137"/>
  <c r="C130" i="137"/>
  <c r="C129" i="137"/>
  <c r="C128" i="137"/>
  <c r="C126" i="137"/>
  <c r="C125" i="137"/>
  <c r="C123" i="137"/>
  <c r="C115" i="137"/>
  <c r="C114" i="137"/>
  <c r="C113" i="137"/>
  <c r="C112" i="137"/>
  <c r="C111" i="137"/>
  <c r="C109" i="137"/>
  <c r="G25" i="137"/>
  <c r="B23" i="137"/>
  <c r="L15" i="137"/>
  <c r="L10" i="137"/>
  <c r="L9" i="137"/>
  <c r="B27" i="137"/>
  <c r="U8" i="145"/>
  <c r="B29" i="145"/>
  <c r="G31" i="138" l="1"/>
  <c r="G30" i="138"/>
  <c r="G29" i="138"/>
  <c r="G26" i="138"/>
  <c r="G25" i="138"/>
  <c r="G24" i="138"/>
  <c r="H23" i="138"/>
  <c r="H22" i="138"/>
  <c r="G16" i="138"/>
  <c r="G15" i="138"/>
  <c r="G14" i="138"/>
  <c r="G11" i="138"/>
  <c r="H10" i="138"/>
  <c r="AZ169" i="133" l="1"/>
  <c r="AZ170" i="133"/>
  <c r="AZ171" i="133"/>
  <c r="AZ172" i="133"/>
  <c r="AZ173" i="133"/>
  <c r="F173" i="133" s="1"/>
  <c r="AZ174" i="133"/>
  <c r="F174" i="133" s="1"/>
  <c r="AZ175" i="133"/>
  <c r="F175" i="133" s="1"/>
  <c r="AZ176" i="133"/>
  <c r="F176" i="133" s="1"/>
  <c r="AZ177" i="133"/>
  <c r="F177" i="133" s="1"/>
  <c r="AZ178" i="133"/>
  <c r="F178" i="133" s="1"/>
  <c r="AZ179" i="133"/>
  <c r="F179" i="133" s="1"/>
  <c r="AZ180" i="133"/>
  <c r="F180" i="133" s="1"/>
  <c r="AZ184" i="133"/>
  <c r="F184" i="133" s="1"/>
  <c r="AZ187" i="133"/>
  <c r="W54" i="171" l="1"/>
  <c r="W55" i="171"/>
  <c r="W56" i="171"/>
  <c r="W57" i="171"/>
  <c r="W58" i="171"/>
  <c r="W59" i="171"/>
  <c r="W60" i="171"/>
  <c r="W61" i="171"/>
  <c r="O62" i="171"/>
  <c r="T62" i="171"/>
  <c r="V62" i="171"/>
  <c r="W62" i="171"/>
  <c r="O19" i="171"/>
  <c r="T19" i="171"/>
  <c r="V19" i="171"/>
  <c r="W19" i="171"/>
  <c r="X19" i="171"/>
  <c r="W25" i="171"/>
  <c r="W37" i="171"/>
  <c r="W38" i="171"/>
  <c r="W39" i="171"/>
  <c r="W40" i="171"/>
  <c r="W41" i="171"/>
  <c r="W42" i="171"/>
  <c r="W43" i="171"/>
  <c r="W44" i="171"/>
  <c r="W45" i="171"/>
  <c r="W46" i="171"/>
  <c r="W47" i="171"/>
  <c r="W48" i="171"/>
  <c r="W49" i="171"/>
  <c r="W15" i="171"/>
  <c r="W16" i="171"/>
  <c r="W18" i="171"/>
  <c r="B7" i="169"/>
  <c r="B7" i="130"/>
  <c r="B7" i="168"/>
  <c r="B7" i="167"/>
  <c r="B7" i="129"/>
  <c r="B7" i="165"/>
  <c r="B7" i="166"/>
  <c r="B7" i="164"/>
  <c r="B7" i="162"/>
  <c r="B7" i="163"/>
  <c r="B7" i="128"/>
  <c r="B7" i="161"/>
  <c r="B7" i="159"/>
  <c r="B7" i="160"/>
  <c r="B7" i="126"/>
  <c r="B7" i="158"/>
  <c r="B7" i="156"/>
  <c r="B7" i="157"/>
  <c r="B7" i="125"/>
  <c r="B7" i="155"/>
  <c r="B7" i="150"/>
  <c r="B7" i="151"/>
  <c r="B7" i="152"/>
  <c r="B7" i="153"/>
  <c r="B7" i="154"/>
  <c r="B7" i="149"/>
  <c r="B7" i="148"/>
  <c r="Y19" i="171" l="1"/>
  <c r="BC6" i="133"/>
  <c r="BC2" i="133"/>
  <c r="AI13" i="172"/>
  <c r="AI6" i="172"/>
  <c r="AM5" i="168"/>
  <c r="AM5" i="169"/>
  <c r="AM5" i="130"/>
  <c r="AM5" i="167"/>
  <c r="AM10" i="168"/>
  <c r="AM9" i="168"/>
  <c r="AM10" i="169"/>
  <c r="AM9" i="169"/>
  <c r="AM10" i="130"/>
  <c r="AM9" i="130"/>
  <c r="AM10" i="167"/>
  <c r="AM9" i="167"/>
  <c r="AK10" i="165"/>
  <c r="AK9" i="165"/>
  <c r="AK10" i="166"/>
  <c r="AK9" i="166"/>
  <c r="AK10" i="129"/>
  <c r="AK9" i="129"/>
  <c r="AK10" i="164"/>
  <c r="AK9" i="164"/>
  <c r="AK5" i="165"/>
  <c r="AK5" i="166"/>
  <c r="AK5" i="129"/>
  <c r="AK5" i="164"/>
  <c r="AN10" i="162"/>
  <c r="AN9" i="162"/>
  <c r="AN10" i="163"/>
  <c r="AN9" i="163"/>
  <c r="AN10" i="128"/>
  <c r="AN9" i="128"/>
  <c r="AN10" i="161"/>
  <c r="AN9" i="161"/>
  <c r="AN5" i="162"/>
  <c r="AN5" i="163"/>
  <c r="AN5" i="128"/>
  <c r="AN5" i="161"/>
  <c r="AK10" i="159"/>
  <c r="AK9" i="159"/>
  <c r="AK10" i="160"/>
  <c r="AK9" i="160"/>
  <c r="AK10" i="126"/>
  <c r="AK9" i="126"/>
  <c r="AK10" i="158"/>
  <c r="AK9" i="158"/>
  <c r="AN10" i="156"/>
  <c r="AN9" i="156"/>
  <c r="AN10" i="157"/>
  <c r="AN9" i="157"/>
  <c r="AN10" i="125"/>
  <c r="AN9" i="125"/>
  <c r="AN10" i="155"/>
  <c r="AN9" i="155"/>
  <c r="AL4" i="148"/>
  <c r="AL10" i="149"/>
  <c r="AL9" i="149"/>
  <c r="AL10" i="150"/>
  <c r="AL9" i="150"/>
  <c r="AL10" i="151"/>
  <c r="AL9" i="151"/>
  <c r="AL10" i="152"/>
  <c r="AL9" i="152"/>
  <c r="AL10" i="153"/>
  <c r="AL9" i="153"/>
  <c r="AL10" i="154"/>
  <c r="AL9" i="154"/>
  <c r="AL10" i="148"/>
  <c r="AL9" i="148"/>
  <c r="U11" i="143"/>
  <c r="U10" i="143"/>
  <c r="U11" i="144"/>
  <c r="U10" i="144"/>
  <c r="U11" i="145"/>
  <c r="U10" i="145"/>
  <c r="U11" i="146"/>
  <c r="U10" i="146"/>
  <c r="U11" i="147"/>
  <c r="U10" i="147"/>
  <c r="U11" i="142"/>
  <c r="U10" i="142"/>
  <c r="B3" i="171"/>
  <c r="K84" i="124"/>
  <c r="E82" i="124"/>
  <c r="I73" i="124"/>
  <c r="K73" i="124"/>
  <c r="K72" i="124"/>
  <c r="K71" i="124"/>
  <c r="K70" i="124"/>
  <c r="C42" i="124"/>
  <c r="C39" i="124"/>
  <c r="I35" i="124"/>
  <c r="H35" i="124"/>
  <c r="B30" i="124"/>
  <c r="W33" i="124"/>
  <c r="W32" i="124"/>
  <c r="W31" i="124"/>
  <c r="U33" i="124"/>
  <c r="U32" i="124"/>
  <c r="U31" i="124"/>
  <c r="B28" i="124"/>
  <c r="K10" i="133" l="1"/>
  <c r="J10" i="133"/>
  <c r="K3" i="133"/>
  <c r="I10" i="161" l="1"/>
  <c r="I10" i="148"/>
  <c r="K23" i="147"/>
  <c r="K23" i="146"/>
  <c r="AZ105" i="133" l="1"/>
  <c r="F105" i="133" s="1"/>
  <c r="AZ104" i="133"/>
  <c r="F104" i="133" s="1"/>
  <c r="AZ151" i="133"/>
  <c r="AZ152" i="133"/>
  <c r="F152" i="133" s="1"/>
  <c r="AZ168" i="133"/>
  <c r="AZ190" i="133"/>
  <c r="F190" i="133" s="1"/>
  <c r="AZ189" i="133"/>
  <c r="F189" i="133" s="1"/>
  <c r="AZ188" i="133"/>
  <c r="F188" i="133" s="1"/>
  <c r="AZ185" i="133"/>
  <c r="F185" i="133" s="1"/>
  <c r="AZ183" i="133"/>
  <c r="F183" i="133" s="1"/>
  <c r="AZ182" i="133"/>
  <c r="F182" i="133" s="1"/>
  <c r="I92" i="124"/>
  <c r="X96" i="177" s="1"/>
  <c r="I93" i="124"/>
  <c r="X97" i="177" s="1"/>
  <c r="I91" i="124"/>
  <c r="X95" i="177" s="1"/>
  <c r="I87" i="124"/>
  <c r="X96" i="176" s="1"/>
  <c r="I88" i="124"/>
  <c r="X97" i="176" s="1"/>
  <c r="I86" i="124"/>
  <c r="X95" i="176" s="1"/>
  <c r="G92" i="124"/>
  <c r="G91" i="124"/>
  <c r="G87" i="124"/>
  <c r="G86" i="124"/>
  <c r="AE76" i="176" l="1"/>
  <c r="AE87" i="176"/>
  <c r="AE76" i="177"/>
  <c r="AE87" i="177"/>
  <c r="AD76" i="176"/>
  <c r="AE77" i="176" s="1"/>
  <c r="AD87" i="176"/>
  <c r="AE88" i="176" s="1"/>
  <c r="AD87" i="177"/>
  <c r="AE88" i="177" s="1"/>
  <c r="AD76" i="177"/>
  <c r="X95" i="151"/>
  <c r="X106" i="156"/>
  <c r="X89" i="165"/>
  <c r="X95" i="149"/>
  <c r="X96" i="162"/>
  <c r="Y93" i="168"/>
  <c r="X95" i="150"/>
  <c r="X96" i="159"/>
  <c r="X94" i="152"/>
  <c r="Y92" i="169"/>
  <c r="X105" i="157"/>
  <c r="X88" i="166"/>
  <c r="X94" i="154"/>
  <c r="X95" i="163"/>
  <c r="X94" i="153"/>
  <c r="X95" i="160"/>
  <c r="X94" i="150"/>
  <c r="X95" i="159"/>
  <c r="X94" i="151"/>
  <c r="X105" i="156"/>
  <c r="X88" i="165"/>
  <c r="X94" i="149"/>
  <c r="X95" i="162"/>
  <c r="Y92" i="168"/>
  <c r="X96" i="154"/>
  <c r="X97" i="163"/>
  <c r="X96" i="153"/>
  <c r="X96" i="152"/>
  <c r="Y94" i="169"/>
  <c r="X97" i="160"/>
  <c r="X107" i="157"/>
  <c r="X90" i="166"/>
  <c r="X107" i="156"/>
  <c r="X90" i="165"/>
  <c r="X96" i="149"/>
  <c r="X97" i="162"/>
  <c r="Y94" i="168"/>
  <c r="X97" i="159"/>
  <c r="X96" i="150"/>
  <c r="X96" i="151"/>
  <c r="Q92" i="124"/>
  <c r="X106" i="157"/>
  <c r="X89" i="166"/>
  <c r="X95" i="154"/>
  <c r="X96" i="163"/>
  <c r="X95" i="153"/>
  <c r="X96" i="160"/>
  <c r="X95" i="152"/>
  <c r="Y93" i="169"/>
  <c r="Q88" i="124"/>
  <c r="Q93" i="124"/>
  <c r="Q87" i="124"/>
  <c r="Q91" i="124"/>
  <c r="Q86" i="124"/>
  <c r="AE77" i="177" l="1"/>
  <c r="AE87" i="159"/>
  <c r="AE76" i="159"/>
  <c r="AE87" i="160"/>
  <c r="AE76" i="160"/>
  <c r="G23" i="137" l="1"/>
  <c r="D24" i="137" s="1"/>
  <c r="C9" i="133"/>
  <c r="C8" i="133"/>
  <c r="C7" i="133"/>
  <c r="C5" i="133"/>
  <c r="C4" i="133"/>
  <c r="B8" i="133"/>
  <c r="B9" i="133"/>
  <c r="B7" i="133"/>
  <c r="B4" i="133"/>
  <c r="B5" i="133"/>
  <c r="B2" i="133" l="1"/>
  <c r="K205" i="8"/>
  <c r="K211" i="8"/>
  <c r="K212" i="8"/>
  <c r="K213" i="8"/>
  <c r="L217" i="8"/>
  <c r="K217" i="8" s="1"/>
  <c r="L216" i="8"/>
  <c r="K216" i="8" s="1"/>
  <c r="L215" i="8"/>
  <c r="K215" i="8" s="1"/>
  <c r="L214" i="8"/>
  <c r="K214" i="8" s="1"/>
  <c r="L209" i="8"/>
  <c r="K209" i="8" s="1"/>
  <c r="L208" i="8"/>
  <c r="K208" i="8" s="1"/>
  <c r="L207" i="8"/>
  <c r="K207" i="8" s="1"/>
  <c r="L206" i="8"/>
  <c r="K206" i="8" s="1"/>
  <c r="L204" i="8"/>
  <c r="K204" i="8" s="1"/>
  <c r="L203" i="8"/>
  <c r="K203" i="8" s="1"/>
  <c r="L198" i="8"/>
  <c r="K198" i="8" s="1"/>
  <c r="L197" i="8"/>
  <c r="K197" i="8" s="1"/>
  <c r="L196" i="8"/>
  <c r="K196" i="8" s="1"/>
  <c r="L195" i="8"/>
  <c r="K195" i="8" s="1"/>
  <c r="L194" i="8"/>
  <c r="K194" i="8" s="1"/>
  <c r="L193" i="8"/>
  <c r="K193" i="8" s="1"/>
  <c r="L192" i="8"/>
  <c r="L191" i="8"/>
  <c r="K191" i="8" s="1"/>
  <c r="L190" i="8"/>
  <c r="K190" i="8" s="1"/>
  <c r="L189" i="8"/>
  <c r="K189" i="8" s="1"/>
  <c r="L183" i="8"/>
  <c r="K183" i="8" s="1"/>
  <c r="L182" i="8"/>
  <c r="K182" i="8" s="1"/>
  <c r="L181" i="8"/>
  <c r="K181" i="8" s="1"/>
  <c r="L179" i="8"/>
  <c r="K179" i="8" s="1"/>
  <c r="L178" i="8"/>
  <c r="K178" i="8" s="1"/>
  <c r="L177" i="8"/>
  <c r="K177" i="8" s="1"/>
  <c r="L175" i="8"/>
  <c r="K175" i="8" s="1"/>
  <c r="L174" i="8"/>
  <c r="K174" i="8" s="1"/>
  <c r="L172" i="8"/>
  <c r="K172" i="8" s="1"/>
  <c r="L171" i="8"/>
  <c r="K171" i="8" s="1"/>
  <c r="L170" i="8"/>
  <c r="K170" i="8" s="1"/>
  <c r="L169" i="8"/>
  <c r="K169" i="8" s="1"/>
  <c r="L168" i="8"/>
  <c r="K168" i="8" s="1"/>
  <c r="L167" i="8"/>
  <c r="K167" i="8" s="1"/>
  <c r="L165" i="8"/>
  <c r="K165" i="8" s="1"/>
  <c r="L164" i="8"/>
  <c r="K164" i="8" s="1"/>
  <c r="L163" i="8"/>
  <c r="K163" i="8" s="1"/>
  <c r="L162" i="8"/>
  <c r="K162" i="8" s="1"/>
  <c r="L160" i="8"/>
  <c r="K160" i="8" s="1"/>
  <c r="L158" i="8"/>
  <c r="K158" i="8" s="1"/>
  <c r="L157" i="8"/>
  <c r="K157" i="8" s="1"/>
  <c r="L156" i="8"/>
  <c r="K156" i="8" s="1"/>
  <c r="L155" i="8"/>
  <c r="K155" i="8" s="1"/>
  <c r="L154" i="8"/>
  <c r="K154" i="8" s="1"/>
  <c r="L153" i="8"/>
  <c r="K153" i="8" s="1"/>
  <c r="L149" i="8"/>
  <c r="K149" i="8" s="1"/>
  <c r="L143" i="8"/>
  <c r="K143" i="8" s="1"/>
  <c r="L188" i="8"/>
  <c r="K188" i="8" s="1"/>
  <c r="L187" i="8"/>
  <c r="K187" i="8" s="1"/>
  <c r="L123" i="8"/>
  <c r="K123" i="8" s="1"/>
  <c r="L121" i="8"/>
  <c r="K121" i="8" s="1"/>
  <c r="L120" i="8"/>
  <c r="K120" i="8" s="1"/>
  <c r="L119" i="8"/>
  <c r="K119" i="8" s="1"/>
  <c r="L117" i="8"/>
  <c r="K117" i="8" s="1"/>
  <c r="L116" i="8"/>
  <c r="K116" i="8" s="1"/>
  <c r="L114" i="8"/>
  <c r="K114" i="8" s="1"/>
  <c r="L113" i="8"/>
  <c r="K113" i="8" s="1"/>
  <c r="L112" i="8"/>
  <c r="K112" i="8" s="1"/>
  <c r="L110" i="8"/>
  <c r="K110" i="8" s="1"/>
  <c r="L109" i="8"/>
  <c r="K109" i="8" s="1"/>
  <c r="L108" i="8"/>
  <c r="K108" i="8" s="1"/>
  <c r="L106" i="8"/>
  <c r="K106" i="8" s="1"/>
  <c r="L105" i="8"/>
  <c r="K105" i="8" s="1"/>
  <c r="L104" i="8"/>
  <c r="K104" i="8" s="1"/>
  <c r="L103" i="8"/>
  <c r="K103" i="8" s="1"/>
  <c r="L101" i="8"/>
  <c r="K101" i="8" s="1"/>
  <c r="L100" i="8"/>
  <c r="K100" i="8" s="1"/>
  <c r="L99" i="8"/>
  <c r="K99" i="8" s="1"/>
  <c r="L98" i="8"/>
  <c r="K98" i="8" s="1"/>
  <c r="L97" i="8"/>
  <c r="K97" i="8" s="1"/>
  <c r="L96" i="8"/>
  <c r="K96" i="8" s="1"/>
  <c r="L95" i="8"/>
  <c r="K95" i="8" s="1"/>
  <c r="L94" i="8"/>
  <c r="K94" i="8" s="1"/>
  <c r="L93" i="8"/>
  <c r="K93" i="8" s="1"/>
  <c r="L91" i="8"/>
  <c r="K91" i="8" s="1"/>
  <c r="L90" i="8"/>
  <c r="K90" i="8" s="1"/>
  <c r="L89" i="8"/>
  <c r="K89" i="8" s="1"/>
  <c r="L88" i="8"/>
  <c r="K88" i="8" s="1"/>
  <c r="L87" i="8"/>
  <c r="K87" i="8" s="1"/>
  <c r="L86" i="8"/>
  <c r="K86" i="8" s="1"/>
  <c r="L85" i="8"/>
  <c r="K85" i="8" s="1"/>
  <c r="L84" i="8"/>
  <c r="K84" i="8" s="1"/>
  <c r="L83" i="8"/>
  <c r="K83" i="8" s="1"/>
  <c r="L81" i="8"/>
  <c r="K81" i="8" s="1"/>
  <c r="L80" i="8"/>
  <c r="K80" i="8" s="1"/>
  <c r="L79" i="8"/>
  <c r="K79" i="8" s="1"/>
  <c r="L78" i="8"/>
  <c r="K78" i="8" s="1"/>
  <c r="L76" i="8"/>
  <c r="K76" i="8" s="1"/>
  <c r="L75" i="8"/>
  <c r="K75" i="8" s="1"/>
  <c r="L74" i="8"/>
  <c r="K74" i="8" s="1"/>
  <c r="L73" i="8"/>
  <c r="K73" i="8" s="1"/>
  <c r="L72" i="8"/>
  <c r="K72" i="8" s="1"/>
  <c r="L71" i="8"/>
  <c r="K71" i="8" s="1"/>
  <c r="L70" i="8"/>
  <c r="K70" i="8" s="1"/>
  <c r="L69" i="8"/>
  <c r="K69" i="8" s="1"/>
  <c r="L67" i="8"/>
  <c r="K67" i="8" s="1"/>
  <c r="L66" i="8"/>
  <c r="K66" i="8" s="1"/>
  <c r="L65" i="8"/>
  <c r="K65" i="8" s="1"/>
  <c r="L64" i="8"/>
  <c r="K64" i="8" s="1"/>
  <c r="L63" i="8"/>
  <c r="K63" i="8" s="1"/>
  <c r="L62" i="8"/>
  <c r="K62" i="8" s="1"/>
  <c r="L61" i="8"/>
  <c r="K61" i="8" s="1"/>
  <c r="L60" i="8"/>
  <c r="K60" i="8" s="1"/>
  <c r="L59" i="8"/>
  <c r="K59" i="8" s="1"/>
  <c r="L58" i="8"/>
  <c r="K58" i="8" s="1"/>
  <c r="L57" i="8"/>
  <c r="K57" i="8" s="1"/>
  <c r="L56" i="8"/>
  <c r="K56" i="8" s="1"/>
  <c r="L55" i="8"/>
  <c r="K55" i="8" s="1"/>
  <c r="L54" i="8"/>
  <c r="K54" i="8" s="1"/>
  <c r="L45" i="8"/>
  <c r="K45" i="8" s="1"/>
  <c r="L44" i="8"/>
  <c r="K44" i="8" s="1"/>
  <c r="L43" i="8"/>
  <c r="K43" i="8" s="1"/>
  <c r="L42" i="8"/>
  <c r="K42" i="8" s="1"/>
  <c r="L41" i="8"/>
  <c r="K41" i="8" s="1"/>
  <c r="L40" i="8"/>
  <c r="K40" i="8" s="1"/>
  <c r="L39" i="8"/>
  <c r="K39" i="8" s="1"/>
  <c r="L38" i="8"/>
  <c r="K38" i="8" s="1"/>
  <c r="L37" i="8"/>
  <c r="K37" i="8" s="1"/>
  <c r="L36" i="8"/>
  <c r="K36" i="8" s="1"/>
  <c r="L34" i="8"/>
  <c r="K34" i="8" s="1"/>
  <c r="L33" i="8"/>
  <c r="K33" i="8" s="1"/>
  <c r="L32" i="8"/>
  <c r="K32" i="8" s="1"/>
  <c r="L31" i="8"/>
  <c r="K31" i="8" s="1"/>
  <c r="L30" i="8"/>
  <c r="K30" i="8" s="1"/>
  <c r="L29" i="8"/>
  <c r="K29" i="8" s="1"/>
  <c r="L28" i="8"/>
  <c r="K28" i="8" s="1"/>
  <c r="L26" i="8"/>
  <c r="K26" i="8" s="1"/>
  <c r="L25" i="8"/>
  <c r="K25" i="8" s="1"/>
  <c r="L24" i="8"/>
  <c r="K24" i="8" s="1"/>
  <c r="L23" i="8"/>
  <c r="K23" i="8" s="1"/>
  <c r="L22" i="8"/>
  <c r="K22" i="8" s="1"/>
  <c r="L21" i="8"/>
  <c r="K21" i="8" s="1"/>
  <c r="L20" i="8"/>
  <c r="K20" i="8" s="1"/>
  <c r="L19" i="8"/>
  <c r="K19" i="8" s="1"/>
  <c r="L18" i="8"/>
  <c r="K18" i="8" s="1"/>
  <c r="L17" i="8"/>
  <c r="K17" i="8" s="1"/>
  <c r="L16" i="8"/>
  <c r="K16" i="8" s="1"/>
  <c r="L15" i="8"/>
  <c r="K15" i="8" s="1"/>
  <c r="L13" i="8"/>
  <c r="K13" i="8" s="1"/>
  <c r="L12" i="8"/>
  <c r="K12" i="8" s="1"/>
  <c r="L11" i="8"/>
  <c r="K11" i="8" s="1"/>
  <c r="K192" i="8"/>
  <c r="U168" i="139" l="1"/>
  <c r="T168" i="139"/>
  <c r="R168" i="139"/>
  <c r="O168" i="139"/>
  <c r="N168" i="139"/>
  <c r="M168" i="139"/>
  <c r="L168" i="139"/>
  <c r="L167" i="139" l="1"/>
  <c r="M167" i="139"/>
  <c r="N167" i="139"/>
  <c r="O167" i="139"/>
  <c r="R167" i="139"/>
  <c r="T167" i="139"/>
  <c r="U167" i="139"/>
  <c r="U166" i="139"/>
  <c r="T166" i="139"/>
  <c r="R166" i="139"/>
  <c r="O166" i="139"/>
  <c r="N166" i="139"/>
  <c r="M166" i="139"/>
  <c r="L166" i="139"/>
  <c r="L165" i="139"/>
  <c r="M165" i="139"/>
  <c r="N165" i="139"/>
  <c r="O165" i="139"/>
  <c r="R165" i="139"/>
  <c r="T165" i="139"/>
  <c r="U165" i="139"/>
  <c r="U164" i="139"/>
  <c r="T164" i="139"/>
  <c r="R164" i="139"/>
  <c r="O164" i="139"/>
  <c r="N164" i="139"/>
  <c r="M164" i="139"/>
  <c r="L164" i="139"/>
  <c r="L163" i="139"/>
  <c r="M163" i="139"/>
  <c r="N163" i="139"/>
  <c r="O163" i="139"/>
  <c r="R163" i="139"/>
  <c r="T163" i="139"/>
  <c r="U163" i="139"/>
  <c r="U162" i="139"/>
  <c r="T162" i="139"/>
  <c r="R162" i="139"/>
  <c r="O162" i="139"/>
  <c r="N162" i="139"/>
  <c r="M162" i="139"/>
  <c r="L162" i="139"/>
  <c r="L161" i="139"/>
  <c r="M161" i="139"/>
  <c r="N161" i="139"/>
  <c r="O161" i="139"/>
  <c r="R161" i="139"/>
  <c r="T161" i="139"/>
  <c r="U161" i="139"/>
  <c r="U160" i="139"/>
  <c r="T160" i="139"/>
  <c r="R160" i="139"/>
  <c r="O160" i="139"/>
  <c r="N160" i="139"/>
  <c r="M160" i="139"/>
  <c r="L160" i="139"/>
  <c r="U155" i="139"/>
  <c r="T155" i="139"/>
  <c r="R155" i="139"/>
  <c r="O155" i="139"/>
  <c r="N155" i="139"/>
  <c r="M155" i="139"/>
  <c r="L155" i="139"/>
  <c r="U154" i="139"/>
  <c r="T154" i="139"/>
  <c r="R154" i="139"/>
  <c r="O154" i="139"/>
  <c r="N154" i="139"/>
  <c r="M154" i="139"/>
  <c r="L154" i="139"/>
  <c r="U152" i="139"/>
  <c r="J152" i="139" s="1"/>
  <c r="U153" i="139"/>
  <c r="J153" i="139" s="1"/>
  <c r="L153" i="139"/>
  <c r="M153" i="139"/>
  <c r="N153" i="139"/>
  <c r="O153" i="139"/>
  <c r="R153" i="139"/>
  <c r="T153" i="139"/>
  <c r="T152" i="139"/>
  <c r="R152" i="139"/>
  <c r="O152" i="139"/>
  <c r="N152" i="139"/>
  <c r="M152" i="139"/>
  <c r="L152" i="139"/>
  <c r="L151" i="139"/>
  <c r="M151" i="139"/>
  <c r="N151" i="139"/>
  <c r="O151" i="139"/>
  <c r="R151" i="139"/>
  <c r="T151" i="139"/>
  <c r="I151" i="139" s="1"/>
  <c r="U151" i="139"/>
  <c r="J151" i="139" s="1"/>
  <c r="U150" i="139"/>
  <c r="T150" i="139"/>
  <c r="R150" i="139"/>
  <c r="O150" i="139"/>
  <c r="N150" i="139"/>
  <c r="M150" i="139"/>
  <c r="L150" i="139"/>
  <c r="L149" i="139"/>
  <c r="M149" i="139"/>
  <c r="N149" i="139"/>
  <c r="O149" i="139"/>
  <c r="R149" i="139"/>
  <c r="T149" i="139"/>
  <c r="U149" i="139"/>
  <c r="U148" i="139"/>
  <c r="T148" i="139"/>
  <c r="R148" i="139"/>
  <c r="O148" i="139"/>
  <c r="N148" i="139"/>
  <c r="M148" i="139"/>
  <c r="L148" i="139"/>
  <c r="L18" i="139"/>
  <c r="M18" i="139"/>
  <c r="N18" i="139"/>
  <c r="O18" i="139"/>
  <c r="R18" i="139"/>
  <c r="T18" i="139"/>
  <c r="U18" i="139"/>
  <c r="L19" i="139"/>
  <c r="M19" i="139"/>
  <c r="N19" i="139"/>
  <c r="O19" i="139"/>
  <c r="R19" i="139"/>
  <c r="T19" i="139"/>
  <c r="U19" i="139"/>
  <c r="B4" i="128" l="1"/>
  <c r="B36" i="137"/>
  <c r="B35" i="137"/>
  <c r="B34" i="137"/>
  <c r="B33" i="137"/>
  <c r="B32" i="137"/>
  <c r="B31" i="137"/>
  <c r="C6" i="139"/>
  <c r="Q21" i="137"/>
  <c r="Q20" i="137"/>
  <c r="Q19" i="137"/>
  <c r="F6" i="139" l="1"/>
  <c r="Q14" i="139" l="1"/>
  <c r="F14" i="139" s="1"/>
  <c r="Q53" i="139"/>
  <c r="F53" i="139" s="1"/>
  <c r="G53" i="133" s="1"/>
  <c r="M53" i="133" s="1"/>
  <c r="H53" i="133" s="1"/>
  <c r="Q52" i="139"/>
  <c r="F52" i="139" s="1"/>
  <c r="Q51" i="139"/>
  <c r="F51" i="139" s="1"/>
  <c r="Q48" i="139"/>
  <c r="F48" i="139" s="1"/>
  <c r="Q50" i="139"/>
  <c r="F50" i="139" s="1"/>
  <c r="Q49" i="139"/>
  <c r="F49" i="139" s="1"/>
  <c r="Q47" i="139"/>
  <c r="F47" i="139" s="1"/>
  <c r="G14" i="133"/>
  <c r="AC12" i="148"/>
  <c r="Q144" i="139"/>
  <c r="F144" i="139" s="1"/>
  <c r="Q145" i="139"/>
  <c r="F145" i="139" s="1"/>
  <c r="Q183" i="139"/>
  <c r="F183" i="139" s="1"/>
  <c r="K62" i="171" s="1"/>
  <c r="Q142" i="139"/>
  <c r="F142" i="139" s="1"/>
  <c r="Q139" i="139"/>
  <c r="F139" i="139" s="1"/>
  <c r="Q141" i="139"/>
  <c r="F141" i="139" s="1"/>
  <c r="G140" i="133" s="1"/>
  <c r="M140" i="133" s="1"/>
  <c r="H140" i="133" s="1"/>
  <c r="Q132" i="139"/>
  <c r="F132" i="139" s="1"/>
  <c r="Q133" i="139"/>
  <c r="F133" i="139" s="1"/>
  <c r="Q138" i="139"/>
  <c r="F138" i="139" s="1"/>
  <c r="Q140" i="139"/>
  <c r="F140" i="139" s="1"/>
  <c r="Q146" i="139"/>
  <c r="F146" i="139" s="1"/>
  <c r="AC28" i="175" s="1"/>
  <c r="Q137" i="139"/>
  <c r="F137" i="139" s="1"/>
  <c r="G136" i="133" s="1"/>
  <c r="M136" i="133" s="1"/>
  <c r="H136" i="133" s="1"/>
  <c r="Q124" i="139"/>
  <c r="F124" i="139" s="1"/>
  <c r="Q130" i="139"/>
  <c r="F130" i="139" s="1"/>
  <c r="Q134" i="139"/>
  <c r="F134" i="139" s="1"/>
  <c r="G133" i="133" s="1"/>
  <c r="M133" i="133" s="1"/>
  <c r="H133" i="133" s="1"/>
  <c r="Q131" i="139"/>
  <c r="F131" i="139" s="1"/>
  <c r="Q135" i="139"/>
  <c r="F135" i="139" s="1"/>
  <c r="Q136" i="139"/>
  <c r="F136" i="139" s="1"/>
  <c r="Q128" i="139"/>
  <c r="F128" i="139" s="1"/>
  <c r="Q147" i="139"/>
  <c r="F147" i="139" s="1"/>
  <c r="Q129" i="139"/>
  <c r="F129" i="139" s="1"/>
  <c r="G128" i="133" s="1"/>
  <c r="M128" i="133" s="1"/>
  <c r="H128" i="133" s="1"/>
  <c r="Q126" i="139"/>
  <c r="F126" i="139" s="1"/>
  <c r="Q127" i="139"/>
  <c r="F127" i="139" s="1"/>
  <c r="Q125" i="139"/>
  <c r="F125" i="139" s="1"/>
  <c r="Q203" i="139"/>
  <c r="F203" i="139" s="1"/>
  <c r="G196" i="133" s="1"/>
  <c r="H196" i="133" s="1"/>
  <c r="M196" i="133" s="1"/>
  <c r="Q207" i="139"/>
  <c r="F207" i="139" s="1"/>
  <c r="G200" i="133" s="1"/>
  <c r="H200" i="133" s="1"/>
  <c r="M200" i="133" s="1"/>
  <c r="Q204" i="139"/>
  <c r="F204" i="139" s="1"/>
  <c r="G197" i="133" s="1"/>
  <c r="H197" i="133" s="1"/>
  <c r="M197" i="133" s="1"/>
  <c r="Q208" i="139"/>
  <c r="F208" i="139" s="1"/>
  <c r="G201" i="133" s="1"/>
  <c r="H201" i="133" s="1"/>
  <c r="M201" i="133" s="1"/>
  <c r="Q205" i="139"/>
  <c r="F205" i="139" s="1"/>
  <c r="G198" i="133" s="1"/>
  <c r="H198" i="133" s="1"/>
  <c r="M198" i="133" s="1"/>
  <c r="Q209" i="139"/>
  <c r="F209" i="139" s="1"/>
  <c r="G202" i="133" s="1"/>
  <c r="H202" i="133" s="1"/>
  <c r="M202" i="133" s="1"/>
  <c r="Q202" i="139"/>
  <c r="F202" i="139" s="1"/>
  <c r="G195" i="133" s="1"/>
  <c r="H195" i="133" s="1"/>
  <c r="M195" i="133" s="1"/>
  <c r="Q206" i="139"/>
  <c r="F206" i="139" s="1"/>
  <c r="G199" i="133" s="1"/>
  <c r="H199" i="133" s="1"/>
  <c r="M199" i="133" s="1"/>
  <c r="Q210" i="139"/>
  <c r="F210" i="139" s="1"/>
  <c r="Q201" i="139"/>
  <c r="Q200" i="139"/>
  <c r="Q199" i="139"/>
  <c r="B10" i="133"/>
  <c r="F10" i="133"/>
  <c r="D10" i="133"/>
  <c r="C10" i="133"/>
  <c r="G10" i="133"/>
  <c r="E10" i="133"/>
  <c r="Q161" i="139"/>
  <c r="Q165" i="139"/>
  <c r="Q163" i="139"/>
  <c r="Q167" i="139"/>
  <c r="Q19" i="139"/>
  <c r="Q149" i="139"/>
  <c r="Q151" i="139"/>
  <c r="Q153" i="139"/>
  <c r="G191" i="133" l="1"/>
  <c r="M191" i="133" s="1"/>
  <c r="H191" i="133" s="1"/>
  <c r="AC26" i="175"/>
  <c r="AC26" i="177"/>
  <c r="AC26" i="176"/>
  <c r="AC27" i="175"/>
  <c r="AD27" i="175" s="1"/>
  <c r="AC27" i="177"/>
  <c r="AC27" i="176"/>
  <c r="AC16" i="152"/>
  <c r="AC16" i="151"/>
  <c r="AC16" i="150"/>
  <c r="AC20" i="156"/>
  <c r="AC16" i="154"/>
  <c r="AC22" i="126"/>
  <c r="AC16" i="153"/>
  <c r="AC16" i="149"/>
  <c r="AC20" i="125"/>
  <c r="AC20" i="157"/>
  <c r="AC22" i="160"/>
  <c r="AC22" i="159"/>
  <c r="AC20" i="155"/>
  <c r="AC22" i="158"/>
  <c r="G47" i="133"/>
  <c r="AC16" i="148"/>
  <c r="AC18" i="148"/>
  <c r="AC18" i="150"/>
  <c r="AC18" i="149"/>
  <c r="AC24" i="126"/>
  <c r="AC18" i="154"/>
  <c r="AC22" i="156"/>
  <c r="AC18" i="153"/>
  <c r="AC22" i="125"/>
  <c r="AC22" i="157"/>
  <c r="AC24" i="160"/>
  <c r="AC24" i="159"/>
  <c r="AC18" i="151"/>
  <c r="AC18" i="152"/>
  <c r="AC22" i="155"/>
  <c r="AC24" i="158"/>
  <c r="G49" i="133"/>
  <c r="AC19" i="148"/>
  <c r="AC23" i="156"/>
  <c r="AC19" i="149"/>
  <c r="AC19" i="153"/>
  <c r="AC25" i="126"/>
  <c r="AC23" i="125"/>
  <c r="AC23" i="157"/>
  <c r="AC25" i="160"/>
  <c r="AC19" i="151"/>
  <c r="AC19" i="152"/>
  <c r="AC25" i="159"/>
  <c r="AC19" i="150"/>
  <c r="AC19" i="154"/>
  <c r="AC25" i="158"/>
  <c r="AC23" i="155"/>
  <c r="G50" i="133"/>
  <c r="AC17" i="148"/>
  <c r="AC21" i="156"/>
  <c r="AC17" i="150"/>
  <c r="AC17" i="154"/>
  <c r="AC17" i="153"/>
  <c r="AC17" i="149"/>
  <c r="AC23" i="126"/>
  <c r="AC23" i="159"/>
  <c r="AC17" i="152"/>
  <c r="AC21" i="125"/>
  <c r="AC21" i="157"/>
  <c r="AC23" i="160"/>
  <c r="AC17" i="151"/>
  <c r="AC21" i="155"/>
  <c r="AC23" i="158"/>
  <c r="G48" i="133"/>
  <c r="AC20" i="148"/>
  <c r="AC24" i="125"/>
  <c r="AC24" i="157"/>
  <c r="AC20" i="151"/>
  <c r="AC26" i="160"/>
  <c r="AC26" i="159"/>
  <c r="AC20" i="152"/>
  <c r="AC20" i="150"/>
  <c r="AC20" i="149"/>
  <c r="AC20" i="154"/>
  <c r="AC24" i="156"/>
  <c r="AC20" i="153"/>
  <c r="AC26" i="126"/>
  <c r="AC24" i="155"/>
  <c r="AC26" i="158"/>
  <c r="G51" i="133"/>
  <c r="AC25" i="125"/>
  <c r="AC25" i="157"/>
  <c r="AC21" i="151"/>
  <c r="AC27" i="160"/>
  <c r="AC27" i="159"/>
  <c r="AC21" i="152"/>
  <c r="AC21" i="150"/>
  <c r="AC21" i="154"/>
  <c r="AC25" i="156"/>
  <c r="AC21" i="153"/>
  <c r="AC21" i="149"/>
  <c r="AC27" i="126"/>
  <c r="AC25" i="155"/>
  <c r="AC27" i="158"/>
  <c r="AC21" i="148"/>
  <c r="G52" i="133"/>
  <c r="AC12" i="150"/>
  <c r="AC12" i="154"/>
  <c r="AC12" i="153"/>
  <c r="AC12" i="149"/>
  <c r="AC12" i="152"/>
  <c r="AC12" i="151"/>
  <c r="K32" i="171"/>
  <c r="G142" i="133"/>
  <c r="M142" i="133" s="1"/>
  <c r="H142" i="133" s="1"/>
  <c r="G141" i="133"/>
  <c r="M141" i="133" s="1"/>
  <c r="H141" i="133" s="1"/>
  <c r="K31" i="171"/>
  <c r="AC29" i="175"/>
  <c r="AD29" i="175" s="1"/>
  <c r="AC29" i="176"/>
  <c r="AC29" i="177"/>
  <c r="AC12" i="175"/>
  <c r="AC12" i="177"/>
  <c r="AC12" i="176"/>
  <c r="G127" i="133"/>
  <c r="AC15" i="175"/>
  <c r="AC15" i="177"/>
  <c r="AH15" i="177" s="1"/>
  <c r="AC15" i="176"/>
  <c r="G130" i="133"/>
  <c r="AC19" i="175"/>
  <c r="AC19" i="176"/>
  <c r="G134" i="133"/>
  <c r="AC19" i="177"/>
  <c r="AC22" i="175"/>
  <c r="AD22" i="175" s="1"/>
  <c r="AC22" i="176"/>
  <c r="G137" i="133"/>
  <c r="M137" i="133" s="1"/>
  <c r="H137" i="133" s="1"/>
  <c r="AC22" i="177"/>
  <c r="AC24" i="175"/>
  <c r="AC24" i="177"/>
  <c r="G139" i="133"/>
  <c r="AC24" i="176"/>
  <c r="AC17" i="175"/>
  <c r="AC17" i="177"/>
  <c r="AH17" i="177" s="1"/>
  <c r="AC17" i="176"/>
  <c r="G132" i="133"/>
  <c r="AC16" i="175"/>
  <c r="G131" i="133"/>
  <c r="AC16" i="177"/>
  <c r="AH16" i="177" s="1"/>
  <c r="AC16" i="176"/>
  <c r="AC14" i="175"/>
  <c r="AC14" i="176"/>
  <c r="AC14" i="177"/>
  <c r="AH14" i="177" s="1"/>
  <c r="G129" i="133"/>
  <c r="AC20" i="175"/>
  <c r="AD20" i="175" s="1"/>
  <c r="AC20" i="177"/>
  <c r="G135" i="133"/>
  <c r="AC20" i="176"/>
  <c r="AC23" i="175"/>
  <c r="AC23" i="177"/>
  <c r="G138" i="133"/>
  <c r="AC23" i="176"/>
  <c r="AC10" i="175"/>
  <c r="G125" i="133"/>
  <c r="AC10" i="177"/>
  <c r="AC10" i="176"/>
  <c r="AD28" i="175"/>
  <c r="AC28" i="176"/>
  <c r="AC28" i="177"/>
  <c r="AC9" i="175"/>
  <c r="AC9" i="177"/>
  <c r="G124" i="133"/>
  <c r="AC9" i="176"/>
  <c r="AD26" i="175"/>
  <c r="AC11" i="175"/>
  <c r="AC11" i="176"/>
  <c r="G126" i="133"/>
  <c r="AC11" i="177"/>
  <c r="L62" i="171"/>
  <c r="X62" i="171"/>
  <c r="Y62" i="171" s="1"/>
  <c r="E181" i="139"/>
  <c r="L181" i="139"/>
  <c r="A181" i="139" s="1"/>
  <c r="M181" i="139"/>
  <c r="B181" i="139" s="1"/>
  <c r="N181" i="139"/>
  <c r="C181" i="139" s="1"/>
  <c r="O181" i="139"/>
  <c r="D181" i="139" s="1"/>
  <c r="E189" i="133" s="1"/>
  <c r="R181" i="139"/>
  <c r="T181" i="139"/>
  <c r="I181" i="139" s="1"/>
  <c r="J189" i="133" s="1"/>
  <c r="U181" i="139"/>
  <c r="J181" i="139" s="1"/>
  <c r="K189" i="133" s="1"/>
  <c r="E182" i="139"/>
  <c r="L182" i="139"/>
  <c r="A182" i="139" s="1"/>
  <c r="M182" i="139"/>
  <c r="B182" i="139" s="1"/>
  <c r="N182" i="139"/>
  <c r="C182" i="139" s="1"/>
  <c r="O182" i="139"/>
  <c r="D182" i="139" s="1"/>
  <c r="E190" i="133" s="1"/>
  <c r="R182" i="139"/>
  <c r="T182" i="139"/>
  <c r="I182" i="139" s="1"/>
  <c r="J190" i="133" s="1"/>
  <c r="U182" i="139"/>
  <c r="J182" i="139" s="1"/>
  <c r="K190" i="133" s="1"/>
  <c r="F20" i="130"/>
  <c r="F20" i="168"/>
  <c r="F9" i="169"/>
  <c r="F9" i="130"/>
  <c r="F9" i="168"/>
  <c r="F20" i="167"/>
  <c r="F9" i="167"/>
  <c r="P49" i="130"/>
  <c r="O49" i="130"/>
  <c r="AD26" i="168"/>
  <c r="AD35" i="168"/>
  <c r="AD35" i="130"/>
  <c r="AD35" i="167"/>
  <c r="AD44" i="169"/>
  <c r="AD37" i="169"/>
  <c r="AD36" i="169"/>
  <c r="AD33" i="169"/>
  <c r="AD32" i="169"/>
  <c r="AD31" i="169"/>
  <c r="AD29" i="169"/>
  <c r="AD23" i="169"/>
  <c r="AD44" i="130"/>
  <c r="AD36" i="130"/>
  <c r="AD34" i="130"/>
  <c r="AD30" i="130"/>
  <c r="AD28" i="130"/>
  <c r="AD26" i="130"/>
  <c r="AD44" i="168"/>
  <c r="AD37" i="168"/>
  <c r="AD34" i="168"/>
  <c r="AD33" i="168"/>
  <c r="AD32" i="168"/>
  <c r="AD31" i="168"/>
  <c r="AD29" i="168"/>
  <c r="AD23" i="168"/>
  <c r="N46" i="167"/>
  <c r="N45" i="167"/>
  <c r="N43" i="167"/>
  <c r="N42" i="167"/>
  <c r="AD32" i="167"/>
  <c r="AD33" i="167"/>
  <c r="K149" i="133"/>
  <c r="I153" i="139"/>
  <c r="J149" i="133" s="1"/>
  <c r="D153" i="139"/>
  <c r="E149" i="133" s="1"/>
  <c r="C153" i="139"/>
  <c r="B153" i="139"/>
  <c r="AB33" i="169" s="1"/>
  <c r="A153" i="139"/>
  <c r="E153" i="139"/>
  <c r="E152" i="139"/>
  <c r="K148" i="133"/>
  <c r="I152" i="139"/>
  <c r="J148" i="133" s="1"/>
  <c r="D152" i="139"/>
  <c r="E148" i="133" s="1"/>
  <c r="C152" i="139"/>
  <c r="B152" i="139"/>
  <c r="AB32" i="130" s="1"/>
  <c r="A152" i="139"/>
  <c r="AD44" i="167"/>
  <c r="AD26" i="167"/>
  <c r="AD34" i="167"/>
  <c r="AD36" i="167"/>
  <c r="AD37" i="167"/>
  <c r="AE50" i="168"/>
  <c r="AF8" i="168"/>
  <c r="AE8" i="168"/>
  <c r="AD8" i="168"/>
  <c r="AC8" i="168"/>
  <c r="AB8" i="168"/>
  <c r="AA8" i="168"/>
  <c r="AB7" i="168"/>
  <c r="AA7" i="168"/>
  <c r="AE50" i="169"/>
  <c r="AF8" i="169"/>
  <c r="AE8" i="169"/>
  <c r="AD8" i="169"/>
  <c r="AC8" i="169"/>
  <c r="AB8" i="169"/>
  <c r="AA8" i="169"/>
  <c r="AB7" i="169"/>
  <c r="AA7" i="169"/>
  <c r="AE50" i="130"/>
  <c r="AF8" i="130"/>
  <c r="AE8" i="130"/>
  <c r="AD8" i="130"/>
  <c r="AC8" i="130"/>
  <c r="AB8" i="130"/>
  <c r="AA8" i="130"/>
  <c r="AB7" i="130"/>
  <c r="AA7" i="130"/>
  <c r="AE50" i="167"/>
  <c r="AF8" i="167"/>
  <c r="AE8" i="167"/>
  <c r="AD8" i="167"/>
  <c r="AC8" i="167"/>
  <c r="AB8" i="167"/>
  <c r="AA8" i="167"/>
  <c r="AB7" i="167"/>
  <c r="AA7" i="167"/>
  <c r="B4" i="130"/>
  <c r="B4" i="129"/>
  <c r="B4" i="126"/>
  <c r="F20" i="166"/>
  <c r="F20" i="129"/>
  <c r="F20" i="165"/>
  <c r="F20" i="164"/>
  <c r="F9" i="165"/>
  <c r="F9" i="166"/>
  <c r="F9" i="129"/>
  <c r="F9" i="164"/>
  <c r="AB37" i="165"/>
  <c r="AB37" i="166"/>
  <c r="AB37" i="129"/>
  <c r="AB37" i="164"/>
  <c r="AB43" i="162"/>
  <c r="AB43" i="163"/>
  <c r="AB43" i="128"/>
  <c r="AB43" i="161"/>
  <c r="AB40" i="162"/>
  <c r="AB40" i="163"/>
  <c r="AB40" i="128"/>
  <c r="AB40" i="161"/>
  <c r="AB31" i="129"/>
  <c r="E158" i="139"/>
  <c r="U158" i="139"/>
  <c r="J158" i="139" s="1"/>
  <c r="K158" i="133" s="1"/>
  <c r="T158" i="139"/>
  <c r="I158" i="139" s="1"/>
  <c r="J158" i="133" s="1"/>
  <c r="R158" i="139"/>
  <c r="O158" i="139"/>
  <c r="D158" i="139" s="1"/>
  <c r="E158" i="133" s="1"/>
  <c r="N158" i="139"/>
  <c r="C158" i="139" s="1"/>
  <c r="M158" i="139"/>
  <c r="B158" i="139" s="1"/>
  <c r="L158" i="139"/>
  <c r="A158" i="139" s="1"/>
  <c r="N39" i="166"/>
  <c r="N39" i="129"/>
  <c r="N39" i="165"/>
  <c r="N39" i="164"/>
  <c r="AB31" i="165"/>
  <c r="AB31" i="166"/>
  <c r="AB18" i="165"/>
  <c r="AB28" i="165"/>
  <c r="AB29" i="165"/>
  <c r="AB18" i="166"/>
  <c r="AB28" i="166"/>
  <c r="AB30" i="166"/>
  <c r="AB18" i="129"/>
  <c r="AB28" i="129"/>
  <c r="AB29" i="129"/>
  <c r="AB18" i="164"/>
  <c r="AB28" i="164"/>
  <c r="AB29" i="164"/>
  <c r="AC46" i="165"/>
  <c r="AD8" i="165"/>
  <c r="AC8" i="165"/>
  <c r="AB8" i="165"/>
  <c r="AA8" i="165"/>
  <c r="Z8" i="165"/>
  <c r="Y8" i="165"/>
  <c r="Z7" i="165"/>
  <c r="Y7" i="165"/>
  <c r="AC46" i="166"/>
  <c r="AD8" i="166"/>
  <c r="AC8" i="166"/>
  <c r="AB8" i="166"/>
  <c r="AA8" i="166"/>
  <c r="Z8" i="166"/>
  <c r="Y8" i="166"/>
  <c r="Z7" i="166"/>
  <c r="Y7" i="166"/>
  <c r="AC46" i="129"/>
  <c r="AD8" i="129"/>
  <c r="AC8" i="129"/>
  <c r="AB8" i="129"/>
  <c r="AA8" i="129"/>
  <c r="Z8" i="129"/>
  <c r="Y8" i="129"/>
  <c r="Z7" i="129"/>
  <c r="Y7" i="129"/>
  <c r="AC46" i="164"/>
  <c r="AD8" i="164"/>
  <c r="AC8" i="164"/>
  <c r="AB8" i="164"/>
  <c r="AA8" i="164"/>
  <c r="Z8" i="164"/>
  <c r="Y8" i="164"/>
  <c r="Z7" i="164"/>
  <c r="Y7" i="164"/>
  <c r="B26" i="171" l="1"/>
  <c r="O26" i="171" s="1"/>
  <c r="AH27" i="176"/>
  <c r="AD27" i="176"/>
  <c r="AF27" i="176"/>
  <c r="AH27" i="177"/>
  <c r="AD27" i="177"/>
  <c r="AF27" i="177"/>
  <c r="AH22" i="177"/>
  <c r="AD22" i="177"/>
  <c r="AF22" i="177"/>
  <c r="AH26" i="177"/>
  <c r="AF26" i="177"/>
  <c r="AD26" i="177"/>
  <c r="AF22" i="176"/>
  <c r="AH22" i="176"/>
  <c r="AD22" i="176"/>
  <c r="AH26" i="176"/>
  <c r="AD26" i="176"/>
  <c r="AF26" i="176"/>
  <c r="AH19" i="177"/>
  <c r="AF19" i="177"/>
  <c r="AD19" i="177"/>
  <c r="AF19" i="176"/>
  <c r="AH19" i="176"/>
  <c r="AD19" i="176"/>
  <c r="AH28" i="177"/>
  <c r="AF28" i="177"/>
  <c r="AD28" i="177"/>
  <c r="AH28" i="176"/>
  <c r="AF28" i="176"/>
  <c r="AD28" i="176"/>
  <c r="AH29" i="177"/>
  <c r="AF29" i="177"/>
  <c r="AD29" i="177"/>
  <c r="AH29" i="176"/>
  <c r="AF29" i="176"/>
  <c r="AD29" i="176"/>
  <c r="AB37" i="130"/>
  <c r="G26" i="171"/>
  <c r="T26" i="171" s="1"/>
  <c r="AC37" i="169"/>
  <c r="I26" i="171"/>
  <c r="V26" i="171" s="1"/>
  <c r="B189" i="133"/>
  <c r="B60" i="171"/>
  <c r="O60" i="171" s="1"/>
  <c r="B190" i="133"/>
  <c r="B61" i="171"/>
  <c r="O61" i="171" s="1"/>
  <c r="D190" i="133"/>
  <c r="I61" i="171"/>
  <c r="V61" i="171" s="1"/>
  <c r="D189" i="133"/>
  <c r="I60" i="171"/>
  <c r="V60" i="171" s="1"/>
  <c r="C190" i="133"/>
  <c r="G61" i="171"/>
  <c r="T61" i="171" s="1"/>
  <c r="C189" i="133"/>
  <c r="G60" i="171"/>
  <c r="T60" i="171" s="1"/>
  <c r="L184" i="133"/>
  <c r="L190" i="133"/>
  <c r="L189" i="133"/>
  <c r="L183" i="133"/>
  <c r="L188" i="133"/>
  <c r="L182" i="133"/>
  <c r="L185" i="133"/>
  <c r="AB37" i="168"/>
  <c r="AA33" i="169"/>
  <c r="AA33" i="130"/>
  <c r="AA33" i="167"/>
  <c r="AC37" i="130"/>
  <c r="AB37" i="169"/>
  <c r="AC32" i="168"/>
  <c r="AC32" i="169"/>
  <c r="AC32" i="130"/>
  <c r="AC33" i="168"/>
  <c r="AC33" i="167"/>
  <c r="AC33" i="169"/>
  <c r="AC33" i="130"/>
  <c r="D149" i="133"/>
  <c r="D148" i="133"/>
  <c r="AA32" i="168"/>
  <c r="AA32" i="167"/>
  <c r="B148" i="133"/>
  <c r="AA32" i="169"/>
  <c r="AA32" i="130"/>
  <c r="AC32" i="167"/>
  <c r="AB33" i="130"/>
  <c r="AB33" i="168"/>
  <c r="AB33" i="167"/>
  <c r="C149" i="133"/>
  <c r="AA37" i="167"/>
  <c r="AA37" i="169"/>
  <c r="AA37" i="168"/>
  <c r="AA37" i="130"/>
  <c r="C148" i="133"/>
  <c r="AB32" i="167"/>
  <c r="AC37" i="168"/>
  <c r="AA33" i="168"/>
  <c r="AB32" i="169"/>
  <c r="B149" i="133"/>
  <c r="AB32" i="168"/>
  <c r="AD29" i="130"/>
  <c r="AD31" i="130"/>
  <c r="AD30" i="169"/>
  <c r="AD23" i="130"/>
  <c r="AB37" i="167"/>
  <c r="C158" i="133"/>
  <c r="Z32" i="129"/>
  <c r="AC37" i="167"/>
  <c r="D158" i="133"/>
  <c r="AA32" i="129"/>
  <c r="Y32" i="129"/>
  <c r="B158" i="133"/>
  <c r="F20" i="163"/>
  <c r="F20" i="128"/>
  <c r="F20" i="162"/>
  <c r="F9" i="163"/>
  <c r="F9" i="128"/>
  <c r="F9" i="162"/>
  <c r="F20" i="161"/>
  <c r="F9" i="161"/>
  <c r="AG46" i="162"/>
  <c r="AB33" i="163" l="1"/>
  <c r="AG31" i="128"/>
  <c r="AE31" i="128"/>
  <c r="AG30" i="128"/>
  <c r="AE30" i="128"/>
  <c r="AG29" i="128"/>
  <c r="AE29" i="128"/>
  <c r="AG28" i="128"/>
  <c r="AE28" i="128"/>
  <c r="AG27" i="128"/>
  <c r="AG26" i="128"/>
  <c r="AG25" i="128"/>
  <c r="AG24" i="128"/>
  <c r="AG16" i="128"/>
  <c r="AE16" i="128"/>
  <c r="AG15" i="128"/>
  <c r="AE15" i="128"/>
  <c r="AG14" i="128"/>
  <c r="AE14" i="128"/>
  <c r="AG13" i="128"/>
  <c r="AE13" i="128"/>
  <c r="AG21" i="162"/>
  <c r="AG20" i="162"/>
  <c r="AB23" i="162"/>
  <c r="AB32" i="162"/>
  <c r="AB35" i="162"/>
  <c r="AB36" i="162"/>
  <c r="AB37" i="162"/>
  <c r="AB23" i="163"/>
  <c r="AB32" i="163"/>
  <c r="AB35" i="163"/>
  <c r="AB37" i="163"/>
  <c r="AB23" i="128"/>
  <c r="AB32" i="128"/>
  <c r="AB34" i="128"/>
  <c r="AB36" i="128"/>
  <c r="AB37" i="128"/>
  <c r="AB23" i="161"/>
  <c r="AB32" i="161"/>
  <c r="AB35" i="161"/>
  <c r="AB36" i="161"/>
  <c r="AB37" i="161"/>
  <c r="AC48" i="163"/>
  <c r="AD8" i="163"/>
  <c r="AC8" i="163"/>
  <c r="AB8" i="163"/>
  <c r="AA8" i="163"/>
  <c r="Z8" i="163"/>
  <c r="Y8" i="163"/>
  <c r="Z7" i="163"/>
  <c r="Y7" i="163"/>
  <c r="AC48" i="128"/>
  <c r="AD8" i="128"/>
  <c r="AC8" i="128"/>
  <c r="AB8" i="128"/>
  <c r="AA8" i="128"/>
  <c r="Z8" i="128"/>
  <c r="Y8" i="128"/>
  <c r="Z7" i="128"/>
  <c r="Y7" i="128"/>
  <c r="AC48" i="162"/>
  <c r="AD8" i="162"/>
  <c r="AC8" i="162"/>
  <c r="AB8" i="162"/>
  <c r="AA8" i="162"/>
  <c r="Z8" i="162"/>
  <c r="Y8" i="162"/>
  <c r="Z7" i="162"/>
  <c r="Y7" i="162"/>
  <c r="AC48" i="161"/>
  <c r="AD8" i="161"/>
  <c r="AC8" i="161"/>
  <c r="AB8" i="161"/>
  <c r="AA8" i="161"/>
  <c r="Z8" i="161"/>
  <c r="Y8" i="161"/>
  <c r="Z7" i="161"/>
  <c r="Y7" i="161"/>
  <c r="F68" i="133" l="1"/>
  <c r="AB29" i="128"/>
  <c r="AJ74" i="133" s="1"/>
  <c r="AB14" i="128"/>
  <c r="AJ59" i="133" s="1"/>
  <c r="AB30" i="128"/>
  <c r="AJ75" i="133" s="1"/>
  <c r="AB28" i="128"/>
  <c r="AJ73" i="133" s="1"/>
  <c r="AB15" i="128"/>
  <c r="AJ60" i="133" s="1"/>
  <c r="AB16" i="128"/>
  <c r="AJ61" i="133" s="1"/>
  <c r="AB13" i="128"/>
  <c r="AJ58" i="133" s="1"/>
  <c r="AB33" i="128"/>
  <c r="AB34" i="162"/>
  <c r="AB34" i="163"/>
  <c r="AB31" i="128"/>
  <c r="AJ76" i="133" s="1"/>
  <c r="F20" i="159"/>
  <c r="F20" i="160"/>
  <c r="F20" i="126"/>
  <c r="F20" i="158"/>
  <c r="F9" i="159"/>
  <c r="F9" i="160"/>
  <c r="F9" i="126"/>
  <c r="F9" i="158"/>
  <c r="N56" i="160"/>
  <c r="N55" i="160"/>
  <c r="N56" i="126"/>
  <c r="N55" i="126"/>
  <c r="N56" i="159"/>
  <c r="N55" i="159"/>
  <c r="N56" i="158"/>
  <c r="N55" i="158"/>
  <c r="AB34" i="158"/>
  <c r="AB35" i="158"/>
  <c r="N53" i="157"/>
  <c r="N52" i="157"/>
  <c r="N53" i="125"/>
  <c r="N52" i="125"/>
  <c r="N53" i="156"/>
  <c r="N52" i="156"/>
  <c r="N52" i="155"/>
  <c r="N53" i="155"/>
  <c r="N54" i="155"/>
  <c r="F20" i="156"/>
  <c r="F20" i="157"/>
  <c r="F20" i="155"/>
  <c r="F9" i="156"/>
  <c r="F9" i="157"/>
  <c r="F9" i="155"/>
  <c r="AC40" i="158"/>
  <c r="AH38" i="158"/>
  <c r="AF38" i="158"/>
  <c r="AD8" i="158"/>
  <c r="AC8" i="158"/>
  <c r="AB8" i="158"/>
  <c r="AA8" i="158"/>
  <c r="Z8" i="158"/>
  <c r="Y8" i="158"/>
  <c r="Z7" i="158"/>
  <c r="Y7" i="158"/>
  <c r="F20" i="125"/>
  <c r="F9" i="125"/>
  <c r="AB31" i="155"/>
  <c r="AB32" i="155"/>
  <c r="AB33" i="155"/>
  <c r="AF37" i="155"/>
  <c r="AC45" i="155"/>
  <c r="AF40" i="155"/>
  <c r="AH40" i="155"/>
  <c r="AH38" i="155"/>
  <c r="AF38" i="155"/>
  <c r="AH37" i="155"/>
  <c r="AH36" i="155"/>
  <c r="AH35" i="155"/>
  <c r="AF35" i="155"/>
  <c r="AH34" i="155"/>
  <c r="AF34" i="155"/>
  <c r="AD8" i="155"/>
  <c r="AC8" i="155"/>
  <c r="AB8" i="155"/>
  <c r="AA8" i="155"/>
  <c r="Z8" i="155"/>
  <c r="Y8" i="155"/>
  <c r="Z7" i="155"/>
  <c r="Y7" i="155"/>
  <c r="L181" i="133"/>
  <c r="E173" i="139"/>
  <c r="L173" i="139"/>
  <c r="A173" i="139" s="1"/>
  <c r="M173" i="139"/>
  <c r="B173" i="139" s="1"/>
  <c r="N173" i="139"/>
  <c r="C173" i="139" s="1"/>
  <c r="O173" i="139"/>
  <c r="D173" i="139" s="1"/>
  <c r="E182" i="133" s="1"/>
  <c r="R173" i="139"/>
  <c r="T173" i="139"/>
  <c r="I173" i="139" s="1"/>
  <c r="J182" i="133" s="1"/>
  <c r="U173" i="139"/>
  <c r="J173" i="139" s="1"/>
  <c r="K182" i="133" s="1"/>
  <c r="E174" i="139"/>
  <c r="L174" i="139"/>
  <c r="A174" i="139" s="1"/>
  <c r="M174" i="139"/>
  <c r="B174" i="139" s="1"/>
  <c r="N174" i="139"/>
  <c r="C174" i="139" s="1"/>
  <c r="O174" i="139"/>
  <c r="D174" i="139" s="1"/>
  <c r="E183" i="133" s="1"/>
  <c r="R174" i="139"/>
  <c r="T174" i="139"/>
  <c r="I174" i="139" s="1"/>
  <c r="J183" i="133" s="1"/>
  <c r="U174" i="139"/>
  <c r="J174" i="139" s="1"/>
  <c r="K183" i="133" s="1"/>
  <c r="E175" i="139"/>
  <c r="L175" i="139"/>
  <c r="A175" i="139" s="1"/>
  <c r="M175" i="139"/>
  <c r="B175" i="139" s="1"/>
  <c r="N175" i="139"/>
  <c r="C175" i="139" s="1"/>
  <c r="O175" i="139"/>
  <c r="D175" i="139" s="1"/>
  <c r="E184" i="133" s="1"/>
  <c r="R175" i="139"/>
  <c r="T175" i="139"/>
  <c r="I175" i="139" s="1"/>
  <c r="J184" i="133" s="1"/>
  <c r="U175" i="139"/>
  <c r="J175" i="139" s="1"/>
  <c r="K184" i="133" s="1"/>
  <c r="E176" i="139"/>
  <c r="L176" i="139"/>
  <c r="A176" i="139" s="1"/>
  <c r="M176" i="139"/>
  <c r="B176" i="139" s="1"/>
  <c r="N176" i="139"/>
  <c r="C176" i="139" s="1"/>
  <c r="O176" i="139"/>
  <c r="D176" i="139" s="1"/>
  <c r="E185" i="133" s="1"/>
  <c r="R176" i="139"/>
  <c r="T176" i="139"/>
  <c r="I176" i="139" s="1"/>
  <c r="J185" i="133" s="1"/>
  <c r="U176" i="139"/>
  <c r="J176" i="139" s="1"/>
  <c r="K185" i="133" s="1"/>
  <c r="E177" i="139"/>
  <c r="L177" i="139"/>
  <c r="A177" i="139" s="1"/>
  <c r="B66" i="171" s="1"/>
  <c r="O66" i="171" s="1"/>
  <c r="M177" i="139"/>
  <c r="B177" i="139" s="1"/>
  <c r="N177" i="139"/>
  <c r="C177" i="139" s="1"/>
  <c r="O177" i="139"/>
  <c r="D177" i="139" s="1"/>
  <c r="R177" i="139"/>
  <c r="T177" i="139"/>
  <c r="I177" i="139" s="1"/>
  <c r="U177" i="139"/>
  <c r="J177" i="139" s="1"/>
  <c r="E178" i="139"/>
  <c r="L178" i="139"/>
  <c r="A178" i="139" s="1"/>
  <c r="B65" i="171" s="1"/>
  <c r="O65" i="171" s="1"/>
  <c r="M178" i="139"/>
  <c r="B178" i="139" s="1"/>
  <c r="G65" i="171" s="1"/>
  <c r="T65" i="171" s="1"/>
  <c r="N178" i="139"/>
  <c r="C178" i="139" s="1"/>
  <c r="O178" i="139"/>
  <c r="D178" i="139" s="1"/>
  <c r="E186" i="133" s="1"/>
  <c r="R178" i="139"/>
  <c r="T178" i="139"/>
  <c r="I178" i="139" s="1"/>
  <c r="J186" i="133" s="1"/>
  <c r="U178" i="139"/>
  <c r="J178" i="139" s="1"/>
  <c r="K186" i="133" s="1"/>
  <c r="E179" i="139"/>
  <c r="L179" i="139"/>
  <c r="A179" i="139" s="1"/>
  <c r="M179" i="139"/>
  <c r="B179" i="139" s="1"/>
  <c r="N179" i="139"/>
  <c r="C179" i="139" s="1"/>
  <c r="O179" i="139"/>
  <c r="D179" i="139" s="1"/>
  <c r="E187" i="133" s="1"/>
  <c r="R179" i="139"/>
  <c r="T179" i="139"/>
  <c r="I179" i="139" s="1"/>
  <c r="J187" i="133" s="1"/>
  <c r="U179" i="139"/>
  <c r="J179" i="139" s="1"/>
  <c r="K187" i="133" s="1"/>
  <c r="E180" i="139"/>
  <c r="L180" i="139"/>
  <c r="A180" i="139" s="1"/>
  <c r="M180" i="139"/>
  <c r="B180" i="139" s="1"/>
  <c r="N180" i="139"/>
  <c r="C180" i="139" s="1"/>
  <c r="O180" i="139"/>
  <c r="D180" i="139" s="1"/>
  <c r="E188" i="133" s="1"/>
  <c r="R180" i="139"/>
  <c r="T180" i="139"/>
  <c r="I180" i="139" s="1"/>
  <c r="J188" i="133" s="1"/>
  <c r="U180" i="139"/>
  <c r="J180" i="139" s="1"/>
  <c r="K188" i="133" s="1"/>
  <c r="E200" i="139"/>
  <c r="A200" i="139"/>
  <c r="B193" i="133" s="1"/>
  <c r="B200" i="139"/>
  <c r="C193" i="133" s="1"/>
  <c r="C200" i="139"/>
  <c r="D193" i="133" s="1"/>
  <c r="D200" i="139"/>
  <c r="I200" i="139"/>
  <c r="J193" i="133" s="1"/>
  <c r="J200" i="139"/>
  <c r="K193" i="133" s="1"/>
  <c r="E201" i="139"/>
  <c r="A201" i="139"/>
  <c r="B194" i="133" s="1"/>
  <c r="B201" i="139"/>
  <c r="C194" i="133" s="1"/>
  <c r="C201" i="139"/>
  <c r="D194" i="133" s="1"/>
  <c r="D201" i="139"/>
  <c r="I201" i="139"/>
  <c r="J194" i="133" s="1"/>
  <c r="J201" i="139"/>
  <c r="K194" i="133" s="1"/>
  <c r="U170" i="139"/>
  <c r="J170" i="139" s="1"/>
  <c r="T170" i="139"/>
  <c r="I170" i="139" s="1"/>
  <c r="R170" i="139"/>
  <c r="O170" i="139"/>
  <c r="D170" i="139" s="1"/>
  <c r="N170" i="139"/>
  <c r="C170" i="139" s="1"/>
  <c r="M170" i="139"/>
  <c r="B170" i="139" s="1"/>
  <c r="L170" i="139"/>
  <c r="A170" i="139" s="1"/>
  <c r="E170" i="139"/>
  <c r="C186" i="133" l="1"/>
  <c r="B186" i="133"/>
  <c r="D186" i="133"/>
  <c r="C188" i="133"/>
  <c r="G56" i="171"/>
  <c r="T56" i="171" s="1"/>
  <c r="C187" i="133"/>
  <c r="G54" i="171"/>
  <c r="T54" i="171" s="1"/>
  <c r="B188" i="133"/>
  <c r="B56" i="171"/>
  <c r="O56" i="171" s="1"/>
  <c r="B187" i="133"/>
  <c r="B54" i="171"/>
  <c r="O54" i="171" s="1"/>
  <c r="B184" i="133"/>
  <c r="B57" i="171"/>
  <c r="O57" i="171" s="1"/>
  <c r="B183" i="133"/>
  <c r="B59" i="171"/>
  <c r="O59" i="171" s="1"/>
  <c r="B182" i="133"/>
  <c r="B58" i="171"/>
  <c r="O58" i="171" s="1"/>
  <c r="D184" i="133"/>
  <c r="I57" i="171"/>
  <c r="V57" i="171" s="1"/>
  <c r="D183" i="133"/>
  <c r="I59" i="171"/>
  <c r="V59" i="171" s="1"/>
  <c r="D182" i="133"/>
  <c r="I58" i="171"/>
  <c r="V58" i="171" s="1"/>
  <c r="D188" i="133"/>
  <c r="I56" i="171"/>
  <c r="V56" i="171" s="1"/>
  <c r="D187" i="133"/>
  <c r="I54" i="171"/>
  <c r="V54" i="171" s="1"/>
  <c r="C184" i="133"/>
  <c r="G57" i="171"/>
  <c r="T57" i="171" s="1"/>
  <c r="C183" i="133"/>
  <c r="G59" i="171"/>
  <c r="T59" i="171" s="1"/>
  <c r="C182" i="133"/>
  <c r="G58" i="171"/>
  <c r="T58" i="171" s="1"/>
  <c r="M181" i="133"/>
  <c r="D185" i="133"/>
  <c r="I55" i="171"/>
  <c r="V55" i="171" s="1"/>
  <c r="G55" i="171"/>
  <c r="T55" i="171" s="1"/>
  <c r="C185" i="133"/>
  <c r="B55" i="171"/>
  <c r="O55" i="171" s="1"/>
  <c r="B185" i="133"/>
  <c r="AH41" i="155"/>
  <c r="AF36" i="155"/>
  <c r="L167" i="133"/>
  <c r="L166" i="133"/>
  <c r="L163" i="133"/>
  <c r="L161" i="133"/>
  <c r="L160" i="133"/>
  <c r="L159" i="133"/>
  <c r="L157" i="133"/>
  <c r="L156" i="133"/>
  <c r="L153" i="133"/>
  <c r="L152" i="133"/>
  <c r="L119" i="133"/>
  <c r="L116" i="133"/>
  <c r="L112" i="133"/>
  <c r="L108" i="133"/>
  <c r="L107" i="133"/>
  <c r="L106" i="133"/>
  <c r="L105" i="133"/>
  <c r="L104" i="133"/>
  <c r="L102" i="133"/>
  <c r="L92" i="133"/>
  <c r="L82" i="133"/>
  <c r="L77" i="133"/>
  <c r="L68" i="133"/>
  <c r="L35" i="133"/>
  <c r="L27" i="133"/>
  <c r="B206" i="133"/>
  <c r="F20" i="151"/>
  <c r="F20" i="152"/>
  <c r="F20" i="153"/>
  <c r="F20" i="154"/>
  <c r="F20" i="150"/>
  <c r="F20" i="149"/>
  <c r="F9" i="150"/>
  <c r="F9" i="151"/>
  <c r="F9" i="152"/>
  <c r="F9" i="153"/>
  <c r="F9" i="154"/>
  <c r="F9" i="149"/>
  <c r="F20" i="148"/>
  <c r="L173" i="133" l="1"/>
  <c r="L180" i="133"/>
  <c r="L177" i="133"/>
  <c r="L178" i="133"/>
  <c r="L179" i="133"/>
  <c r="L175" i="133"/>
  <c r="L176" i="133"/>
  <c r="L174" i="133"/>
  <c r="E185" i="139"/>
  <c r="E186" i="139"/>
  <c r="E187" i="139"/>
  <c r="E191" i="139"/>
  <c r="E192" i="139"/>
  <c r="E193" i="139"/>
  <c r="E188" i="139"/>
  <c r="E189" i="139"/>
  <c r="E190" i="139"/>
  <c r="E194" i="139"/>
  <c r="E195" i="139"/>
  <c r="E196" i="139"/>
  <c r="E197" i="139"/>
  <c r="E198" i="139"/>
  <c r="E199" i="139"/>
  <c r="E83" i="139"/>
  <c r="E84" i="139"/>
  <c r="E85" i="139"/>
  <c r="E86" i="139"/>
  <c r="E87" i="139"/>
  <c r="E88" i="139"/>
  <c r="E89" i="139"/>
  <c r="E90" i="139"/>
  <c r="E91" i="139"/>
  <c r="E92" i="139"/>
  <c r="E93" i="139"/>
  <c r="E94" i="139"/>
  <c r="E95" i="139"/>
  <c r="E96" i="139"/>
  <c r="E97" i="139"/>
  <c r="E98" i="139"/>
  <c r="E99" i="139"/>
  <c r="E100" i="139"/>
  <c r="E101" i="139"/>
  <c r="E62" i="139"/>
  <c r="E63" i="139"/>
  <c r="E64" i="139"/>
  <c r="E65" i="139"/>
  <c r="E66" i="139"/>
  <c r="E67" i="139"/>
  <c r="C2" i="139"/>
  <c r="B2" i="139" s="1"/>
  <c r="E159" i="139"/>
  <c r="E160" i="139"/>
  <c r="E161" i="139"/>
  <c r="E162" i="139"/>
  <c r="E163" i="139"/>
  <c r="E164" i="139"/>
  <c r="E165" i="139"/>
  <c r="E166" i="139"/>
  <c r="E167" i="139"/>
  <c r="E169" i="139"/>
  <c r="E184" i="139"/>
  <c r="D161" i="139"/>
  <c r="E161" i="133" s="1"/>
  <c r="I161" i="139"/>
  <c r="J161" i="133" s="1"/>
  <c r="J161" i="139"/>
  <c r="K161" i="133" s="1"/>
  <c r="D162" i="139"/>
  <c r="E162" i="133" s="1"/>
  <c r="I162" i="139"/>
  <c r="J162" i="133" s="1"/>
  <c r="J162" i="139"/>
  <c r="K162" i="133" s="1"/>
  <c r="D163" i="139"/>
  <c r="E163" i="133" s="1"/>
  <c r="I163" i="139"/>
  <c r="J163" i="133" s="1"/>
  <c r="J163" i="139"/>
  <c r="K163" i="133" s="1"/>
  <c r="D164" i="139"/>
  <c r="I164" i="139"/>
  <c r="J164" i="139"/>
  <c r="D165" i="139"/>
  <c r="I165" i="139"/>
  <c r="J165" i="139"/>
  <c r="D166" i="139"/>
  <c r="E164" i="133" s="1"/>
  <c r="I166" i="139"/>
  <c r="J164" i="133" s="1"/>
  <c r="J166" i="139"/>
  <c r="K164" i="133" s="1"/>
  <c r="D167" i="139"/>
  <c r="E165" i="133" s="1"/>
  <c r="I167" i="139"/>
  <c r="J165" i="133" s="1"/>
  <c r="J167" i="139"/>
  <c r="K165" i="133" s="1"/>
  <c r="D169" i="139"/>
  <c r="E166" i="133" s="1"/>
  <c r="I169" i="139"/>
  <c r="J166" i="133" s="1"/>
  <c r="J169" i="139"/>
  <c r="K166" i="133" s="1"/>
  <c r="D184" i="139"/>
  <c r="E167" i="133" s="1"/>
  <c r="I184" i="139"/>
  <c r="J167" i="133" s="1"/>
  <c r="J184" i="139"/>
  <c r="K167" i="133" s="1"/>
  <c r="O185" i="139"/>
  <c r="D185" i="139" s="1"/>
  <c r="E168" i="133" s="1"/>
  <c r="R185" i="139"/>
  <c r="T185" i="139"/>
  <c r="I185" i="139" s="1"/>
  <c r="J168" i="133" s="1"/>
  <c r="U185" i="139"/>
  <c r="J185" i="139" s="1"/>
  <c r="K168" i="133" s="1"/>
  <c r="O186" i="139"/>
  <c r="D186" i="139" s="1"/>
  <c r="E169" i="133" s="1"/>
  <c r="R186" i="139"/>
  <c r="T186" i="139"/>
  <c r="I186" i="139" s="1"/>
  <c r="J169" i="133" s="1"/>
  <c r="U186" i="139"/>
  <c r="J186" i="139" s="1"/>
  <c r="K169" i="133" s="1"/>
  <c r="O187" i="139"/>
  <c r="D187" i="139" s="1"/>
  <c r="E170" i="133" s="1"/>
  <c r="R187" i="139"/>
  <c r="T187" i="139"/>
  <c r="I187" i="139" s="1"/>
  <c r="J170" i="133" s="1"/>
  <c r="U187" i="139"/>
  <c r="J187" i="139" s="1"/>
  <c r="K170" i="133" s="1"/>
  <c r="O191" i="139"/>
  <c r="D191" i="139" s="1"/>
  <c r="E174" i="133" s="1"/>
  <c r="R191" i="139"/>
  <c r="T191" i="139"/>
  <c r="I191" i="139" s="1"/>
  <c r="J174" i="133" s="1"/>
  <c r="U191" i="139"/>
  <c r="J191" i="139" s="1"/>
  <c r="K174" i="133" s="1"/>
  <c r="O192" i="139"/>
  <c r="D192" i="139" s="1"/>
  <c r="E175" i="133" s="1"/>
  <c r="R192" i="139"/>
  <c r="T192" i="139"/>
  <c r="I192" i="139" s="1"/>
  <c r="J175" i="133" s="1"/>
  <c r="U192" i="139"/>
  <c r="J192" i="139" s="1"/>
  <c r="K175" i="133" s="1"/>
  <c r="O193" i="139"/>
  <c r="D193" i="139" s="1"/>
  <c r="E176" i="133" s="1"/>
  <c r="R193" i="139"/>
  <c r="T193" i="139"/>
  <c r="I193" i="139" s="1"/>
  <c r="J176" i="133" s="1"/>
  <c r="U193" i="139"/>
  <c r="J193" i="139" s="1"/>
  <c r="K176" i="133" s="1"/>
  <c r="O188" i="139"/>
  <c r="D188" i="139" s="1"/>
  <c r="E171" i="133" s="1"/>
  <c r="R188" i="139"/>
  <c r="T188" i="139"/>
  <c r="I188" i="139" s="1"/>
  <c r="J171" i="133" s="1"/>
  <c r="U188" i="139"/>
  <c r="J188" i="139" s="1"/>
  <c r="K171" i="133" s="1"/>
  <c r="O189" i="139"/>
  <c r="D189" i="139" s="1"/>
  <c r="E172" i="133" s="1"/>
  <c r="R189" i="139"/>
  <c r="T189" i="139"/>
  <c r="I189" i="139" s="1"/>
  <c r="J172" i="133" s="1"/>
  <c r="U189" i="139"/>
  <c r="J189" i="139" s="1"/>
  <c r="K172" i="133" s="1"/>
  <c r="O190" i="139"/>
  <c r="D190" i="139" s="1"/>
  <c r="E173" i="133" s="1"/>
  <c r="R190" i="139"/>
  <c r="T190" i="139"/>
  <c r="I190" i="139" s="1"/>
  <c r="J173" i="133" s="1"/>
  <c r="U190" i="139"/>
  <c r="J190" i="139" s="1"/>
  <c r="K173" i="133" s="1"/>
  <c r="O194" i="139"/>
  <c r="D194" i="139" s="1"/>
  <c r="E177" i="133" s="1"/>
  <c r="R194" i="139"/>
  <c r="T194" i="139"/>
  <c r="I194" i="139" s="1"/>
  <c r="J177" i="133" s="1"/>
  <c r="U194" i="139"/>
  <c r="J194" i="139" s="1"/>
  <c r="K177" i="133" s="1"/>
  <c r="O195" i="139"/>
  <c r="D195" i="139" s="1"/>
  <c r="E178" i="133" s="1"/>
  <c r="R195" i="139"/>
  <c r="T195" i="139"/>
  <c r="I195" i="139" s="1"/>
  <c r="J178" i="133" s="1"/>
  <c r="U195" i="139"/>
  <c r="J195" i="139" s="1"/>
  <c r="K178" i="133" s="1"/>
  <c r="O196" i="139"/>
  <c r="D196" i="139" s="1"/>
  <c r="E179" i="133" s="1"/>
  <c r="R196" i="139"/>
  <c r="T196" i="139"/>
  <c r="I196" i="139" s="1"/>
  <c r="J179" i="133" s="1"/>
  <c r="U196" i="139"/>
  <c r="J196" i="139" s="1"/>
  <c r="K179" i="133" s="1"/>
  <c r="O197" i="139"/>
  <c r="D197" i="139" s="1"/>
  <c r="E180" i="133" s="1"/>
  <c r="R197" i="139"/>
  <c r="T197" i="139"/>
  <c r="I197" i="139" s="1"/>
  <c r="J180" i="133" s="1"/>
  <c r="U197" i="139"/>
  <c r="J197" i="139" s="1"/>
  <c r="K180" i="133" s="1"/>
  <c r="O198" i="139"/>
  <c r="D198" i="139" s="1"/>
  <c r="R198" i="139"/>
  <c r="T198" i="139"/>
  <c r="I198" i="139" s="1"/>
  <c r="U198" i="139"/>
  <c r="J198" i="139" s="1"/>
  <c r="D199" i="139"/>
  <c r="I199" i="139"/>
  <c r="J199" i="139"/>
  <c r="J160" i="139"/>
  <c r="K160" i="133" s="1"/>
  <c r="I160" i="139"/>
  <c r="J160" i="133" s="1"/>
  <c r="A161" i="139"/>
  <c r="B161" i="133" s="1"/>
  <c r="B161" i="139"/>
  <c r="C161" i="133" s="1"/>
  <c r="C161" i="139"/>
  <c r="D161" i="133" s="1"/>
  <c r="A162" i="139"/>
  <c r="B162" i="139"/>
  <c r="C162" i="139"/>
  <c r="A163" i="139"/>
  <c r="B163" i="139"/>
  <c r="C163" i="139"/>
  <c r="A164" i="139"/>
  <c r="B164" i="139"/>
  <c r="C164" i="139"/>
  <c r="A165" i="139"/>
  <c r="B165" i="139"/>
  <c r="C165" i="139"/>
  <c r="A166" i="139"/>
  <c r="B166" i="139"/>
  <c r="C166" i="139"/>
  <c r="A167" i="139"/>
  <c r="B167" i="139"/>
  <c r="C167" i="139"/>
  <c r="A169" i="139"/>
  <c r="O32" i="171" s="1"/>
  <c r="B169" i="139"/>
  <c r="T32" i="171" s="1"/>
  <c r="C169" i="139"/>
  <c r="A184" i="139"/>
  <c r="B167" i="133" s="1"/>
  <c r="B184" i="139"/>
  <c r="C167" i="133" s="1"/>
  <c r="C184" i="139"/>
  <c r="D167" i="133" s="1"/>
  <c r="L185" i="139"/>
  <c r="A185" i="139" s="1"/>
  <c r="M185" i="139"/>
  <c r="B185" i="139" s="1"/>
  <c r="N185" i="139"/>
  <c r="C185" i="139" s="1"/>
  <c r="L186" i="139"/>
  <c r="A186" i="139" s="1"/>
  <c r="M186" i="139"/>
  <c r="B186" i="139" s="1"/>
  <c r="N186" i="139"/>
  <c r="C186" i="139" s="1"/>
  <c r="L187" i="139"/>
  <c r="A187" i="139" s="1"/>
  <c r="M187" i="139"/>
  <c r="B187" i="139" s="1"/>
  <c r="N187" i="139"/>
  <c r="C187" i="139" s="1"/>
  <c r="L191" i="139"/>
  <c r="A191" i="139" s="1"/>
  <c r="M191" i="139"/>
  <c r="B191" i="139" s="1"/>
  <c r="N191" i="139"/>
  <c r="C191" i="139" s="1"/>
  <c r="L192" i="139"/>
  <c r="A192" i="139" s="1"/>
  <c r="M192" i="139"/>
  <c r="B192" i="139" s="1"/>
  <c r="N192" i="139"/>
  <c r="C192" i="139" s="1"/>
  <c r="L193" i="139"/>
  <c r="A193" i="139" s="1"/>
  <c r="M193" i="139"/>
  <c r="B193" i="139" s="1"/>
  <c r="N193" i="139"/>
  <c r="C193" i="139" s="1"/>
  <c r="L188" i="139"/>
  <c r="A188" i="139" s="1"/>
  <c r="M188" i="139"/>
  <c r="B188" i="139" s="1"/>
  <c r="N188" i="139"/>
  <c r="C188" i="139" s="1"/>
  <c r="L189" i="139"/>
  <c r="A189" i="139" s="1"/>
  <c r="M189" i="139"/>
  <c r="B189" i="139" s="1"/>
  <c r="N189" i="139"/>
  <c r="C189" i="139" s="1"/>
  <c r="L190" i="139"/>
  <c r="A190" i="139" s="1"/>
  <c r="M190" i="139"/>
  <c r="B190" i="139" s="1"/>
  <c r="N190" i="139"/>
  <c r="C190" i="139" s="1"/>
  <c r="L194" i="139"/>
  <c r="A194" i="139" s="1"/>
  <c r="M194" i="139"/>
  <c r="B194" i="139" s="1"/>
  <c r="N194" i="139"/>
  <c r="C194" i="139" s="1"/>
  <c r="L195" i="139"/>
  <c r="A195" i="139" s="1"/>
  <c r="M195" i="139"/>
  <c r="B195" i="139" s="1"/>
  <c r="N195" i="139"/>
  <c r="C195" i="139" s="1"/>
  <c r="L196" i="139"/>
  <c r="A196" i="139" s="1"/>
  <c r="M196" i="139"/>
  <c r="B196" i="139" s="1"/>
  <c r="N196" i="139"/>
  <c r="C196" i="139" s="1"/>
  <c r="L197" i="139"/>
  <c r="A197" i="139" s="1"/>
  <c r="M197" i="139"/>
  <c r="B197" i="139" s="1"/>
  <c r="N197" i="139"/>
  <c r="C197" i="139" s="1"/>
  <c r="L198" i="139"/>
  <c r="A198" i="139" s="1"/>
  <c r="M198" i="139"/>
  <c r="B198" i="139" s="1"/>
  <c r="N198" i="139"/>
  <c r="C198" i="139" s="1"/>
  <c r="A199" i="139"/>
  <c r="B199" i="139"/>
  <c r="C199" i="139"/>
  <c r="B160" i="139"/>
  <c r="C160" i="133" s="1"/>
  <c r="C160" i="139"/>
  <c r="D160" i="133" s="1"/>
  <c r="D160" i="139"/>
  <c r="E160" i="133" s="1"/>
  <c r="A160" i="139"/>
  <c r="B160" i="133" s="1"/>
  <c r="AE38" i="172"/>
  <c r="AE37" i="172"/>
  <c r="AD38" i="172"/>
  <c r="AD37" i="172"/>
  <c r="AE33" i="172"/>
  <c r="AE32" i="172"/>
  <c r="AD33" i="172"/>
  <c r="AD32" i="172"/>
  <c r="AE28" i="172"/>
  <c r="AE27" i="172"/>
  <c r="AD28" i="172"/>
  <c r="AD27" i="172"/>
  <c r="AE23" i="172"/>
  <c r="AE22" i="172"/>
  <c r="AD23" i="172"/>
  <c r="AD22" i="172"/>
  <c r="AD18" i="172"/>
  <c r="AE18" i="172"/>
  <c r="AE17" i="172"/>
  <c r="AD17" i="172"/>
  <c r="AC36" i="172"/>
  <c r="AC31" i="172"/>
  <c r="AC26" i="172"/>
  <c r="AC21" i="172"/>
  <c r="AC16" i="172"/>
  <c r="B4" i="125"/>
  <c r="K23" i="145"/>
  <c r="K23" i="144"/>
  <c r="K23" i="143"/>
  <c r="I74" i="124"/>
  <c r="Q76" i="124"/>
  <c r="I77" i="124"/>
  <c r="Q77" i="124" s="1"/>
  <c r="I78" i="124"/>
  <c r="Q78" i="124" s="1"/>
  <c r="I79" i="124"/>
  <c r="Q79" i="124" s="1"/>
  <c r="Q80" i="124"/>
  <c r="Q81" i="124"/>
  <c r="P31" i="124"/>
  <c r="R31" i="124"/>
  <c r="P32" i="124"/>
  <c r="R32" i="124"/>
  <c r="P33" i="124"/>
  <c r="R33" i="124"/>
  <c r="B437" i="173"/>
  <c r="B1" i="173"/>
  <c r="P320" i="172"/>
  <c r="C311" i="172"/>
  <c r="C310" i="172"/>
  <c r="C309" i="172"/>
  <c r="C308" i="172"/>
  <c r="C307" i="172"/>
  <c r="C306" i="172"/>
  <c r="C305" i="172"/>
  <c r="C303" i="172"/>
  <c r="H56" i="172"/>
  <c r="H55" i="172"/>
  <c r="H54" i="172"/>
  <c r="H53" i="172"/>
  <c r="H52" i="172"/>
  <c r="F49" i="172"/>
  <c r="V46" i="172"/>
  <c r="K46" i="172"/>
  <c r="X38" i="172"/>
  <c r="W38" i="172"/>
  <c r="Q38" i="172"/>
  <c r="P38" i="172"/>
  <c r="J38" i="172"/>
  <c r="I38" i="172"/>
  <c r="X37" i="172"/>
  <c r="W37" i="172"/>
  <c r="Q37" i="172"/>
  <c r="P37" i="172"/>
  <c r="J37" i="172"/>
  <c r="I37" i="172"/>
  <c r="V36" i="172"/>
  <c r="O36" i="172"/>
  <c r="H36" i="172"/>
  <c r="X33" i="172"/>
  <c r="W33" i="172"/>
  <c r="Q33" i="172"/>
  <c r="P33" i="172"/>
  <c r="J33" i="172"/>
  <c r="I33" i="172"/>
  <c r="X32" i="172"/>
  <c r="W32" i="172"/>
  <c r="Q32" i="172"/>
  <c r="P32" i="172"/>
  <c r="J32" i="172"/>
  <c r="I32" i="172"/>
  <c r="V31" i="172"/>
  <c r="O31" i="172"/>
  <c r="H31" i="172"/>
  <c r="X28" i="172"/>
  <c r="W28" i="172"/>
  <c r="Q28" i="172"/>
  <c r="P28" i="172"/>
  <c r="J28" i="172"/>
  <c r="I28" i="172"/>
  <c r="X27" i="172"/>
  <c r="W27" i="172"/>
  <c r="Q27" i="172"/>
  <c r="P27" i="172"/>
  <c r="J27" i="172"/>
  <c r="I27" i="172"/>
  <c r="V26" i="172"/>
  <c r="O26" i="172"/>
  <c r="H26" i="172"/>
  <c r="X23" i="172"/>
  <c r="W23" i="172"/>
  <c r="Q23" i="172"/>
  <c r="P23" i="172"/>
  <c r="J23" i="172"/>
  <c r="I23" i="172"/>
  <c r="X22" i="172"/>
  <c r="W22" i="172"/>
  <c r="Q22" i="172"/>
  <c r="P22" i="172"/>
  <c r="J22" i="172"/>
  <c r="I22" i="172"/>
  <c r="V21" i="172"/>
  <c r="O21" i="172"/>
  <c r="H21" i="172"/>
  <c r="X18" i="172"/>
  <c r="W18" i="172"/>
  <c r="Q18" i="172"/>
  <c r="P18" i="172"/>
  <c r="J18" i="172"/>
  <c r="I18" i="172"/>
  <c r="X17" i="172"/>
  <c r="W17" i="172"/>
  <c r="Q17" i="172"/>
  <c r="P17" i="172"/>
  <c r="J17" i="172"/>
  <c r="I17" i="172"/>
  <c r="V16" i="172"/>
  <c r="O16" i="172"/>
  <c r="H16" i="172"/>
  <c r="AE13" i="172"/>
  <c r="AD13" i="172"/>
  <c r="X13" i="172"/>
  <c r="W13" i="172"/>
  <c r="Q13" i="172"/>
  <c r="P13" i="172"/>
  <c r="J13" i="172"/>
  <c r="I13" i="172"/>
  <c r="AE12" i="172"/>
  <c r="AD12" i="172"/>
  <c r="X12" i="172"/>
  <c r="W12" i="172"/>
  <c r="Q12" i="172"/>
  <c r="P12" i="172"/>
  <c r="J12" i="172"/>
  <c r="I12" i="172"/>
  <c r="AC11" i="172"/>
  <c r="V11" i="172"/>
  <c r="O11" i="172"/>
  <c r="H11" i="172"/>
  <c r="AC10" i="172"/>
  <c r="V10" i="172"/>
  <c r="O10" i="172"/>
  <c r="H10" i="172"/>
  <c r="X8" i="172"/>
  <c r="W8" i="172"/>
  <c r="Q8" i="172"/>
  <c r="P8" i="172"/>
  <c r="J8" i="172"/>
  <c r="I8" i="172"/>
  <c r="X7" i="172"/>
  <c r="W7" i="172"/>
  <c r="Q7" i="172"/>
  <c r="P7" i="172"/>
  <c r="J7" i="172"/>
  <c r="I7" i="172"/>
  <c r="V6" i="172"/>
  <c r="O6" i="172"/>
  <c r="H6" i="172"/>
  <c r="AI3" i="172"/>
  <c r="B3" i="172"/>
  <c r="K308" i="171"/>
  <c r="B302" i="171"/>
  <c r="B301" i="171"/>
  <c r="B299" i="171"/>
  <c r="Y70" i="171"/>
  <c r="X68" i="171"/>
  <c r="L53" i="171"/>
  <c r="K53" i="171"/>
  <c r="J53" i="171"/>
  <c r="I53" i="171"/>
  <c r="B53" i="171"/>
  <c r="L36" i="171"/>
  <c r="K36" i="171"/>
  <c r="J36" i="171"/>
  <c r="I36" i="171"/>
  <c r="B36" i="171"/>
  <c r="L24" i="171"/>
  <c r="K24" i="171"/>
  <c r="J24" i="171"/>
  <c r="I24" i="171"/>
  <c r="B24" i="171"/>
  <c r="B22" i="171"/>
  <c r="B19" i="171"/>
  <c r="AB10" i="171"/>
  <c r="AB9" i="171"/>
  <c r="L12" i="171"/>
  <c r="K12" i="171"/>
  <c r="J12" i="171"/>
  <c r="I12" i="171"/>
  <c r="B12" i="171"/>
  <c r="AB7" i="171"/>
  <c r="AB6" i="171"/>
  <c r="B6" i="171"/>
  <c r="AB3" i="171"/>
  <c r="L127" i="169"/>
  <c r="B116" i="169"/>
  <c r="B113" i="169"/>
  <c r="B112" i="169"/>
  <c r="B110" i="169"/>
  <c r="B109" i="169"/>
  <c r="B108" i="169"/>
  <c r="E106" i="169"/>
  <c r="D106" i="169"/>
  <c r="B103" i="169"/>
  <c r="B102" i="169"/>
  <c r="X94" i="169"/>
  <c r="X93" i="169"/>
  <c r="X92" i="169"/>
  <c r="AG94" i="169"/>
  <c r="AB94" i="169"/>
  <c r="AG93" i="169"/>
  <c r="AB93" i="169"/>
  <c r="AG92" i="169"/>
  <c r="Z65" i="169" s="1"/>
  <c r="AB92" i="169"/>
  <c r="N84" i="169"/>
  <c r="N83" i="169"/>
  <c r="AA81" i="169"/>
  <c r="U81" i="169"/>
  <c r="N81" i="169"/>
  <c r="AG80" i="169"/>
  <c r="U80" i="169"/>
  <c r="N80" i="169"/>
  <c r="AA75" i="169"/>
  <c r="AA84" i="169" s="1"/>
  <c r="Z75" i="169"/>
  <c r="Z84" i="169" s="1"/>
  <c r="N75" i="169"/>
  <c r="N74" i="169"/>
  <c r="U72" i="169"/>
  <c r="N72" i="169"/>
  <c r="AH71" i="169"/>
  <c r="U71" i="169"/>
  <c r="N71" i="169"/>
  <c r="Z68" i="169"/>
  <c r="V65" i="169" s="1"/>
  <c r="K4" i="169" s="1"/>
  <c r="Z67" i="169"/>
  <c r="Q66" i="169"/>
  <c r="Q65" i="169"/>
  <c r="N64" i="169"/>
  <c r="N57" i="169"/>
  <c r="N56" i="169"/>
  <c r="N55" i="169"/>
  <c r="N54" i="169"/>
  <c r="T52" i="169"/>
  <c r="P52" i="169"/>
  <c r="T51" i="169"/>
  <c r="P51" i="169"/>
  <c r="T49" i="169"/>
  <c r="P49" i="169"/>
  <c r="O49" i="169"/>
  <c r="N46" i="169"/>
  <c r="N45" i="169"/>
  <c r="N43" i="169"/>
  <c r="B43" i="169"/>
  <c r="N42" i="169"/>
  <c r="N40" i="169"/>
  <c r="N39" i="169"/>
  <c r="N38" i="169"/>
  <c r="C37" i="169"/>
  <c r="C36" i="169"/>
  <c r="C35" i="169"/>
  <c r="C34" i="169"/>
  <c r="S31" i="169"/>
  <c r="B28" i="169"/>
  <c r="E27" i="169"/>
  <c r="B27" i="169"/>
  <c r="W24" i="169"/>
  <c r="V24" i="169"/>
  <c r="U26" i="169"/>
  <c r="S24" i="169"/>
  <c r="R24" i="169"/>
  <c r="W23" i="169"/>
  <c r="V23" i="169"/>
  <c r="S23" i="169"/>
  <c r="R23" i="169"/>
  <c r="B23" i="169"/>
  <c r="W22" i="169"/>
  <c r="V22" i="169"/>
  <c r="S22" i="169"/>
  <c r="R22" i="169"/>
  <c r="J22" i="169"/>
  <c r="B22" i="169"/>
  <c r="J21" i="169"/>
  <c r="B21" i="169"/>
  <c r="B17" i="169"/>
  <c r="E16" i="169"/>
  <c r="B16" i="169"/>
  <c r="W13" i="169"/>
  <c r="V13" i="169"/>
  <c r="U15" i="169"/>
  <c r="S13" i="169"/>
  <c r="R13" i="169"/>
  <c r="W12" i="169"/>
  <c r="V12" i="169"/>
  <c r="S12" i="169"/>
  <c r="R12" i="169"/>
  <c r="B12" i="169"/>
  <c r="W11" i="169"/>
  <c r="V11" i="169"/>
  <c r="S11" i="169"/>
  <c r="R11" i="169"/>
  <c r="J11" i="169"/>
  <c r="B11" i="169"/>
  <c r="J10" i="169"/>
  <c r="B10" i="169"/>
  <c r="S6" i="169"/>
  <c r="S5" i="169"/>
  <c r="S4" i="169"/>
  <c r="B4" i="169"/>
  <c r="AM2" i="169"/>
  <c r="L129" i="168"/>
  <c r="B115" i="168"/>
  <c r="B113" i="168"/>
  <c r="B112" i="168"/>
  <c r="B110" i="168"/>
  <c r="B109" i="168"/>
  <c r="B108" i="168"/>
  <c r="E106" i="168"/>
  <c r="D106" i="168"/>
  <c r="B103" i="168"/>
  <c r="B102" i="168"/>
  <c r="X94" i="168"/>
  <c r="X93" i="168"/>
  <c r="X92" i="168"/>
  <c r="AG94" i="168"/>
  <c r="AB94" i="168"/>
  <c r="AG93" i="168"/>
  <c r="AB93" i="168"/>
  <c r="AG92" i="168"/>
  <c r="AB92" i="168"/>
  <c r="N84" i="168"/>
  <c r="N83" i="168"/>
  <c r="AA81" i="168"/>
  <c r="U81" i="168"/>
  <c r="N81" i="168"/>
  <c r="AG80" i="168"/>
  <c r="U80" i="168"/>
  <c r="N80" i="168"/>
  <c r="AA75" i="168"/>
  <c r="AA84" i="168" s="1"/>
  <c r="Z75" i="168"/>
  <c r="Z84" i="168" s="1"/>
  <c r="N75" i="168"/>
  <c r="N74" i="168"/>
  <c r="U72" i="168"/>
  <c r="N72" i="168"/>
  <c r="AH71" i="168"/>
  <c r="U71" i="168"/>
  <c r="N71" i="168"/>
  <c r="Z68" i="168"/>
  <c r="V65" i="168" s="1"/>
  <c r="K4" i="168" s="1"/>
  <c r="Z67" i="168"/>
  <c r="Q66" i="168"/>
  <c r="N64" i="168"/>
  <c r="N57" i="168"/>
  <c r="N56" i="168"/>
  <c r="N55" i="168"/>
  <c r="N54" i="168"/>
  <c r="T52" i="168"/>
  <c r="P52" i="168"/>
  <c r="T51" i="168"/>
  <c r="P51" i="168"/>
  <c r="T49" i="168"/>
  <c r="P49" i="168"/>
  <c r="O49" i="168"/>
  <c r="N46" i="168"/>
  <c r="N45" i="168"/>
  <c r="N43" i="168"/>
  <c r="B43" i="168"/>
  <c r="N42" i="168"/>
  <c r="N40" i="168"/>
  <c r="N39" i="168"/>
  <c r="N38" i="168"/>
  <c r="C37" i="168"/>
  <c r="C36" i="168"/>
  <c r="C35" i="168"/>
  <c r="C34" i="168"/>
  <c r="S31" i="168"/>
  <c r="B28" i="168"/>
  <c r="E27" i="168"/>
  <c r="B27" i="168"/>
  <c r="W24" i="168"/>
  <c r="V24" i="168"/>
  <c r="U26" i="168"/>
  <c r="S24" i="168"/>
  <c r="R24" i="168"/>
  <c r="W23" i="168"/>
  <c r="V23" i="168"/>
  <c r="S23" i="168"/>
  <c r="R23" i="168"/>
  <c r="B23" i="168"/>
  <c r="W22" i="168"/>
  <c r="V22" i="168"/>
  <c r="S22" i="168"/>
  <c r="R22" i="168"/>
  <c r="J22" i="168"/>
  <c r="B22" i="168"/>
  <c r="J21" i="168"/>
  <c r="B21" i="168"/>
  <c r="B17" i="168"/>
  <c r="E16" i="168"/>
  <c r="B16" i="168"/>
  <c r="W13" i="168"/>
  <c r="V13" i="168"/>
  <c r="U15" i="168"/>
  <c r="S13" i="168"/>
  <c r="R13" i="168"/>
  <c r="W12" i="168"/>
  <c r="V12" i="168"/>
  <c r="S12" i="168"/>
  <c r="R12" i="168"/>
  <c r="B12" i="168"/>
  <c r="W11" i="168"/>
  <c r="V11" i="168"/>
  <c r="S11" i="168"/>
  <c r="R11" i="168"/>
  <c r="J11" i="168"/>
  <c r="B11" i="168"/>
  <c r="J10" i="168"/>
  <c r="B10" i="168"/>
  <c r="S6" i="168"/>
  <c r="S5" i="168"/>
  <c r="S4" i="168"/>
  <c r="B4" i="168"/>
  <c r="AM2" i="168"/>
  <c r="L122" i="167"/>
  <c r="B116" i="167"/>
  <c r="B113" i="167"/>
  <c r="B112" i="167"/>
  <c r="B110" i="167"/>
  <c r="B109" i="167"/>
  <c r="B108" i="167"/>
  <c r="E106" i="167"/>
  <c r="D106" i="167"/>
  <c r="B103" i="167"/>
  <c r="B102" i="167"/>
  <c r="Z94" i="167"/>
  <c r="Z93" i="167"/>
  <c r="Z92" i="167"/>
  <c r="AG84" i="167"/>
  <c r="N84" i="167"/>
  <c r="AG83" i="167"/>
  <c r="AE83" i="167"/>
  <c r="N83" i="167"/>
  <c r="AG82" i="167"/>
  <c r="AE82" i="167"/>
  <c r="N82" i="167"/>
  <c r="AG81" i="167"/>
  <c r="AA81" i="167"/>
  <c r="U81" i="167"/>
  <c r="N81" i="167"/>
  <c r="AE80" i="167"/>
  <c r="U80" i="167"/>
  <c r="N80" i="167"/>
  <c r="AG75" i="167"/>
  <c r="AE75" i="167"/>
  <c r="AE84" i="167" s="1"/>
  <c r="AA75" i="167"/>
  <c r="AA84" i="167" s="1"/>
  <c r="Z75" i="167"/>
  <c r="Z84" i="167" s="1"/>
  <c r="N75" i="167"/>
  <c r="AG74" i="167"/>
  <c r="N74" i="167"/>
  <c r="AG73" i="167"/>
  <c r="N73" i="167"/>
  <c r="U72" i="167"/>
  <c r="N72" i="167"/>
  <c r="U71" i="167"/>
  <c r="N71" i="167"/>
  <c r="Z68" i="167"/>
  <c r="K4" i="167" s="1"/>
  <c r="Z67" i="167"/>
  <c r="Z66" i="167"/>
  <c r="V65" i="167"/>
  <c r="Q65" i="167"/>
  <c r="N64" i="167"/>
  <c r="N57" i="167"/>
  <c r="N56" i="167"/>
  <c r="N55" i="167"/>
  <c r="N54" i="167"/>
  <c r="T52" i="167"/>
  <c r="P52" i="167"/>
  <c r="T51" i="167"/>
  <c r="P51" i="167"/>
  <c r="T49" i="167"/>
  <c r="Q49" i="167"/>
  <c r="P49" i="167"/>
  <c r="O49" i="167"/>
  <c r="N49" i="167"/>
  <c r="B43" i="167"/>
  <c r="N40" i="167"/>
  <c r="N39" i="167"/>
  <c r="N38" i="167"/>
  <c r="C36" i="167"/>
  <c r="C34" i="167"/>
  <c r="S31" i="167"/>
  <c r="B28" i="167"/>
  <c r="E27" i="167"/>
  <c r="B27" i="167"/>
  <c r="AP23" i="167"/>
  <c r="W24" i="167"/>
  <c r="V24" i="167"/>
  <c r="U26" i="167"/>
  <c r="S24" i="167"/>
  <c r="R24" i="167"/>
  <c r="W23" i="167"/>
  <c r="V23" i="167"/>
  <c r="S23" i="167"/>
  <c r="R23" i="167"/>
  <c r="B23" i="167"/>
  <c r="AP20" i="167"/>
  <c r="W22" i="167"/>
  <c r="V22" i="167"/>
  <c r="S22" i="167"/>
  <c r="R22" i="167"/>
  <c r="J22" i="167"/>
  <c r="B22" i="167"/>
  <c r="J21" i="167"/>
  <c r="B21" i="167"/>
  <c r="AR15" i="167"/>
  <c r="B17" i="167"/>
  <c r="AP14" i="167"/>
  <c r="E16" i="167"/>
  <c r="B16" i="167"/>
  <c r="W13" i="167"/>
  <c r="V13" i="167"/>
  <c r="U15" i="167"/>
  <c r="S13" i="167"/>
  <c r="R13" i="167"/>
  <c r="W12" i="167"/>
  <c r="V12" i="167"/>
  <c r="S12" i="167"/>
  <c r="R12" i="167"/>
  <c r="B12" i="167"/>
  <c r="W11" i="167"/>
  <c r="V11" i="167"/>
  <c r="S11" i="167"/>
  <c r="R11" i="167"/>
  <c r="J11" i="167"/>
  <c r="B11" i="167"/>
  <c r="J10" i="167"/>
  <c r="B10" i="167"/>
  <c r="AR8" i="167"/>
  <c r="AP8" i="167"/>
  <c r="S6" i="167"/>
  <c r="S5" i="167"/>
  <c r="S4" i="167"/>
  <c r="B4" i="167"/>
  <c r="AM2" i="167"/>
  <c r="L127" i="166"/>
  <c r="C124" i="166"/>
  <c r="C122" i="166"/>
  <c r="B120" i="166"/>
  <c r="B119" i="166"/>
  <c r="B118" i="166"/>
  <c r="B116" i="166"/>
  <c r="B113" i="166"/>
  <c r="B112" i="166"/>
  <c r="E106" i="166"/>
  <c r="D106" i="166"/>
  <c r="B103" i="166"/>
  <c r="B102" i="166"/>
  <c r="W90" i="166"/>
  <c r="W89" i="166"/>
  <c r="W88" i="166"/>
  <c r="AF90" i="166"/>
  <c r="Z90" i="166"/>
  <c r="AF89" i="166"/>
  <c r="Z89" i="166"/>
  <c r="AF88" i="166"/>
  <c r="Z88" i="166"/>
  <c r="N80" i="166"/>
  <c r="N79" i="166"/>
  <c r="N78" i="166"/>
  <c r="Z77" i="166"/>
  <c r="T77" i="166"/>
  <c r="N77" i="166"/>
  <c r="AF76" i="166"/>
  <c r="T76" i="166"/>
  <c r="N76" i="166"/>
  <c r="Z71" i="166"/>
  <c r="Z80" i="166" s="1"/>
  <c r="Y71" i="166"/>
  <c r="Y80" i="166" s="1"/>
  <c r="N71" i="166"/>
  <c r="N70" i="166"/>
  <c r="N69" i="166"/>
  <c r="T68" i="166"/>
  <c r="N68" i="166"/>
  <c r="AG67" i="166"/>
  <c r="AG76" i="166" s="1"/>
  <c r="T67" i="166"/>
  <c r="N67" i="166"/>
  <c r="Y64" i="166"/>
  <c r="Y63" i="166"/>
  <c r="U61" i="166"/>
  <c r="K4" i="166" s="1"/>
  <c r="N60" i="166"/>
  <c r="N52" i="166"/>
  <c r="N51" i="166"/>
  <c r="N50" i="166"/>
  <c r="N49" i="166"/>
  <c r="T48" i="166"/>
  <c r="T47" i="166"/>
  <c r="R47" i="166"/>
  <c r="T46" i="166"/>
  <c r="R46" i="166"/>
  <c r="T44" i="166"/>
  <c r="R44" i="166"/>
  <c r="N42" i="166"/>
  <c r="N41" i="166"/>
  <c r="B43" i="166"/>
  <c r="N40" i="166"/>
  <c r="N38" i="166"/>
  <c r="N37" i="166"/>
  <c r="N36" i="166"/>
  <c r="C36" i="166"/>
  <c r="C35" i="166"/>
  <c r="C34" i="166"/>
  <c r="S30" i="166"/>
  <c r="B28" i="166"/>
  <c r="D27" i="166"/>
  <c r="U26" i="166"/>
  <c r="P24" i="166"/>
  <c r="P23" i="166"/>
  <c r="B23" i="166"/>
  <c r="P22" i="166"/>
  <c r="I22" i="166"/>
  <c r="B22" i="166"/>
  <c r="I21" i="166"/>
  <c r="B21" i="166"/>
  <c r="AP16" i="166"/>
  <c r="B17" i="166"/>
  <c r="AP14" i="166"/>
  <c r="D16" i="166"/>
  <c r="U15" i="166"/>
  <c r="P13" i="166"/>
  <c r="P12" i="166"/>
  <c r="B12" i="166"/>
  <c r="P11" i="166"/>
  <c r="I11" i="166"/>
  <c r="B11" i="166"/>
  <c r="I10" i="166"/>
  <c r="B10" i="166"/>
  <c r="AR8" i="166"/>
  <c r="AP8" i="166"/>
  <c r="S6" i="166"/>
  <c r="S5" i="166"/>
  <c r="S4" i="166"/>
  <c r="B4" i="166"/>
  <c r="AK2" i="166"/>
  <c r="L127" i="165"/>
  <c r="C124" i="165"/>
  <c r="C122" i="165"/>
  <c r="B120" i="165"/>
  <c r="B119" i="165"/>
  <c r="B118" i="165"/>
  <c r="B116" i="165"/>
  <c r="B113" i="165"/>
  <c r="B112" i="165"/>
  <c r="E106" i="165"/>
  <c r="D106" i="165"/>
  <c r="B103" i="165"/>
  <c r="B102" i="165"/>
  <c r="AE67" i="165"/>
  <c r="W90" i="165"/>
  <c r="W89" i="165"/>
  <c r="W88" i="165"/>
  <c r="AF90" i="165"/>
  <c r="Z90" i="165"/>
  <c r="AF89" i="165"/>
  <c r="Z89" i="165"/>
  <c r="AF88" i="165"/>
  <c r="Z88" i="165"/>
  <c r="N80" i="165"/>
  <c r="N79" i="165"/>
  <c r="N78" i="165"/>
  <c r="Z77" i="165"/>
  <c r="T77" i="165"/>
  <c r="N77" i="165"/>
  <c r="AF76" i="165"/>
  <c r="T76" i="165"/>
  <c r="N76" i="165"/>
  <c r="Z71" i="165"/>
  <c r="Z80" i="165" s="1"/>
  <c r="Y71" i="165"/>
  <c r="Y80" i="165" s="1"/>
  <c r="N71" i="165"/>
  <c r="N70" i="165"/>
  <c r="N69" i="165"/>
  <c r="T68" i="165"/>
  <c r="N68" i="165"/>
  <c r="AG67" i="165"/>
  <c r="AG76" i="165" s="1"/>
  <c r="T67" i="165"/>
  <c r="N67" i="165"/>
  <c r="Y64" i="165"/>
  <c r="Y63" i="165"/>
  <c r="N60" i="165"/>
  <c r="N52" i="165"/>
  <c r="N51" i="165"/>
  <c r="N50" i="165"/>
  <c r="N49" i="165"/>
  <c r="T48" i="165"/>
  <c r="T47" i="165"/>
  <c r="R47" i="165"/>
  <c r="T46" i="165"/>
  <c r="R46" i="165"/>
  <c r="T44" i="165"/>
  <c r="R44" i="165"/>
  <c r="N42" i="165"/>
  <c r="N41" i="165"/>
  <c r="B43" i="165"/>
  <c r="N40" i="165"/>
  <c r="N38" i="165"/>
  <c r="N37" i="165"/>
  <c r="N36" i="165"/>
  <c r="C36" i="165"/>
  <c r="C35" i="165"/>
  <c r="C34" i="165"/>
  <c r="S30" i="165"/>
  <c r="B28" i="165"/>
  <c r="D27" i="165"/>
  <c r="U26" i="165"/>
  <c r="P24" i="165"/>
  <c r="P23" i="165"/>
  <c r="B23" i="165"/>
  <c r="P22" i="165"/>
  <c r="I22" i="165"/>
  <c r="B22" i="165"/>
  <c r="I21" i="165"/>
  <c r="B21" i="165"/>
  <c r="AP16" i="165"/>
  <c r="B17" i="165"/>
  <c r="AP14" i="165"/>
  <c r="D16" i="165"/>
  <c r="U15" i="165"/>
  <c r="P13" i="165"/>
  <c r="P12" i="165"/>
  <c r="B12" i="165"/>
  <c r="P11" i="165"/>
  <c r="I11" i="165"/>
  <c r="B11" i="165"/>
  <c r="I10" i="165"/>
  <c r="B10" i="165"/>
  <c r="AR8" i="165"/>
  <c r="AP8" i="165"/>
  <c r="S6" i="165"/>
  <c r="S5" i="165"/>
  <c r="S4" i="165"/>
  <c r="B4" i="165"/>
  <c r="AK2" i="165"/>
  <c r="L125" i="164"/>
  <c r="B116" i="164"/>
  <c r="B113" i="164"/>
  <c r="B112" i="164"/>
  <c r="B110" i="164"/>
  <c r="B109" i="164"/>
  <c r="B108" i="164"/>
  <c r="E106" i="164"/>
  <c r="D106" i="164"/>
  <c r="B105" i="164"/>
  <c r="B103" i="164"/>
  <c r="B102" i="164"/>
  <c r="Y90" i="164"/>
  <c r="Y89" i="164"/>
  <c r="Y88" i="164"/>
  <c r="S85" i="164"/>
  <c r="AF80" i="164"/>
  <c r="N80" i="164"/>
  <c r="AF79" i="164"/>
  <c r="AD79" i="164"/>
  <c r="N79" i="164"/>
  <c r="AF78" i="164"/>
  <c r="AD78" i="164"/>
  <c r="N78" i="164"/>
  <c r="AF77" i="164"/>
  <c r="Z77" i="164"/>
  <c r="T77" i="164"/>
  <c r="N77" i="164"/>
  <c r="AD76" i="164"/>
  <c r="T76" i="164"/>
  <c r="N76" i="164"/>
  <c r="AF71" i="164"/>
  <c r="AD71" i="164"/>
  <c r="AD80" i="164" s="1"/>
  <c r="Z71" i="164"/>
  <c r="Z80" i="164" s="1"/>
  <c r="Y71" i="164"/>
  <c r="Y80" i="164" s="1"/>
  <c r="N71" i="164"/>
  <c r="AF70" i="164"/>
  <c r="N70" i="164"/>
  <c r="AF69" i="164"/>
  <c r="N69" i="164"/>
  <c r="T68" i="164"/>
  <c r="N68" i="164"/>
  <c r="T67" i="164"/>
  <c r="N67" i="164"/>
  <c r="Y64" i="164"/>
  <c r="Y63" i="164"/>
  <c r="Y62" i="164"/>
  <c r="U61" i="164"/>
  <c r="N60" i="164"/>
  <c r="N52" i="164"/>
  <c r="N51" i="164"/>
  <c r="N50" i="164"/>
  <c r="N49" i="164"/>
  <c r="T48" i="164"/>
  <c r="T47" i="164"/>
  <c r="R47" i="164"/>
  <c r="T46" i="164"/>
  <c r="R46" i="164"/>
  <c r="T44" i="164"/>
  <c r="R44" i="164"/>
  <c r="N42" i="164"/>
  <c r="N41" i="164"/>
  <c r="N40" i="164"/>
  <c r="N38" i="164"/>
  <c r="N37" i="164"/>
  <c r="N36" i="164"/>
  <c r="C38" i="164"/>
  <c r="C34" i="164"/>
  <c r="C32" i="164"/>
  <c r="S30" i="164"/>
  <c r="B28" i="164"/>
  <c r="D27" i="164"/>
  <c r="B27" i="164"/>
  <c r="U26" i="164"/>
  <c r="B23" i="164"/>
  <c r="I22" i="164"/>
  <c r="B22" i="164"/>
  <c r="I21" i="164"/>
  <c r="B21" i="164"/>
  <c r="AP16" i="164"/>
  <c r="B17" i="164"/>
  <c r="AP14" i="164"/>
  <c r="D16" i="164"/>
  <c r="B16" i="164"/>
  <c r="U15" i="164"/>
  <c r="P13" i="164"/>
  <c r="P12" i="164"/>
  <c r="B12" i="164"/>
  <c r="P11" i="164"/>
  <c r="I11" i="164"/>
  <c r="B11" i="164"/>
  <c r="I10" i="164"/>
  <c r="B10" i="164"/>
  <c r="AR8" i="164"/>
  <c r="AP8" i="164"/>
  <c r="S6" i="164"/>
  <c r="S5" i="164"/>
  <c r="S4" i="164"/>
  <c r="B4" i="164"/>
  <c r="AK2" i="164"/>
  <c r="L126" i="163"/>
  <c r="C124" i="163"/>
  <c r="C122" i="163"/>
  <c r="B120" i="163"/>
  <c r="B119" i="163"/>
  <c r="B118" i="163"/>
  <c r="B116" i="163"/>
  <c r="B113" i="163"/>
  <c r="B112" i="163"/>
  <c r="E106" i="163"/>
  <c r="D106" i="163"/>
  <c r="B103" i="163"/>
  <c r="B102" i="163"/>
  <c r="W97" i="163"/>
  <c r="W96" i="163"/>
  <c r="W95" i="163"/>
  <c r="AF97" i="163"/>
  <c r="Z97" i="163"/>
  <c r="AF96" i="163"/>
  <c r="Z96" i="163"/>
  <c r="AF95" i="163"/>
  <c r="Z95" i="163"/>
  <c r="N91" i="163"/>
  <c r="N90" i="163"/>
  <c r="N89" i="163"/>
  <c r="Z88" i="163"/>
  <c r="T88" i="163"/>
  <c r="N88" i="163"/>
  <c r="AF87" i="163"/>
  <c r="T87" i="163"/>
  <c r="U90" i="163" s="1"/>
  <c r="N87" i="163"/>
  <c r="Z80" i="163"/>
  <c r="Z91" i="163" s="1"/>
  <c r="Y80" i="163"/>
  <c r="Y91" i="163" s="1"/>
  <c r="N80" i="163"/>
  <c r="N79" i="163"/>
  <c r="N78" i="163"/>
  <c r="T77" i="163"/>
  <c r="N77" i="163"/>
  <c r="AG76" i="163"/>
  <c r="AG87" i="163" s="1"/>
  <c r="T76" i="163"/>
  <c r="N76" i="163"/>
  <c r="Y73" i="163"/>
  <c r="Y72" i="163"/>
  <c r="U70" i="163" s="1"/>
  <c r="K4" i="163" s="1"/>
  <c r="N69" i="163"/>
  <c r="N52" i="163"/>
  <c r="N51" i="163"/>
  <c r="N50" i="163"/>
  <c r="N49" i="163"/>
  <c r="T48" i="163"/>
  <c r="T47" i="163"/>
  <c r="T46" i="163"/>
  <c r="T44" i="163"/>
  <c r="N44" i="163"/>
  <c r="N42" i="163"/>
  <c r="N41" i="163"/>
  <c r="N40" i="163"/>
  <c r="N39" i="163"/>
  <c r="N38" i="163"/>
  <c r="N37" i="163"/>
  <c r="N36" i="163"/>
  <c r="C38" i="163"/>
  <c r="C37" i="163"/>
  <c r="N34" i="163"/>
  <c r="C36" i="163"/>
  <c r="S30" i="163"/>
  <c r="B28" i="163"/>
  <c r="P25" i="163"/>
  <c r="D27" i="163"/>
  <c r="U26" i="163"/>
  <c r="P24" i="163"/>
  <c r="P23" i="163"/>
  <c r="B23" i="163"/>
  <c r="P22" i="163"/>
  <c r="B22" i="163"/>
  <c r="I21" i="163"/>
  <c r="B21" i="163"/>
  <c r="B17" i="163"/>
  <c r="P14" i="163"/>
  <c r="D16" i="163"/>
  <c r="U15" i="163"/>
  <c r="P13" i="163"/>
  <c r="P12" i="163"/>
  <c r="B12" i="163"/>
  <c r="P11" i="163"/>
  <c r="B11" i="163"/>
  <c r="I10" i="163"/>
  <c r="B10" i="163"/>
  <c r="U9" i="163"/>
  <c r="S6" i="163"/>
  <c r="S5" i="163"/>
  <c r="S4" i="163"/>
  <c r="B4" i="163"/>
  <c r="AN2" i="163"/>
  <c r="L126" i="162"/>
  <c r="C124" i="162"/>
  <c r="C122" i="162"/>
  <c r="B120" i="162"/>
  <c r="B119" i="162"/>
  <c r="B118" i="162"/>
  <c r="B116" i="162"/>
  <c r="B113" i="162"/>
  <c r="B112" i="162"/>
  <c r="E106" i="162"/>
  <c r="D106" i="162"/>
  <c r="B103" i="162"/>
  <c r="B102" i="162"/>
  <c r="AE76" i="162"/>
  <c r="W97" i="162"/>
  <c r="W96" i="162"/>
  <c r="W95" i="162"/>
  <c r="AF97" i="162"/>
  <c r="Z97" i="162"/>
  <c r="AF96" i="162"/>
  <c r="Z96" i="162"/>
  <c r="AF95" i="162"/>
  <c r="Z95" i="162"/>
  <c r="N91" i="162"/>
  <c r="N90" i="162"/>
  <c r="N89" i="162"/>
  <c r="Z88" i="162"/>
  <c r="T88" i="162"/>
  <c r="N88" i="162"/>
  <c r="AF87" i="162"/>
  <c r="T87" i="162"/>
  <c r="N87" i="162"/>
  <c r="Z80" i="162"/>
  <c r="Z91" i="162" s="1"/>
  <c r="Y80" i="162"/>
  <c r="Y91" i="162" s="1"/>
  <c r="N80" i="162"/>
  <c r="N79" i="162"/>
  <c r="N78" i="162"/>
  <c r="T77" i="162"/>
  <c r="N77" i="162"/>
  <c r="AG76" i="162"/>
  <c r="T76" i="162"/>
  <c r="N76" i="162"/>
  <c r="Y73" i="162"/>
  <c r="Y72" i="162"/>
  <c r="U70" i="162" s="1"/>
  <c r="K4" i="162" s="1"/>
  <c r="P70" i="162"/>
  <c r="N69" i="162"/>
  <c r="N52" i="162"/>
  <c r="N51" i="162"/>
  <c r="N50" i="162"/>
  <c r="N49" i="162"/>
  <c r="T48" i="162"/>
  <c r="T47" i="162"/>
  <c r="R47" i="162"/>
  <c r="T46" i="162"/>
  <c r="R46" i="162"/>
  <c r="T44" i="162"/>
  <c r="R44" i="162"/>
  <c r="N44" i="162"/>
  <c r="N42" i="162"/>
  <c r="N41" i="162"/>
  <c r="N40" i="162"/>
  <c r="N39" i="162"/>
  <c r="N38" i="162"/>
  <c r="N37" i="162"/>
  <c r="N36" i="162"/>
  <c r="C38" i="162"/>
  <c r="C37" i="162"/>
  <c r="N34" i="162"/>
  <c r="C36" i="162"/>
  <c r="S30" i="162"/>
  <c r="B28" i="162"/>
  <c r="P25" i="162"/>
  <c r="D27" i="162"/>
  <c r="U26" i="162"/>
  <c r="P24" i="162"/>
  <c r="P23" i="162"/>
  <c r="B23" i="162"/>
  <c r="P22" i="162"/>
  <c r="B22" i="162"/>
  <c r="I21" i="162"/>
  <c r="B21" i="162"/>
  <c r="B17" i="162"/>
  <c r="P14" i="162"/>
  <c r="D16" i="162"/>
  <c r="U15" i="162"/>
  <c r="P13" i="162"/>
  <c r="P12" i="162"/>
  <c r="B12" i="162"/>
  <c r="P11" i="162"/>
  <c r="B11" i="162"/>
  <c r="I10" i="162"/>
  <c r="B10" i="162"/>
  <c r="U9" i="162"/>
  <c r="S6" i="162"/>
  <c r="S5" i="162"/>
  <c r="S4" i="162"/>
  <c r="B4" i="162"/>
  <c r="AN2" i="162"/>
  <c r="L121" i="161"/>
  <c r="B116" i="161"/>
  <c r="B113" i="161"/>
  <c r="B112" i="161"/>
  <c r="B110" i="161"/>
  <c r="B108" i="161"/>
  <c r="E106" i="161"/>
  <c r="D106" i="161"/>
  <c r="B103" i="161"/>
  <c r="B102" i="161"/>
  <c r="Z97" i="161"/>
  <c r="Z96" i="161"/>
  <c r="Z95" i="161"/>
  <c r="AF91" i="161"/>
  <c r="N91" i="161"/>
  <c r="AF90" i="161"/>
  <c r="AD90" i="161"/>
  <c r="N90" i="161"/>
  <c r="AF89" i="161"/>
  <c r="AD89" i="161"/>
  <c r="N89" i="161"/>
  <c r="AF88" i="161"/>
  <c r="Z88" i="161"/>
  <c r="T88" i="161"/>
  <c r="N88" i="161"/>
  <c r="AD87" i="161"/>
  <c r="T87" i="161"/>
  <c r="N87" i="161"/>
  <c r="AF80" i="161"/>
  <c r="AD80" i="161"/>
  <c r="AD91" i="161" s="1"/>
  <c r="Z80" i="161"/>
  <c r="Z91" i="161" s="1"/>
  <c r="Y80" i="161"/>
  <c r="Y91" i="161" s="1"/>
  <c r="N80" i="161"/>
  <c r="AF79" i="161"/>
  <c r="N79" i="161"/>
  <c r="AF78" i="161"/>
  <c r="N78" i="161"/>
  <c r="T77" i="161"/>
  <c r="N77" i="161"/>
  <c r="T76" i="161"/>
  <c r="N76" i="161"/>
  <c r="Y73" i="161"/>
  <c r="Y72" i="161"/>
  <c r="K4" i="161" s="1"/>
  <c r="Y71" i="161"/>
  <c r="P70" i="161"/>
  <c r="N69" i="161"/>
  <c r="N52" i="161"/>
  <c r="N51" i="161"/>
  <c r="N50" i="161"/>
  <c r="N49" i="161"/>
  <c r="T48" i="161"/>
  <c r="T47" i="161"/>
  <c r="R47" i="161"/>
  <c r="T46" i="161"/>
  <c r="R46" i="161"/>
  <c r="T44" i="161"/>
  <c r="R44" i="161"/>
  <c r="N44" i="161"/>
  <c r="N42" i="161"/>
  <c r="N41" i="161"/>
  <c r="N40" i="161"/>
  <c r="N39" i="161"/>
  <c r="C41" i="161"/>
  <c r="N38" i="161"/>
  <c r="N37" i="161"/>
  <c r="N36" i="161"/>
  <c r="C37" i="161"/>
  <c r="N34" i="161"/>
  <c r="C35" i="161"/>
  <c r="S30" i="161"/>
  <c r="B28" i="161"/>
  <c r="P25" i="161"/>
  <c r="D27" i="161"/>
  <c r="B27" i="161"/>
  <c r="U26" i="161"/>
  <c r="P24" i="161"/>
  <c r="P23" i="161"/>
  <c r="B23" i="161"/>
  <c r="P22" i="161"/>
  <c r="B22" i="161"/>
  <c r="I21" i="161"/>
  <c r="B21" i="161"/>
  <c r="AQ20" i="161"/>
  <c r="AQ18" i="161"/>
  <c r="B17" i="161"/>
  <c r="D16" i="161"/>
  <c r="B16" i="161"/>
  <c r="U15" i="161"/>
  <c r="B12" i="161"/>
  <c r="B11" i="161"/>
  <c r="B10" i="161"/>
  <c r="U9" i="161"/>
  <c r="AQ8" i="161"/>
  <c r="S6" i="161"/>
  <c r="S5" i="161"/>
  <c r="S4" i="161"/>
  <c r="B4" i="161"/>
  <c r="AN2" i="161"/>
  <c r="L118" i="160"/>
  <c r="C116" i="160"/>
  <c r="C114" i="160"/>
  <c r="B112" i="160"/>
  <c r="B111" i="160"/>
  <c r="B110" i="160"/>
  <c r="B108" i="160"/>
  <c r="B105" i="160"/>
  <c r="B104" i="160"/>
  <c r="B102" i="160"/>
  <c r="W96" i="160"/>
  <c r="W95" i="160"/>
  <c r="AF96" i="160"/>
  <c r="AF95" i="160"/>
  <c r="Z95" i="160"/>
  <c r="N91" i="160"/>
  <c r="N90" i="160"/>
  <c r="N89" i="160"/>
  <c r="Z88" i="160"/>
  <c r="T88" i="160"/>
  <c r="N88" i="160"/>
  <c r="AF87" i="160"/>
  <c r="T87" i="160"/>
  <c r="N87" i="160"/>
  <c r="Z80" i="160"/>
  <c r="Z91" i="160" s="1"/>
  <c r="Y80" i="160"/>
  <c r="Y91" i="160" s="1"/>
  <c r="N80" i="160"/>
  <c r="N79" i="160"/>
  <c r="N78" i="160"/>
  <c r="T77" i="160"/>
  <c r="N77" i="160"/>
  <c r="AG76" i="160"/>
  <c r="T76" i="160"/>
  <c r="N76" i="160"/>
  <c r="Y73" i="160"/>
  <c r="Y72" i="160"/>
  <c r="U70" i="160"/>
  <c r="K4" i="160" s="1"/>
  <c r="P70" i="160"/>
  <c r="N69" i="160"/>
  <c r="N53" i="160"/>
  <c r="N52" i="160"/>
  <c r="N51" i="160"/>
  <c r="N50" i="160"/>
  <c r="T49" i="160"/>
  <c r="T48" i="160"/>
  <c r="O48" i="160"/>
  <c r="T47" i="160"/>
  <c r="O47" i="160"/>
  <c r="T45" i="160"/>
  <c r="O45" i="160"/>
  <c r="C40" i="160"/>
  <c r="C39" i="160"/>
  <c r="C38" i="160"/>
  <c r="C37" i="160"/>
  <c r="O28" i="160"/>
  <c r="B28" i="160"/>
  <c r="B27" i="160"/>
  <c r="B23" i="160"/>
  <c r="B22" i="160"/>
  <c r="B21" i="160"/>
  <c r="B17" i="160"/>
  <c r="B16" i="160"/>
  <c r="B12" i="160"/>
  <c r="B11" i="160"/>
  <c r="B10" i="160"/>
  <c r="S6" i="160"/>
  <c r="S5" i="160"/>
  <c r="S4" i="160"/>
  <c r="B4" i="160"/>
  <c r="AK2" i="160"/>
  <c r="L118" i="159"/>
  <c r="C116" i="159"/>
  <c r="C114" i="159"/>
  <c r="B112" i="159"/>
  <c r="B111" i="159"/>
  <c r="B110" i="159"/>
  <c r="B108" i="159"/>
  <c r="B105" i="159"/>
  <c r="B104" i="159"/>
  <c r="B102" i="159"/>
  <c r="W96" i="159"/>
  <c r="W95" i="159"/>
  <c r="AF96" i="159"/>
  <c r="AF95" i="159"/>
  <c r="Z95" i="159"/>
  <c r="N91" i="159"/>
  <c r="N90" i="159"/>
  <c r="N89" i="159"/>
  <c r="Z88" i="159"/>
  <c r="T88" i="159"/>
  <c r="N88" i="159"/>
  <c r="AF87" i="159"/>
  <c r="T87" i="159"/>
  <c r="N87" i="159"/>
  <c r="Z80" i="159"/>
  <c r="Z91" i="159" s="1"/>
  <c r="Y80" i="159"/>
  <c r="Y91" i="159" s="1"/>
  <c r="N80" i="159"/>
  <c r="N79" i="159"/>
  <c r="N78" i="159"/>
  <c r="T77" i="159"/>
  <c r="N77" i="159"/>
  <c r="AG76" i="159"/>
  <c r="AG87" i="159" s="1"/>
  <c r="T76" i="159"/>
  <c r="N76" i="159"/>
  <c r="Y73" i="159"/>
  <c r="Y72" i="159"/>
  <c r="U70" i="159"/>
  <c r="K4" i="159" s="1"/>
  <c r="P70" i="159"/>
  <c r="N69" i="159"/>
  <c r="N53" i="159"/>
  <c r="N52" i="159"/>
  <c r="N51" i="159"/>
  <c r="N50" i="159"/>
  <c r="T49" i="159"/>
  <c r="T48" i="159"/>
  <c r="O48" i="159"/>
  <c r="T47" i="159"/>
  <c r="O47" i="159"/>
  <c r="T45" i="159"/>
  <c r="O45" i="159"/>
  <c r="C40" i="159"/>
  <c r="C39" i="159"/>
  <c r="C38" i="159"/>
  <c r="C37" i="159"/>
  <c r="O28" i="159"/>
  <c r="B28" i="159"/>
  <c r="B27" i="159"/>
  <c r="B23" i="159"/>
  <c r="B22" i="159"/>
  <c r="B21" i="159"/>
  <c r="B17" i="159"/>
  <c r="B16" i="159"/>
  <c r="B12" i="159"/>
  <c r="B11" i="159"/>
  <c r="B10" i="159"/>
  <c r="S6" i="159"/>
  <c r="S5" i="159"/>
  <c r="S4" i="159"/>
  <c r="B4" i="159"/>
  <c r="AK2" i="159"/>
  <c r="L112" i="158"/>
  <c r="B98" i="158"/>
  <c r="B95" i="158"/>
  <c r="B94" i="158"/>
  <c r="B92" i="158"/>
  <c r="Y96" i="158"/>
  <c r="AF91" i="158"/>
  <c r="N91" i="158"/>
  <c r="AF90" i="158"/>
  <c r="AD90" i="158"/>
  <c r="N90" i="158"/>
  <c r="AF89" i="158"/>
  <c r="AD89" i="158"/>
  <c r="N89" i="158"/>
  <c r="AF88" i="158"/>
  <c r="Z88" i="158"/>
  <c r="T88" i="158"/>
  <c r="N88" i="158"/>
  <c r="AD87" i="158"/>
  <c r="T87" i="158"/>
  <c r="N87" i="158"/>
  <c r="AF80" i="158"/>
  <c r="AD80" i="158"/>
  <c r="AD91" i="158" s="1"/>
  <c r="Z80" i="158"/>
  <c r="Z91" i="158" s="1"/>
  <c r="Y80" i="158"/>
  <c r="Y91" i="158" s="1"/>
  <c r="N80" i="158"/>
  <c r="AF79" i="158"/>
  <c r="N79" i="158"/>
  <c r="AF78" i="158"/>
  <c r="N78" i="158"/>
  <c r="T77" i="158"/>
  <c r="N77" i="158"/>
  <c r="T76" i="158"/>
  <c r="N76" i="158"/>
  <c r="Y73" i="158"/>
  <c r="Y72" i="158"/>
  <c r="K4" i="158" s="1"/>
  <c r="Y71" i="158"/>
  <c r="P70" i="158"/>
  <c r="N69" i="158"/>
  <c r="N53" i="158"/>
  <c r="N52" i="158"/>
  <c r="N51" i="158"/>
  <c r="N50" i="158"/>
  <c r="T49" i="158"/>
  <c r="T48" i="158"/>
  <c r="O48" i="158"/>
  <c r="T47" i="158"/>
  <c r="O47" i="158"/>
  <c r="T45" i="158"/>
  <c r="O45" i="158"/>
  <c r="N43" i="158"/>
  <c r="N42" i="158"/>
  <c r="N39" i="158"/>
  <c r="N38" i="158"/>
  <c r="N37" i="158"/>
  <c r="C38" i="158"/>
  <c r="C37" i="158"/>
  <c r="N35" i="158"/>
  <c r="O29" i="158"/>
  <c r="V26" i="158"/>
  <c r="B28" i="158"/>
  <c r="B27" i="158"/>
  <c r="B23" i="158"/>
  <c r="I22" i="158"/>
  <c r="B22" i="158"/>
  <c r="B21" i="158"/>
  <c r="V15" i="158"/>
  <c r="B17" i="158"/>
  <c r="B16" i="158"/>
  <c r="B12" i="158"/>
  <c r="B11" i="158"/>
  <c r="B10" i="158"/>
  <c r="S6" i="158"/>
  <c r="S5" i="158"/>
  <c r="S4" i="158"/>
  <c r="B4" i="158"/>
  <c r="AK2" i="158"/>
  <c r="L131" i="157"/>
  <c r="C129" i="157"/>
  <c r="C127" i="157"/>
  <c r="B125" i="157"/>
  <c r="B124" i="157"/>
  <c r="B123" i="157"/>
  <c r="B121" i="157"/>
  <c r="B118" i="157"/>
  <c r="B117" i="157"/>
  <c r="B115" i="157"/>
  <c r="B114" i="157"/>
  <c r="B112" i="157"/>
  <c r="AF107" i="157"/>
  <c r="AF106" i="157"/>
  <c r="AF105" i="157"/>
  <c r="Z105" i="157"/>
  <c r="N101" i="157"/>
  <c r="N100" i="157"/>
  <c r="N99" i="157"/>
  <c r="Z98" i="157"/>
  <c r="T98" i="157"/>
  <c r="N98" i="157"/>
  <c r="AF98" i="157"/>
  <c r="T97" i="157"/>
  <c r="N97" i="157"/>
  <c r="Z90" i="157"/>
  <c r="Z101" i="157" s="1"/>
  <c r="Y90" i="157"/>
  <c r="Y101" i="157" s="1"/>
  <c r="N90" i="157"/>
  <c r="N89" i="157"/>
  <c r="N88" i="157"/>
  <c r="T87" i="157"/>
  <c r="N87" i="157"/>
  <c r="AG87" i="157"/>
  <c r="T86" i="157"/>
  <c r="N86" i="157"/>
  <c r="Y83" i="157"/>
  <c r="Y82" i="157"/>
  <c r="U80" i="157"/>
  <c r="K4" i="157" s="1"/>
  <c r="P80" i="157"/>
  <c r="N79" i="157"/>
  <c r="N70" i="157"/>
  <c r="N69" i="157"/>
  <c r="N68" i="157"/>
  <c r="N67" i="157"/>
  <c r="T50" i="157"/>
  <c r="T49" i="157"/>
  <c r="O49" i="157"/>
  <c r="T48" i="157"/>
  <c r="O48" i="157"/>
  <c r="T46" i="157"/>
  <c r="O46" i="157"/>
  <c r="N60" i="157"/>
  <c r="N59" i="157"/>
  <c r="N56" i="157"/>
  <c r="C40" i="157"/>
  <c r="N55" i="157"/>
  <c r="C39" i="157"/>
  <c r="N54" i="157"/>
  <c r="C38" i="157"/>
  <c r="C37" i="157"/>
  <c r="O31" i="157"/>
  <c r="B28" i="157"/>
  <c r="B23" i="157"/>
  <c r="B22" i="157"/>
  <c r="B21" i="157"/>
  <c r="B17" i="157"/>
  <c r="B12" i="157"/>
  <c r="B11" i="157"/>
  <c r="B10" i="157"/>
  <c r="AK6" i="157"/>
  <c r="AK5" i="157"/>
  <c r="AK4" i="157"/>
  <c r="B4" i="157"/>
  <c r="AN2" i="157"/>
  <c r="L131" i="156"/>
  <c r="C129" i="156"/>
  <c r="C127" i="156"/>
  <c r="B125" i="156"/>
  <c r="B124" i="156"/>
  <c r="B123" i="156"/>
  <c r="B121" i="156"/>
  <c r="B118" i="156"/>
  <c r="B117" i="156"/>
  <c r="B115" i="156"/>
  <c r="B114" i="156"/>
  <c r="B112" i="156"/>
  <c r="AE86" i="156"/>
  <c r="AF107" i="156"/>
  <c r="AF106" i="156"/>
  <c r="AF105" i="156"/>
  <c r="Y80" i="156" s="1"/>
  <c r="Z105" i="156"/>
  <c r="N101" i="156"/>
  <c r="N100" i="156"/>
  <c r="N99" i="156"/>
  <c r="Z98" i="156"/>
  <c r="T98" i="156"/>
  <c r="N98" i="156"/>
  <c r="AF98" i="156"/>
  <c r="T97" i="156"/>
  <c r="N97" i="156"/>
  <c r="Z90" i="156"/>
  <c r="Z101" i="156" s="1"/>
  <c r="Y90" i="156"/>
  <c r="Y101" i="156" s="1"/>
  <c r="N90" i="156"/>
  <c r="N89" i="156"/>
  <c r="N88" i="156"/>
  <c r="T87" i="156"/>
  <c r="N87" i="156"/>
  <c r="AG87" i="156"/>
  <c r="T86" i="156"/>
  <c r="N86" i="156"/>
  <c r="Y83" i="156"/>
  <c r="Y82" i="156"/>
  <c r="U80" i="156"/>
  <c r="K4" i="156" s="1"/>
  <c r="O80" i="156"/>
  <c r="N79" i="156"/>
  <c r="N70" i="156"/>
  <c r="N69" i="156"/>
  <c r="N68" i="156"/>
  <c r="N67" i="156"/>
  <c r="T50" i="156"/>
  <c r="T49" i="156"/>
  <c r="O49" i="156"/>
  <c r="T48" i="156"/>
  <c r="O48" i="156"/>
  <c r="T46" i="156"/>
  <c r="O46" i="156"/>
  <c r="N60" i="156"/>
  <c r="N59" i="156"/>
  <c r="N56" i="156"/>
  <c r="C40" i="156"/>
  <c r="N55" i="156"/>
  <c r="C39" i="156"/>
  <c r="N54" i="156"/>
  <c r="C38" i="156"/>
  <c r="C37" i="156"/>
  <c r="O31" i="156"/>
  <c r="B28" i="156"/>
  <c r="B23" i="156"/>
  <c r="B22" i="156"/>
  <c r="B21" i="156"/>
  <c r="B17" i="156"/>
  <c r="B12" i="156"/>
  <c r="B11" i="156"/>
  <c r="B10" i="156"/>
  <c r="AK6" i="156"/>
  <c r="AK5" i="156"/>
  <c r="AK4" i="156"/>
  <c r="B4" i="156"/>
  <c r="AN2" i="156"/>
  <c r="L124" i="155"/>
  <c r="B121" i="155"/>
  <c r="B118" i="155"/>
  <c r="B117" i="155"/>
  <c r="B115" i="155"/>
  <c r="B114" i="155"/>
  <c r="B112" i="155"/>
  <c r="Y107" i="155"/>
  <c r="AF102" i="155"/>
  <c r="AD101" i="155"/>
  <c r="N101" i="155"/>
  <c r="AF101" i="155"/>
  <c r="N100" i="155"/>
  <c r="AF100" i="155"/>
  <c r="N99" i="155"/>
  <c r="AF99" i="155"/>
  <c r="Z98" i="155"/>
  <c r="T98" i="155"/>
  <c r="N98" i="155"/>
  <c r="T97" i="155"/>
  <c r="N97" i="155"/>
  <c r="AF91" i="155"/>
  <c r="AD90" i="155"/>
  <c r="Z90" i="155"/>
  <c r="Z101" i="155" s="1"/>
  <c r="Y90" i="155"/>
  <c r="Y101" i="155" s="1"/>
  <c r="N90" i="155"/>
  <c r="AF90" i="155"/>
  <c r="N89" i="155"/>
  <c r="AF89" i="155"/>
  <c r="N88" i="155"/>
  <c r="T87" i="155"/>
  <c r="N87" i="155"/>
  <c r="T86" i="155"/>
  <c r="N86" i="155"/>
  <c r="Y83" i="155"/>
  <c r="Y82" i="155"/>
  <c r="Y81" i="155"/>
  <c r="N79" i="155"/>
  <c r="N70" i="155"/>
  <c r="N69" i="155"/>
  <c r="N68" i="155"/>
  <c r="N67" i="155"/>
  <c r="T50" i="155"/>
  <c r="T49" i="155"/>
  <c r="O49" i="155"/>
  <c r="T48" i="155"/>
  <c r="O48" i="155"/>
  <c r="T46" i="155"/>
  <c r="O46" i="155"/>
  <c r="N60" i="155"/>
  <c r="N59" i="155"/>
  <c r="N56" i="155"/>
  <c r="N55" i="155"/>
  <c r="C38" i="155"/>
  <c r="C37" i="155"/>
  <c r="O31" i="155"/>
  <c r="B28" i="155"/>
  <c r="B27" i="155"/>
  <c r="T23" i="155"/>
  <c r="B23" i="155"/>
  <c r="I22" i="155"/>
  <c r="B22" i="155"/>
  <c r="B21" i="155"/>
  <c r="R20" i="155"/>
  <c r="O20" i="155"/>
  <c r="R19" i="155"/>
  <c r="O19" i="155"/>
  <c r="B17" i="155"/>
  <c r="B16" i="155"/>
  <c r="T12" i="155"/>
  <c r="B12" i="155"/>
  <c r="B11" i="155"/>
  <c r="B10" i="155"/>
  <c r="AK6" i="155"/>
  <c r="AK5" i="155"/>
  <c r="AK4" i="155"/>
  <c r="B4" i="155"/>
  <c r="AN2" i="155"/>
  <c r="L176" i="154"/>
  <c r="C174" i="154"/>
  <c r="C172" i="154"/>
  <c r="B170" i="154"/>
  <c r="B169" i="154"/>
  <c r="B168" i="154"/>
  <c r="B166" i="154"/>
  <c r="B163" i="154"/>
  <c r="B162" i="154"/>
  <c r="B161" i="154"/>
  <c r="B159" i="154"/>
  <c r="B157" i="154"/>
  <c r="B156" i="154"/>
  <c r="B154" i="154"/>
  <c r="B152" i="154"/>
  <c r="B151" i="154"/>
  <c r="B149" i="154"/>
  <c r="B148" i="154"/>
  <c r="B147" i="154"/>
  <c r="E145" i="154"/>
  <c r="D145" i="154"/>
  <c r="B142" i="154"/>
  <c r="B141" i="154"/>
  <c r="I125" i="154"/>
  <c r="W96" i="154"/>
  <c r="W95" i="154"/>
  <c r="W94" i="154"/>
  <c r="AF96" i="154"/>
  <c r="AF95" i="154"/>
  <c r="AF94" i="154"/>
  <c r="Z94" i="154"/>
  <c r="N90" i="154"/>
  <c r="N89" i="154"/>
  <c r="N88" i="154"/>
  <c r="Z87" i="154"/>
  <c r="T87" i="154"/>
  <c r="N87" i="154"/>
  <c r="AF86" i="154"/>
  <c r="T86" i="154"/>
  <c r="N86" i="154"/>
  <c r="Z81" i="154"/>
  <c r="Z90" i="154" s="1"/>
  <c r="Y81" i="154"/>
  <c r="Y90" i="154" s="1"/>
  <c r="N81" i="154"/>
  <c r="N80" i="154"/>
  <c r="N79" i="154"/>
  <c r="T78" i="154"/>
  <c r="N78" i="154"/>
  <c r="AG77" i="154"/>
  <c r="AG86" i="154" s="1"/>
  <c r="T77" i="154"/>
  <c r="N77" i="154"/>
  <c r="AE75" i="154"/>
  <c r="Y75" i="154"/>
  <c r="AE74" i="154"/>
  <c r="Y74" i="154"/>
  <c r="U72" i="154" s="1"/>
  <c r="K5" i="154" s="1"/>
  <c r="Y73" i="154"/>
  <c r="O72" i="154"/>
  <c r="U71" i="154"/>
  <c r="K4" i="154" s="1"/>
  <c r="O71" i="154"/>
  <c r="N70" i="154"/>
  <c r="N59" i="154"/>
  <c r="N58" i="154"/>
  <c r="N57" i="154"/>
  <c r="N56" i="154"/>
  <c r="N55" i="154"/>
  <c r="N54" i="154"/>
  <c r="N53" i="154"/>
  <c r="T52" i="154"/>
  <c r="T51" i="154"/>
  <c r="R51" i="154"/>
  <c r="P51" i="154"/>
  <c r="N51" i="154"/>
  <c r="T50" i="154"/>
  <c r="R50" i="154"/>
  <c r="P50" i="154"/>
  <c r="N50" i="154"/>
  <c r="T48" i="154"/>
  <c r="R48" i="154"/>
  <c r="P48" i="154"/>
  <c r="N46" i="154"/>
  <c r="U45" i="154"/>
  <c r="Q45" i="154"/>
  <c r="N45" i="154"/>
  <c r="C43" i="154"/>
  <c r="N42" i="154"/>
  <c r="C42" i="154"/>
  <c r="N41" i="154"/>
  <c r="C41" i="154"/>
  <c r="N37" i="154"/>
  <c r="C37" i="154"/>
  <c r="N35" i="154"/>
  <c r="S31" i="154"/>
  <c r="B28" i="154"/>
  <c r="B27" i="154"/>
  <c r="B23" i="154"/>
  <c r="B22" i="154"/>
  <c r="B21" i="154"/>
  <c r="AL19" i="154"/>
  <c r="B17" i="154"/>
  <c r="B16" i="154"/>
  <c r="B12" i="154"/>
  <c r="B11" i="154"/>
  <c r="B10" i="154"/>
  <c r="S6" i="154"/>
  <c r="S5" i="154"/>
  <c r="B5" i="154"/>
  <c r="S4" i="154"/>
  <c r="B4" i="154"/>
  <c r="AL2" i="154"/>
  <c r="L176" i="153"/>
  <c r="C174" i="153"/>
  <c r="C172" i="153"/>
  <c r="B170" i="153"/>
  <c r="B169" i="153"/>
  <c r="B168" i="153"/>
  <c r="B166" i="153"/>
  <c r="B163" i="153"/>
  <c r="B162" i="153"/>
  <c r="B161" i="153"/>
  <c r="B159" i="153"/>
  <c r="B157" i="153"/>
  <c r="B156" i="153"/>
  <c r="B154" i="153"/>
  <c r="B152" i="153"/>
  <c r="B151" i="153"/>
  <c r="E145" i="153"/>
  <c r="D145" i="153"/>
  <c r="B142" i="153"/>
  <c r="B141" i="153"/>
  <c r="I125" i="153"/>
  <c r="W96" i="153"/>
  <c r="W95" i="153"/>
  <c r="W94" i="153"/>
  <c r="AF96" i="153"/>
  <c r="AF95" i="153"/>
  <c r="AF94" i="153"/>
  <c r="Z94" i="153"/>
  <c r="N90" i="153"/>
  <c r="N89" i="153"/>
  <c r="N88" i="153"/>
  <c r="Z87" i="153"/>
  <c r="T87" i="153"/>
  <c r="N87" i="153"/>
  <c r="AF86" i="153"/>
  <c r="T86" i="153"/>
  <c r="N86" i="153"/>
  <c r="Z81" i="153"/>
  <c r="Z90" i="153" s="1"/>
  <c r="Y81" i="153"/>
  <c r="Y90" i="153" s="1"/>
  <c r="N81" i="153"/>
  <c r="N80" i="153"/>
  <c r="N79" i="153"/>
  <c r="T78" i="153"/>
  <c r="N78" i="153"/>
  <c r="AG77" i="153"/>
  <c r="T77" i="153"/>
  <c r="N77" i="153"/>
  <c r="AE75" i="153"/>
  <c r="Y75" i="153"/>
  <c r="AE74" i="153"/>
  <c r="Y74" i="153"/>
  <c r="Y73" i="153"/>
  <c r="J6" i="153" s="1"/>
  <c r="U73" i="153"/>
  <c r="K5" i="153" s="1"/>
  <c r="O73" i="153"/>
  <c r="U71" i="153"/>
  <c r="K4" i="153" s="1"/>
  <c r="O71" i="153"/>
  <c r="N70" i="153"/>
  <c r="N59" i="153"/>
  <c r="N58" i="153"/>
  <c r="N57" i="153"/>
  <c r="N56" i="153"/>
  <c r="N55" i="153"/>
  <c r="N54" i="153"/>
  <c r="N53" i="153"/>
  <c r="T52" i="153"/>
  <c r="T51" i="153"/>
  <c r="R51" i="153"/>
  <c r="P51" i="153"/>
  <c r="N51" i="153"/>
  <c r="T50" i="153"/>
  <c r="R50" i="153"/>
  <c r="P50" i="153"/>
  <c r="N50" i="153"/>
  <c r="T48" i="153"/>
  <c r="R48" i="153"/>
  <c r="N48" i="153"/>
  <c r="N46" i="153"/>
  <c r="U45" i="153"/>
  <c r="N45" i="153"/>
  <c r="C43" i="153"/>
  <c r="N42" i="153"/>
  <c r="C42" i="153"/>
  <c r="N41" i="153"/>
  <c r="C41" i="153"/>
  <c r="N37" i="153"/>
  <c r="C38" i="153"/>
  <c r="C37" i="153"/>
  <c r="N35" i="153"/>
  <c r="S31" i="153"/>
  <c r="B28" i="153"/>
  <c r="B27" i="153"/>
  <c r="B23" i="153"/>
  <c r="B22" i="153"/>
  <c r="B21" i="153"/>
  <c r="AL19" i="153"/>
  <c r="B17" i="153"/>
  <c r="B16" i="153"/>
  <c r="B12" i="153"/>
  <c r="B11" i="153"/>
  <c r="B10" i="153"/>
  <c r="S6" i="153"/>
  <c r="S5" i="153"/>
  <c r="B5" i="153"/>
  <c r="S4" i="153"/>
  <c r="B4" i="153"/>
  <c r="AL2" i="153"/>
  <c r="L176" i="152"/>
  <c r="C174" i="152"/>
  <c r="C172" i="152"/>
  <c r="B170" i="152"/>
  <c r="B169" i="152"/>
  <c r="B168" i="152"/>
  <c r="B166" i="152"/>
  <c r="B163" i="152"/>
  <c r="B162" i="152"/>
  <c r="B161" i="152"/>
  <c r="B159" i="152"/>
  <c r="B157" i="152"/>
  <c r="B156" i="152"/>
  <c r="B154" i="152"/>
  <c r="B152" i="152"/>
  <c r="B151" i="152"/>
  <c r="E145" i="152"/>
  <c r="D145" i="152"/>
  <c r="B142" i="152"/>
  <c r="B141" i="152"/>
  <c r="I125" i="152"/>
  <c r="W96" i="152"/>
  <c r="W95" i="152"/>
  <c r="W94" i="152"/>
  <c r="AF96" i="152"/>
  <c r="AF95" i="152"/>
  <c r="AF94" i="152"/>
  <c r="Z94" i="152"/>
  <c r="N90" i="152"/>
  <c r="N89" i="152"/>
  <c r="N88" i="152"/>
  <c r="Z87" i="152"/>
  <c r="T87" i="152"/>
  <c r="N87" i="152"/>
  <c r="AF86" i="152"/>
  <c r="T86" i="152"/>
  <c r="N86" i="152"/>
  <c r="Z81" i="152"/>
  <c r="Z90" i="152" s="1"/>
  <c r="Y81" i="152"/>
  <c r="Y90" i="152" s="1"/>
  <c r="N81" i="152"/>
  <c r="N80" i="152"/>
  <c r="N79" i="152"/>
  <c r="T78" i="152"/>
  <c r="N78" i="152"/>
  <c r="AG77" i="152"/>
  <c r="AG86" i="152" s="1"/>
  <c r="T77" i="152"/>
  <c r="N77" i="152"/>
  <c r="Y75" i="152"/>
  <c r="Y74" i="152"/>
  <c r="Y73" i="152"/>
  <c r="Y72" i="152"/>
  <c r="U71" i="152"/>
  <c r="K4" i="152" s="1"/>
  <c r="O71" i="152"/>
  <c r="N70" i="152"/>
  <c r="N59" i="152"/>
  <c r="N58" i="152"/>
  <c r="N57" i="152"/>
  <c r="N56" i="152"/>
  <c r="N55" i="152"/>
  <c r="N54" i="152"/>
  <c r="N53" i="152"/>
  <c r="T52" i="152"/>
  <c r="T51" i="152"/>
  <c r="R51" i="152"/>
  <c r="P51" i="152"/>
  <c r="N51" i="152"/>
  <c r="T50" i="152"/>
  <c r="R50" i="152"/>
  <c r="P50" i="152"/>
  <c r="N50" i="152"/>
  <c r="T48" i="152"/>
  <c r="R48" i="152"/>
  <c r="N46" i="152"/>
  <c r="U45" i="152"/>
  <c r="N45" i="152"/>
  <c r="C43" i="152"/>
  <c r="C42" i="152"/>
  <c r="C41" i="152"/>
  <c r="C38" i="152"/>
  <c r="C37" i="152"/>
  <c r="S31" i="152"/>
  <c r="B28" i="152"/>
  <c r="B27" i="152"/>
  <c r="B23" i="152"/>
  <c r="B22" i="152"/>
  <c r="B21" i="152"/>
  <c r="B17" i="152"/>
  <c r="B16" i="152"/>
  <c r="B12" i="152"/>
  <c r="B11" i="152"/>
  <c r="B10" i="152"/>
  <c r="S6" i="152"/>
  <c r="S5" i="152"/>
  <c r="S4" i="152"/>
  <c r="B4" i="152"/>
  <c r="AL2" i="152"/>
  <c r="L176" i="151"/>
  <c r="C174" i="151"/>
  <c r="C172" i="151"/>
  <c r="B170" i="151"/>
  <c r="B169" i="151"/>
  <c r="B168" i="151"/>
  <c r="B166" i="151"/>
  <c r="B163" i="151"/>
  <c r="B162" i="151"/>
  <c r="B161" i="151"/>
  <c r="B159" i="151"/>
  <c r="B157" i="151"/>
  <c r="B156" i="151"/>
  <c r="B154" i="151"/>
  <c r="B152" i="151"/>
  <c r="B151" i="151"/>
  <c r="B149" i="151"/>
  <c r="B148" i="151"/>
  <c r="B147" i="151"/>
  <c r="E145" i="151"/>
  <c r="D145" i="151"/>
  <c r="B142" i="151"/>
  <c r="B141" i="151"/>
  <c r="I125" i="151"/>
  <c r="AE86" i="151"/>
  <c r="W96" i="151"/>
  <c r="W95" i="151"/>
  <c r="W94" i="151"/>
  <c r="AF96" i="151"/>
  <c r="AF95" i="151"/>
  <c r="AF94" i="151"/>
  <c r="Z94" i="151"/>
  <c r="N90" i="151"/>
  <c r="N89" i="151"/>
  <c r="N88" i="151"/>
  <c r="Z87" i="151"/>
  <c r="T87" i="151"/>
  <c r="N87" i="151"/>
  <c r="AF86" i="151"/>
  <c r="T86" i="151"/>
  <c r="N86" i="151"/>
  <c r="Z81" i="151"/>
  <c r="Z90" i="151" s="1"/>
  <c r="Y81" i="151"/>
  <c r="Y90" i="151" s="1"/>
  <c r="N81" i="151"/>
  <c r="N80" i="151"/>
  <c r="N79" i="151"/>
  <c r="T78" i="151"/>
  <c r="N78" i="151"/>
  <c r="AG77" i="151"/>
  <c r="AG86" i="151" s="1"/>
  <c r="T77" i="151"/>
  <c r="N77" i="151"/>
  <c r="AE75" i="151"/>
  <c r="Y75" i="151"/>
  <c r="AE74" i="151"/>
  <c r="Y74" i="151"/>
  <c r="U72" i="151" s="1"/>
  <c r="K5" i="151" s="1"/>
  <c r="Y73" i="151"/>
  <c r="O72" i="151"/>
  <c r="U71" i="151"/>
  <c r="K4" i="151" s="1"/>
  <c r="O71" i="151"/>
  <c r="N70" i="151"/>
  <c r="N59" i="151"/>
  <c r="N58" i="151"/>
  <c r="N57" i="151"/>
  <c r="N56" i="151"/>
  <c r="N55" i="151"/>
  <c r="N54" i="151"/>
  <c r="N53" i="151"/>
  <c r="T52" i="151"/>
  <c r="T51" i="151"/>
  <c r="R51" i="151"/>
  <c r="P51" i="151"/>
  <c r="N51" i="151"/>
  <c r="T50" i="151"/>
  <c r="R50" i="151"/>
  <c r="P50" i="151"/>
  <c r="N50" i="151"/>
  <c r="T48" i="151"/>
  <c r="R48" i="151"/>
  <c r="P48" i="151"/>
  <c r="N46" i="151"/>
  <c r="U45" i="151"/>
  <c r="Q45" i="151"/>
  <c r="N45" i="151"/>
  <c r="C43" i="151"/>
  <c r="N42" i="151"/>
  <c r="C42" i="151"/>
  <c r="N41" i="151"/>
  <c r="C41" i="151"/>
  <c r="N37" i="151"/>
  <c r="C38" i="151"/>
  <c r="C37" i="151"/>
  <c r="N35" i="151"/>
  <c r="S31" i="151"/>
  <c r="B28" i="151"/>
  <c r="B27" i="151"/>
  <c r="B23" i="151"/>
  <c r="B22" i="151"/>
  <c r="B21" i="151"/>
  <c r="AL19" i="151"/>
  <c r="B17" i="151"/>
  <c r="B16" i="151"/>
  <c r="B12" i="151"/>
  <c r="B11" i="151"/>
  <c r="B10" i="151"/>
  <c r="S6" i="151"/>
  <c r="S5" i="151"/>
  <c r="B5" i="151"/>
  <c r="S4" i="151"/>
  <c r="B4" i="151"/>
  <c r="AL2" i="151"/>
  <c r="L176" i="150"/>
  <c r="C174" i="150"/>
  <c r="C172" i="150"/>
  <c r="B170" i="150"/>
  <c r="B169" i="150"/>
  <c r="B168" i="150"/>
  <c r="B166" i="150"/>
  <c r="B163" i="150"/>
  <c r="B162" i="150"/>
  <c r="B161" i="150"/>
  <c r="B159" i="150"/>
  <c r="B157" i="150"/>
  <c r="B156" i="150"/>
  <c r="B154" i="150"/>
  <c r="B152" i="150"/>
  <c r="B151" i="150"/>
  <c r="E145" i="150"/>
  <c r="D145" i="150"/>
  <c r="B142" i="150"/>
  <c r="B141" i="150"/>
  <c r="I125" i="150"/>
  <c r="AE86" i="150"/>
  <c r="W96" i="150"/>
  <c r="W95" i="150"/>
  <c r="W94" i="150"/>
  <c r="AF96" i="150"/>
  <c r="AF95" i="150"/>
  <c r="AF94" i="150"/>
  <c r="Z94" i="150"/>
  <c r="N90" i="150"/>
  <c r="N89" i="150"/>
  <c r="N88" i="150"/>
  <c r="Z87" i="150"/>
  <c r="T87" i="150"/>
  <c r="N87" i="150"/>
  <c r="AF86" i="150"/>
  <c r="T86" i="150"/>
  <c r="N86" i="150"/>
  <c r="Z81" i="150"/>
  <c r="Z90" i="150" s="1"/>
  <c r="Y81" i="150"/>
  <c r="Y90" i="150" s="1"/>
  <c r="N81" i="150"/>
  <c r="N80" i="150"/>
  <c r="N79" i="150"/>
  <c r="T78" i="150"/>
  <c r="N78" i="150"/>
  <c r="AG77" i="150"/>
  <c r="T77" i="150"/>
  <c r="N77" i="150"/>
  <c r="AE75" i="150"/>
  <c r="Y75" i="150"/>
  <c r="AE74" i="150"/>
  <c r="Y74" i="150"/>
  <c r="Y73" i="150"/>
  <c r="J6" i="150" s="1"/>
  <c r="U73" i="150"/>
  <c r="K5" i="150" s="1"/>
  <c r="O73" i="150"/>
  <c r="U71" i="150"/>
  <c r="K4" i="150" s="1"/>
  <c r="O71" i="150"/>
  <c r="N70" i="150"/>
  <c r="N59" i="150"/>
  <c r="N58" i="150"/>
  <c r="N57" i="150"/>
  <c r="N56" i="150"/>
  <c r="N55" i="150"/>
  <c r="N54" i="150"/>
  <c r="N53" i="150"/>
  <c r="T52" i="150"/>
  <c r="T51" i="150"/>
  <c r="R51" i="150"/>
  <c r="P51" i="150"/>
  <c r="N51" i="150"/>
  <c r="T50" i="150"/>
  <c r="R50" i="150"/>
  <c r="P50" i="150"/>
  <c r="N50" i="150"/>
  <c r="T48" i="150"/>
  <c r="R48" i="150"/>
  <c r="N48" i="150"/>
  <c r="N46" i="150"/>
  <c r="U45" i="150"/>
  <c r="N45" i="150"/>
  <c r="C43" i="150"/>
  <c r="N42" i="150"/>
  <c r="C42" i="150"/>
  <c r="N41" i="150"/>
  <c r="C41" i="150"/>
  <c r="N37" i="150"/>
  <c r="C38" i="150"/>
  <c r="C37" i="150"/>
  <c r="N35" i="150"/>
  <c r="S31" i="150"/>
  <c r="B28" i="150"/>
  <c r="B27" i="150"/>
  <c r="B23" i="150"/>
  <c r="B22" i="150"/>
  <c r="B21" i="150"/>
  <c r="AL19" i="150"/>
  <c r="B17" i="150"/>
  <c r="B16" i="150"/>
  <c r="B12" i="150"/>
  <c r="B11" i="150"/>
  <c r="B10" i="150"/>
  <c r="S6" i="150"/>
  <c r="S5" i="150"/>
  <c r="B5" i="150"/>
  <c r="S4" i="150"/>
  <c r="B4" i="150"/>
  <c r="AL2" i="150"/>
  <c r="L177" i="149"/>
  <c r="C175" i="149"/>
  <c r="C173" i="149"/>
  <c r="B171" i="149"/>
  <c r="B170" i="149"/>
  <c r="B169" i="149"/>
  <c r="B167" i="149"/>
  <c r="B164" i="149"/>
  <c r="B163" i="149"/>
  <c r="B162" i="149"/>
  <c r="B160" i="149"/>
  <c r="B158" i="149"/>
  <c r="B157" i="149"/>
  <c r="B155" i="149"/>
  <c r="B153" i="149"/>
  <c r="B152" i="149"/>
  <c r="E146" i="149"/>
  <c r="D146" i="149"/>
  <c r="B143" i="149"/>
  <c r="B142" i="149"/>
  <c r="I125" i="149"/>
  <c r="AE77" i="149"/>
  <c r="W96" i="149"/>
  <c r="W95" i="149"/>
  <c r="W94" i="149"/>
  <c r="AF96" i="149"/>
  <c r="AF95" i="149"/>
  <c r="AF94" i="149"/>
  <c r="Z94" i="149"/>
  <c r="N90" i="149"/>
  <c r="N89" i="149"/>
  <c r="N88" i="149"/>
  <c r="T87" i="149"/>
  <c r="N87" i="149"/>
  <c r="AF86" i="149"/>
  <c r="Z87" i="149" s="1"/>
  <c r="AE86" i="149"/>
  <c r="T86" i="149"/>
  <c r="N86" i="149"/>
  <c r="Z81" i="149"/>
  <c r="Z90" i="149" s="1"/>
  <c r="Y81" i="149"/>
  <c r="Y90" i="149" s="1"/>
  <c r="N81" i="149"/>
  <c r="N80" i="149"/>
  <c r="N79" i="149"/>
  <c r="T78" i="149"/>
  <c r="N78" i="149"/>
  <c r="AG77" i="149"/>
  <c r="AG86" i="149" s="1"/>
  <c r="T77" i="149"/>
  <c r="N77" i="149"/>
  <c r="Y75" i="149"/>
  <c r="Y74" i="149"/>
  <c r="U71" i="149" s="1"/>
  <c r="K4" i="149" s="1"/>
  <c r="Y73" i="149"/>
  <c r="Y72" i="149"/>
  <c r="O71" i="149"/>
  <c r="N70" i="149"/>
  <c r="N59" i="149"/>
  <c r="N58" i="149"/>
  <c r="N57" i="149"/>
  <c r="N56" i="149"/>
  <c r="N55" i="149"/>
  <c r="N54" i="149"/>
  <c r="N53" i="149"/>
  <c r="T52" i="149"/>
  <c r="T51" i="149"/>
  <c r="R51" i="149"/>
  <c r="P51" i="149"/>
  <c r="N51" i="149"/>
  <c r="T50" i="149"/>
  <c r="R50" i="149"/>
  <c r="P50" i="149"/>
  <c r="N50" i="149"/>
  <c r="T48" i="149"/>
  <c r="N46" i="149"/>
  <c r="U45" i="149"/>
  <c r="N45" i="149"/>
  <c r="C43" i="149"/>
  <c r="N42" i="149"/>
  <c r="C42" i="149"/>
  <c r="N41" i="149"/>
  <c r="C41" i="149"/>
  <c r="N37" i="149"/>
  <c r="C38" i="149"/>
  <c r="C37" i="149"/>
  <c r="N35" i="149"/>
  <c r="S31" i="149"/>
  <c r="B28" i="149"/>
  <c r="B23" i="149"/>
  <c r="B22" i="149"/>
  <c r="B21" i="149"/>
  <c r="AL19" i="149"/>
  <c r="B17" i="149"/>
  <c r="B16" i="149"/>
  <c r="B12" i="149"/>
  <c r="B11" i="149"/>
  <c r="B10" i="149"/>
  <c r="S6" i="149"/>
  <c r="S5" i="149"/>
  <c r="S4" i="149"/>
  <c r="B4" i="149"/>
  <c r="AL2" i="149"/>
  <c r="L179" i="148"/>
  <c r="B171" i="148"/>
  <c r="B168" i="148"/>
  <c r="B167" i="148"/>
  <c r="B166" i="148"/>
  <c r="B164" i="148"/>
  <c r="B162" i="148"/>
  <c r="B161" i="148"/>
  <c r="B159" i="148"/>
  <c r="B157" i="148"/>
  <c r="B156" i="148"/>
  <c r="B154" i="148"/>
  <c r="B153" i="148"/>
  <c r="B151" i="148"/>
  <c r="E149" i="148"/>
  <c r="D149" i="148"/>
  <c r="B146" i="148"/>
  <c r="B145" i="148"/>
  <c r="I125" i="148"/>
  <c r="C120" i="148"/>
  <c r="B118" i="148"/>
  <c r="B116" i="148"/>
  <c r="B115" i="148"/>
  <c r="B114" i="148"/>
  <c r="B112" i="148"/>
  <c r="B111" i="148"/>
  <c r="G110" i="148"/>
  <c r="B109" i="148"/>
  <c r="B107" i="148"/>
  <c r="K105" i="148"/>
  <c r="B103" i="148"/>
  <c r="B102" i="148"/>
  <c r="B100" i="148"/>
  <c r="Y95" i="148"/>
  <c r="N90" i="148"/>
  <c r="N89" i="148"/>
  <c r="N88" i="148"/>
  <c r="Z87" i="148"/>
  <c r="T87" i="148"/>
  <c r="T86" i="148"/>
  <c r="Z81" i="148"/>
  <c r="Z90" i="148" s="1"/>
  <c r="Y81" i="148"/>
  <c r="Y90" i="148" s="1"/>
  <c r="N81" i="148"/>
  <c r="N80" i="148"/>
  <c r="T78" i="148"/>
  <c r="T77" i="148"/>
  <c r="Y75" i="148"/>
  <c r="Y74" i="148"/>
  <c r="Y73" i="148"/>
  <c r="O71" i="148"/>
  <c r="N70" i="148"/>
  <c r="AC47" i="148"/>
  <c r="AD8" i="148"/>
  <c r="AC8" i="148"/>
  <c r="AB8" i="148"/>
  <c r="AA8" i="148"/>
  <c r="Z8" i="148"/>
  <c r="Y8" i="148"/>
  <c r="N59" i="148"/>
  <c r="N58" i="148"/>
  <c r="N57" i="148"/>
  <c r="N56" i="148"/>
  <c r="N55" i="148"/>
  <c r="N54" i="148"/>
  <c r="N53" i="148"/>
  <c r="T52" i="148"/>
  <c r="T51" i="148"/>
  <c r="R51" i="148"/>
  <c r="P51" i="148"/>
  <c r="N51" i="148"/>
  <c r="T50" i="148"/>
  <c r="R50" i="148"/>
  <c r="P50" i="148"/>
  <c r="N50" i="148"/>
  <c r="T48" i="148"/>
  <c r="R48" i="148"/>
  <c r="P48" i="148"/>
  <c r="N48" i="148"/>
  <c r="U45" i="148"/>
  <c r="N45" i="148"/>
  <c r="N42" i="148"/>
  <c r="C41" i="148"/>
  <c r="N41" i="148"/>
  <c r="N37" i="148"/>
  <c r="C38" i="148"/>
  <c r="C37" i="148"/>
  <c r="N35" i="148"/>
  <c r="S31" i="148"/>
  <c r="B28" i="148"/>
  <c r="P27" i="148"/>
  <c r="B27" i="148"/>
  <c r="B23" i="148"/>
  <c r="B22" i="148"/>
  <c r="B21" i="148"/>
  <c r="AL19" i="148"/>
  <c r="B17" i="148"/>
  <c r="P16" i="148"/>
  <c r="B16" i="148"/>
  <c r="AN12" i="148"/>
  <c r="B12" i="148"/>
  <c r="B11" i="148"/>
  <c r="B10" i="148"/>
  <c r="F9" i="148"/>
  <c r="R76" i="148" s="1"/>
  <c r="AN8" i="148"/>
  <c r="S6" i="148"/>
  <c r="S5" i="148"/>
  <c r="S4" i="148"/>
  <c r="AL2" i="148"/>
  <c r="M85" i="147"/>
  <c r="C75" i="147"/>
  <c r="C73" i="147"/>
  <c r="Q29" i="147"/>
  <c r="P29" i="147"/>
  <c r="O29" i="147"/>
  <c r="N29" i="147"/>
  <c r="B29" i="147"/>
  <c r="B28" i="147"/>
  <c r="B27" i="147"/>
  <c r="B26" i="147"/>
  <c r="H23" i="147"/>
  <c r="E23" i="147"/>
  <c r="B23" i="147"/>
  <c r="B10" i="147"/>
  <c r="B8" i="147"/>
  <c r="B7" i="147"/>
  <c r="U6" i="147"/>
  <c r="U3" i="147"/>
  <c r="M85" i="146"/>
  <c r="C75" i="146"/>
  <c r="C73" i="146"/>
  <c r="Q29" i="146"/>
  <c r="N29" i="146"/>
  <c r="Q28" i="146"/>
  <c r="B26" i="146"/>
  <c r="H23" i="146"/>
  <c r="E23" i="146"/>
  <c r="B23" i="146"/>
  <c r="B10" i="146"/>
  <c r="B8" i="146"/>
  <c r="B7" i="146"/>
  <c r="U6" i="146"/>
  <c r="U3" i="146"/>
  <c r="H85" i="145"/>
  <c r="C75" i="145"/>
  <c r="C73" i="145"/>
  <c r="N29" i="145"/>
  <c r="B26" i="145"/>
  <c r="H23" i="145"/>
  <c r="E23" i="145"/>
  <c r="B23" i="145"/>
  <c r="B8" i="145"/>
  <c r="D7" i="145"/>
  <c r="B7" i="145"/>
  <c r="U6" i="145"/>
  <c r="U3" i="145"/>
  <c r="H73" i="144"/>
  <c r="C63" i="144"/>
  <c r="C61" i="144"/>
  <c r="N29" i="144"/>
  <c r="B26" i="144"/>
  <c r="H23" i="144"/>
  <c r="E23" i="144"/>
  <c r="B23" i="144"/>
  <c r="U13" i="144"/>
  <c r="B8" i="144"/>
  <c r="D7" i="144"/>
  <c r="B7" i="144"/>
  <c r="U6" i="144"/>
  <c r="U3" i="144"/>
  <c r="H85" i="143"/>
  <c r="C75" i="143"/>
  <c r="C73" i="143"/>
  <c r="N29" i="143"/>
  <c r="B26" i="143"/>
  <c r="H23" i="143"/>
  <c r="E23" i="143"/>
  <c r="B23" i="143"/>
  <c r="B8" i="143"/>
  <c r="D7" i="143"/>
  <c r="B7" i="143"/>
  <c r="U6" i="143"/>
  <c r="U3" i="143"/>
  <c r="J85" i="142"/>
  <c r="C75" i="142"/>
  <c r="C73" i="142"/>
  <c r="P36" i="142"/>
  <c r="N36" i="142"/>
  <c r="L36" i="142"/>
  <c r="B36" i="142"/>
  <c r="B35" i="142"/>
  <c r="B34" i="142"/>
  <c r="H31" i="142"/>
  <c r="E31" i="142"/>
  <c r="H30" i="142"/>
  <c r="E30" i="142"/>
  <c r="B30" i="142"/>
  <c r="H22" i="142"/>
  <c r="E22" i="142"/>
  <c r="H21" i="142"/>
  <c r="E21" i="142"/>
  <c r="B21" i="142"/>
  <c r="B12" i="142"/>
  <c r="E8" i="142"/>
  <c r="E7" i="142"/>
  <c r="U6" i="142"/>
  <c r="E6" i="142"/>
  <c r="U5" i="142"/>
  <c r="U3" i="142"/>
  <c r="Y43" i="149" l="1"/>
  <c r="Y43" i="150"/>
  <c r="Y43" i="153"/>
  <c r="Y43" i="151"/>
  <c r="Y43" i="152"/>
  <c r="Y43" i="154"/>
  <c r="Y36" i="150"/>
  <c r="Y36" i="152"/>
  <c r="Y36" i="153"/>
  <c r="Y36" i="149"/>
  <c r="Y36" i="151"/>
  <c r="Y36" i="154"/>
  <c r="Y42" i="154"/>
  <c r="Y42" i="150"/>
  <c r="Y42" i="152"/>
  <c r="Y42" i="149"/>
  <c r="Y42" i="153"/>
  <c r="Y42" i="151"/>
  <c r="Y37" i="149"/>
  <c r="Y37" i="150"/>
  <c r="Y37" i="152"/>
  <c r="Y37" i="153"/>
  <c r="Y37" i="151"/>
  <c r="Y37" i="154"/>
  <c r="Z36" i="154"/>
  <c r="Z36" i="149"/>
  <c r="Z36" i="150"/>
  <c r="Z36" i="153"/>
  <c r="Z36" i="152"/>
  <c r="Z36" i="151"/>
  <c r="Q22" i="148"/>
  <c r="T14" i="148"/>
  <c r="T25" i="148"/>
  <c r="I25" i="148" s="1"/>
  <c r="U61" i="165"/>
  <c r="K4" i="165" s="1"/>
  <c r="AG22" i="163"/>
  <c r="AG22" i="160"/>
  <c r="AG23" i="160"/>
  <c r="AG27" i="160"/>
  <c r="AH27" i="160" s="1"/>
  <c r="AG24" i="160"/>
  <c r="AH24" i="160" s="1"/>
  <c r="AG24" i="159"/>
  <c r="AG27" i="159"/>
  <c r="AH27" i="159" s="1"/>
  <c r="AG26" i="159"/>
  <c r="AG25" i="159"/>
  <c r="AH25" i="159" s="1"/>
  <c r="AG26" i="158"/>
  <c r="AG25" i="158"/>
  <c r="AH25" i="158" s="1"/>
  <c r="AG24" i="158"/>
  <c r="AH24" i="158" s="1"/>
  <c r="AG27" i="158"/>
  <c r="AH27" i="158" s="1"/>
  <c r="AG42" i="148"/>
  <c r="AE42" i="148"/>
  <c r="AG22" i="148"/>
  <c r="AE22" i="148"/>
  <c r="AE27" i="160"/>
  <c r="AE26" i="160"/>
  <c r="AE25" i="160"/>
  <c r="AE24" i="160"/>
  <c r="AH23" i="160"/>
  <c r="AH22" i="160"/>
  <c r="AE26" i="159"/>
  <c r="AF26" i="159" s="1"/>
  <c r="AE27" i="159"/>
  <c r="AH24" i="159"/>
  <c r="AE25" i="159"/>
  <c r="AE24" i="159"/>
  <c r="AG22" i="156"/>
  <c r="AH22" i="156" s="1"/>
  <c r="AE22" i="156"/>
  <c r="AG25" i="156"/>
  <c r="AH25" i="156" s="1"/>
  <c r="AE25" i="156"/>
  <c r="AG23" i="156"/>
  <c r="AH23" i="156" s="1"/>
  <c r="AE23" i="156"/>
  <c r="U23" i="150"/>
  <c r="U12" i="150"/>
  <c r="AG42" i="153"/>
  <c r="AE42" i="153"/>
  <c r="AE42" i="151"/>
  <c r="AG42" i="151"/>
  <c r="AG19" i="150"/>
  <c r="AH19" i="150" s="1"/>
  <c r="AE19" i="150"/>
  <c r="AG18" i="150"/>
  <c r="AH18" i="150" s="1"/>
  <c r="AE18" i="150"/>
  <c r="AG21" i="150"/>
  <c r="AH21" i="150" s="1"/>
  <c r="AE21" i="150"/>
  <c r="AG42" i="152"/>
  <c r="AE42" i="152"/>
  <c r="AG19" i="152"/>
  <c r="AH19" i="152" s="1"/>
  <c r="AE19" i="152"/>
  <c r="AG18" i="152"/>
  <c r="AH18" i="152" s="1"/>
  <c r="AE18" i="152"/>
  <c r="AG21" i="152"/>
  <c r="AH21" i="152" s="1"/>
  <c r="AE21" i="152"/>
  <c r="AG42" i="154"/>
  <c r="AE42" i="154"/>
  <c r="AG19" i="154"/>
  <c r="AH19" i="154" s="1"/>
  <c r="AE19" i="154"/>
  <c r="AG18" i="154"/>
  <c r="AH18" i="154" s="1"/>
  <c r="AE18" i="154"/>
  <c r="AG21" i="154"/>
  <c r="AH21" i="154" s="1"/>
  <c r="AE21" i="154"/>
  <c r="AG20" i="154"/>
  <c r="AH20" i="154" s="1"/>
  <c r="Y71" i="152"/>
  <c r="U23" i="153"/>
  <c r="U12" i="153"/>
  <c r="AG19" i="153"/>
  <c r="AH19" i="153" s="1"/>
  <c r="AE19" i="153"/>
  <c r="AG18" i="153"/>
  <c r="AH18" i="153" s="1"/>
  <c r="AE18" i="153"/>
  <c r="AG21" i="153"/>
  <c r="AH21" i="153" s="1"/>
  <c r="AE21" i="153"/>
  <c r="AG20" i="153"/>
  <c r="AH20" i="153" s="1"/>
  <c r="AE19" i="151"/>
  <c r="AG18" i="151"/>
  <c r="AH18" i="151" s="1"/>
  <c r="AE18" i="151"/>
  <c r="AG21" i="151"/>
  <c r="AH21" i="151" s="1"/>
  <c r="AE21" i="151"/>
  <c r="AE19" i="149"/>
  <c r="AG21" i="149"/>
  <c r="AH21" i="149" s="1"/>
  <c r="AG18" i="149"/>
  <c r="AH18" i="149" s="1"/>
  <c r="AE18" i="149"/>
  <c r="AE21" i="149"/>
  <c r="AG18" i="148"/>
  <c r="AE18" i="148"/>
  <c r="AF90" i="149"/>
  <c r="AG25" i="157"/>
  <c r="AH25" i="157" s="1"/>
  <c r="AG22" i="157"/>
  <c r="AH22" i="157" s="1"/>
  <c r="AE25" i="157"/>
  <c r="AE22" i="157"/>
  <c r="AG24" i="157"/>
  <c r="AH24" i="157" s="1"/>
  <c r="AE24" i="157"/>
  <c r="AG23" i="157"/>
  <c r="AH23" i="157" s="1"/>
  <c r="AE23" i="157"/>
  <c r="AG33" i="158"/>
  <c r="AE33" i="158"/>
  <c r="AE27" i="158"/>
  <c r="AE25" i="158"/>
  <c r="AE24" i="158"/>
  <c r="AG30" i="155"/>
  <c r="AE30" i="155"/>
  <c r="AE22" i="155"/>
  <c r="AE25" i="155"/>
  <c r="AE23" i="155"/>
  <c r="AG25" i="155"/>
  <c r="AG23" i="155"/>
  <c r="AG22" i="155"/>
  <c r="AA43" i="177"/>
  <c r="AA43" i="176"/>
  <c r="Y40" i="176"/>
  <c r="Y40" i="177"/>
  <c r="Z40" i="176"/>
  <c r="Z40" i="177"/>
  <c r="Z43" i="177"/>
  <c r="Z43" i="176"/>
  <c r="AA39" i="176"/>
  <c r="AA39" i="177"/>
  <c r="Y43" i="177"/>
  <c r="Y43" i="176"/>
  <c r="Z39" i="176"/>
  <c r="Z39" i="177"/>
  <c r="AA40" i="176"/>
  <c r="AA40" i="177"/>
  <c r="AA42" i="177"/>
  <c r="AA42" i="176"/>
  <c r="Y39" i="176"/>
  <c r="Y39" i="177"/>
  <c r="Z42" i="177"/>
  <c r="Z42" i="176"/>
  <c r="AA38" i="176"/>
  <c r="AA38" i="177"/>
  <c r="Y42" i="177"/>
  <c r="Y42" i="176"/>
  <c r="Z38" i="176"/>
  <c r="Z38" i="177"/>
  <c r="AA41" i="176"/>
  <c r="AA41" i="177"/>
  <c r="Y38" i="176"/>
  <c r="Y38" i="177"/>
  <c r="Z41" i="177"/>
  <c r="Z41" i="176"/>
  <c r="Y41" i="177"/>
  <c r="Y41" i="176"/>
  <c r="AD70" i="176"/>
  <c r="AD70" i="177"/>
  <c r="AA44" i="148"/>
  <c r="V32" i="171"/>
  <c r="I42" i="171"/>
  <c r="V42" i="171" s="1"/>
  <c r="AA43" i="175"/>
  <c r="B39" i="171"/>
  <c r="O39" i="171" s="1"/>
  <c r="Y40" i="175"/>
  <c r="G42" i="171"/>
  <c r="T42" i="171" s="1"/>
  <c r="Z43" i="175"/>
  <c r="I38" i="171"/>
  <c r="V38" i="171" s="1"/>
  <c r="AA39" i="175"/>
  <c r="B42" i="171"/>
  <c r="O42" i="171" s="1"/>
  <c r="Y43" i="175"/>
  <c r="G38" i="171"/>
  <c r="T38" i="171" s="1"/>
  <c r="Z39" i="175"/>
  <c r="G39" i="171"/>
  <c r="T39" i="171" s="1"/>
  <c r="Z40" i="175"/>
  <c r="I41" i="171"/>
  <c r="V41" i="171" s="1"/>
  <c r="AA42" i="175"/>
  <c r="B38" i="171"/>
  <c r="O38" i="171" s="1"/>
  <c r="Y39" i="175"/>
  <c r="G41" i="171"/>
  <c r="T41" i="171" s="1"/>
  <c r="Z42" i="175"/>
  <c r="I37" i="171"/>
  <c r="V37" i="171" s="1"/>
  <c r="AA38" i="175"/>
  <c r="B41" i="171"/>
  <c r="O41" i="171" s="1"/>
  <c r="Y42" i="175"/>
  <c r="G37" i="171"/>
  <c r="T37" i="171" s="1"/>
  <c r="Z38" i="175"/>
  <c r="I40" i="171"/>
  <c r="V40" i="171" s="1"/>
  <c r="AA41" i="175"/>
  <c r="B37" i="171"/>
  <c r="O37" i="171" s="1"/>
  <c r="Y38" i="175"/>
  <c r="G40" i="171"/>
  <c r="T40" i="171" s="1"/>
  <c r="Z41" i="175"/>
  <c r="B40" i="171"/>
  <c r="O40" i="171" s="1"/>
  <c r="Y41" i="175"/>
  <c r="I39" i="171"/>
  <c r="V39" i="171" s="1"/>
  <c r="AA40" i="175"/>
  <c r="AD71" i="154"/>
  <c r="AD71" i="153"/>
  <c r="AD71" i="152"/>
  <c r="AD71" i="151"/>
  <c r="AD71" i="150"/>
  <c r="AD71" i="149"/>
  <c r="AG19" i="148"/>
  <c r="AG21" i="148"/>
  <c r="AE21" i="148"/>
  <c r="P73" i="154"/>
  <c r="J6" i="154"/>
  <c r="Y61" i="166"/>
  <c r="C33" i="124"/>
  <c r="AE65" i="168"/>
  <c r="AD61" i="166"/>
  <c r="AD61" i="165"/>
  <c r="AE65" i="169"/>
  <c r="AD70" i="162"/>
  <c r="AD70" i="160"/>
  <c r="AD80" i="157"/>
  <c r="AD70" i="159"/>
  <c r="AD80" i="156"/>
  <c r="AD70" i="163"/>
  <c r="Q66" i="167"/>
  <c r="F5" i="167"/>
  <c r="P72" i="153"/>
  <c r="Y72" i="153"/>
  <c r="Y72" i="150"/>
  <c r="P73" i="151"/>
  <c r="J6" i="151"/>
  <c r="Y71" i="151"/>
  <c r="Y71" i="154"/>
  <c r="Y70" i="159"/>
  <c r="U70" i="161"/>
  <c r="Z65" i="168"/>
  <c r="P62" i="164"/>
  <c r="F5" i="164"/>
  <c r="Y70" i="162"/>
  <c r="U90" i="162"/>
  <c r="Y70" i="163"/>
  <c r="Y61" i="165"/>
  <c r="Y70" i="160"/>
  <c r="U70" i="158"/>
  <c r="P71" i="161"/>
  <c r="F5" i="161"/>
  <c r="P71" i="158"/>
  <c r="F5" i="158"/>
  <c r="Y80" i="157"/>
  <c r="K4" i="155"/>
  <c r="U80" i="155"/>
  <c r="P81" i="155"/>
  <c r="F5" i="155"/>
  <c r="P72" i="150"/>
  <c r="U79" i="148"/>
  <c r="Y71" i="149"/>
  <c r="Y77" i="150"/>
  <c r="Y78" i="150" s="1"/>
  <c r="P72" i="148"/>
  <c r="E5" i="148"/>
  <c r="U71" i="148"/>
  <c r="K4" i="148"/>
  <c r="AF81" i="149"/>
  <c r="V74" i="169"/>
  <c r="AF71" i="165"/>
  <c r="AF80" i="165"/>
  <c r="I27" i="155"/>
  <c r="B180" i="133"/>
  <c r="B49" i="171"/>
  <c r="O49" i="171" s="1"/>
  <c r="D178" i="133"/>
  <c r="I47" i="171"/>
  <c r="V47" i="171" s="1"/>
  <c r="C177" i="133"/>
  <c r="G46" i="171"/>
  <c r="T46" i="171" s="1"/>
  <c r="C176" i="133"/>
  <c r="G45" i="171"/>
  <c r="T45" i="171" s="1"/>
  <c r="B175" i="133"/>
  <c r="B44" i="171"/>
  <c r="O44" i="171" s="1"/>
  <c r="D179" i="133"/>
  <c r="I48" i="171"/>
  <c r="V48" i="171" s="1"/>
  <c r="C178" i="133"/>
  <c r="G47" i="171"/>
  <c r="T47" i="171" s="1"/>
  <c r="B177" i="133"/>
  <c r="B46" i="171"/>
  <c r="O46" i="171" s="1"/>
  <c r="B176" i="133"/>
  <c r="B45" i="171"/>
  <c r="O45" i="171" s="1"/>
  <c r="D174" i="133"/>
  <c r="I43" i="171"/>
  <c r="V43" i="171" s="1"/>
  <c r="D180" i="133"/>
  <c r="I49" i="171"/>
  <c r="V49" i="171" s="1"/>
  <c r="C179" i="133"/>
  <c r="G48" i="171"/>
  <c r="T48" i="171" s="1"/>
  <c r="B178" i="133"/>
  <c r="B47" i="171"/>
  <c r="O47" i="171" s="1"/>
  <c r="D175" i="133"/>
  <c r="I44" i="171"/>
  <c r="V44" i="171" s="1"/>
  <c r="C174" i="133"/>
  <c r="G43" i="171"/>
  <c r="T43" i="171" s="1"/>
  <c r="C180" i="133"/>
  <c r="G49" i="171"/>
  <c r="T49" i="171" s="1"/>
  <c r="B179" i="133"/>
  <c r="B48" i="171"/>
  <c r="O48" i="171" s="1"/>
  <c r="D177" i="133"/>
  <c r="I46" i="171"/>
  <c r="V46" i="171" s="1"/>
  <c r="D176" i="133"/>
  <c r="I45" i="171"/>
  <c r="V45" i="171" s="1"/>
  <c r="C175" i="133"/>
  <c r="G44" i="171"/>
  <c r="T44" i="171" s="1"/>
  <c r="B174" i="133"/>
  <c r="B43" i="171"/>
  <c r="O43" i="171" s="1"/>
  <c r="AE36" i="166"/>
  <c r="AG35" i="166"/>
  <c r="AE35" i="166"/>
  <c r="AG39" i="162"/>
  <c r="AE41" i="162"/>
  <c r="AG41" i="162"/>
  <c r="AE42" i="162"/>
  <c r="AE39" i="162"/>
  <c r="AE38" i="162"/>
  <c r="AG36" i="165"/>
  <c r="AE35" i="165"/>
  <c r="AG35" i="165"/>
  <c r="AE38" i="161"/>
  <c r="AE39" i="161"/>
  <c r="AE42" i="161"/>
  <c r="AE41" i="161"/>
  <c r="AG41" i="163"/>
  <c r="AG38" i="163"/>
  <c r="AE42" i="163"/>
  <c r="AE39" i="163"/>
  <c r="AG39" i="163"/>
  <c r="AA44" i="168"/>
  <c r="AA44" i="130"/>
  <c r="AA44" i="169"/>
  <c r="AC43" i="130"/>
  <c r="AC43" i="169"/>
  <c r="AC43" i="168"/>
  <c r="AB42" i="169"/>
  <c r="AB42" i="168"/>
  <c r="AB42" i="130"/>
  <c r="AC40" i="130"/>
  <c r="AC40" i="169"/>
  <c r="AC40" i="168"/>
  <c r="AB39" i="169"/>
  <c r="AB39" i="130"/>
  <c r="AB39" i="168"/>
  <c r="AC39" i="130"/>
  <c r="AC39" i="169"/>
  <c r="AC39" i="168"/>
  <c r="AC44" i="130"/>
  <c r="AC44" i="169"/>
  <c r="AC44" i="168"/>
  <c r="AB43" i="169"/>
  <c r="AB43" i="168"/>
  <c r="AB43" i="130"/>
  <c r="AA42" i="169"/>
  <c r="AA42" i="168"/>
  <c r="AA42" i="130"/>
  <c r="AB40" i="169"/>
  <c r="AB40" i="168"/>
  <c r="AB40" i="130"/>
  <c r="AA39" i="168"/>
  <c r="AA39" i="169"/>
  <c r="AA39" i="130"/>
  <c r="AC42" i="130"/>
  <c r="AC42" i="168"/>
  <c r="AC42" i="169"/>
  <c r="AB44" i="169"/>
  <c r="AB44" i="130"/>
  <c r="AB44" i="168"/>
  <c r="AA43" i="130"/>
  <c r="AA43" i="169"/>
  <c r="AA43" i="168"/>
  <c r="AA40" i="168"/>
  <c r="AA40" i="169"/>
  <c r="AA40" i="130"/>
  <c r="AI31" i="167"/>
  <c r="AG42" i="167"/>
  <c r="AI42" i="167"/>
  <c r="AI42" i="168"/>
  <c r="AG42" i="168"/>
  <c r="AI42" i="169"/>
  <c r="AG42" i="169"/>
  <c r="V74" i="167"/>
  <c r="AA40" i="167"/>
  <c r="Y31" i="129"/>
  <c r="AB40" i="167"/>
  <c r="Z31" i="129"/>
  <c r="C170" i="133"/>
  <c r="AB44" i="167"/>
  <c r="Z37" i="166"/>
  <c r="Z37" i="164"/>
  <c r="Z37" i="165"/>
  <c r="Z37" i="129"/>
  <c r="Z40" i="163"/>
  <c r="Z40" i="161"/>
  <c r="Z40" i="128"/>
  <c r="Z40" i="162"/>
  <c r="B169" i="133"/>
  <c r="AA43" i="167"/>
  <c r="Y36" i="165"/>
  <c r="Y36" i="166"/>
  <c r="Y39" i="162"/>
  <c r="Y39" i="163"/>
  <c r="Y39" i="161"/>
  <c r="Y36" i="129"/>
  <c r="Y39" i="128"/>
  <c r="Y36" i="164"/>
  <c r="D173" i="133"/>
  <c r="AA43" i="162"/>
  <c r="AA43" i="128"/>
  <c r="AA43" i="163"/>
  <c r="AA43" i="161"/>
  <c r="B170" i="133"/>
  <c r="AA44" i="167"/>
  <c r="Y37" i="165"/>
  <c r="Y37" i="129"/>
  <c r="Y40" i="163"/>
  <c r="Y37" i="164"/>
  <c r="Y40" i="162"/>
  <c r="Y40" i="128"/>
  <c r="Y37" i="166"/>
  <c r="Y40" i="161"/>
  <c r="D168" i="133"/>
  <c r="AA35" i="129"/>
  <c r="AC42" i="167"/>
  <c r="AA35" i="164"/>
  <c r="AA38" i="161"/>
  <c r="AA38" i="128"/>
  <c r="AA38" i="162"/>
  <c r="AA35" i="165"/>
  <c r="AA38" i="163"/>
  <c r="AA35" i="166"/>
  <c r="AC39" i="167"/>
  <c r="C173" i="133"/>
  <c r="Z43" i="163"/>
  <c r="Z43" i="161"/>
  <c r="Z43" i="162"/>
  <c r="Z43" i="128"/>
  <c r="B172" i="133"/>
  <c r="Y42" i="163"/>
  <c r="Y42" i="161"/>
  <c r="Y42" i="162"/>
  <c r="Y42" i="128"/>
  <c r="D169" i="133"/>
  <c r="AC43" i="167"/>
  <c r="AA36" i="129"/>
  <c r="AA36" i="166"/>
  <c r="AA36" i="164"/>
  <c r="AA39" i="162"/>
  <c r="AA39" i="163"/>
  <c r="AA39" i="161"/>
  <c r="AA36" i="165"/>
  <c r="AA39" i="128"/>
  <c r="C168" i="133"/>
  <c r="Z35" i="129"/>
  <c r="Z35" i="164"/>
  <c r="Z35" i="165"/>
  <c r="Z38" i="161"/>
  <c r="Z38" i="163"/>
  <c r="AB42" i="167"/>
  <c r="Z35" i="166"/>
  <c r="Z38" i="162"/>
  <c r="Z38" i="128"/>
  <c r="AC40" i="167"/>
  <c r="AA31" i="129"/>
  <c r="AB39" i="167"/>
  <c r="D172" i="133"/>
  <c r="AA42" i="162"/>
  <c r="AA42" i="128"/>
  <c r="AA42" i="161"/>
  <c r="AA42" i="163"/>
  <c r="C171" i="133"/>
  <c r="Z41" i="162"/>
  <c r="Z41" i="128"/>
  <c r="Z41" i="163"/>
  <c r="Z41" i="161"/>
  <c r="C172" i="133"/>
  <c r="Z42" i="163"/>
  <c r="Z42" i="161"/>
  <c r="Z42" i="128"/>
  <c r="Z42" i="162"/>
  <c r="B171" i="133"/>
  <c r="Y41" i="162"/>
  <c r="Y41" i="161"/>
  <c r="Y41" i="163"/>
  <c r="Y41" i="128"/>
  <c r="B173" i="133"/>
  <c r="Y43" i="163"/>
  <c r="Y43" i="161"/>
  <c r="Y43" i="128"/>
  <c r="Y43" i="162"/>
  <c r="D171" i="133"/>
  <c r="AA41" i="162"/>
  <c r="AA41" i="163"/>
  <c r="AA41" i="128"/>
  <c r="AA41" i="161"/>
  <c r="D170" i="133"/>
  <c r="AA37" i="129"/>
  <c r="AA37" i="166"/>
  <c r="AA37" i="164"/>
  <c r="AA40" i="162"/>
  <c r="AA40" i="128"/>
  <c r="AC44" i="167"/>
  <c r="AA37" i="165"/>
  <c r="AA40" i="163"/>
  <c r="AA40" i="161"/>
  <c r="C169" i="133"/>
  <c r="AB43" i="167"/>
  <c r="Z36" i="166"/>
  <c r="Z36" i="164"/>
  <c r="Z36" i="165"/>
  <c r="Z39" i="163"/>
  <c r="Z39" i="161"/>
  <c r="Z39" i="162"/>
  <c r="Z36" i="129"/>
  <c r="Z39" i="128"/>
  <c r="B168" i="133"/>
  <c r="AA42" i="167"/>
  <c r="Y35" i="129"/>
  <c r="Y35" i="164"/>
  <c r="Y38" i="161"/>
  <c r="Y35" i="165"/>
  <c r="Y38" i="163"/>
  <c r="Y35" i="166"/>
  <c r="Y38" i="128"/>
  <c r="Y38" i="162"/>
  <c r="AA39" i="167"/>
  <c r="AG31" i="167"/>
  <c r="AH83" i="168"/>
  <c r="U79" i="164"/>
  <c r="AE36" i="164"/>
  <c r="AG35" i="164"/>
  <c r="AG36" i="164"/>
  <c r="AE35" i="164"/>
  <c r="U69" i="164"/>
  <c r="AE80" i="164"/>
  <c r="AD81" i="164" s="1"/>
  <c r="AG25" i="164"/>
  <c r="AG21" i="164"/>
  <c r="AE27" i="164"/>
  <c r="AE23" i="164"/>
  <c r="AE19" i="164"/>
  <c r="AG24" i="164"/>
  <c r="AG20" i="164"/>
  <c r="AE26" i="164"/>
  <c r="AE22" i="164"/>
  <c r="AG22" i="164"/>
  <c r="AE20" i="164"/>
  <c r="AG27" i="164"/>
  <c r="AG23" i="164"/>
  <c r="AG19" i="164"/>
  <c r="AE25" i="164"/>
  <c r="AE21" i="164"/>
  <c r="AG26" i="164"/>
  <c r="AE24" i="164"/>
  <c r="AE76" i="165"/>
  <c r="AG26" i="165"/>
  <c r="AG24" i="165"/>
  <c r="AG22" i="165"/>
  <c r="AG20" i="165"/>
  <c r="AE26" i="165"/>
  <c r="AE22" i="165"/>
  <c r="AE20" i="165"/>
  <c r="AE23" i="165"/>
  <c r="AE19" i="165"/>
  <c r="AG27" i="165"/>
  <c r="AG25" i="165"/>
  <c r="AG23" i="165"/>
  <c r="AG21" i="165"/>
  <c r="AG19" i="165"/>
  <c r="AE25" i="165"/>
  <c r="AG25" i="166"/>
  <c r="AG23" i="166"/>
  <c r="AG19" i="166"/>
  <c r="AE26" i="166"/>
  <c r="AE20" i="166"/>
  <c r="AE27" i="166"/>
  <c r="AE25" i="166"/>
  <c r="AE23" i="166"/>
  <c r="AE21" i="166"/>
  <c r="AE19" i="166"/>
  <c r="AE24" i="166"/>
  <c r="AE22" i="166"/>
  <c r="AG26" i="166"/>
  <c r="AG22" i="166"/>
  <c r="AG20" i="166"/>
  <c r="AA30" i="129"/>
  <c r="AA30" i="164"/>
  <c r="AA30" i="166"/>
  <c r="AA30" i="165"/>
  <c r="D164" i="133"/>
  <c r="AA42" i="148"/>
  <c r="AA31" i="166"/>
  <c r="AA31" i="164"/>
  <c r="AA31" i="165"/>
  <c r="D165" i="133"/>
  <c r="AA43" i="148"/>
  <c r="Z30" i="129"/>
  <c r="Z30" i="164"/>
  <c r="Z30" i="165"/>
  <c r="Z30" i="166"/>
  <c r="C164" i="133"/>
  <c r="Z42" i="148"/>
  <c r="D163" i="133"/>
  <c r="AA37" i="148"/>
  <c r="C162" i="133"/>
  <c r="Z36" i="148"/>
  <c r="Z44" i="163"/>
  <c r="Z44" i="128"/>
  <c r="Z44" i="162"/>
  <c r="Z42" i="155"/>
  <c r="C166" i="133"/>
  <c r="Z44" i="148"/>
  <c r="Y44" i="128"/>
  <c r="Y44" i="162"/>
  <c r="Y44" i="163"/>
  <c r="Y42" i="155"/>
  <c r="B166" i="133"/>
  <c r="Y44" i="148"/>
  <c r="D162" i="133"/>
  <c r="AA36" i="148"/>
  <c r="Y30" i="129"/>
  <c r="Y30" i="164"/>
  <c r="Y30" i="166"/>
  <c r="Y30" i="165"/>
  <c r="B164" i="133"/>
  <c r="Y42" i="148"/>
  <c r="B162" i="133"/>
  <c r="Y36" i="148"/>
  <c r="Z31" i="165"/>
  <c r="Z31" i="166"/>
  <c r="Z31" i="164"/>
  <c r="C165" i="133"/>
  <c r="C163" i="133"/>
  <c r="Z43" i="148"/>
  <c r="AA44" i="163"/>
  <c r="AA44" i="128"/>
  <c r="AA44" i="162"/>
  <c r="AA42" i="155"/>
  <c r="D166" i="133"/>
  <c r="Y31" i="165"/>
  <c r="Y31" i="166"/>
  <c r="Y31" i="164"/>
  <c r="B165" i="133"/>
  <c r="B163" i="133"/>
  <c r="Z37" i="148"/>
  <c r="Y43" i="148"/>
  <c r="Y37" i="148"/>
  <c r="U70" i="166"/>
  <c r="AG80" i="165"/>
  <c r="Y67" i="166"/>
  <c r="Y68" i="166" s="1"/>
  <c r="Y76" i="164"/>
  <c r="Y77" i="164" s="1"/>
  <c r="AG91" i="162"/>
  <c r="U79" i="161"/>
  <c r="AE21" i="163"/>
  <c r="AE20" i="163"/>
  <c r="AE31" i="162"/>
  <c r="AE24" i="162"/>
  <c r="AE30" i="162"/>
  <c r="AE27" i="162"/>
  <c r="AE25" i="162"/>
  <c r="AE28" i="162"/>
  <c r="AE29" i="162"/>
  <c r="AE26" i="162"/>
  <c r="AE87" i="162"/>
  <c r="AE20" i="161"/>
  <c r="AE21" i="162"/>
  <c r="AE20" i="162"/>
  <c r="AG27" i="163"/>
  <c r="AG25" i="163"/>
  <c r="AG26" i="163"/>
  <c r="AG24" i="163"/>
  <c r="AG91" i="163"/>
  <c r="AE88" i="158"/>
  <c r="AF91" i="159"/>
  <c r="AG91" i="157"/>
  <c r="X101" i="156"/>
  <c r="AE99" i="155"/>
  <c r="AF100" i="156"/>
  <c r="AF101" i="157"/>
  <c r="AG79" i="153"/>
  <c r="U80" i="151"/>
  <c r="AE77" i="150"/>
  <c r="AF90" i="151"/>
  <c r="AE77" i="151"/>
  <c r="AG81" i="152"/>
  <c r="AF81" i="154"/>
  <c r="AG90" i="150"/>
  <c r="AF90" i="150"/>
  <c r="Y86" i="151"/>
  <c r="Y87" i="151" s="1"/>
  <c r="X90" i="151" s="1"/>
  <c r="AG88" i="153"/>
  <c r="Y77" i="154"/>
  <c r="Y78" i="154" s="1"/>
  <c r="AF90" i="154"/>
  <c r="AF80" i="150"/>
  <c r="AG81" i="150"/>
  <c r="U88" i="150"/>
  <c r="AG90" i="151"/>
  <c r="AG81" i="154"/>
  <c r="AG91" i="156"/>
  <c r="V83" i="168"/>
  <c r="U80" i="152"/>
  <c r="U78" i="158"/>
  <c r="AG91" i="159"/>
  <c r="AF80" i="166"/>
  <c r="Y77" i="149"/>
  <c r="Y78" i="149" s="1"/>
  <c r="X90" i="152"/>
  <c r="AF79" i="154"/>
  <c r="AF101" i="156"/>
  <c r="AF91" i="163"/>
  <c r="Y67" i="165"/>
  <c r="Y68" i="165" s="1"/>
  <c r="AG70" i="165"/>
  <c r="AG84" i="169"/>
  <c r="AF80" i="151"/>
  <c r="U80" i="149"/>
  <c r="AG90" i="149"/>
  <c r="AF79" i="150"/>
  <c r="AF81" i="152"/>
  <c r="AG89" i="153"/>
  <c r="Y97" i="155"/>
  <c r="Y98" i="155" s="1"/>
  <c r="AE98" i="155"/>
  <c r="Y86" i="156"/>
  <c r="Y87" i="156" s="1"/>
  <c r="Y86" i="157"/>
  <c r="Y87" i="157" s="1"/>
  <c r="AE80" i="158"/>
  <c r="AE77" i="158"/>
  <c r="U79" i="158"/>
  <c r="AE89" i="158"/>
  <c r="AG78" i="159"/>
  <c r="U90" i="159"/>
  <c r="Y76" i="161"/>
  <c r="Y77" i="161" s="1"/>
  <c r="Y76" i="163"/>
  <c r="Y77" i="163" s="1"/>
  <c r="AG79" i="163"/>
  <c r="AF80" i="163"/>
  <c r="AE77" i="164"/>
  <c r="AE79" i="164"/>
  <c r="AG70" i="166"/>
  <c r="AF71" i="166"/>
  <c r="AH75" i="168"/>
  <c r="AG73" i="168"/>
  <c r="AH75" i="169"/>
  <c r="AG88" i="151"/>
  <c r="AE101" i="155"/>
  <c r="AE77" i="161"/>
  <c r="AG80" i="149"/>
  <c r="U80" i="150"/>
  <c r="AG88" i="150"/>
  <c r="AF79" i="151"/>
  <c r="AF89" i="151"/>
  <c r="Y77" i="152"/>
  <c r="Y78" i="152" s="1"/>
  <c r="U80" i="154"/>
  <c r="AF80" i="154"/>
  <c r="AE97" i="156"/>
  <c r="Y76" i="158"/>
  <c r="Y77" i="158" s="1"/>
  <c r="AE78" i="161"/>
  <c r="AG69" i="165"/>
  <c r="AG69" i="166"/>
  <c r="AF90" i="153"/>
  <c r="U99" i="155"/>
  <c r="AG79" i="149"/>
  <c r="U89" i="151"/>
  <c r="AF88" i="151"/>
  <c r="AG89" i="151"/>
  <c r="U100" i="155"/>
  <c r="AE100" i="155"/>
  <c r="U89" i="156"/>
  <c r="U89" i="157"/>
  <c r="AG79" i="159"/>
  <c r="AF80" i="159"/>
  <c r="AF89" i="160"/>
  <c r="AG78" i="163"/>
  <c r="AG80" i="166"/>
  <c r="AF73" i="167"/>
  <c r="AH74" i="168"/>
  <c r="AG75" i="168"/>
  <c r="Q75" i="124"/>
  <c r="C32" i="124" s="1"/>
  <c r="Y89" i="155" s="1"/>
  <c r="Q74" i="124"/>
  <c r="C31" i="124" s="1"/>
  <c r="AE80" i="169"/>
  <c r="AF81" i="169" s="1"/>
  <c r="AD76" i="166"/>
  <c r="AE77" i="166" s="1"/>
  <c r="AD87" i="163"/>
  <c r="AE88" i="163" s="1"/>
  <c r="AD97" i="157"/>
  <c r="AE98" i="157" s="1"/>
  <c r="AD87" i="160"/>
  <c r="AE88" i="160" s="1"/>
  <c r="AD77" i="153"/>
  <c r="AE78" i="153" s="1"/>
  <c r="AD77" i="154"/>
  <c r="AE78" i="154" s="1"/>
  <c r="AE71" i="168"/>
  <c r="AF72" i="168" s="1"/>
  <c r="AD76" i="165"/>
  <c r="AE77" i="165" s="1"/>
  <c r="AD76" i="162"/>
  <c r="AE77" i="162" s="1"/>
  <c r="AD97" i="156"/>
  <c r="AE98" i="156" s="1"/>
  <c r="AD87" i="159"/>
  <c r="AE88" i="159" s="1"/>
  <c r="AD77" i="151"/>
  <c r="AE78" i="151" s="1"/>
  <c r="AD86" i="149"/>
  <c r="AE87" i="149" s="1"/>
  <c r="U80" i="148"/>
  <c r="Y77" i="148"/>
  <c r="Y78" i="148" s="1"/>
  <c r="U89" i="148"/>
  <c r="U88" i="148"/>
  <c r="Y86" i="148"/>
  <c r="Y87" i="148" s="1"/>
  <c r="AE88" i="155"/>
  <c r="U89" i="155"/>
  <c r="AE87" i="155"/>
  <c r="Y86" i="155"/>
  <c r="Y87" i="155" s="1"/>
  <c r="AE90" i="155"/>
  <c r="AE89" i="155"/>
  <c r="U88" i="155"/>
  <c r="AG81" i="149"/>
  <c r="U89" i="149"/>
  <c r="AG86" i="150"/>
  <c r="AG79" i="150"/>
  <c r="AG80" i="150"/>
  <c r="AF81" i="150"/>
  <c r="AF80" i="153"/>
  <c r="AF79" i="153"/>
  <c r="U80" i="153"/>
  <c r="U79" i="153"/>
  <c r="AG81" i="153"/>
  <c r="Y77" i="153"/>
  <c r="Y78" i="153" s="1"/>
  <c r="AF88" i="149"/>
  <c r="AF89" i="149"/>
  <c r="X90" i="149"/>
  <c r="AF89" i="150"/>
  <c r="AF88" i="150"/>
  <c r="Y86" i="150"/>
  <c r="Y87" i="150" s="1"/>
  <c r="U89" i="150"/>
  <c r="AG89" i="150"/>
  <c r="U89" i="152"/>
  <c r="AG90" i="152"/>
  <c r="AF90" i="152"/>
  <c r="AG89" i="152"/>
  <c r="AG88" i="152"/>
  <c r="Y86" i="152"/>
  <c r="Y87" i="152" s="1"/>
  <c r="AF89" i="152"/>
  <c r="AG86" i="153"/>
  <c r="AG98" i="156"/>
  <c r="AF79" i="149"/>
  <c r="AF80" i="149"/>
  <c r="X81" i="149"/>
  <c r="Y86" i="149"/>
  <c r="Y87" i="149" s="1"/>
  <c r="AG88" i="149"/>
  <c r="AG89" i="149"/>
  <c r="U79" i="150"/>
  <c r="AF88" i="152"/>
  <c r="AG80" i="153"/>
  <c r="AF81" i="153"/>
  <c r="AF89" i="154"/>
  <c r="AF88" i="154"/>
  <c r="Y86" i="154"/>
  <c r="Y87" i="154" s="1"/>
  <c r="AG90" i="154"/>
  <c r="AG79" i="151"/>
  <c r="AG80" i="151"/>
  <c r="AF81" i="151"/>
  <c r="AF79" i="152"/>
  <c r="AF80" i="152"/>
  <c r="X81" i="152"/>
  <c r="AG90" i="153"/>
  <c r="U79" i="154"/>
  <c r="U88" i="154"/>
  <c r="U89" i="154"/>
  <c r="Y77" i="151"/>
  <c r="Y78" i="151" s="1"/>
  <c r="AG81" i="151"/>
  <c r="AG79" i="152"/>
  <c r="AG80" i="152"/>
  <c r="U88" i="153"/>
  <c r="U89" i="153"/>
  <c r="U79" i="151"/>
  <c r="U88" i="151"/>
  <c r="Y86" i="153"/>
  <c r="Y87" i="153" s="1"/>
  <c r="AF88" i="153"/>
  <c r="AF89" i="153"/>
  <c r="AG79" i="154"/>
  <c r="AG80" i="154"/>
  <c r="AG88" i="154"/>
  <c r="AG89" i="154"/>
  <c r="U100" i="157"/>
  <c r="AG102" i="157"/>
  <c r="AF102" i="157"/>
  <c r="AG101" i="157"/>
  <c r="AG100" i="157"/>
  <c r="Y97" i="157"/>
  <c r="Y98" i="157" s="1"/>
  <c r="AF100" i="157"/>
  <c r="AF91" i="156"/>
  <c r="AG90" i="156"/>
  <c r="AG89" i="156"/>
  <c r="X90" i="156"/>
  <c r="AF90" i="156"/>
  <c r="AF89" i="156"/>
  <c r="X101" i="157"/>
  <c r="AF80" i="160"/>
  <c r="AG79" i="160"/>
  <c r="AG78" i="160"/>
  <c r="X80" i="160"/>
  <c r="AF79" i="160"/>
  <c r="AF78" i="160"/>
  <c r="U79" i="160"/>
  <c r="Y76" i="160"/>
  <c r="Y77" i="160" s="1"/>
  <c r="AG80" i="160"/>
  <c r="AG102" i="156"/>
  <c r="AF102" i="156"/>
  <c r="AG101" i="156"/>
  <c r="AG100" i="156"/>
  <c r="Y97" i="156"/>
  <c r="Y98" i="156" s="1"/>
  <c r="U100" i="156"/>
  <c r="AG87" i="160"/>
  <c r="AF89" i="157"/>
  <c r="AF90" i="157"/>
  <c r="X90" i="157"/>
  <c r="AG98" i="157"/>
  <c r="AE78" i="158"/>
  <c r="AG80" i="159"/>
  <c r="AF91" i="160"/>
  <c r="AG90" i="160"/>
  <c r="U90" i="160"/>
  <c r="AG89" i="160"/>
  <c r="AF90" i="160"/>
  <c r="AE88" i="161"/>
  <c r="AE89" i="161"/>
  <c r="U89" i="161"/>
  <c r="AE91" i="161"/>
  <c r="AD92" i="161" s="1"/>
  <c r="AE90" i="161"/>
  <c r="U90" i="161"/>
  <c r="Y87" i="161"/>
  <c r="Y88" i="161" s="1"/>
  <c r="AF80" i="162"/>
  <c r="AG79" i="162"/>
  <c r="AG78" i="162"/>
  <c r="X80" i="162"/>
  <c r="AF79" i="162"/>
  <c r="AF78" i="162"/>
  <c r="U79" i="162"/>
  <c r="Y76" i="162"/>
  <c r="Y77" i="162" s="1"/>
  <c r="AG89" i="157"/>
  <c r="AG90" i="157"/>
  <c r="AF91" i="157"/>
  <c r="Y87" i="158"/>
  <c r="Y88" i="158" s="1"/>
  <c r="U90" i="158"/>
  <c r="AE90" i="158"/>
  <c r="AE91" i="158"/>
  <c r="Y76" i="159"/>
  <c r="Y77" i="159" s="1"/>
  <c r="U79" i="159"/>
  <c r="AF89" i="159"/>
  <c r="AF90" i="159"/>
  <c r="X91" i="159"/>
  <c r="Y87" i="160"/>
  <c r="Y88" i="160" s="1"/>
  <c r="AG91" i="160"/>
  <c r="AG80" i="162"/>
  <c r="AE79" i="158"/>
  <c r="U89" i="158"/>
  <c r="AF78" i="159"/>
  <c r="AF79" i="159"/>
  <c r="X80" i="159"/>
  <c r="Y87" i="159"/>
  <c r="Y88" i="159" s="1"/>
  <c r="AG89" i="159"/>
  <c r="AG90" i="159"/>
  <c r="X91" i="160"/>
  <c r="AG87" i="162"/>
  <c r="U78" i="161"/>
  <c r="AF89" i="162"/>
  <c r="AF90" i="162"/>
  <c r="X91" i="162"/>
  <c r="AG80" i="163"/>
  <c r="AE69" i="164"/>
  <c r="AE79" i="161"/>
  <c r="AE80" i="161"/>
  <c r="AD81" i="161" s="1"/>
  <c r="Y87" i="162"/>
  <c r="Y88" i="162" s="1"/>
  <c r="AG89" i="162"/>
  <c r="AG90" i="162"/>
  <c r="AF91" i="162"/>
  <c r="U79" i="163"/>
  <c r="AF89" i="163"/>
  <c r="AF90" i="163"/>
  <c r="X91" i="163"/>
  <c r="AE78" i="164"/>
  <c r="AF78" i="163"/>
  <c r="AF79" i="163"/>
  <c r="X80" i="163"/>
  <c r="Y87" i="163"/>
  <c r="Y88" i="163" s="1"/>
  <c r="AG89" i="163"/>
  <c r="AG90" i="163"/>
  <c r="U70" i="164"/>
  <c r="AE68" i="164"/>
  <c r="Y67" i="164"/>
  <c r="Y68" i="164" s="1"/>
  <c r="AF81" i="167"/>
  <c r="AF82" i="167"/>
  <c r="V82" i="167"/>
  <c r="AF84" i="167"/>
  <c r="AE85" i="167" s="1"/>
  <c r="AF83" i="167"/>
  <c r="V83" i="167"/>
  <c r="Z80" i="167"/>
  <c r="Z81" i="167" s="1"/>
  <c r="AE70" i="164"/>
  <c r="AE71" i="164"/>
  <c r="AD72" i="164" s="1"/>
  <c r="U78" i="164"/>
  <c r="AG71" i="165"/>
  <c r="U79" i="165"/>
  <c r="AG71" i="166"/>
  <c r="U79" i="166"/>
  <c r="V73" i="167"/>
  <c r="U70" i="165"/>
  <c r="AF78" i="165"/>
  <c r="AF79" i="165"/>
  <c r="X80" i="165"/>
  <c r="AF78" i="166"/>
  <c r="AF79" i="166"/>
  <c r="X80" i="166"/>
  <c r="AF74" i="167"/>
  <c r="AF75" i="167"/>
  <c r="AE76" i="167" s="1"/>
  <c r="AF80" i="168"/>
  <c r="AF71" i="168"/>
  <c r="AH84" i="169"/>
  <c r="AH83" i="169"/>
  <c r="AH82" i="169"/>
  <c r="AF69" i="165"/>
  <c r="AF70" i="165"/>
  <c r="X71" i="165"/>
  <c r="Y76" i="165"/>
  <c r="Y77" i="165" s="1"/>
  <c r="AG78" i="165"/>
  <c r="AG79" i="165"/>
  <c r="AF69" i="166"/>
  <c r="AF70" i="166"/>
  <c r="X71" i="166"/>
  <c r="Y76" i="166"/>
  <c r="Y77" i="166" s="1"/>
  <c r="AG78" i="166"/>
  <c r="AG79" i="166"/>
  <c r="Z71" i="167"/>
  <c r="Z72" i="167" s="1"/>
  <c r="AF72" i="167"/>
  <c r="V83" i="169"/>
  <c r="Z80" i="169"/>
  <c r="Z81" i="169" s="1"/>
  <c r="AG83" i="169"/>
  <c r="Y84" i="169"/>
  <c r="AG82" i="169"/>
  <c r="AH73" i="168"/>
  <c r="Y84" i="168"/>
  <c r="AG83" i="168"/>
  <c r="AG82" i="168"/>
  <c r="AH80" i="168"/>
  <c r="AH80" i="169"/>
  <c r="Z80" i="168"/>
  <c r="Z81" i="168" s="1"/>
  <c r="AH82" i="168"/>
  <c r="AG84" i="168"/>
  <c r="Z71" i="168"/>
  <c r="Z72" i="168" s="1"/>
  <c r="V74" i="168"/>
  <c r="AG74" i="168"/>
  <c r="Y75" i="168"/>
  <c r="AH84" i="168"/>
  <c r="AG75" i="169"/>
  <c r="AH74" i="169"/>
  <c r="AH73" i="169"/>
  <c r="Y75" i="169"/>
  <c r="AG74" i="169"/>
  <c r="AG73" i="169"/>
  <c r="Z71" i="169"/>
  <c r="Z72" i="169" s="1"/>
  <c r="I24" i="148" l="1"/>
  <c r="I13" i="148"/>
  <c r="I14" i="148"/>
  <c r="AB42" i="153"/>
  <c r="AB42" i="154"/>
  <c r="AF27" i="159"/>
  <c r="AB27" i="159"/>
  <c r="AF24" i="160"/>
  <c r="AB24" i="160"/>
  <c r="AF25" i="160"/>
  <c r="AF26" i="160"/>
  <c r="AB24" i="159"/>
  <c r="AF24" i="159"/>
  <c r="AF27" i="160"/>
  <c r="AB27" i="160"/>
  <c r="AB25" i="159"/>
  <c r="AF25" i="159"/>
  <c r="AF23" i="156"/>
  <c r="AB23" i="156"/>
  <c r="AF25" i="156"/>
  <c r="AB25" i="156"/>
  <c r="AB22" i="156"/>
  <c r="AF22" i="156"/>
  <c r="AF18" i="154"/>
  <c r="AB18" i="154"/>
  <c r="AF19" i="154"/>
  <c r="AB19" i="154"/>
  <c r="AF19" i="151"/>
  <c r="AB21" i="153"/>
  <c r="AF21" i="153"/>
  <c r="AB21" i="149"/>
  <c r="AF21" i="149"/>
  <c r="AF21" i="150"/>
  <c r="AB21" i="150"/>
  <c r="AF18" i="149"/>
  <c r="AB18" i="149"/>
  <c r="AF18" i="153"/>
  <c r="AB18" i="153"/>
  <c r="AB18" i="150"/>
  <c r="AF18" i="150"/>
  <c r="AF19" i="149"/>
  <c r="AB19" i="153"/>
  <c r="AF19" i="153"/>
  <c r="AF19" i="150"/>
  <c r="AB19" i="150"/>
  <c r="AF21" i="152"/>
  <c r="AB21" i="152"/>
  <c r="AF18" i="152"/>
  <c r="AB18" i="152"/>
  <c r="AF19" i="152"/>
  <c r="AB19" i="152"/>
  <c r="AB21" i="151"/>
  <c r="AF21" i="151"/>
  <c r="AF18" i="151"/>
  <c r="AB18" i="151"/>
  <c r="AF21" i="154"/>
  <c r="AB21" i="154"/>
  <c r="AB23" i="157"/>
  <c r="AF23" i="157"/>
  <c r="AB24" i="157"/>
  <c r="AF24" i="157"/>
  <c r="AF22" i="157"/>
  <c r="AB22" i="157"/>
  <c r="AB25" i="157"/>
  <c r="AF25" i="157"/>
  <c r="AB30" i="157"/>
  <c r="AB26" i="165"/>
  <c r="AM100" i="133" s="1"/>
  <c r="Y65" i="129"/>
  <c r="Z65" i="129" s="1"/>
  <c r="Y79" i="176"/>
  <c r="Y79" i="177"/>
  <c r="Y79" i="175"/>
  <c r="Y64" i="129"/>
  <c r="Z64" i="129" s="1"/>
  <c r="F5" i="129" s="1"/>
  <c r="Y78" i="176"/>
  <c r="Y78" i="177"/>
  <c r="Y78" i="175"/>
  <c r="AD78" i="177"/>
  <c r="AD79" i="177"/>
  <c r="AD80" i="177"/>
  <c r="AD80" i="176"/>
  <c r="AD79" i="176"/>
  <c r="AD78" i="176"/>
  <c r="Y79" i="152"/>
  <c r="Y88" i="152" s="1"/>
  <c r="Y79" i="148"/>
  <c r="X81" i="148" s="1"/>
  <c r="T81" i="148" s="1"/>
  <c r="H15" i="148" s="1"/>
  <c r="Y78" i="163"/>
  <c r="Y89" i="163" s="1"/>
  <c r="Z73" i="168"/>
  <c r="Z82" i="168" s="1"/>
  <c r="Y88" i="156"/>
  <c r="Z88" i="156" s="1"/>
  <c r="Z99" i="156" s="1"/>
  <c r="AB19" i="166"/>
  <c r="AN93" i="133" s="1"/>
  <c r="Y80" i="154"/>
  <c r="Y89" i="154" s="1"/>
  <c r="Y79" i="158"/>
  <c r="Z79" i="158" s="1"/>
  <c r="Z90" i="158" s="1"/>
  <c r="AG22" i="162"/>
  <c r="Y79" i="154"/>
  <c r="Z79" i="154" s="1"/>
  <c r="Y78" i="158"/>
  <c r="X80" i="158" s="1"/>
  <c r="T80" i="158" s="1"/>
  <c r="Y69" i="164"/>
  <c r="Y78" i="164" s="1"/>
  <c r="Z73" i="169"/>
  <c r="AA73" i="169" s="1"/>
  <c r="AA82" i="169" s="1"/>
  <c r="Y79" i="150"/>
  <c r="Y88" i="150" s="1"/>
  <c r="Y79" i="153"/>
  <c r="Z79" i="153" s="1"/>
  <c r="Y78" i="159"/>
  <c r="Y89" i="159" s="1"/>
  <c r="Z73" i="167"/>
  <c r="Z82" i="167" s="1"/>
  <c r="Z74" i="167"/>
  <c r="Z83" i="167" s="1"/>
  <c r="Y79" i="151"/>
  <c r="Y88" i="151" s="1"/>
  <c r="Y79" i="149"/>
  <c r="Y88" i="149" s="1"/>
  <c r="Y88" i="157"/>
  <c r="Y99" i="157" s="1"/>
  <c r="Y78" i="161"/>
  <c r="Z78" i="161" s="1"/>
  <c r="Y69" i="166"/>
  <c r="Y78" i="166" s="1"/>
  <c r="AD92" i="158"/>
  <c r="Y80" i="150"/>
  <c r="Y79" i="161"/>
  <c r="Y90" i="161" s="1"/>
  <c r="Y89" i="156"/>
  <c r="Y100" i="156" s="1"/>
  <c r="Y70" i="165"/>
  <c r="Y79" i="165" s="1"/>
  <c r="Y80" i="149"/>
  <c r="Z80" i="149" s="1"/>
  <c r="Z89" i="149" s="1"/>
  <c r="Y80" i="153"/>
  <c r="Y89" i="153" s="1"/>
  <c r="Y79" i="159"/>
  <c r="Y90" i="159" s="1"/>
  <c r="Y80" i="151"/>
  <c r="Y89" i="151" s="1"/>
  <c r="Y89" i="157"/>
  <c r="Z89" i="157" s="1"/>
  <c r="Z100" i="157" s="1"/>
  <c r="Y79" i="162"/>
  <c r="Z79" i="162" s="1"/>
  <c r="Z90" i="162" s="1"/>
  <c r="Y88" i="155"/>
  <c r="Y99" i="155" s="1"/>
  <c r="X101" i="155" s="1"/>
  <c r="T101" i="155" s="1"/>
  <c r="Y78" i="160"/>
  <c r="Z78" i="160" s="1"/>
  <c r="Z89" i="160" s="1"/>
  <c r="Y78" i="162"/>
  <c r="Y89" i="162" s="1"/>
  <c r="Y69" i="165"/>
  <c r="Z69" i="165" s="1"/>
  <c r="Z78" i="165" s="1"/>
  <c r="Y70" i="164"/>
  <c r="X71" i="164" s="1"/>
  <c r="T71" i="164" s="1"/>
  <c r="Z74" i="169"/>
  <c r="AA74" i="169" s="1"/>
  <c r="AA83" i="169" s="1"/>
  <c r="Y70" i="166"/>
  <c r="Y79" i="166" s="1"/>
  <c r="Y80" i="148"/>
  <c r="Z80" i="148" s="1"/>
  <c r="Z89" i="148" s="1"/>
  <c r="Y80" i="152"/>
  <c r="Z80" i="152" s="1"/>
  <c r="Z89" i="152" s="1"/>
  <c r="Y100" i="155"/>
  <c r="Y79" i="160"/>
  <c r="Y90" i="160" s="1"/>
  <c r="Y79" i="163"/>
  <c r="Z79" i="163" s="1"/>
  <c r="Z90" i="163" s="1"/>
  <c r="Z74" i="168"/>
  <c r="AA74" i="168" s="1"/>
  <c r="AA83" i="168" s="1"/>
  <c r="Z66" i="130"/>
  <c r="AA66" i="130" s="1"/>
  <c r="F5" i="130" s="1"/>
  <c r="Y73" i="128"/>
  <c r="Z73" i="128" s="1"/>
  <c r="Y72" i="128"/>
  <c r="Z72" i="128" s="1"/>
  <c r="Y84" i="125"/>
  <c r="Z84" i="125" s="1"/>
  <c r="Y72" i="126"/>
  <c r="Z72" i="126" s="1"/>
  <c r="F5" i="126" s="1"/>
  <c r="Y83" i="125"/>
  <c r="Z83" i="125" s="1"/>
  <c r="Y73" i="126"/>
  <c r="Z73" i="126" s="1"/>
  <c r="Z67" i="130"/>
  <c r="AA67" i="130" s="1"/>
  <c r="X81" i="154"/>
  <c r="AD80" i="152"/>
  <c r="AD89" i="152" s="1"/>
  <c r="AE89" i="152" s="1"/>
  <c r="AD80" i="159"/>
  <c r="AD79" i="163"/>
  <c r="AD90" i="163" s="1"/>
  <c r="AE90" i="163" s="1"/>
  <c r="AE75" i="168"/>
  <c r="AD80" i="153"/>
  <c r="AD88" i="157"/>
  <c r="AD99" i="157" s="1"/>
  <c r="AE99" i="157" s="1"/>
  <c r="AD70" i="165"/>
  <c r="AB25" i="166"/>
  <c r="AN99" i="133" s="1"/>
  <c r="AB35" i="165"/>
  <c r="AM168" i="133" s="1"/>
  <c r="AB23" i="166"/>
  <c r="AN97" i="133" s="1"/>
  <c r="AB39" i="162"/>
  <c r="AH169" i="133" s="1"/>
  <c r="AB41" i="162"/>
  <c r="AH171" i="133" s="1"/>
  <c r="AB35" i="166"/>
  <c r="AN168" i="133" s="1"/>
  <c r="AB39" i="163"/>
  <c r="AI169" i="133" s="1"/>
  <c r="AD42" i="168"/>
  <c r="AR168" i="133" s="1"/>
  <c r="AD42" i="167"/>
  <c r="AQ168" i="133" s="1"/>
  <c r="AD42" i="169"/>
  <c r="AS168" i="133" s="1"/>
  <c r="AD31" i="167"/>
  <c r="AB35" i="164"/>
  <c r="AL168" i="133" s="1"/>
  <c r="AB20" i="166"/>
  <c r="AN94" i="133" s="1"/>
  <c r="AB22" i="166"/>
  <c r="AN96" i="133" s="1"/>
  <c r="AB26" i="166"/>
  <c r="AN100" i="133" s="1"/>
  <c r="AB23" i="165"/>
  <c r="AM97" i="133" s="1"/>
  <c r="AB20" i="165"/>
  <c r="AM94" i="133" s="1"/>
  <c r="AB22" i="164"/>
  <c r="AL96" i="133" s="1"/>
  <c r="AB21" i="164"/>
  <c r="AL95" i="133" s="1"/>
  <c r="AB36" i="164"/>
  <c r="AL169" i="133" s="1"/>
  <c r="AB19" i="165"/>
  <c r="AM93" i="133" s="1"/>
  <c r="AB27" i="164"/>
  <c r="AL101" i="133" s="1"/>
  <c r="AB25" i="165"/>
  <c r="AM99" i="133" s="1"/>
  <c r="AB22" i="165"/>
  <c r="AM96" i="133" s="1"/>
  <c r="AB24" i="164"/>
  <c r="AL98" i="133" s="1"/>
  <c r="AB20" i="164"/>
  <c r="AL94" i="133" s="1"/>
  <c r="AB19" i="164"/>
  <c r="AL93" i="133" s="1"/>
  <c r="AB25" i="164"/>
  <c r="AL99" i="133" s="1"/>
  <c r="AB26" i="164"/>
  <c r="AL100" i="133" s="1"/>
  <c r="AB23" i="164"/>
  <c r="AL97" i="133" s="1"/>
  <c r="AB21" i="162"/>
  <c r="AH66" i="133" s="1"/>
  <c r="AB20" i="162"/>
  <c r="AH65" i="133" s="1"/>
  <c r="AB23" i="155"/>
  <c r="W50" i="133" s="1"/>
  <c r="AD91" i="155"/>
  <c r="AD81" i="158"/>
  <c r="AD102" i="155"/>
  <c r="AD76" i="163"/>
  <c r="AE77" i="163" s="1"/>
  <c r="AD86" i="157"/>
  <c r="AE87" i="157" s="1"/>
  <c r="AD86" i="151"/>
  <c r="AE87" i="151" s="1"/>
  <c r="AD87" i="162"/>
  <c r="AE88" i="162" s="1"/>
  <c r="AE80" i="168"/>
  <c r="AF81" i="168" s="1"/>
  <c r="AE71" i="169"/>
  <c r="AF72" i="169" s="1"/>
  <c r="AD67" i="166"/>
  <c r="AE68" i="166" s="1"/>
  <c r="AD86" i="156"/>
  <c r="AE87" i="156" s="1"/>
  <c r="AD76" i="160"/>
  <c r="AE77" i="160" s="1"/>
  <c r="AD67" i="165"/>
  <c r="AE68" i="165" s="1"/>
  <c r="AD76" i="159"/>
  <c r="AE77" i="159" s="1"/>
  <c r="AD86" i="154"/>
  <c r="AE87" i="154" s="1"/>
  <c r="AE86" i="152"/>
  <c r="AE77" i="152"/>
  <c r="AE87" i="163"/>
  <c r="AE76" i="163"/>
  <c r="AD86" i="153"/>
  <c r="AE87" i="153" s="1"/>
  <c r="AD71" i="165"/>
  <c r="AE74" i="169"/>
  <c r="AE73" i="169"/>
  <c r="AE75" i="169"/>
  <c r="AE84" i="169" s="1"/>
  <c r="AF84" i="169" s="1"/>
  <c r="AD86" i="150"/>
  <c r="AE87" i="150" s="1"/>
  <c r="AD77" i="150"/>
  <c r="AE78" i="150" s="1"/>
  <c r="AE77" i="153"/>
  <c r="AE86" i="153"/>
  <c r="AD77" i="149"/>
  <c r="AE78" i="149" s="1"/>
  <c r="AD81" i="150"/>
  <c r="AD90" i="150" s="1"/>
  <c r="AE90" i="150" s="1"/>
  <c r="AD80" i="150"/>
  <c r="AD79" i="150"/>
  <c r="AD81" i="151"/>
  <c r="AD90" i="151" s="1"/>
  <c r="AE90" i="151" s="1"/>
  <c r="AD80" i="151"/>
  <c r="AD79" i="151"/>
  <c r="AD90" i="156"/>
  <c r="AD101" i="156" s="1"/>
  <c r="AE101" i="156" s="1"/>
  <c r="AD89" i="156"/>
  <c r="AD100" i="156" s="1"/>
  <c r="AE100" i="156" s="1"/>
  <c r="AD88" i="156"/>
  <c r="AD99" i="156" s="1"/>
  <c r="AE99" i="156" s="1"/>
  <c r="AD80" i="162"/>
  <c r="AD79" i="162"/>
  <c r="AD78" i="162"/>
  <c r="AE97" i="157"/>
  <c r="AE86" i="157"/>
  <c r="AE76" i="166"/>
  <c r="AE67" i="166"/>
  <c r="AD81" i="149"/>
  <c r="AD80" i="149"/>
  <c r="AD89" i="149" s="1"/>
  <c r="AE89" i="149" s="1"/>
  <c r="AD79" i="149"/>
  <c r="AD88" i="149" s="1"/>
  <c r="AE88" i="149" s="1"/>
  <c r="AD81" i="154"/>
  <c r="AD79" i="154"/>
  <c r="AD80" i="154"/>
  <c r="AD80" i="160"/>
  <c r="AD79" i="160"/>
  <c r="AD78" i="160"/>
  <c r="AD71" i="166"/>
  <c r="AD70" i="166"/>
  <c r="AD79" i="166" s="1"/>
  <c r="AE79" i="166" s="1"/>
  <c r="AD69" i="166"/>
  <c r="AD78" i="166" s="1"/>
  <c r="AE78" i="166" s="1"/>
  <c r="S114" i="148"/>
  <c r="AE77" i="154"/>
  <c r="AE86" i="154"/>
  <c r="AF80" i="169"/>
  <c r="AF71" i="169"/>
  <c r="AD86" i="152"/>
  <c r="AE87" i="152" s="1"/>
  <c r="AD77" i="152"/>
  <c r="AE78" i="152" s="1"/>
  <c r="Z80" i="154"/>
  <c r="Z89" i="154" s="1"/>
  <c r="H16" i="148" l="1"/>
  <c r="O12" i="148" s="1"/>
  <c r="AD24" i="159"/>
  <c r="AC49" i="133"/>
  <c r="AD24" i="160"/>
  <c r="AD49" i="133"/>
  <c r="AD52" i="133"/>
  <c r="AD27" i="160"/>
  <c r="AD27" i="159"/>
  <c r="AC52" i="133"/>
  <c r="AD25" i="159"/>
  <c r="AC50" i="133"/>
  <c r="X49" i="133"/>
  <c r="AD22" i="156"/>
  <c r="X52" i="133"/>
  <c r="AD25" i="156"/>
  <c r="X50" i="133"/>
  <c r="AD23" i="156"/>
  <c r="AD18" i="153"/>
  <c r="T49" i="133"/>
  <c r="P49" i="133"/>
  <c r="AD18" i="149"/>
  <c r="Q49" i="133"/>
  <c r="AD18" i="150"/>
  <c r="Q52" i="133"/>
  <c r="AD21" i="150"/>
  <c r="AD21" i="149"/>
  <c r="P52" i="133"/>
  <c r="AD21" i="154"/>
  <c r="U52" i="133"/>
  <c r="AD21" i="152"/>
  <c r="S52" i="133"/>
  <c r="AD18" i="151"/>
  <c r="R49" i="133"/>
  <c r="AD21" i="153"/>
  <c r="T52" i="133"/>
  <c r="Q50" i="133"/>
  <c r="AD19" i="150"/>
  <c r="AD18" i="152"/>
  <c r="S49" i="133"/>
  <c r="Z79" i="149"/>
  <c r="Z88" i="149" s="1"/>
  <c r="AD21" i="151"/>
  <c r="R52" i="133"/>
  <c r="AD19" i="153"/>
  <c r="T50" i="133"/>
  <c r="U50" i="133"/>
  <c r="AD19" i="154"/>
  <c r="AD18" i="154"/>
  <c r="U49" i="133"/>
  <c r="S50" i="133"/>
  <c r="AD19" i="152"/>
  <c r="AD24" i="157"/>
  <c r="Y51" i="133"/>
  <c r="AD22" i="157"/>
  <c r="Y49" i="133"/>
  <c r="AD25" i="157"/>
  <c r="Y52" i="133"/>
  <c r="AD23" i="157"/>
  <c r="Y50" i="133"/>
  <c r="Z79" i="152"/>
  <c r="Z88" i="152" s="1"/>
  <c r="Z79" i="150"/>
  <c r="Z88" i="150" s="1"/>
  <c r="Z78" i="163"/>
  <c r="Z89" i="163" s="1"/>
  <c r="AA73" i="168"/>
  <c r="AA82" i="168" s="1"/>
  <c r="Z78" i="159"/>
  <c r="Z89" i="159" s="1"/>
  <c r="Y88" i="148"/>
  <c r="X90" i="148" s="1"/>
  <c r="T90" i="148" s="1"/>
  <c r="O91" i="148" s="1"/>
  <c r="Z79" i="148"/>
  <c r="Z88" i="148" s="1"/>
  <c r="AD89" i="176"/>
  <c r="AE89" i="176" s="1"/>
  <c r="AD92" i="176" s="1"/>
  <c r="T91" i="176" s="1"/>
  <c r="AE78" i="176"/>
  <c r="AD81" i="176" s="1"/>
  <c r="T80" i="176" s="1"/>
  <c r="AD90" i="176"/>
  <c r="AE90" i="176" s="1"/>
  <c r="AE79" i="176"/>
  <c r="AD91" i="176"/>
  <c r="AE91" i="176" s="1"/>
  <c r="AE80" i="176"/>
  <c r="AD91" i="177"/>
  <c r="AE91" i="177" s="1"/>
  <c r="AE80" i="177"/>
  <c r="AE79" i="177"/>
  <c r="AD90" i="177"/>
  <c r="AE90" i="177" s="1"/>
  <c r="AD89" i="177"/>
  <c r="AE89" i="177" s="1"/>
  <c r="AD92" i="177" s="1"/>
  <c r="T91" i="177" s="1"/>
  <c r="AE78" i="177"/>
  <c r="AD81" i="177" s="1"/>
  <c r="T80" i="177" s="1"/>
  <c r="Z78" i="175"/>
  <c r="Y89" i="175"/>
  <c r="X91" i="175" s="1"/>
  <c r="T91" i="175" s="1"/>
  <c r="X80" i="175"/>
  <c r="T80" i="175" s="1"/>
  <c r="Z78" i="177"/>
  <c r="Y89" i="177"/>
  <c r="Y89" i="176"/>
  <c r="Z78" i="176"/>
  <c r="Z79" i="175"/>
  <c r="Z90" i="175" s="1"/>
  <c r="Y90" i="175"/>
  <c r="Z79" i="177"/>
  <c r="Z90" i="177" s="1"/>
  <c r="Y90" i="177"/>
  <c r="Y90" i="176"/>
  <c r="Z79" i="176"/>
  <c r="Z90" i="176" s="1"/>
  <c r="Z70" i="164"/>
  <c r="Z79" i="164" s="1"/>
  <c r="Z82" i="169"/>
  <c r="Z79" i="160"/>
  <c r="Z90" i="160" s="1"/>
  <c r="Y99" i="156"/>
  <c r="AD81" i="153"/>
  <c r="AD90" i="153" s="1"/>
  <c r="AE90" i="153" s="1"/>
  <c r="Z78" i="158"/>
  <c r="Z89" i="158" s="1"/>
  <c r="Z78" i="162"/>
  <c r="Z89" i="162" s="1"/>
  <c r="Z79" i="159"/>
  <c r="Z90" i="159" s="1"/>
  <c r="Z80" i="151"/>
  <c r="Z89" i="151" s="1"/>
  <c r="Y84" i="167"/>
  <c r="U84" i="167" s="1"/>
  <c r="I26" i="167" s="1"/>
  <c r="X81" i="151"/>
  <c r="Z69" i="166"/>
  <c r="Z78" i="166" s="1"/>
  <c r="Y90" i="158"/>
  <c r="Z88" i="157"/>
  <c r="Z99" i="157" s="1"/>
  <c r="Y75" i="167"/>
  <c r="U75" i="167" s="1"/>
  <c r="Z83" i="168"/>
  <c r="Y89" i="160"/>
  <c r="Z89" i="156"/>
  <c r="Z100" i="156" s="1"/>
  <c r="Y89" i="149"/>
  <c r="I115" i="148"/>
  <c r="I118" i="148" s="1"/>
  <c r="Z79" i="151"/>
  <c r="Z88" i="151" s="1"/>
  <c r="X81" i="153"/>
  <c r="AE73" i="168"/>
  <c r="AF73" i="168" s="1"/>
  <c r="AE74" i="168"/>
  <c r="AE83" i="168" s="1"/>
  <c r="AF83" i="168" s="1"/>
  <c r="AA74" i="167"/>
  <c r="AA83" i="167" s="1"/>
  <c r="Z83" i="169"/>
  <c r="H15" i="164"/>
  <c r="O72" i="164"/>
  <c r="Y79" i="164"/>
  <c r="X80" i="164" s="1"/>
  <c r="T80" i="164" s="1"/>
  <c r="H26" i="164" s="1"/>
  <c r="Y78" i="165"/>
  <c r="F5" i="128"/>
  <c r="P70" i="128"/>
  <c r="Z70" i="165"/>
  <c r="Z79" i="165" s="1"/>
  <c r="Z70" i="166"/>
  <c r="Z79" i="166" s="1"/>
  <c r="AD78" i="163"/>
  <c r="AD89" i="163" s="1"/>
  <c r="AE89" i="163" s="1"/>
  <c r="Y89" i="161"/>
  <c r="X91" i="161" s="1"/>
  <c r="T91" i="161" s="1"/>
  <c r="Z79" i="161"/>
  <c r="Z90" i="161" s="1"/>
  <c r="AD79" i="159"/>
  <c r="AD90" i="159" s="1"/>
  <c r="AE90" i="159" s="1"/>
  <c r="O81" i="158"/>
  <c r="H15" i="158"/>
  <c r="R15" i="158" s="1"/>
  <c r="Y89" i="158"/>
  <c r="X91" i="158" s="1"/>
  <c r="T91" i="158" s="1"/>
  <c r="AD78" i="159"/>
  <c r="AD89" i="159" s="1"/>
  <c r="AE89" i="159" s="1"/>
  <c r="AD92" i="159" s="1"/>
  <c r="T91" i="159" s="1"/>
  <c r="O92" i="159" s="1"/>
  <c r="H26" i="155"/>
  <c r="O102" i="155"/>
  <c r="AD102" i="156"/>
  <c r="T101" i="156" s="1"/>
  <c r="H26" i="156" s="1"/>
  <c r="X90" i="155"/>
  <c r="T90" i="155" s="1"/>
  <c r="Y100" i="157"/>
  <c r="AD90" i="157"/>
  <c r="AD101" i="157" s="1"/>
  <c r="AE101" i="157" s="1"/>
  <c r="Z88" i="155"/>
  <c r="Z99" i="155" s="1"/>
  <c r="Y89" i="150"/>
  <c r="X90" i="150" s="1"/>
  <c r="X81" i="150"/>
  <c r="Z80" i="153"/>
  <c r="Z89" i="153" s="1"/>
  <c r="AD81" i="152"/>
  <c r="AD90" i="152" s="1"/>
  <c r="AE90" i="152" s="1"/>
  <c r="Y88" i="153"/>
  <c r="X90" i="153" s="1"/>
  <c r="Y89" i="152"/>
  <c r="Y88" i="154"/>
  <c r="X90" i="154" s="1"/>
  <c r="V114" i="148"/>
  <c r="K114" i="148" s="1"/>
  <c r="O82" i="148"/>
  <c r="Z89" i="155"/>
  <c r="Z100" i="155" s="1"/>
  <c r="AA73" i="167"/>
  <c r="Z65" i="167" s="1"/>
  <c r="X80" i="161"/>
  <c r="T80" i="161" s="1"/>
  <c r="Z80" i="150"/>
  <c r="Z89" i="150" s="1"/>
  <c r="Z69" i="164"/>
  <c r="Y61" i="164" s="1"/>
  <c r="Y90" i="163"/>
  <c r="Y90" i="162"/>
  <c r="AD79" i="152"/>
  <c r="AD88" i="152" s="1"/>
  <c r="AE88" i="152" s="1"/>
  <c r="AD91" i="152" s="1"/>
  <c r="AD79" i="153"/>
  <c r="AE79" i="153" s="1"/>
  <c r="AQ147" i="133"/>
  <c r="AD69" i="165"/>
  <c r="AD78" i="165" s="1"/>
  <c r="AE78" i="165" s="1"/>
  <c r="AD80" i="163"/>
  <c r="AE80" i="163" s="1"/>
  <c r="AD89" i="157"/>
  <c r="AD100" i="157" s="1"/>
  <c r="AE100" i="157" s="1"/>
  <c r="Y89" i="148"/>
  <c r="AD81" i="166"/>
  <c r="T80" i="166" s="1"/>
  <c r="H26" i="166" s="1"/>
  <c r="P23" i="164"/>
  <c r="P22" i="164"/>
  <c r="P24" i="164"/>
  <c r="AE80" i="152"/>
  <c r="AD89" i="160"/>
  <c r="AE89" i="160" s="1"/>
  <c r="AE78" i="160"/>
  <c r="AD88" i="154"/>
  <c r="AE88" i="154" s="1"/>
  <c r="AD91" i="154" s="1"/>
  <c r="AE79" i="154"/>
  <c r="AD82" i="154" s="1"/>
  <c r="T81" i="154" s="1"/>
  <c r="AD90" i="149"/>
  <c r="AE90" i="149" s="1"/>
  <c r="AD91" i="149" s="1"/>
  <c r="T90" i="149" s="1"/>
  <c r="AE81" i="149"/>
  <c r="AD90" i="162"/>
  <c r="AE90" i="162" s="1"/>
  <c r="AE79" i="162"/>
  <c r="AD88" i="150"/>
  <c r="AE88" i="150" s="1"/>
  <c r="AE79" i="150"/>
  <c r="Z88" i="154"/>
  <c r="Y72" i="154"/>
  <c r="AH35" i="148"/>
  <c r="AF35" i="148"/>
  <c r="AE90" i="156"/>
  <c r="AE89" i="156"/>
  <c r="AD90" i="160"/>
  <c r="AE90" i="160" s="1"/>
  <c r="AE79" i="160"/>
  <c r="AD90" i="154"/>
  <c r="AE90" i="154" s="1"/>
  <c r="AE81" i="154"/>
  <c r="AD91" i="162"/>
  <c r="AE91" i="162" s="1"/>
  <c r="AE80" i="162"/>
  <c r="AD88" i="151"/>
  <c r="AE88" i="151" s="1"/>
  <c r="AE79" i="151"/>
  <c r="AD89" i="150"/>
  <c r="AE89" i="150" s="1"/>
  <c r="AE80" i="150"/>
  <c r="AE69" i="166"/>
  <c r="AD79" i="165"/>
  <c r="AE79" i="165" s="1"/>
  <c r="AE70" i="165"/>
  <c r="AF34" i="148"/>
  <c r="AH34" i="148"/>
  <c r="AE84" i="168"/>
  <c r="AF84" i="168" s="1"/>
  <c r="AF75" i="168"/>
  <c r="AD91" i="159"/>
  <c r="AE91" i="159" s="1"/>
  <c r="AE80" i="159"/>
  <c r="AE79" i="163"/>
  <c r="AF75" i="169"/>
  <c r="Z88" i="153"/>
  <c r="AD91" i="160"/>
  <c r="AE91" i="160" s="1"/>
  <c r="AE80" i="160"/>
  <c r="AD89" i="151"/>
  <c r="AE89" i="151" s="1"/>
  <c r="AE80" i="151"/>
  <c r="AE82" i="169"/>
  <c r="AF82" i="169" s="1"/>
  <c r="AE85" i="169" s="1"/>
  <c r="U84" i="169" s="1"/>
  <c r="AF73" i="169"/>
  <c r="AD80" i="165"/>
  <c r="AE80" i="165" s="1"/>
  <c r="AE71" i="165"/>
  <c r="AE81" i="150"/>
  <c r="T17" i="148"/>
  <c r="V10" i="148" s="1"/>
  <c r="U17" i="148"/>
  <c r="B18" i="148" s="1"/>
  <c r="AE80" i="149"/>
  <c r="AE88" i="156"/>
  <c r="AD91" i="156" s="1"/>
  <c r="T90" i="156" s="1"/>
  <c r="AD80" i="166"/>
  <c r="AE80" i="166" s="1"/>
  <c r="AE71" i="166"/>
  <c r="AD89" i="154"/>
  <c r="AE89" i="154" s="1"/>
  <c r="AE80" i="154"/>
  <c r="AD89" i="162"/>
  <c r="AE89" i="162" s="1"/>
  <c r="AE78" i="162"/>
  <c r="AE81" i="151"/>
  <c r="Y70" i="161"/>
  <c r="Z89" i="161"/>
  <c r="AE83" i="169"/>
  <c r="AF83" i="169" s="1"/>
  <c r="AF74" i="169"/>
  <c r="AD89" i="153"/>
  <c r="AE89" i="153" s="1"/>
  <c r="AE80" i="153"/>
  <c r="AE79" i="149"/>
  <c r="AE70" i="166"/>
  <c r="AE88" i="157"/>
  <c r="U17" i="164" l="1"/>
  <c r="T15" i="148"/>
  <c r="M17" i="148" s="1"/>
  <c r="Y71" i="150"/>
  <c r="Y71" i="148"/>
  <c r="H26" i="148"/>
  <c r="AD102" i="157"/>
  <c r="T101" i="157" s="1"/>
  <c r="O102" i="157" s="1"/>
  <c r="Q28" i="156"/>
  <c r="P28" i="156"/>
  <c r="O92" i="158"/>
  <c r="H26" i="158"/>
  <c r="AE82" i="168"/>
  <c r="AF82" i="168" s="1"/>
  <c r="O11" i="148"/>
  <c r="Q10" i="148" s="1"/>
  <c r="AE45" i="148"/>
  <c r="AE79" i="159"/>
  <c r="H16" i="164"/>
  <c r="I16" i="164" s="1"/>
  <c r="Y70" i="158"/>
  <c r="Y72" i="151"/>
  <c r="AE81" i="153"/>
  <c r="AE78" i="159"/>
  <c r="AD81" i="159" s="1"/>
  <c r="T80" i="159" s="1"/>
  <c r="O83" i="159" s="1"/>
  <c r="Z89" i="176"/>
  <c r="Y70" i="176"/>
  <c r="Z89" i="177"/>
  <c r="Y70" i="177"/>
  <c r="H15" i="175"/>
  <c r="O81" i="175"/>
  <c r="H26" i="175"/>
  <c r="O92" i="175"/>
  <c r="Y70" i="175"/>
  <c r="Z89" i="175"/>
  <c r="H15" i="177"/>
  <c r="O81" i="177"/>
  <c r="H26" i="177"/>
  <c r="O92" i="177"/>
  <c r="T17" i="164"/>
  <c r="O81" i="176"/>
  <c r="H15" i="176"/>
  <c r="H26" i="176"/>
  <c r="O92" i="176"/>
  <c r="T90" i="154"/>
  <c r="O91" i="154" s="1"/>
  <c r="P85" i="167"/>
  <c r="F147" i="133"/>
  <c r="L147" i="133" s="1"/>
  <c r="T28" i="167"/>
  <c r="U28" i="167"/>
  <c r="I27" i="167"/>
  <c r="Y22" i="167" s="1"/>
  <c r="I15" i="167"/>
  <c r="P76" i="167"/>
  <c r="AD81" i="160"/>
  <c r="T80" i="160" s="1"/>
  <c r="AD92" i="160"/>
  <c r="T91" i="160" s="1"/>
  <c r="O92" i="160" s="1"/>
  <c r="AE81" i="152"/>
  <c r="Y71" i="153"/>
  <c r="AD88" i="153"/>
  <c r="AE88" i="153" s="1"/>
  <c r="AD91" i="153" s="1"/>
  <c r="T90" i="153" s="1"/>
  <c r="O91" i="153" s="1"/>
  <c r="AD82" i="151"/>
  <c r="T81" i="151" s="1"/>
  <c r="O82" i="151" s="1"/>
  <c r="AD91" i="151"/>
  <c r="T90" i="151" s="1"/>
  <c r="O91" i="151" s="1"/>
  <c r="O81" i="164"/>
  <c r="AD81" i="162"/>
  <c r="T80" i="162" s="1"/>
  <c r="O81" i="162" s="1"/>
  <c r="O102" i="156"/>
  <c r="AE76" i="169"/>
  <c r="U75" i="169" s="1"/>
  <c r="I15" i="169" s="1"/>
  <c r="AE85" i="168"/>
  <c r="U84" i="168" s="1"/>
  <c r="P85" i="168" s="1"/>
  <c r="AE76" i="168"/>
  <c r="U75" i="168" s="1"/>
  <c r="I15" i="168" s="1"/>
  <c r="AF74" i="168"/>
  <c r="AA82" i="167"/>
  <c r="AD81" i="165"/>
  <c r="T80" i="165" s="1"/>
  <c r="O81" i="165" s="1"/>
  <c r="AD72" i="166"/>
  <c r="T71" i="166" s="1"/>
  <c r="O72" i="166" s="1"/>
  <c r="T28" i="164"/>
  <c r="H27" i="164"/>
  <c r="U28" i="164"/>
  <c r="AD91" i="163"/>
  <c r="AE91" i="163" s="1"/>
  <c r="AD92" i="163" s="1"/>
  <c r="T91" i="163" s="1"/>
  <c r="O92" i="163" s="1"/>
  <c r="AE78" i="163"/>
  <c r="AD81" i="163" s="1"/>
  <c r="T80" i="163" s="1"/>
  <c r="O81" i="163" s="1"/>
  <c r="T28" i="166"/>
  <c r="I26" i="166"/>
  <c r="Z78" i="164"/>
  <c r="Q15" i="158"/>
  <c r="AD92" i="162"/>
  <c r="T91" i="162" s="1"/>
  <c r="O92" i="162" s="1"/>
  <c r="H26" i="161"/>
  <c r="O92" i="161"/>
  <c r="H26" i="159"/>
  <c r="Q28" i="155"/>
  <c r="P28" i="155"/>
  <c r="O91" i="155"/>
  <c r="H15" i="155"/>
  <c r="AE90" i="157"/>
  <c r="AD91" i="157" s="1"/>
  <c r="T90" i="157" s="1"/>
  <c r="H15" i="157" s="1"/>
  <c r="AE89" i="157"/>
  <c r="Y80" i="155"/>
  <c r="AD82" i="153"/>
  <c r="T81" i="153" s="1"/>
  <c r="O82" i="153" s="1"/>
  <c r="T90" i="152"/>
  <c r="H26" i="152" s="1"/>
  <c r="I23" i="152" s="1"/>
  <c r="AD82" i="150"/>
  <c r="T81" i="150" s="1"/>
  <c r="O82" i="150" s="1"/>
  <c r="AD91" i="150"/>
  <c r="T90" i="150" s="1"/>
  <c r="O91" i="150" s="1"/>
  <c r="H26" i="149"/>
  <c r="H27" i="149" s="1"/>
  <c r="I27" i="149" s="1"/>
  <c r="O91" i="149"/>
  <c r="AD82" i="149"/>
  <c r="T81" i="149" s="1"/>
  <c r="O82" i="149" s="1"/>
  <c r="O81" i="161"/>
  <c r="H15" i="161"/>
  <c r="AE79" i="152"/>
  <c r="AD82" i="152" s="1"/>
  <c r="T81" i="152" s="1"/>
  <c r="O82" i="152" s="1"/>
  <c r="AE69" i="165"/>
  <c r="AD72" i="165" s="1"/>
  <c r="T71" i="165" s="1"/>
  <c r="H15" i="165" s="1"/>
  <c r="U28" i="166"/>
  <c r="O81" i="166"/>
  <c r="H27" i="166"/>
  <c r="I26" i="169"/>
  <c r="P85" i="169"/>
  <c r="AE26" i="161"/>
  <c r="AE27" i="161"/>
  <c r="AE24" i="161"/>
  <c r="AE25" i="161"/>
  <c r="H26" i="157"/>
  <c r="O91" i="156"/>
  <c r="H15" i="156"/>
  <c r="H15" i="154"/>
  <c r="O82" i="154"/>
  <c r="AD35" i="148"/>
  <c r="AD34" i="148"/>
  <c r="Q12" i="148" l="1"/>
  <c r="Q11" i="148"/>
  <c r="AE9" i="148"/>
  <c r="AE43" i="148"/>
  <c r="AE11" i="148"/>
  <c r="M17" i="164"/>
  <c r="AE25" i="148"/>
  <c r="AE24" i="148"/>
  <c r="AE23" i="148"/>
  <c r="I12" i="148"/>
  <c r="I16" i="148"/>
  <c r="I15" i="148"/>
  <c r="U28" i="148"/>
  <c r="B29" i="148" s="1"/>
  <c r="T28" i="148"/>
  <c r="V21" i="148" s="1"/>
  <c r="T17" i="175"/>
  <c r="H16" i="175"/>
  <c r="I17" i="164"/>
  <c r="O12" i="164"/>
  <c r="AE13" i="164" s="1"/>
  <c r="O13" i="164"/>
  <c r="AE16" i="164" s="1"/>
  <c r="O11" i="164"/>
  <c r="AE10" i="164" s="1"/>
  <c r="I15" i="154"/>
  <c r="H27" i="148"/>
  <c r="U17" i="154"/>
  <c r="B18" i="154" s="1"/>
  <c r="T17" i="154"/>
  <c r="U28" i="152"/>
  <c r="B29" i="152" s="1"/>
  <c r="T28" i="152"/>
  <c r="I26" i="152"/>
  <c r="I23" i="149"/>
  <c r="U28" i="149"/>
  <c r="B29" i="149" s="1"/>
  <c r="T28" i="149"/>
  <c r="Q28" i="157"/>
  <c r="P28" i="157"/>
  <c r="Q17" i="157"/>
  <c r="P17" i="157"/>
  <c r="Q17" i="156"/>
  <c r="P17" i="156"/>
  <c r="T24" i="156"/>
  <c r="R7" i="156"/>
  <c r="R6" i="156"/>
  <c r="R5" i="156"/>
  <c r="R4" i="156"/>
  <c r="R26" i="158"/>
  <c r="Q26" i="158"/>
  <c r="R26" i="159"/>
  <c r="Q26" i="159"/>
  <c r="V16" i="158"/>
  <c r="I12" i="158" s="1"/>
  <c r="R7" i="155"/>
  <c r="T24" i="155"/>
  <c r="Q10" i="158"/>
  <c r="Q11" i="158"/>
  <c r="Q13" i="158"/>
  <c r="Q12" i="158"/>
  <c r="O24" i="167"/>
  <c r="R5" i="155"/>
  <c r="R6" i="155"/>
  <c r="R4" i="155"/>
  <c r="AE15" i="148"/>
  <c r="AE12" i="148"/>
  <c r="AE10" i="148"/>
  <c r="H27" i="176"/>
  <c r="I23" i="176"/>
  <c r="T28" i="176"/>
  <c r="U28" i="176"/>
  <c r="H16" i="176"/>
  <c r="T17" i="176"/>
  <c r="I12" i="176"/>
  <c r="U17" i="176"/>
  <c r="H27" i="177"/>
  <c r="U28" i="177"/>
  <c r="T28" i="177"/>
  <c r="I23" i="177"/>
  <c r="T17" i="177"/>
  <c r="I12" i="177"/>
  <c r="H16" i="177"/>
  <c r="U17" i="177"/>
  <c r="I23" i="175"/>
  <c r="T28" i="175"/>
  <c r="H27" i="175"/>
  <c r="U28" i="175"/>
  <c r="I12" i="175"/>
  <c r="U17" i="175"/>
  <c r="H26" i="153"/>
  <c r="I23" i="153" s="1"/>
  <c r="O83" i="160"/>
  <c r="H15" i="160"/>
  <c r="Q15" i="160" s="1"/>
  <c r="H26" i="154"/>
  <c r="I23" i="154" s="1"/>
  <c r="O22" i="167"/>
  <c r="P24" i="167"/>
  <c r="P22" i="167"/>
  <c r="P23" i="167"/>
  <c r="M28" i="164"/>
  <c r="B29" i="164" s="1"/>
  <c r="H15" i="151"/>
  <c r="H16" i="151" s="1"/>
  <c r="J27" i="167"/>
  <c r="O23" i="167"/>
  <c r="H26" i="151"/>
  <c r="H27" i="151" s="1"/>
  <c r="U17" i="167"/>
  <c r="T17" i="167"/>
  <c r="I16" i="167"/>
  <c r="M28" i="166"/>
  <c r="H15" i="162"/>
  <c r="H16" i="162" s="1"/>
  <c r="I16" i="162" s="1"/>
  <c r="H26" i="160"/>
  <c r="O91" i="152"/>
  <c r="P76" i="169"/>
  <c r="I26" i="168"/>
  <c r="H26" i="165"/>
  <c r="H15" i="163"/>
  <c r="H26" i="163"/>
  <c r="H15" i="166"/>
  <c r="I15" i="166" s="1"/>
  <c r="P76" i="168"/>
  <c r="I27" i="164"/>
  <c r="I28" i="164"/>
  <c r="O24" i="164"/>
  <c r="O22" i="164"/>
  <c r="O23" i="164"/>
  <c r="I15" i="165"/>
  <c r="D9" i="164"/>
  <c r="R66" i="164" s="1"/>
  <c r="H26" i="162"/>
  <c r="H27" i="161"/>
  <c r="I28" i="161" s="1"/>
  <c r="T28" i="161"/>
  <c r="U28" i="161"/>
  <c r="H16" i="161"/>
  <c r="I17" i="161" s="1"/>
  <c r="T17" i="161"/>
  <c r="O91" i="157"/>
  <c r="Q17" i="155"/>
  <c r="P17" i="155"/>
  <c r="H15" i="150"/>
  <c r="H26" i="150"/>
  <c r="I23" i="150" s="1"/>
  <c r="T26" i="149"/>
  <c r="M28" i="149" s="1"/>
  <c r="H15" i="149"/>
  <c r="H15" i="153"/>
  <c r="H15" i="152"/>
  <c r="H16" i="152" s="1"/>
  <c r="AE13" i="148"/>
  <c r="U17" i="161"/>
  <c r="L7" i="172"/>
  <c r="K7" i="172" s="1"/>
  <c r="D9" i="148"/>
  <c r="AE14" i="148"/>
  <c r="O72" i="165"/>
  <c r="O24" i="166"/>
  <c r="O23" i="166"/>
  <c r="I27" i="166"/>
  <c r="O22" i="166"/>
  <c r="U28" i="169"/>
  <c r="I27" i="169"/>
  <c r="T28" i="169"/>
  <c r="I16" i="169"/>
  <c r="T17" i="169"/>
  <c r="U17" i="169"/>
  <c r="T17" i="168"/>
  <c r="I16" i="168"/>
  <c r="U17" i="168"/>
  <c r="L32" i="172"/>
  <c r="K32" i="172" s="1"/>
  <c r="AE11" i="164"/>
  <c r="H16" i="165"/>
  <c r="I16" i="165" s="1"/>
  <c r="U17" i="165"/>
  <c r="T17" i="165"/>
  <c r="AE17" i="164"/>
  <c r="AE14" i="164"/>
  <c r="AE29" i="161"/>
  <c r="AE31" i="161"/>
  <c r="AE28" i="161"/>
  <c r="AE30" i="161"/>
  <c r="H16" i="154"/>
  <c r="H27" i="152"/>
  <c r="AH38" i="148"/>
  <c r="AE15" i="164" l="1"/>
  <c r="AE12" i="164"/>
  <c r="O23" i="148"/>
  <c r="P11" i="169"/>
  <c r="P13" i="169"/>
  <c r="P12" i="169"/>
  <c r="M17" i="175"/>
  <c r="B18" i="175" s="1"/>
  <c r="AE16" i="148"/>
  <c r="P12" i="175"/>
  <c r="P11" i="175"/>
  <c r="P13" i="175"/>
  <c r="P14" i="175"/>
  <c r="I23" i="166"/>
  <c r="B29" i="166"/>
  <c r="B18" i="164"/>
  <c r="I12" i="164"/>
  <c r="D20" i="166"/>
  <c r="R75" i="166" s="1"/>
  <c r="I26" i="164"/>
  <c r="I23" i="164"/>
  <c r="AE9" i="164"/>
  <c r="E9" i="164" s="1"/>
  <c r="I15" i="164"/>
  <c r="AE17" i="148"/>
  <c r="I26" i="149"/>
  <c r="I25" i="149"/>
  <c r="U12" i="154"/>
  <c r="W12" i="154"/>
  <c r="T26" i="148"/>
  <c r="M28" i="148" s="1"/>
  <c r="I26" i="148" s="1"/>
  <c r="H16" i="149"/>
  <c r="I16" i="149" s="1"/>
  <c r="I16" i="175"/>
  <c r="O13" i="175"/>
  <c r="AE11" i="175" s="1"/>
  <c r="I17" i="175"/>
  <c r="O11" i="175"/>
  <c r="O14" i="175"/>
  <c r="AE12" i="175" s="1"/>
  <c r="O12" i="175"/>
  <c r="AE10" i="175" s="1"/>
  <c r="L42" i="172"/>
  <c r="K42" i="172" s="1"/>
  <c r="D9" i="175"/>
  <c r="R75" i="175" s="1"/>
  <c r="V16" i="160"/>
  <c r="I12" i="160" s="1"/>
  <c r="Q12" i="160"/>
  <c r="Q13" i="160"/>
  <c r="Q10" i="160"/>
  <c r="Q11" i="160"/>
  <c r="M15" i="160"/>
  <c r="I15" i="160" s="1"/>
  <c r="M17" i="161"/>
  <c r="AE46" i="161" s="1"/>
  <c r="S7" i="156"/>
  <c r="AG13" i="156" s="1"/>
  <c r="O22" i="148"/>
  <c r="I15" i="153"/>
  <c r="W23" i="152"/>
  <c r="U23" i="152"/>
  <c r="W23" i="149"/>
  <c r="AG24" i="149" s="1"/>
  <c r="U23" i="149"/>
  <c r="H27" i="154"/>
  <c r="U28" i="154"/>
  <c r="B29" i="154" s="1"/>
  <c r="T28" i="154"/>
  <c r="W23" i="154" s="1"/>
  <c r="I26" i="154"/>
  <c r="H27" i="153"/>
  <c r="AG45" i="153" s="1"/>
  <c r="T28" i="153"/>
  <c r="I26" i="153"/>
  <c r="U28" i="153"/>
  <c r="B29" i="153" s="1"/>
  <c r="W11" i="154"/>
  <c r="U11" i="154"/>
  <c r="O12" i="154"/>
  <c r="O11" i="154"/>
  <c r="T15" i="154"/>
  <c r="M17" i="154" s="1"/>
  <c r="I12" i="154" s="1"/>
  <c r="I16" i="154"/>
  <c r="U17" i="153"/>
  <c r="T17" i="153"/>
  <c r="W12" i="153" s="1"/>
  <c r="I23" i="151"/>
  <c r="I15" i="152"/>
  <c r="O23" i="152"/>
  <c r="O22" i="152"/>
  <c r="I27" i="152"/>
  <c r="T26" i="152"/>
  <c r="M28" i="152" s="1"/>
  <c r="U17" i="152"/>
  <c r="B18" i="152" s="1"/>
  <c r="T17" i="152"/>
  <c r="O12" i="152"/>
  <c r="O11" i="152"/>
  <c r="I16" i="152"/>
  <c r="T15" i="152"/>
  <c r="M17" i="152" s="1"/>
  <c r="I12" i="152" s="1"/>
  <c r="I27" i="151"/>
  <c r="T26" i="151"/>
  <c r="M28" i="151" s="1"/>
  <c r="O23" i="151"/>
  <c r="O22" i="151"/>
  <c r="U28" i="151"/>
  <c r="B29" i="151" s="1"/>
  <c r="T28" i="151"/>
  <c r="W23" i="151" s="1"/>
  <c r="I16" i="151"/>
  <c r="U17" i="151"/>
  <c r="B18" i="151" s="1"/>
  <c r="T17" i="151"/>
  <c r="W12" i="151" s="1"/>
  <c r="H16" i="150"/>
  <c r="I16" i="150" s="1"/>
  <c r="I26" i="150"/>
  <c r="H27" i="150"/>
  <c r="U28" i="150"/>
  <c r="B29" i="150" s="1"/>
  <c r="T28" i="150"/>
  <c r="U17" i="150"/>
  <c r="B18" i="150" s="1"/>
  <c r="T17" i="150"/>
  <c r="B30" i="149"/>
  <c r="O22" i="149"/>
  <c r="O23" i="149"/>
  <c r="AG12" i="149" s="1"/>
  <c r="AH12" i="149" s="1"/>
  <c r="AG45" i="149"/>
  <c r="AG19" i="149" s="1"/>
  <c r="U17" i="149"/>
  <c r="B18" i="149" s="1"/>
  <c r="T17" i="149"/>
  <c r="O7" i="157"/>
  <c r="O6" i="157"/>
  <c r="O5" i="157"/>
  <c r="O4" i="157"/>
  <c r="P4" i="157" s="1"/>
  <c r="T13" i="157"/>
  <c r="R7" i="157"/>
  <c r="T24" i="157"/>
  <c r="R6" i="157"/>
  <c r="R5" i="157"/>
  <c r="R4" i="157"/>
  <c r="S4" i="157" s="1"/>
  <c r="S4" i="156"/>
  <c r="M28" i="156"/>
  <c r="S4" i="155"/>
  <c r="S7" i="155"/>
  <c r="S6" i="156"/>
  <c r="S5" i="156"/>
  <c r="T13" i="156"/>
  <c r="O7" i="156"/>
  <c r="O6" i="156"/>
  <c r="O5" i="156"/>
  <c r="O4" i="156"/>
  <c r="R26" i="160"/>
  <c r="Q26" i="160"/>
  <c r="R15" i="160"/>
  <c r="Q24" i="158"/>
  <c r="V27" i="158"/>
  <c r="I23" i="158" s="1"/>
  <c r="Q23" i="158"/>
  <c r="Q22" i="158"/>
  <c r="Q21" i="158"/>
  <c r="Q22" i="159"/>
  <c r="Q21" i="159"/>
  <c r="Q23" i="159"/>
  <c r="Q24" i="159"/>
  <c r="V27" i="159"/>
  <c r="I23" i="159" s="1"/>
  <c r="R15" i="159"/>
  <c r="Q15" i="159"/>
  <c r="S5" i="155"/>
  <c r="S6" i="155"/>
  <c r="M28" i="155"/>
  <c r="I23" i="155" s="1"/>
  <c r="R12" i="158"/>
  <c r="R13" i="158"/>
  <c r="M15" i="158"/>
  <c r="AE20" i="158" s="1"/>
  <c r="T13" i="155"/>
  <c r="O7" i="155"/>
  <c r="E9" i="148"/>
  <c r="AF12" i="148"/>
  <c r="AG16" i="166"/>
  <c r="AG10" i="166"/>
  <c r="O6" i="155"/>
  <c r="O5" i="155"/>
  <c r="O4" i="155"/>
  <c r="AG12" i="148"/>
  <c r="AH12" i="148" s="1"/>
  <c r="AG10" i="148"/>
  <c r="M17" i="176"/>
  <c r="B18" i="176" s="1"/>
  <c r="M28" i="176"/>
  <c r="AG38" i="176" s="1"/>
  <c r="AG13" i="166"/>
  <c r="AE19" i="148"/>
  <c r="AB19" i="148" s="1"/>
  <c r="O50" i="133" s="1"/>
  <c r="AE20" i="148"/>
  <c r="AG12" i="164"/>
  <c r="AB12" i="164" s="1"/>
  <c r="AL86" i="133" s="1"/>
  <c r="AG13" i="164"/>
  <c r="AB13" i="164" s="1"/>
  <c r="AL87" i="133" s="1"/>
  <c r="AG9" i="164"/>
  <c r="AG10" i="164"/>
  <c r="AB10" i="164" s="1"/>
  <c r="AL84" i="133" s="1"/>
  <c r="AG15" i="164"/>
  <c r="AB15" i="164" s="1"/>
  <c r="AL89" i="133" s="1"/>
  <c r="AG16" i="164"/>
  <c r="AB16" i="164" s="1"/>
  <c r="AL90" i="133" s="1"/>
  <c r="M28" i="177"/>
  <c r="I26" i="177" s="1"/>
  <c r="M28" i="175"/>
  <c r="AG38" i="175" s="1"/>
  <c r="AB38" i="175" s="1"/>
  <c r="AV168" i="133" s="1"/>
  <c r="I16" i="177"/>
  <c r="O12" i="177"/>
  <c r="O14" i="177"/>
  <c r="O11" i="177"/>
  <c r="I17" i="177"/>
  <c r="O13" i="177"/>
  <c r="M17" i="177"/>
  <c r="AE40" i="177" s="1"/>
  <c r="AB40" i="177" s="1"/>
  <c r="AX170" i="133" s="1"/>
  <c r="I28" i="177"/>
  <c r="O25" i="177"/>
  <c r="I27" i="177"/>
  <c r="O24" i="177"/>
  <c r="O22" i="177"/>
  <c r="O23" i="177"/>
  <c r="AG12" i="166"/>
  <c r="AG17" i="166"/>
  <c r="AG15" i="166"/>
  <c r="AG9" i="166"/>
  <c r="AE38" i="176"/>
  <c r="O13" i="176"/>
  <c r="I16" i="176"/>
  <c r="O12" i="176"/>
  <c r="O11" i="176"/>
  <c r="O14" i="176"/>
  <c r="AE12" i="176" s="1"/>
  <c r="I17" i="176"/>
  <c r="I27" i="175"/>
  <c r="O23" i="175"/>
  <c r="O24" i="175"/>
  <c r="O22" i="175"/>
  <c r="I28" i="175"/>
  <c r="O25" i="175"/>
  <c r="O22" i="176"/>
  <c r="I28" i="176"/>
  <c r="O24" i="176"/>
  <c r="O25" i="176"/>
  <c r="I27" i="176"/>
  <c r="O23" i="176"/>
  <c r="I26" i="165"/>
  <c r="U28" i="165"/>
  <c r="AG14" i="166"/>
  <c r="AG11" i="166"/>
  <c r="T28" i="165"/>
  <c r="AE30" i="164"/>
  <c r="AB22" i="148"/>
  <c r="O18" i="133" s="1"/>
  <c r="AB42" i="148"/>
  <c r="O164" i="133" s="1"/>
  <c r="T28" i="168"/>
  <c r="H27" i="165"/>
  <c r="I27" i="165" s="1"/>
  <c r="H27" i="163"/>
  <c r="I27" i="163" s="1"/>
  <c r="T28" i="163"/>
  <c r="M28" i="163" s="1"/>
  <c r="T17" i="162"/>
  <c r="M17" i="162" s="1"/>
  <c r="H16" i="166"/>
  <c r="O11" i="166" s="1"/>
  <c r="AG27" i="166"/>
  <c r="AB27" i="166" s="1"/>
  <c r="AN101" i="133" s="1"/>
  <c r="M28" i="167"/>
  <c r="B29" i="167" s="1"/>
  <c r="P12" i="167"/>
  <c r="P13" i="167"/>
  <c r="P11" i="167"/>
  <c r="AG17" i="164"/>
  <c r="AB17" i="164" s="1"/>
  <c r="AL91" i="133" s="1"/>
  <c r="H16" i="163"/>
  <c r="I16" i="163" s="1"/>
  <c r="Z33" i="172"/>
  <c r="Y33" i="172" s="1"/>
  <c r="AG36" i="166"/>
  <c r="AB36" i="166" s="1"/>
  <c r="AN169" i="133" s="1"/>
  <c r="AG14" i="164"/>
  <c r="AB14" i="164" s="1"/>
  <c r="AL88" i="133" s="1"/>
  <c r="U17" i="163"/>
  <c r="B18" i="163" s="1"/>
  <c r="U17" i="166"/>
  <c r="AG24" i="166"/>
  <c r="AB24" i="166" s="1"/>
  <c r="AN98" i="133" s="1"/>
  <c r="AG11" i="164"/>
  <c r="O11" i="167"/>
  <c r="Y11" i="167"/>
  <c r="J16" i="167"/>
  <c r="O13" i="167"/>
  <c r="O12" i="167"/>
  <c r="U17" i="162"/>
  <c r="B18" i="162" s="1"/>
  <c r="T17" i="163"/>
  <c r="U28" i="163"/>
  <c r="B29" i="163" s="1"/>
  <c r="U28" i="168"/>
  <c r="I27" i="168"/>
  <c r="J27" i="168" s="1"/>
  <c r="L33" i="172"/>
  <c r="K33" i="172" s="1"/>
  <c r="D20" i="164"/>
  <c r="R75" i="164" s="1"/>
  <c r="T17" i="166"/>
  <c r="B18" i="153"/>
  <c r="P24" i="169"/>
  <c r="P22" i="169"/>
  <c r="P23" i="169"/>
  <c r="P12" i="168"/>
  <c r="P11" i="168"/>
  <c r="P13" i="168"/>
  <c r="M28" i="161"/>
  <c r="I23" i="161" s="1"/>
  <c r="H27" i="162"/>
  <c r="I27" i="162" s="1"/>
  <c r="T28" i="162"/>
  <c r="U28" i="162"/>
  <c r="B29" i="162" s="1"/>
  <c r="P11" i="161"/>
  <c r="P12" i="161"/>
  <c r="P14" i="161"/>
  <c r="P13" i="161"/>
  <c r="AG42" i="161"/>
  <c r="AB42" i="161" s="1"/>
  <c r="AG172" i="133" s="1"/>
  <c r="I27" i="161"/>
  <c r="O25" i="161"/>
  <c r="O22" i="161"/>
  <c r="O24" i="161"/>
  <c r="O23" i="161"/>
  <c r="I16" i="161"/>
  <c r="O11" i="161"/>
  <c r="O14" i="161"/>
  <c r="O13" i="161"/>
  <c r="O12" i="161"/>
  <c r="H16" i="153"/>
  <c r="AG21" i="166"/>
  <c r="O23" i="169"/>
  <c r="J27" i="169"/>
  <c r="O24" i="169"/>
  <c r="O22" i="169"/>
  <c r="Y22" i="169"/>
  <c r="O12" i="169"/>
  <c r="J16" i="169"/>
  <c r="O13" i="169"/>
  <c r="O11" i="169"/>
  <c r="Y11" i="169"/>
  <c r="Y11" i="168"/>
  <c r="O12" i="168"/>
  <c r="O11" i="168"/>
  <c r="J16" i="168"/>
  <c r="O13" i="168"/>
  <c r="AI15" i="167"/>
  <c r="O11" i="165"/>
  <c r="O13" i="165"/>
  <c r="O12" i="165"/>
  <c r="M17" i="165"/>
  <c r="O11" i="162"/>
  <c r="O14" i="162"/>
  <c r="O13" i="162"/>
  <c r="O12" i="162"/>
  <c r="AE11" i="177" l="1"/>
  <c r="AE9" i="175"/>
  <c r="AE14" i="177"/>
  <c r="AE9" i="177"/>
  <c r="AE9" i="176"/>
  <c r="AE10" i="176"/>
  <c r="AE17" i="177"/>
  <c r="AE12" i="177"/>
  <c r="AE15" i="177"/>
  <c r="AE10" i="177"/>
  <c r="AE11" i="176"/>
  <c r="I15" i="175"/>
  <c r="Q10" i="154"/>
  <c r="Q23" i="149"/>
  <c r="AG15" i="149" s="1"/>
  <c r="Q22" i="149"/>
  <c r="AG10" i="149"/>
  <c r="Q21" i="149"/>
  <c r="C35" i="148"/>
  <c r="Q23" i="148"/>
  <c r="AG15" i="148" s="1"/>
  <c r="AB15" i="148" s="1"/>
  <c r="O17" i="133" s="1"/>
  <c r="Q21" i="148"/>
  <c r="AG13" i="148" s="1"/>
  <c r="AB13" i="148" s="1"/>
  <c r="O15" i="133" s="1"/>
  <c r="O6" i="133"/>
  <c r="AG17" i="175"/>
  <c r="AB17" i="175" s="1"/>
  <c r="AG14" i="175"/>
  <c r="AB14" i="175" s="1"/>
  <c r="AG16" i="175"/>
  <c r="AB16" i="175" s="1"/>
  <c r="AG15" i="175"/>
  <c r="AB15" i="175" s="1"/>
  <c r="J26" i="167"/>
  <c r="J23" i="167"/>
  <c r="AI40" i="167"/>
  <c r="AI29" i="167"/>
  <c r="I12" i="165"/>
  <c r="B18" i="165"/>
  <c r="AB9" i="164"/>
  <c r="AL83" i="133" s="1"/>
  <c r="AE31" i="164"/>
  <c r="AH19" i="149"/>
  <c r="AB19" i="149"/>
  <c r="AG12" i="176"/>
  <c r="AG17" i="176"/>
  <c r="AH17" i="176" s="1"/>
  <c r="AG10" i="176"/>
  <c r="AG15" i="176"/>
  <c r="AH15" i="176" s="1"/>
  <c r="AG11" i="176"/>
  <c r="AH11" i="176" s="1"/>
  <c r="AG16" i="176"/>
  <c r="AH16" i="176" s="1"/>
  <c r="I26" i="176"/>
  <c r="AG40" i="176"/>
  <c r="AE16" i="177"/>
  <c r="AG9" i="176"/>
  <c r="AG14" i="176"/>
  <c r="AH14" i="176" s="1"/>
  <c r="I26" i="163"/>
  <c r="I25" i="163"/>
  <c r="AG46" i="163"/>
  <c r="I23" i="163"/>
  <c r="I12" i="162"/>
  <c r="I14" i="162"/>
  <c r="I15" i="162"/>
  <c r="B18" i="161"/>
  <c r="I12" i="161"/>
  <c r="AG10" i="177"/>
  <c r="AG11" i="177"/>
  <c r="AG12" i="177"/>
  <c r="AH12" i="177" s="1"/>
  <c r="AG9" i="177"/>
  <c r="I26" i="175"/>
  <c r="AG12" i="175"/>
  <c r="AB12" i="175" s="1"/>
  <c r="AV127" i="133" s="1"/>
  <c r="AG9" i="175"/>
  <c r="AG11" i="175"/>
  <c r="AG10" i="175"/>
  <c r="AB10" i="175" s="1"/>
  <c r="AV125" i="133" s="1"/>
  <c r="AG25" i="148"/>
  <c r="AB25" i="148" s="1"/>
  <c r="O21" i="133" s="1"/>
  <c r="I26" i="151"/>
  <c r="I25" i="151"/>
  <c r="AG14" i="148"/>
  <c r="AB14" i="148" s="1"/>
  <c r="O16" i="133" s="1"/>
  <c r="B31" i="148"/>
  <c r="AG43" i="148"/>
  <c r="AB43" i="148" s="1"/>
  <c r="O165" i="133" s="1"/>
  <c r="AG23" i="148"/>
  <c r="AB23" i="148" s="1"/>
  <c r="O19" i="133" s="1"/>
  <c r="AG24" i="148"/>
  <c r="AB24" i="148" s="1"/>
  <c r="O20" i="133" s="1"/>
  <c r="I27" i="148"/>
  <c r="I23" i="148"/>
  <c r="D20" i="148"/>
  <c r="R85" i="148" s="1"/>
  <c r="L8" i="172"/>
  <c r="K8" i="172" s="1"/>
  <c r="B30" i="148"/>
  <c r="AG45" i="148"/>
  <c r="AG9" i="148"/>
  <c r="AG11" i="148"/>
  <c r="AB11" i="148" s="1"/>
  <c r="O13" i="133" s="1"/>
  <c r="O23" i="154"/>
  <c r="AG11" i="152"/>
  <c r="AG9" i="152"/>
  <c r="AG9" i="151"/>
  <c r="AG11" i="151"/>
  <c r="AE11" i="154"/>
  <c r="AE9" i="154"/>
  <c r="AG11" i="149"/>
  <c r="AE11" i="152"/>
  <c r="AE9" i="152"/>
  <c r="AG9" i="149"/>
  <c r="AF11" i="177"/>
  <c r="AF10" i="177"/>
  <c r="AF12" i="177"/>
  <c r="AF9" i="177"/>
  <c r="AF12" i="176"/>
  <c r="AF9" i="176"/>
  <c r="AF11" i="176"/>
  <c r="AF10" i="176"/>
  <c r="AE19" i="175"/>
  <c r="AE24" i="175"/>
  <c r="E9" i="175"/>
  <c r="AE15" i="160"/>
  <c r="AE9" i="160"/>
  <c r="AE11" i="160"/>
  <c r="AE19" i="160"/>
  <c r="AE14" i="160"/>
  <c r="R12" i="160"/>
  <c r="AE16" i="160" s="1"/>
  <c r="R13" i="160"/>
  <c r="AE17" i="160" s="1"/>
  <c r="B19" i="158"/>
  <c r="AG9" i="156"/>
  <c r="AG14" i="156"/>
  <c r="T26" i="153"/>
  <c r="M28" i="153" s="1"/>
  <c r="M26" i="158"/>
  <c r="L23" i="172" s="1"/>
  <c r="K23" i="172" s="1"/>
  <c r="O22" i="153"/>
  <c r="I27" i="153"/>
  <c r="O23" i="153"/>
  <c r="O22" i="154"/>
  <c r="P7" i="157"/>
  <c r="AE14" i="157" s="1"/>
  <c r="M17" i="163"/>
  <c r="C35" i="154"/>
  <c r="S7" i="157"/>
  <c r="AG13" i="157" s="1"/>
  <c r="I27" i="154"/>
  <c r="AH9" i="176"/>
  <c r="T26" i="154"/>
  <c r="M28" i="154" s="1"/>
  <c r="AG24" i="154" s="1"/>
  <c r="AG45" i="154"/>
  <c r="W12" i="152"/>
  <c r="AE27" i="152" s="1"/>
  <c r="U12" i="152"/>
  <c r="AE43" i="152" s="1"/>
  <c r="W12" i="149"/>
  <c r="U12" i="149"/>
  <c r="U12" i="151"/>
  <c r="W11" i="151"/>
  <c r="W12" i="150"/>
  <c r="U11" i="150"/>
  <c r="C35" i="151"/>
  <c r="AB10" i="148"/>
  <c r="O12" i="133" s="1"/>
  <c r="B29" i="158"/>
  <c r="AG20" i="158"/>
  <c r="AG12" i="172"/>
  <c r="AF12" i="172" s="1"/>
  <c r="AE43" i="154"/>
  <c r="AE25" i="154"/>
  <c r="AE24" i="154"/>
  <c r="AE26" i="154"/>
  <c r="AG45" i="152"/>
  <c r="AG27" i="152"/>
  <c r="AG26" i="152"/>
  <c r="AG29" i="152"/>
  <c r="AG28" i="152"/>
  <c r="AG43" i="152"/>
  <c r="AE29" i="152"/>
  <c r="AE28" i="152"/>
  <c r="W22" i="154"/>
  <c r="AG25" i="154" s="1"/>
  <c r="U23" i="154"/>
  <c r="AG26" i="154" s="1"/>
  <c r="W22" i="153"/>
  <c r="W23" i="153"/>
  <c r="U22" i="153"/>
  <c r="U23" i="151"/>
  <c r="AG22" i="151" s="1"/>
  <c r="W22" i="151"/>
  <c r="AG25" i="151" s="1"/>
  <c r="W23" i="150"/>
  <c r="U22" i="150"/>
  <c r="M28" i="162"/>
  <c r="D9" i="162"/>
  <c r="R75" i="162" s="1"/>
  <c r="AG38" i="161"/>
  <c r="AB38" i="161" s="1"/>
  <c r="AG168" i="133" s="1"/>
  <c r="AG41" i="161"/>
  <c r="AB41" i="161" s="1"/>
  <c r="AG171" i="133" s="1"/>
  <c r="AE45" i="154"/>
  <c r="AE20" i="154" s="1"/>
  <c r="AE10" i="154"/>
  <c r="AE12" i="154"/>
  <c r="AF12" i="154" s="1"/>
  <c r="AE13" i="154"/>
  <c r="AE15" i="154"/>
  <c r="AE14" i="154"/>
  <c r="T15" i="153"/>
  <c r="M17" i="153" s="1"/>
  <c r="I12" i="153" s="1"/>
  <c r="O12" i="153"/>
  <c r="I16" i="153"/>
  <c r="O11" i="153"/>
  <c r="Q10" i="153" s="1"/>
  <c r="W11" i="153"/>
  <c r="U11" i="153"/>
  <c r="AG15" i="152"/>
  <c r="AG13" i="152"/>
  <c r="AG10" i="152"/>
  <c r="AG12" i="152"/>
  <c r="AH12" i="152" s="1"/>
  <c r="AG14" i="152"/>
  <c r="AG20" i="152"/>
  <c r="AH20" i="152" s="1"/>
  <c r="AE10" i="152"/>
  <c r="AE15" i="152"/>
  <c r="AE13" i="152"/>
  <c r="AE45" i="152"/>
  <c r="AE12" i="152"/>
  <c r="AE14" i="152"/>
  <c r="AG42" i="149"/>
  <c r="AG45" i="151"/>
  <c r="AG13" i="151"/>
  <c r="AG24" i="151"/>
  <c r="AG23" i="151"/>
  <c r="AG10" i="151"/>
  <c r="AG12" i="151"/>
  <c r="AH12" i="151" s="1"/>
  <c r="AG15" i="151"/>
  <c r="AG14" i="151"/>
  <c r="O11" i="151"/>
  <c r="O12" i="151"/>
  <c r="T15" i="151"/>
  <c r="M17" i="151" s="1"/>
  <c r="I14" i="151" s="1"/>
  <c r="O23" i="150"/>
  <c r="I27" i="150"/>
  <c r="O22" i="150"/>
  <c r="T26" i="150"/>
  <c r="M28" i="150" s="1"/>
  <c r="I25" i="150" s="1"/>
  <c r="O12" i="150"/>
  <c r="O11" i="150"/>
  <c r="T15" i="150"/>
  <c r="M17" i="150" s="1"/>
  <c r="AG22" i="149"/>
  <c r="AG43" i="149"/>
  <c r="AG36" i="149"/>
  <c r="B19" i="149"/>
  <c r="T15" i="149"/>
  <c r="M17" i="149" s="1"/>
  <c r="O12" i="149"/>
  <c r="AG13" i="149"/>
  <c r="AG14" i="149"/>
  <c r="AG20" i="149"/>
  <c r="AH20" i="149" s="1"/>
  <c r="O11" i="149"/>
  <c r="Q10" i="149" s="1"/>
  <c r="I26" i="156"/>
  <c r="AG43" i="156"/>
  <c r="M28" i="157"/>
  <c r="I26" i="157" s="1"/>
  <c r="M17" i="157"/>
  <c r="I15" i="157" s="1"/>
  <c r="P6" i="157"/>
  <c r="P5" i="157"/>
  <c r="AE10" i="157" s="1"/>
  <c r="S6" i="157"/>
  <c r="S5" i="157"/>
  <c r="AG9" i="157" s="1"/>
  <c r="P7" i="155"/>
  <c r="AE14" i="155" s="1"/>
  <c r="I23" i="156"/>
  <c r="P4" i="156"/>
  <c r="AG12" i="155"/>
  <c r="AG11" i="155"/>
  <c r="AG14" i="155"/>
  <c r="AG13" i="155"/>
  <c r="AG10" i="155"/>
  <c r="AG9" i="155"/>
  <c r="P7" i="156"/>
  <c r="AE14" i="156" s="1"/>
  <c r="M17" i="156"/>
  <c r="I12" i="156" s="1"/>
  <c r="AG11" i="156"/>
  <c r="AG12" i="156"/>
  <c r="AG10" i="156"/>
  <c r="P6" i="156"/>
  <c r="P5" i="156"/>
  <c r="Q23" i="160"/>
  <c r="M26" i="160"/>
  <c r="Q21" i="160"/>
  <c r="Q24" i="160"/>
  <c r="V27" i="160"/>
  <c r="I23" i="160" s="1"/>
  <c r="Q22" i="160"/>
  <c r="AG37" i="158"/>
  <c r="R24" i="158"/>
  <c r="R23" i="158"/>
  <c r="M26" i="159"/>
  <c r="AG14" i="159" s="1"/>
  <c r="R24" i="159"/>
  <c r="R23" i="159"/>
  <c r="V16" i="159"/>
  <c r="I12" i="159" s="1"/>
  <c r="Q11" i="159"/>
  <c r="Q12" i="159"/>
  <c r="Q13" i="159"/>
  <c r="Q10" i="159"/>
  <c r="AE37" i="158"/>
  <c r="P5" i="155"/>
  <c r="P6" i="155"/>
  <c r="D20" i="176"/>
  <c r="R86" i="176" s="1"/>
  <c r="AB12" i="148"/>
  <c r="O14" i="133" s="1"/>
  <c r="AE19" i="158"/>
  <c r="AE17" i="158"/>
  <c r="AE16" i="158"/>
  <c r="AE15" i="158"/>
  <c r="AF21" i="158"/>
  <c r="AE14" i="158"/>
  <c r="AE11" i="158"/>
  <c r="AE9" i="158"/>
  <c r="AE13" i="165"/>
  <c r="AE16" i="165"/>
  <c r="AF16" i="176"/>
  <c r="D9" i="176"/>
  <c r="R75" i="176" s="1"/>
  <c r="S42" i="172"/>
  <c r="R42" i="172" s="1"/>
  <c r="D20" i="175"/>
  <c r="R86" i="175" s="1"/>
  <c r="L43" i="172"/>
  <c r="K43" i="172" s="1"/>
  <c r="S43" i="172"/>
  <c r="R43" i="172" s="1"/>
  <c r="AB9" i="175"/>
  <c r="AV124" i="133" s="1"/>
  <c r="AB11" i="175"/>
  <c r="AV126" i="133" s="1"/>
  <c r="AF17" i="176"/>
  <c r="AE14" i="176"/>
  <c r="AF14" i="176" s="1"/>
  <c r="D20" i="177"/>
  <c r="R86" i="177" s="1"/>
  <c r="AF15" i="176"/>
  <c r="B29" i="177"/>
  <c r="M17" i="155"/>
  <c r="I12" i="155" s="1"/>
  <c r="P4" i="155"/>
  <c r="Z43" i="172"/>
  <c r="Y43" i="172" s="1"/>
  <c r="B29" i="176"/>
  <c r="AE40" i="176"/>
  <c r="AB40" i="176" s="1"/>
  <c r="AW170" i="133" s="1"/>
  <c r="F170" i="133" s="1"/>
  <c r="L170" i="133" s="1"/>
  <c r="I15" i="176"/>
  <c r="AE10" i="165"/>
  <c r="AG25" i="161"/>
  <c r="AB25" i="161" s="1"/>
  <c r="AG70" i="133" s="1"/>
  <c r="AG24" i="161"/>
  <c r="AB24" i="161" s="1"/>
  <c r="AG69" i="133" s="1"/>
  <c r="AG27" i="161"/>
  <c r="AB27" i="161" s="1"/>
  <c r="AG72" i="133" s="1"/>
  <c r="D20" i="152"/>
  <c r="R85" i="152" s="1"/>
  <c r="Z8" i="172"/>
  <c r="Y8" i="172" s="1"/>
  <c r="AE12" i="165"/>
  <c r="D9" i="161"/>
  <c r="R75" i="161" s="1"/>
  <c r="AG26" i="161"/>
  <c r="AB26" i="161" s="1"/>
  <c r="AG71" i="133" s="1"/>
  <c r="B29" i="175"/>
  <c r="AE23" i="176"/>
  <c r="AG23" i="175"/>
  <c r="AB23" i="175" s="1"/>
  <c r="AG23" i="177"/>
  <c r="AH23" i="177" s="1"/>
  <c r="AE15" i="165"/>
  <c r="AE9" i="165"/>
  <c r="AB38" i="176"/>
  <c r="AG23" i="176"/>
  <c r="AH23" i="176" s="1"/>
  <c r="B18" i="177"/>
  <c r="Z42" i="172"/>
  <c r="Y42" i="172" s="1"/>
  <c r="AE38" i="177"/>
  <c r="D9" i="177"/>
  <c r="R75" i="177" s="1"/>
  <c r="I15" i="177"/>
  <c r="O22" i="165"/>
  <c r="B29" i="161"/>
  <c r="AG39" i="161"/>
  <c r="AB39" i="161" s="1"/>
  <c r="AG169" i="133" s="1"/>
  <c r="AG10" i="161"/>
  <c r="AG12" i="161"/>
  <c r="AG11" i="161"/>
  <c r="AG9" i="161"/>
  <c r="Y22" i="168"/>
  <c r="O23" i="168"/>
  <c r="O22" i="168"/>
  <c r="O24" i="168"/>
  <c r="AE10" i="162"/>
  <c r="AE10" i="161"/>
  <c r="AB18" i="148"/>
  <c r="O49" i="133" s="1"/>
  <c r="AE11" i="161"/>
  <c r="AE12" i="161"/>
  <c r="AE12" i="162"/>
  <c r="AE11" i="162"/>
  <c r="O24" i="165"/>
  <c r="M28" i="165"/>
  <c r="O23" i="165"/>
  <c r="O13" i="166"/>
  <c r="AG30" i="164"/>
  <c r="AB30" i="164" s="1"/>
  <c r="AL164" i="133" s="1"/>
  <c r="AE9" i="161"/>
  <c r="AE9" i="162"/>
  <c r="O12" i="166"/>
  <c r="I16" i="166"/>
  <c r="M17" i="166"/>
  <c r="B18" i="166" s="1"/>
  <c r="AI9" i="167"/>
  <c r="AI11" i="167"/>
  <c r="AI28" i="167"/>
  <c r="AI10" i="167"/>
  <c r="D20" i="167"/>
  <c r="O23" i="163"/>
  <c r="O22" i="163"/>
  <c r="O24" i="163"/>
  <c r="AG42" i="163"/>
  <c r="AB42" i="163" s="1"/>
  <c r="AI172" i="133" s="1"/>
  <c r="O25" i="163"/>
  <c r="D9" i="154"/>
  <c r="R76" i="154" s="1"/>
  <c r="D20" i="149"/>
  <c r="R85" i="149" s="1"/>
  <c r="S8" i="172"/>
  <c r="R8" i="172" s="1"/>
  <c r="AI30" i="167"/>
  <c r="AI17" i="167"/>
  <c r="AI43" i="167"/>
  <c r="AI39" i="167"/>
  <c r="AI16" i="167"/>
  <c r="L38" i="172"/>
  <c r="K38" i="172" s="1"/>
  <c r="P24" i="168"/>
  <c r="P22" i="168"/>
  <c r="P23" i="168"/>
  <c r="E20" i="164"/>
  <c r="I15" i="161"/>
  <c r="L27" i="172"/>
  <c r="K27" i="172" s="1"/>
  <c r="O11" i="163"/>
  <c r="O14" i="163"/>
  <c r="AB11" i="164"/>
  <c r="AL85" i="133" s="1"/>
  <c r="AG31" i="164"/>
  <c r="AB31" i="164" s="1"/>
  <c r="AL165" i="133" s="1"/>
  <c r="O12" i="163"/>
  <c r="O13" i="163"/>
  <c r="D9" i="152"/>
  <c r="R76" i="152" s="1"/>
  <c r="O25" i="162"/>
  <c r="M17" i="167"/>
  <c r="B18" i="167" s="1"/>
  <c r="AE14" i="161"/>
  <c r="O24" i="162"/>
  <c r="L22" i="172"/>
  <c r="K22" i="172" s="1"/>
  <c r="B31" i="152"/>
  <c r="Z7" i="172"/>
  <c r="Y7" i="172" s="1"/>
  <c r="S6" i="133"/>
  <c r="O23" i="162"/>
  <c r="O22" i="162"/>
  <c r="AE13" i="161"/>
  <c r="AG6" i="133"/>
  <c r="AG46" i="161"/>
  <c r="AB46" i="161" s="1"/>
  <c r="AG155" i="133" s="1"/>
  <c r="L28" i="172"/>
  <c r="K28" i="172" s="1"/>
  <c r="I26" i="161"/>
  <c r="AE16" i="161"/>
  <c r="B31" i="161"/>
  <c r="D20" i="161"/>
  <c r="R86" i="161" s="1"/>
  <c r="AE15" i="161"/>
  <c r="B18" i="158"/>
  <c r="AG13" i="161"/>
  <c r="AG28" i="161"/>
  <c r="AB28" i="161" s="1"/>
  <c r="AG73" i="133" s="1"/>
  <c r="AG16" i="161"/>
  <c r="AG31" i="161"/>
  <c r="AB31" i="161" s="1"/>
  <c r="AG76" i="133" s="1"/>
  <c r="AG15" i="161"/>
  <c r="AG30" i="161"/>
  <c r="AB30" i="161" s="1"/>
  <c r="AG75" i="133" s="1"/>
  <c r="AG14" i="161"/>
  <c r="AG29" i="161"/>
  <c r="AB29" i="161" s="1"/>
  <c r="AG74" i="133" s="1"/>
  <c r="D9" i="158"/>
  <c r="R75" i="158" s="1"/>
  <c r="I15" i="158"/>
  <c r="S13" i="172"/>
  <c r="R13" i="172" s="1"/>
  <c r="D20" i="151"/>
  <c r="R85" i="151" s="1"/>
  <c r="AG29" i="163"/>
  <c r="AG31" i="163"/>
  <c r="AG30" i="163"/>
  <c r="AG28" i="163"/>
  <c r="AG29" i="166"/>
  <c r="AB21" i="166"/>
  <c r="AN95" i="133" s="1"/>
  <c r="E20" i="166"/>
  <c r="M17" i="168"/>
  <c r="M17" i="169"/>
  <c r="M28" i="169"/>
  <c r="AD28" i="169"/>
  <c r="AG42" i="162"/>
  <c r="AE14" i="166"/>
  <c r="AB14" i="166" s="1"/>
  <c r="AN88" i="133" s="1"/>
  <c r="D9" i="165"/>
  <c r="R66" i="165" s="1"/>
  <c r="AE36" i="165"/>
  <c r="AE27" i="165"/>
  <c r="AB27" i="165" s="1"/>
  <c r="AM101" i="133" s="1"/>
  <c r="AE21" i="165"/>
  <c r="AB21" i="165" s="1"/>
  <c r="AM95" i="133" s="1"/>
  <c r="AE24" i="165"/>
  <c r="AB24" i="165" s="1"/>
  <c r="AM98" i="133" s="1"/>
  <c r="S32" i="172"/>
  <c r="R32" i="172" s="1"/>
  <c r="AE14" i="165"/>
  <c r="AE17" i="165"/>
  <c r="AE11" i="165"/>
  <c r="AE16" i="162"/>
  <c r="AE13" i="162"/>
  <c r="AE14" i="162"/>
  <c r="AE46" i="162"/>
  <c r="AE46" i="163"/>
  <c r="AE15" i="162"/>
  <c r="AG30" i="162"/>
  <c r="AG29" i="162"/>
  <c r="AG28" i="162"/>
  <c r="AG31" i="162"/>
  <c r="S27" i="172"/>
  <c r="R27" i="172" s="1"/>
  <c r="AB21" i="148"/>
  <c r="O52" i="133" s="1"/>
  <c r="AF38" i="148"/>
  <c r="Q23" i="154" l="1"/>
  <c r="Q22" i="154"/>
  <c r="AG16" i="149"/>
  <c r="AH16" i="149" s="1"/>
  <c r="J12" i="168"/>
  <c r="B18" i="168"/>
  <c r="J23" i="169"/>
  <c r="B29" i="169"/>
  <c r="J12" i="169"/>
  <c r="B18" i="169"/>
  <c r="J26" i="169"/>
  <c r="AG40" i="169"/>
  <c r="AG40" i="168"/>
  <c r="AG20" i="156"/>
  <c r="AH20" i="156" s="1"/>
  <c r="AE16" i="154"/>
  <c r="AF16" i="154" s="1"/>
  <c r="AG20" i="155"/>
  <c r="AG16" i="151"/>
  <c r="AH16" i="151" s="1"/>
  <c r="AE22" i="158"/>
  <c r="AI40" i="169"/>
  <c r="AD40" i="169" s="1"/>
  <c r="AS165" i="133" s="1"/>
  <c r="AV130" i="133"/>
  <c r="AD15" i="175"/>
  <c r="AV131" i="133"/>
  <c r="AD16" i="175"/>
  <c r="AV129" i="133"/>
  <c r="AD14" i="175"/>
  <c r="AV132" i="133"/>
  <c r="AD17" i="175"/>
  <c r="AI20" i="167"/>
  <c r="AI23" i="167"/>
  <c r="AG40" i="167"/>
  <c r="AD40" i="167" s="1"/>
  <c r="AQ165" i="133" s="1"/>
  <c r="J12" i="167"/>
  <c r="AG29" i="167"/>
  <c r="AD29" i="167" s="1"/>
  <c r="AQ145" i="133" s="1"/>
  <c r="F145" i="133" s="1"/>
  <c r="L145" i="133" s="1"/>
  <c r="I23" i="165"/>
  <c r="B29" i="165"/>
  <c r="Z32" i="172"/>
  <c r="Y32" i="172" s="1"/>
  <c r="I12" i="166"/>
  <c r="D20" i="165"/>
  <c r="R75" i="165" s="1"/>
  <c r="AE29" i="163"/>
  <c r="AB29" i="163" s="1"/>
  <c r="AI74" i="133" s="1"/>
  <c r="AE25" i="163"/>
  <c r="AB25" i="163" s="1"/>
  <c r="AI70" i="133" s="1"/>
  <c r="AE30" i="163"/>
  <c r="AB30" i="163" s="1"/>
  <c r="AI75" i="133" s="1"/>
  <c r="AE26" i="163"/>
  <c r="AB26" i="163" s="1"/>
  <c r="AI71" i="133" s="1"/>
  <c r="AE24" i="163"/>
  <c r="AB24" i="163" s="1"/>
  <c r="AI69" i="133" s="1"/>
  <c r="AE31" i="163"/>
  <c r="AB31" i="163" s="1"/>
  <c r="AI76" i="133" s="1"/>
  <c r="AE27" i="163"/>
  <c r="AB27" i="163" s="1"/>
  <c r="AI72" i="133" s="1"/>
  <c r="I26" i="162"/>
  <c r="AG25" i="162"/>
  <c r="AB25" i="162" s="1"/>
  <c r="AH70" i="133" s="1"/>
  <c r="AG27" i="162"/>
  <c r="AB27" i="162" s="1"/>
  <c r="AH72" i="133" s="1"/>
  <c r="AG24" i="162"/>
  <c r="AB24" i="162" s="1"/>
  <c r="AH69" i="133" s="1"/>
  <c r="AG38" i="162"/>
  <c r="AB38" i="162" s="1"/>
  <c r="AH168" i="133" s="1"/>
  <c r="AG26" i="162"/>
  <c r="AB26" i="162" s="1"/>
  <c r="AH71" i="133" s="1"/>
  <c r="AE22" i="160"/>
  <c r="AB22" i="160" s="1"/>
  <c r="AG16" i="152"/>
  <c r="AH16" i="152" s="1"/>
  <c r="AE16" i="152"/>
  <c r="AG20" i="151"/>
  <c r="AH20" i="151" s="1"/>
  <c r="AG19" i="151"/>
  <c r="AG20" i="161"/>
  <c r="AB20" i="161" s="1"/>
  <c r="AG65" i="133" s="1"/>
  <c r="AD19" i="149"/>
  <c r="P50" i="133"/>
  <c r="AB9" i="148"/>
  <c r="O11" i="133" s="1"/>
  <c r="AG16" i="148"/>
  <c r="AB16" i="148" s="1"/>
  <c r="O47" i="133" s="1"/>
  <c r="AB14" i="176"/>
  <c r="AW129" i="133" s="1"/>
  <c r="AE41" i="163"/>
  <c r="AB41" i="163" s="1"/>
  <c r="AI171" i="133" s="1"/>
  <c r="I12" i="163"/>
  <c r="I14" i="163"/>
  <c r="I15" i="163"/>
  <c r="I23" i="162"/>
  <c r="I25" i="162"/>
  <c r="AE28" i="163"/>
  <c r="Z27" i="172"/>
  <c r="Y27" i="172" s="1"/>
  <c r="AE38" i="163"/>
  <c r="AB38" i="163" s="1"/>
  <c r="AI168" i="133" s="1"/>
  <c r="AG21" i="161"/>
  <c r="AE21" i="161"/>
  <c r="AB11" i="177"/>
  <c r="AX126" i="133" s="1"/>
  <c r="AB10" i="177"/>
  <c r="AD10" i="177" s="1"/>
  <c r="I12" i="150"/>
  <c r="I14" i="150"/>
  <c r="I15" i="150"/>
  <c r="I14" i="149"/>
  <c r="I12" i="149"/>
  <c r="AB11" i="152"/>
  <c r="S13" i="133" s="1"/>
  <c r="I15" i="149"/>
  <c r="I12" i="151"/>
  <c r="I15" i="151"/>
  <c r="AG17" i="148"/>
  <c r="AB17" i="148" s="1"/>
  <c r="O48" i="133" s="1"/>
  <c r="E20" i="148"/>
  <c r="E20" i="149"/>
  <c r="AG20" i="148"/>
  <c r="AB20" i="148" s="1"/>
  <c r="O51" i="133" s="1"/>
  <c r="AB45" i="148"/>
  <c r="O154" i="133" s="1"/>
  <c r="D9" i="163"/>
  <c r="R75" i="163" s="1"/>
  <c r="AE14" i="163"/>
  <c r="AE16" i="163"/>
  <c r="AG17" i="149"/>
  <c r="AH17" i="149" s="1"/>
  <c r="AB9" i="152"/>
  <c r="S11" i="133" s="1"/>
  <c r="AE26" i="152"/>
  <c r="AB26" i="152" s="1"/>
  <c r="AE11" i="150"/>
  <c r="AE9" i="150"/>
  <c r="AE11" i="153"/>
  <c r="AE9" i="153"/>
  <c r="D20" i="150"/>
  <c r="R85" i="150" s="1"/>
  <c r="AG9" i="150"/>
  <c r="AG11" i="150"/>
  <c r="AG14" i="153"/>
  <c r="AG11" i="153"/>
  <c r="AG9" i="153"/>
  <c r="AB9" i="177"/>
  <c r="AD9" i="177" s="1"/>
  <c r="AG11" i="158"/>
  <c r="AG13" i="154"/>
  <c r="AB13" i="154" s="1"/>
  <c r="U15" i="133" s="1"/>
  <c r="AG9" i="154"/>
  <c r="AG11" i="154"/>
  <c r="AB11" i="154" s="1"/>
  <c r="U13" i="133" s="1"/>
  <c r="B19" i="160"/>
  <c r="AG9" i="158"/>
  <c r="AE45" i="149"/>
  <c r="AB45" i="149" s="1"/>
  <c r="AE9" i="149"/>
  <c r="AE11" i="149"/>
  <c r="AB11" i="149" s="1"/>
  <c r="P13" i="133" s="1"/>
  <c r="S12" i="172"/>
  <c r="R12" i="172" s="1"/>
  <c r="AE11" i="151"/>
  <c r="AB11" i="151" s="1"/>
  <c r="R13" i="133" s="1"/>
  <c r="AE9" i="151"/>
  <c r="AG14" i="158"/>
  <c r="AB14" i="158" s="1"/>
  <c r="AB40" i="133" s="1"/>
  <c r="AE17" i="154"/>
  <c r="AF17" i="154" s="1"/>
  <c r="AG13" i="172"/>
  <c r="AF13" i="172" s="1"/>
  <c r="D20" i="154"/>
  <c r="R85" i="154" s="1"/>
  <c r="AG29" i="153"/>
  <c r="AG10" i="153"/>
  <c r="AG22" i="153"/>
  <c r="Z13" i="172"/>
  <c r="Y13" i="172" s="1"/>
  <c r="AG15" i="153"/>
  <c r="D20" i="153"/>
  <c r="R85" i="153" s="1"/>
  <c r="AG27" i="153"/>
  <c r="AG12" i="153"/>
  <c r="AH12" i="153" s="1"/>
  <c r="AG28" i="153"/>
  <c r="AG13" i="153"/>
  <c r="AE17" i="152"/>
  <c r="AF17" i="152" s="1"/>
  <c r="AE43" i="150"/>
  <c r="AB9" i="176"/>
  <c r="AW124" i="133" s="1"/>
  <c r="AB6" i="133"/>
  <c r="AG16" i="158"/>
  <c r="AB16" i="158" s="1"/>
  <c r="AB42" i="133" s="1"/>
  <c r="AG17" i="158"/>
  <c r="AB17" i="158" s="1"/>
  <c r="AB43" i="133" s="1"/>
  <c r="I26" i="158"/>
  <c r="D20" i="158"/>
  <c r="R86" i="158" s="1"/>
  <c r="AG19" i="158"/>
  <c r="AG15" i="158"/>
  <c r="AB15" i="158" s="1"/>
  <c r="AB41" i="133" s="1"/>
  <c r="B31" i="158"/>
  <c r="AE35" i="160"/>
  <c r="E9" i="160"/>
  <c r="AE23" i="160"/>
  <c r="AE13" i="157"/>
  <c r="AB13" i="157" s="1"/>
  <c r="AG14" i="157"/>
  <c r="AB45" i="154"/>
  <c r="U154" i="133" s="1"/>
  <c r="B31" i="154"/>
  <c r="U6" i="133"/>
  <c r="AB43" i="152"/>
  <c r="S165" i="133" s="1"/>
  <c r="AG14" i="154"/>
  <c r="AB14" i="154" s="1"/>
  <c r="AG15" i="154"/>
  <c r="AB15" i="154" s="1"/>
  <c r="U17" i="133" s="1"/>
  <c r="AG15" i="159"/>
  <c r="AG12" i="154"/>
  <c r="AH12" i="154" s="1"/>
  <c r="AG10" i="154"/>
  <c r="AB11" i="176"/>
  <c r="AW126" i="133" s="1"/>
  <c r="AG20" i="176"/>
  <c r="AH20" i="176" s="1"/>
  <c r="AG19" i="159"/>
  <c r="AG20" i="159"/>
  <c r="AB37" i="158"/>
  <c r="AB154" i="133" s="1"/>
  <c r="E20" i="156"/>
  <c r="AE43" i="156"/>
  <c r="AF41" i="156" s="1"/>
  <c r="R6" i="133"/>
  <c r="B31" i="151"/>
  <c r="E20" i="176"/>
  <c r="AG15" i="160"/>
  <c r="AG17" i="159"/>
  <c r="I15" i="156"/>
  <c r="AB24" i="154"/>
  <c r="U20" i="133" s="1"/>
  <c r="AE30" i="154"/>
  <c r="AB26" i="154"/>
  <c r="AE29" i="153"/>
  <c r="AE28" i="153"/>
  <c r="AE27" i="153"/>
  <c r="AE43" i="153"/>
  <c r="AE23" i="153"/>
  <c r="AE22" i="153"/>
  <c r="AG17" i="152"/>
  <c r="E20" i="152"/>
  <c r="AG30" i="152"/>
  <c r="AB27" i="152"/>
  <c r="AE30" i="152"/>
  <c r="AB28" i="152"/>
  <c r="AB29" i="152"/>
  <c r="AG30" i="154"/>
  <c r="AB25" i="154"/>
  <c r="AG43" i="154"/>
  <c r="AG43" i="153"/>
  <c r="AG23" i="153"/>
  <c r="AB22" i="154"/>
  <c r="AB23" i="154"/>
  <c r="AF20" i="154"/>
  <c r="AB20" i="154"/>
  <c r="E9" i="154"/>
  <c r="AE10" i="153"/>
  <c r="AE12" i="153"/>
  <c r="AF12" i="153" s="1"/>
  <c r="AE13" i="153"/>
  <c r="AE15" i="153"/>
  <c r="AE45" i="153"/>
  <c r="B31" i="153"/>
  <c r="AE14" i="153"/>
  <c r="AE43" i="151"/>
  <c r="AE22" i="151"/>
  <c r="AB22" i="151" s="1"/>
  <c r="AE25" i="151"/>
  <c r="AE42" i="149"/>
  <c r="AB42" i="149" s="1"/>
  <c r="AE10" i="149"/>
  <c r="AE13" i="149"/>
  <c r="AB13" i="149" s="1"/>
  <c r="AE15" i="149"/>
  <c r="AB15" i="149" s="1"/>
  <c r="AB42" i="152"/>
  <c r="AB14" i="152"/>
  <c r="AB22" i="152"/>
  <c r="AF12" i="152"/>
  <c r="AB12" i="152"/>
  <c r="AB45" i="152"/>
  <c r="AE20" i="152"/>
  <c r="AB13" i="152"/>
  <c r="S15" i="133" s="1"/>
  <c r="AB15" i="152"/>
  <c r="S17" i="133" s="1"/>
  <c r="AB10" i="152"/>
  <c r="S12" i="133" s="1"/>
  <c r="AB24" i="152"/>
  <c r="E9" i="152"/>
  <c r="AG17" i="151"/>
  <c r="E20" i="151"/>
  <c r="AG36" i="151"/>
  <c r="AG43" i="151"/>
  <c r="AE24" i="151"/>
  <c r="AE12" i="151"/>
  <c r="AB12" i="151" s="1"/>
  <c r="AE10" i="151"/>
  <c r="AE14" i="151"/>
  <c r="AE45" i="151"/>
  <c r="AE15" i="151"/>
  <c r="D9" i="151"/>
  <c r="R76" i="151" s="1"/>
  <c r="AE13" i="151"/>
  <c r="AE23" i="151"/>
  <c r="AG15" i="150"/>
  <c r="AG23" i="150"/>
  <c r="AG13" i="150"/>
  <c r="AG45" i="150"/>
  <c r="AG20" i="150" s="1"/>
  <c r="AH20" i="150" s="1"/>
  <c r="AG10" i="150"/>
  <c r="AG12" i="150"/>
  <c r="AH12" i="150" s="1"/>
  <c r="AG24" i="150"/>
  <c r="AG14" i="150"/>
  <c r="AG42" i="150"/>
  <c r="AG22" i="150"/>
  <c r="AG43" i="150"/>
  <c r="AE45" i="150"/>
  <c r="AE42" i="150"/>
  <c r="AE23" i="150"/>
  <c r="AE22" i="150"/>
  <c r="AE15" i="150"/>
  <c r="AE13" i="150"/>
  <c r="AE10" i="150"/>
  <c r="AE12" i="150"/>
  <c r="AF12" i="150" s="1"/>
  <c r="AE24" i="150"/>
  <c r="AE14" i="150"/>
  <c r="AE22" i="149"/>
  <c r="AE43" i="149"/>
  <c r="AB43" i="149" s="1"/>
  <c r="AE24" i="149"/>
  <c r="AE36" i="149" s="1"/>
  <c r="AB36" i="149" s="1"/>
  <c r="P162" i="133" s="1"/>
  <c r="AE12" i="149"/>
  <c r="AB12" i="149" s="1"/>
  <c r="AB25" i="149"/>
  <c r="AB23" i="149"/>
  <c r="AE14" i="149"/>
  <c r="AD12" i="148"/>
  <c r="AG14" i="160"/>
  <c r="AG24" i="156"/>
  <c r="AH24" i="156" s="1"/>
  <c r="AE13" i="156"/>
  <c r="AG11" i="157"/>
  <c r="AG12" i="157"/>
  <c r="AE12" i="157"/>
  <c r="AE11" i="157"/>
  <c r="AE9" i="157"/>
  <c r="AG10" i="157"/>
  <c r="AE10" i="156"/>
  <c r="AB10" i="156" s="1"/>
  <c r="AE12" i="156"/>
  <c r="AE11" i="156"/>
  <c r="AB14" i="156"/>
  <c r="AE9" i="156"/>
  <c r="AG16" i="156"/>
  <c r="AG29" i="156" s="1"/>
  <c r="AG21" i="156"/>
  <c r="E9" i="158"/>
  <c r="I26" i="159"/>
  <c r="M15" i="159"/>
  <c r="B31" i="159" s="1"/>
  <c r="AG9" i="160"/>
  <c r="AG11" i="160"/>
  <c r="AG37" i="160"/>
  <c r="AG19" i="160"/>
  <c r="I26" i="160"/>
  <c r="B31" i="160"/>
  <c r="R23" i="160"/>
  <c r="AG16" i="160" s="1"/>
  <c r="AG16" i="159"/>
  <c r="B30" i="159"/>
  <c r="B30" i="158"/>
  <c r="AH26" i="158"/>
  <c r="AG11" i="159"/>
  <c r="AG9" i="159"/>
  <c r="AG37" i="159"/>
  <c r="B29" i="159"/>
  <c r="R12" i="159"/>
  <c r="R13" i="159"/>
  <c r="AE13" i="155"/>
  <c r="AE12" i="155"/>
  <c r="AE11" i="155"/>
  <c r="AE10" i="155"/>
  <c r="AE9" i="155"/>
  <c r="AE32" i="158"/>
  <c r="E9" i="176"/>
  <c r="AE26" i="158"/>
  <c r="AB12" i="177"/>
  <c r="AX127" i="133" s="1"/>
  <c r="AE23" i="158"/>
  <c r="AF23" i="158" s="1"/>
  <c r="AB27" i="158"/>
  <c r="AF27" i="158"/>
  <c r="AB16" i="176"/>
  <c r="AW131" i="133" s="1"/>
  <c r="AD12" i="175"/>
  <c r="AB20" i="158"/>
  <c r="AF25" i="158"/>
  <c r="AB25" i="158"/>
  <c r="AF24" i="158"/>
  <c r="AB24" i="158"/>
  <c r="AF22" i="158"/>
  <c r="AB10" i="176"/>
  <c r="AD10" i="176" s="1"/>
  <c r="Z28" i="172"/>
  <c r="Y28" i="172" s="1"/>
  <c r="D20" i="163"/>
  <c r="R86" i="163" s="1"/>
  <c r="AH10" i="177"/>
  <c r="AH9" i="177"/>
  <c r="E20" i="177"/>
  <c r="AG20" i="177"/>
  <c r="AH20" i="177" s="1"/>
  <c r="AG24" i="155"/>
  <c r="AB15" i="176"/>
  <c r="AW130" i="133" s="1"/>
  <c r="AH10" i="176"/>
  <c r="AG24" i="176"/>
  <c r="AH24" i="176" s="1"/>
  <c r="AD10" i="175"/>
  <c r="AB12" i="176"/>
  <c r="AW127" i="133" s="1"/>
  <c r="AD11" i="175"/>
  <c r="AH12" i="176"/>
  <c r="AH11" i="177"/>
  <c r="E20" i="155"/>
  <c r="AE10" i="163"/>
  <c r="AE24" i="176"/>
  <c r="AF24" i="176" s="1"/>
  <c r="AE12" i="163"/>
  <c r="AG24" i="177"/>
  <c r="AH24" i="177" s="1"/>
  <c r="AG24" i="175"/>
  <c r="AB24" i="175" s="1"/>
  <c r="AG19" i="175"/>
  <c r="AB19" i="175" s="1"/>
  <c r="AV134" i="133" s="1"/>
  <c r="F134" i="133" s="1"/>
  <c r="L134" i="133" s="1"/>
  <c r="M134" i="133" s="1"/>
  <c r="H134" i="133" s="1"/>
  <c r="AB17" i="176"/>
  <c r="AW132" i="133" s="1"/>
  <c r="E20" i="175"/>
  <c r="AE20" i="176"/>
  <c r="AF20" i="176" s="1"/>
  <c r="AG10" i="165"/>
  <c r="AB10" i="165" s="1"/>
  <c r="AM84" i="133" s="1"/>
  <c r="AE10" i="166"/>
  <c r="AB10" i="166" s="1"/>
  <c r="AN84" i="133" s="1"/>
  <c r="AE24" i="177"/>
  <c r="AG10" i="162"/>
  <c r="AB10" i="162" s="1"/>
  <c r="AH55" i="133" s="1"/>
  <c r="AE13" i="166"/>
  <c r="AB13" i="166" s="1"/>
  <c r="AN87" i="133" s="1"/>
  <c r="AE18" i="162"/>
  <c r="AE18" i="161"/>
  <c r="AG12" i="163"/>
  <c r="AE16" i="166"/>
  <c r="AB16" i="166" s="1"/>
  <c r="AN90" i="133" s="1"/>
  <c r="AG13" i="165"/>
  <c r="AB13" i="165" s="1"/>
  <c r="AM87" i="133" s="1"/>
  <c r="AG18" i="161"/>
  <c r="AG16" i="165"/>
  <c r="AB16" i="165" s="1"/>
  <c r="AM90" i="133" s="1"/>
  <c r="AG11" i="162"/>
  <c r="AB11" i="162" s="1"/>
  <c r="AH56" i="133" s="1"/>
  <c r="AG15" i="165"/>
  <c r="AB15" i="165" s="1"/>
  <c r="AM89" i="133" s="1"/>
  <c r="AB11" i="161"/>
  <c r="AG56" i="133" s="1"/>
  <c r="AE12" i="166"/>
  <c r="AB12" i="166" s="1"/>
  <c r="AN86" i="133" s="1"/>
  <c r="AE15" i="166"/>
  <c r="AB15" i="166" s="1"/>
  <c r="AN89" i="133" s="1"/>
  <c r="AG12" i="165"/>
  <c r="AB12" i="165" s="1"/>
  <c r="AM86" i="133" s="1"/>
  <c r="AF15" i="177"/>
  <c r="AB15" i="177"/>
  <c r="AF17" i="177"/>
  <c r="AB17" i="177"/>
  <c r="AB14" i="177"/>
  <c r="AF14" i="177"/>
  <c r="AE20" i="177"/>
  <c r="E9" i="177"/>
  <c r="AE23" i="177"/>
  <c r="AF16" i="177"/>
  <c r="AB16" i="177"/>
  <c r="AB38" i="177"/>
  <c r="AG12" i="162"/>
  <c r="AB12" i="162" s="1"/>
  <c r="AH57" i="133" s="1"/>
  <c r="AV138" i="133"/>
  <c r="AD23" i="175"/>
  <c r="AG9" i="165"/>
  <c r="AB9" i="165" s="1"/>
  <c r="AM83" i="133" s="1"/>
  <c r="AW168" i="133"/>
  <c r="AF23" i="176"/>
  <c r="AB23" i="176"/>
  <c r="AB10" i="161"/>
  <c r="AG55" i="133" s="1"/>
  <c r="AE9" i="166"/>
  <c r="AB9" i="166" s="1"/>
  <c r="AN83" i="133" s="1"/>
  <c r="AE17" i="161"/>
  <c r="AG17" i="161"/>
  <c r="AB12" i="161"/>
  <c r="AG57" i="133" s="1"/>
  <c r="AI6" i="133"/>
  <c r="B31" i="163"/>
  <c r="AE17" i="162"/>
  <c r="Z12" i="172"/>
  <c r="Y12" i="172" s="1"/>
  <c r="T6" i="133"/>
  <c r="D9" i="153"/>
  <c r="R76" i="153" s="1"/>
  <c r="AG11" i="165"/>
  <c r="AB11" i="165" s="1"/>
  <c r="AM85" i="133" s="1"/>
  <c r="AG33" i="161"/>
  <c r="E20" i="167"/>
  <c r="S79" i="167" s="1"/>
  <c r="L12" i="172"/>
  <c r="K12" i="172" s="1"/>
  <c r="D9" i="150"/>
  <c r="R76" i="150" s="1"/>
  <c r="AG11" i="163"/>
  <c r="AG9" i="163"/>
  <c r="AG10" i="163"/>
  <c r="AE11" i="166"/>
  <c r="AB11" i="166" s="1"/>
  <c r="AN85" i="133" s="1"/>
  <c r="D9" i="166"/>
  <c r="R66" i="166" s="1"/>
  <c r="AG17" i="165"/>
  <c r="S33" i="172"/>
  <c r="R33" i="172" s="1"/>
  <c r="AG14" i="165"/>
  <c r="AE17" i="166"/>
  <c r="AB17" i="166" s="1"/>
  <c r="AN91" i="133" s="1"/>
  <c r="AE30" i="165"/>
  <c r="AE13" i="163"/>
  <c r="AE9" i="163"/>
  <c r="AE15" i="163"/>
  <c r="AE11" i="163"/>
  <c r="AE33" i="161"/>
  <c r="AB9" i="161"/>
  <c r="AG54" i="133" s="1"/>
  <c r="AG9" i="162"/>
  <c r="AI22" i="167"/>
  <c r="AI19" i="167"/>
  <c r="AG13" i="163"/>
  <c r="AG16" i="163"/>
  <c r="AG14" i="163"/>
  <c r="AG15" i="163"/>
  <c r="B18" i="160"/>
  <c r="S7" i="172"/>
  <c r="R7" i="172" s="1"/>
  <c r="M28" i="168"/>
  <c r="Q6" i="133"/>
  <c r="B31" i="150"/>
  <c r="L13" i="172"/>
  <c r="K13" i="172" s="1"/>
  <c r="T164" i="133"/>
  <c r="AG30" i="167"/>
  <c r="AD30" i="167" s="1"/>
  <c r="AQ146" i="133" s="1"/>
  <c r="AG43" i="167"/>
  <c r="AD43" i="167" s="1"/>
  <c r="AQ169" i="133" s="1"/>
  <c r="AG15" i="167"/>
  <c r="AD15" i="167" s="1"/>
  <c r="AQ113" i="133" s="1"/>
  <c r="AG16" i="167"/>
  <c r="AD16" i="167" s="1"/>
  <c r="AQ114" i="133" s="1"/>
  <c r="AG17" i="167"/>
  <c r="AD17" i="167" s="1"/>
  <c r="AQ115" i="133" s="1"/>
  <c r="AG15" i="162"/>
  <c r="AB15" i="162" s="1"/>
  <c r="AH60" i="133" s="1"/>
  <c r="AB14" i="161"/>
  <c r="AG59" i="133" s="1"/>
  <c r="P6" i="133"/>
  <c r="D9" i="149"/>
  <c r="R76" i="149" s="1"/>
  <c r="B31" i="149"/>
  <c r="AG9" i="167"/>
  <c r="L37" i="172"/>
  <c r="K37" i="172" s="1"/>
  <c r="AG10" i="167"/>
  <c r="AD10" i="167" s="1"/>
  <c r="AQ110" i="133" s="1"/>
  <c r="D9" i="167"/>
  <c r="AG39" i="167"/>
  <c r="AD39" i="167" s="1"/>
  <c r="AQ164" i="133" s="1"/>
  <c r="AG11" i="167"/>
  <c r="AD11" i="167" s="1"/>
  <c r="AQ111" i="133" s="1"/>
  <c r="J15" i="167"/>
  <c r="AG28" i="167"/>
  <c r="AD28" i="167" s="1"/>
  <c r="AQ144" i="133" s="1"/>
  <c r="Z23" i="172"/>
  <c r="Y23" i="172" s="1"/>
  <c r="AH6" i="133"/>
  <c r="D20" i="162"/>
  <c r="R86" i="162" s="1"/>
  <c r="AG16" i="162"/>
  <c r="AB16" i="162" s="1"/>
  <c r="AH61" i="133" s="1"/>
  <c r="B31" i="162"/>
  <c r="S28" i="172"/>
  <c r="R28" i="172" s="1"/>
  <c r="AG14" i="162"/>
  <c r="AB14" i="162" s="1"/>
  <c r="AH59" i="133" s="1"/>
  <c r="AG13" i="162"/>
  <c r="AB13" i="162" s="1"/>
  <c r="AH58" i="133" s="1"/>
  <c r="AG15" i="168"/>
  <c r="J15" i="168"/>
  <c r="AG17" i="169"/>
  <c r="J15" i="169"/>
  <c r="AG16" i="169"/>
  <c r="AG35" i="169"/>
  <c r="AG43" i="169"/>
  <c r="AG15" i="169"/>
  <c r="AG28" i="168"/>
  <c r="AG30" i="168"/>
  <c r="AG43" i="168"/>
  <c r="AG17" i="168"/>
  <c r="AG16" i="168"/>
  <c r="AE19" i="162"/>
  <c r="AB13" i="161"/>
  <c r="AG58" i="133" s="1"/>
  <c r="AG22" i="161"/>
  <c r="AB16" i="161"/>
  <c r="AG61" i="133" s="1"/>
  <c r="AE19" i="161"/>
  <c r="AE22" i="161"/>
  <c r="AE34" i="161"/>
  <c r="E9" i="161"/>
  <c r="AB15" i="161"/>
  <c r="AG60" i="133" s="1"/>
  <c r="AB12" i="158"/>
  <c r="AB39" i="133" s="1"/>
  <c r="AB10" i="158"/>
  <c r="AB37" i="133" s="1"/>
  <c r="E20" i="161"/>
  <c r="AG34" i="161"/>
  <c r="AG19" i="161"/>
  <c r="D20" i="159"/>
  <c r="R86" i="159" s="1"/>
  <c r="S23" i="172"/>
  <c r="R23" i="172" s="1"/>
  <c r="AB28" i="163"/>
  <c r="AI73" i="133" s="1"/>
  <c r="AG9" i="168"/>
  <c r="AG10" i="168"/>
  <c r="AG11" i="168"/>
  <c r="AG39" i="169"/>
  <c r="Z37" i="172"/>
  <c r="Y37" i="172" s="1"/>
  <c r="D9" i="169"/>
  <c r="AG34" i="169"/>
  <c r="S37" i="172"/>
  <c r="R37" i="172" s="1"/>
  <c r="D9" i="168"/>
  <c r="AG39" i="168"/>
  <c r="AG10" i="169"/>
  <c r="AG11" i="169"/>
  <c r="AG9" i="169"/>
  <c r="AI15" i="169"/>
  <c r="D20" i="169"/>
  <c r="Z38" i="172"/>
  <c r="Y38" i="172" s="1"/>
  <c r="AI35" i="169"/>
  <c r="AI43" i="169"/>
  <c r="AI16" i="169"/>
  <c r="AI17" i="169"/>
  <c r="AI9" i="169"/>
  <c r="AI10" i="169"/>
  <c r="AI34" i="169"/>
  <c r="AI39" i="169"/>
  <c r="AI11" i="169"/>
  <c r="AI30" i="168"/>
  <c r="AI43" i="168"/>
  <c r="AI16" i="168"/>
  <c r="AI17" i="168"/>
  <c r="AI15" i="168"/>
  <c r="AD22" i="169"/>
  <c r="E9" i="165"/>
  <c r="AB42" i="162"/>
  <c r="AH172" i="133" s="1"/>
  <c r="AB36" i="165"/>
  <c r="AM169" i="133" s="1"/>
  <c r="E9" i="162"/>
  <c r="AB46" i="163"/>
  <c r="AI155" i="133" s="1"/>
  <c r="AB46" i="162"/>
  <c r="AH155" i="133" s="1"/>
  <c r="AE22" i="162"/>
  <c r="AE33" i="162"/>
  <c r="AE22" i="163"/>
  <c r="AB29" i="162"/>
  <c r="AH74" i="133" s="1"/>
  <c r="AB31" i="162"/>
  <c r="AH76" i="133" s="1"/>
  <c r="AB28" i="162"/>
  <c r="AH73" i="133" s="1"/>
  <c r="AB30" i="162"/>
  <c r="AH75" i="133" s="1"/>
  <c r="D20" i="160"/>
  <c r="R86" i="160" s="1"/>
  <c r="D9" i="160"/>
  <c r="R75" i="160" s="1"/>
  <c r="Z22" i="172"/>
  <c r="Y22" i="172" s="1"/>
  <c r="U164" i="133"/>
  <c r="AG20" i="157" l="1"/>
  <c r="AH20" i="157" s="1"/>
  <c r="AD14" i="176"/>
  <c r="AF22" i="160"/>
  <c r="J23" i="168"/>
  <c r="B29" i="168"/>
  <c r="J26" i="168"/>
  <c r="AE20" i="155"/>
  <c r="AG20" i="169"/>
  <c r="AE16" i="153"/>
  <c r="AF16" i="153" s="1"/>
  <c r="AE20" i="156"/>
  <c r="AG22" i="159"/>
  <c r="AH22" i="159" s="1"/>
  <c r="AE20" i="157"/>
  <c r="F75" i="133"/>
  <c r="F76" i="133"/>
  <c r="AI40" i="168"/>
  <c r="AD40" i="168" s="1"/>
  <c r="AR165" i="133" s="1"/>
  <c r="AI20" i="169"/>
  <c r="AG20" i="168"/>
  <c r="AG16" i="153"/>
  <c r="AH16" i="153" s="1"/>
  <c r="AG23" i="167"/>
  <c r="AD23" i="167" s="1"/>
  <c r="AQ121" i="133" s="1"/>
  <c r="F121" i="133" s="1"/>
  <c r="L121" i="133" s="1"/>
  <c r="AG20" i="167"/>
  <c r="AD20" i="167" s="1"/>
  <c r="AQ118" i="133" s="1"/>
  <c r="F74" i="133"/>
  <c r="L74" i="133" s="1"/>
  <c r="AG25" i="160"/>
  <c r="AD47" i="133"/>
  <c r="AD22" i="160"/>
  <c r="AG22" i="158"/>
  <c r="AB9" i="154"/>
  <c r="U11" i="133" s="1"/>
  <c r="AG16" i="154"/>
  <c r="AF16" i="152"/>
  <c r="AB16" i="152"/>
  <c r="AH19" i="151"/>
  <c r="AB19" i="151"/>
  <c r="AB9" i="151"/>
  <c r="R11" i="133" s="1"/>
  <c r="AE16" i="151"/>
  <c r="AG16" i="150"/>
  <c r="AH16" i="150" s="1"/>
  <c r="AE16" i="150"/>
  <c r="AG20" i="163"/>
  <c r="AB20" i="163" s="1"/>
  <c r="AI65" i="133" s="1"/>
  <c r="AB9" i="149"/>
  <c r="P11" i="133" s="1"/>
  <c r="AE16" i="149"/>
  <c r="AG23" i="159"/>
  <c r="AD11" i="177"/>
  <c r="AX125" i="133"/>
  <c r="AG26" i="160"/>
  <c r="AB9" i="158"/>
  <c r="AB36" i="133" s="1"/>
  <c r="AG23" i="158"/>
  <c r="AH23" i="158" s="1"/>
  <c r="AB21" i="161"/>
  <c r="AG66" i="133" s="1"/>
  <c r="AB16" i="163"/>
  <c r="AI61" i="133" s="1"/>
  <c r="F61" i="133" s="1"/>
  <c r="L61" i="133" s="1"/>
  <c r="AG21" i="163"/>
  <c r="AB21" i="163" s="1"/>
  <c r="AI66" i="133" s="1"/>
  <c r="AB14" i="163"/>
  <c r="AI59" i="133" s="1"/>
  <c r="F59" i="133" s="1"/>
  <c r="AB29" i="153"/>
  <c r="T25" i="133" s="1"/>
  <c r="AE20" i="149"/>
  <c r="AB20" i="149" s="1"/>
  <c r="AB11" i="153"/>
  <c r="T13" i="133" s="1"/>
  <c r="AW125" i="133"/>
  <c r="AX124" i="133"/>
  <c r="F124" i="133" s="1"/>
  <c r="L124" i="133" s="1"/>
  <c r="M124" i="133" s="1"/>
  <c r="H124" i="133" s="1"/>
  <c r="E20" i="158"/>
  <c r="AB9" i="153"/>
  <c r="T11" i="133" s="1"/>
  <c r="AB11" i="158"/>
  <c r="AB38" i="133" s="1"/>
  <c r="AB9" i="150"/>
  <c r="Q11" i="133" s="1"/>
  <c r="AG32" i="158"/>
  <c r="AB32" i="158" s="1"/>
  <c r="AB78" i="133" s="1"/>
  <c r="AB11" i="150"/>
  <c r="Q13" i="133" s="1"/>
  <c r="AD9" i="176"/>
  <c r="E20" i="154"/>
  <c r="AB28" i="153"/>
  <c r="T24" i="133" s="1"/>
  <c r="AG17" i="153"/>
  <c r="AH17" i="153" s="1"/>
  <c r="E20" i="153"/>
  <c r="AE17" i="149"/>
  <c r="AB27" i="153"/>
  <c r="AB10" i="153"/>
  <c r="T12" i="133" s="1"/>
  <c r="AE17" i="153"/>
  <c r="AE17" i="151"/>
  <c r="AF17" i="151" s="1"/>
  <c r="AG17" i="150"/>
  <c r="AH17" i="150" s="1"/>
  <c r="AE17" i="150"/>
  <c r="AD12" i="177"/>
  <c r="AD11" i="176"/>
  <c r="AB14" i="157"/>
  <c r="AB19" i="158"/>
  <c r="AB44" i="133" s="1"/>
  <c r="AH26" i="160"/>
  <c r="AB26" i="160"/>
  <c r="AF23" i="160"/>
  <c r="AB23" i="160"/>
  <c r="D9" i="159"/>
  <c r="R75" i="159" s="1"/>
  <c r="AC6" i="133"/>
  <c r="AG17" i="160"/>
  <c r="AB17" i="160" s="1"/>
  <c r="B29" i="160"/>
  <c r="AE15" i="159"/>
  <c r="AB15" i="159" s="1"/>
  <c r="S22" i="172"/>
  <c r="R22" i="172" s="1"/>
  <c r="AB43" i="153"/>
  <c r="T165" i="133" s="1"/>
  <c r="AB43" i="156"/>
  <c r="AG17" i="154"/>
  <c r="AH17" i="154" s="1"/>
  <c r="AE17" i="159"/>
  <c r="AB17" i="159" s="1"/>
  <c r="AB12" i="154"/>
  <c r="AD12" i="154" s="1"/>
  <c r="AB10" i="154"/>
  <c r="S22" i="133"/>
  <c r="AB15" i="160"/>
  <c r="AD41" i="133" s="1"/>
  <c r="AE9" i="159"/>
  <c r="AE22" i="159" s="1"/>
  <c r="AE20" i="159"/>
  <c r="E9" i="157"/>
  <c r="AD12" i="149"/>
  <c r="P14" i="133"/>
  <c r="P15" i="133"/>
  <c r="P17" i="133"/>
  <c r="U16" i="133"/>
  <c r="U21" i="133"/>
  <c r="S16" i="133"/>
  <c r="AD12" i="152"/>
  <c r="S14" i="133"/>
  <c r="S23" i="133"/>
  <c r="AD12" i="151"/>
  <c r="R14" i="133"/>
  <c r="U22" i="133"/>
  <c r="AB25" i="151"/>
  <c r="AB45" i="133"/>
  <c r="F127" i="133"/>
  <c r="L127" i="133" s="1"/>
  <c r="M127" i="133" s="1"/>
  <c r="H127" i="133" s="1"/>
  <c r="AD16" i="176"/>
  <c r="AD15" i="176"/>
  <c r="AD17" i="176"/>
  <c r="AB20" i="176"/>
  <c r="AW135" i="133" s="1"/>
  <c r="AB14" i="160"/>
  <c r="AE16" i="159"/>
  <c r="AB16" i="159" s="1"/>
  <c r="I15" i="159"/>
  <c r="AD24" i="158"/>
  <c r="AB49" i="133"/>
  <c r="AD27" i="158"/>
  <c r="AB52" i="133"/>
  <c r="AD25" i="158"/>
  <c r="AB50" i="133"/>
  <c r="E20" i="157"/>
  <c r="AB13" i="156"/>
  <c r="AD20" i="154"/>
  <c r="U51" i="133"/>
  <c r="AB30" i="154"/>
  <c r="AB45" i="153"/>
  <c r="T154" i="133" s="1"/>
  <c r="AE20" i="153"/>
  <c r="AB20" i="153" s="1"/>
  <c r="AH17" i="152"/>
  <c r="AB17" i="152"/>
  <c r="AB30" i="152"/>
  <c r="AB10" i="150"/>
  <c r="AB10" i="149"/>
  <c r="AB43" i="154"/>
  <c r="AB23" i="153"/>
  <c r="AB12" i="150"/>
  <c r="AB10" i="163"/>
  <c r="AI55" i="133" s="1"/>
  <c r="AB12" i="153"/>
  <c r="AB15" i="153"/>
  <c r="T17" i="133" s="1"/>
  <c r="AB13" i="153"/>
  <c r="T15" i="133" s="1"/>
  <c r="AB24" i="153"/>
  <c r="AB22" i="153"/>
  <c r="AB14" i="153"/>
  <c r="E9" i="153"/>
  <c r="AB24" i="149"/>
  <c r="AB24" i="151"/>
  <c r="AF12" i="151"/>
  <c r="AE36" i="151"/>
  <c r="AB36" i="151" s="1"/>
  <c r="R162" i="133" s="1"/>
  <c r="F162" i="133" s="1"/>
  <c r="L162" i="133" s="1"/>
  <c r="AB10" i="151"/>
  <c r="E9" i="151"/>
  <c r="AB45" i="150"/>
  <c r="Q154" i="133" s="1"/>
  <c r="E9" i="150"/>
  <c r="S164" i="133"/>
  <c r="AB22" i="149"/>
  <c r="AB20" i="152"/>
  <c r="AF20" i="152"/>
  <c r="S154" i="133"/>
  <c r="P164" i="133"/>
  <c r="R18" i="133"/>
  <c r="AB24" i="150"/>
  <c r="E20" i="150"/>
  <c r="AH17" i="151"/>
  <c r="AB43" i="151"/>
  <c r="AB14" i="151"/>
  <c r="AB15" i="151"/>
  <c r="R17" i="133" s="1"/>
  <c r="AE20" i="151"/>
  <c r="AB45" i="151"/>
  <c r="AB13" i="151"/>
  <c r="R15" i="133" s="1"/>
  <c r="AB42" i="151"/>
  <c r="AB23" i="151"/>
  <c r="AB43" i="150"/>
  <c r="AE20" i="150"/>
  <c r="AF20" i="150" s="1"/>
  <c r="AB23" i="150"/>
  <c r="AB13" i="150"/>
  <c r="Q15" i="133" s="1"/>
  <c r="AB15" i="150"/>
  <c r="Q17" i="133" s="1"/>
  <c r="AB22" i="150"/>
  <c r="AB14" i="150"/>
  <c r="AB42" i="150"/>
  <c r="AF12" i="149"/>
  <c r="E9" i="149"/>
  <c r="P165" i="133"/>
  <c r="P154" i="133"/>
  <c r="AB14" i="149"/>
  <c r="AG35" i="160"/>
  <c r="AE21" i="157"/>
  <c r="AE16" i="157"/>
  <c r="AE32" i="157" s="1"/>
  <c r="AB9" i="157"/>
  <c r="AB11" i="157"/>
  <c r="AB12" i="157"/>
  <c r="AB10" i="157"/>
  <c r="AG16" i="157"/>
  <c r="AG32" i="157" s="1"/>
  <c r="AG21" i="157"/>
  <c r="AH21" i="157" s="1"/>
  <c r="AE21" i="156"/>
  <c r="AF21" i="156" s="1"/>
  <c r="E9" i="156"/>
  <c r="AH21" i="156"/>
  <c r="AE24" i="156"/>
  <c r="AE16" i="156"/>
  <c r="AE29" i="156" s="1"/>
  <c r="AB9" i="156"/>
  <c r="AB11" i="156"/>
  <c r="AB12" i="156"/>
  <c r="AB26" i="158"/>
  <c r="AF26" i="158"/>
  <c r="AE11" i="159"/>
  <c r="AD6" i="133"/>
  <c r="B30" i="160"/>
  <c r="AB16" i="160"/>
  <c r="AB19" i="160"/>
  <c r="AB37" i="160"/>
  <c r="AB11" i="160"/>
  <c r="E20" i="160"/>
  <c r="AB9" i="160"/>
  <c r="E20" i="159"/>
  <c r="B19" i="159"/>
  <c r="AG32" i="159"/>
  <c r="AE14" i="159"/>
  <c r="B18" i="159"/>
  <c r="AE37" i="159"/>
  <c r="AB37" i="159" s="1"/>
  <c r="AE19" i="159"/>
  <c r="AB19" i="159" s="1"/>
  <c r="AB12" i="163"/>
  <c r="AI57" i="133" s="1"/>
  <c r="AB23" i="158"/>
  <c r="AD12" i="176"/>
  <c r="AB24" i="176"/>
  <c r="AW139" i="133" s="1"/>
  <c r="AD19" i="175"/>
  <c r="F126" i="133"/>
  <c r="L126" i="133" s="1"/>
  <c r="M126" i="133" s="1"/>
  <c r="H126" i="133" s="1"/>
  <c r="AV139" i="133"/>
  <c r="AD24" i="175"/>
  <c r="AG18" i="162"/>
  <c r="AB18" i="162" s="1"/>
  <c r="AH63" i="133" s="1"/>
  <c r="AB18" i="161"/>
  <c r="AG63" i="133" s="1"/>
  <c r="AE18" i="163"/>
  <c r="AG18" i="163"/>
  <c r="AB24" i="177"/>
  <c r="AF24" i="177"/>
  <c r="AD16" i="177"/>
  <c r="AX131" i="133"/>
  <c r="F131" i="133" s="1"/>
  <c r="L131" i="133" s="1"/>
  <c r="M131" i="133" s="1"/>
  <c r="H131" i="133" s="1"/>
  <c r="AF23" i="177"/>
  <c r="AB23" i="177"/>
  <c r="AF20" i="177"/>
  <c r="AB20" i="177"/>
  <c r="AX129" i="133"/>
  <c r="F129" i="133" s="1"/>
  <c r="L129" i="133" s="1"/>
  <c r="M129" i="133" s="1"/>
  <c r="H129" i="133" s="1"/>
  <c r="AD14" i="177"/>
  <c r="AX132" i="133"/>
  <c r="F132" i="133" s="1"/>
  <c r="L132" i="133" s="1"/>
  <c r="M132" i="133" s="1"/>
  <c r="H132" i="133" s="1"/>
  <c r="AD17" i="177"/>
  <c r="AB11" i="163"/>
  <c r="AI56" i="133" s="1"/>
  <c r="AX130" i="133"/>
  <c r="F130" i="133" s="1"/>
  <c r="L130" i="133" s="1"/>
  <c r="M130" i="133" s="1"/>
  <c r="H130" i="133" s="1"/>
  <c r="AD15" i="177"/>
  <c r="AD23" i="176"/>
  <c r="AW138" i="133"/>
  <c r="AX168" i="133"/>
  <c r="AB17" i="161"/>
  <c r="AG62" i="133" s="1"/>
  <c r="AG17" i="163"/>
  <c r="AB9" i="163"/>
  <c r="AI54" i="133" s="1"/>
  <c r="AE17" i="163"/>
  <c r="AB9" i="162"/>
  <c r="AH54" i="133" s="1"/>
  <c r="AG17" i="162"/>
  <c r="AB17" i="162" s="1"/>
  <c r="AH62" i="133" s="1"/>
  <c r="AB33" i="161"/>
  <c r="AG78" i="133" s="1"/>
  <c r="F73" i="133"/>
  <c r="L73" i="133" s="1"/>
  <c r="AE36" i="163"/>
  <c r="AE29" i="166"/>
  <c r="AB29" i="166" s="1"/>
  <c r="AN103" i="133" s="1"/>
  <c r="AG30" i="165"/>
  <c r="AB30" i="165" s="1"/>
  <c r="AM164" i="133" s="1"/>
  <c r="E9" i="166"/>
  <c r="AE19" i="163"/>
  <c r="AB13" i="163"/>
  <c r="AI58" i="133" s="1"/>
  <c r="F58" i="133" s="1"/>
  <c r="E9" i="163"/>
  <c r="AB17" i="165"/>
  <c r="AM91" i="133" s="1"/>
  <c r="E20" i="165"/>
  <c r="AB14" i="165"/>
  <c r="AM88" i="133" s="1"/>
  <c r="AI28" i="168"/>
  <c r="AD28" i="168" s="1"/>
  <c r="AR144" i="133" s="1"/>
  <c r="F144" i="133" s="1"/>
  <c r="S38" i="172"/>
  <c r="R38" i="172" s="1"/>
  <c r="AI9" i="168"/>
  <c r="AI39" i="168"/>
  <c r="AD39" i="168" s="1"/>
  <c r="AR164" i="133" s="1"/>
  <c r="AI11" i="168"/>
  <c r="AI10" i="168"/>
  <c r="AD10" i="168" s="1"/>
  <c r="AR110" i="133" s="1"/>
  <c r="D20" i="168"/>
  <c r="E20" i="163"/>
  <c r="AG36" i="163"/>
  <c r="AB15" i="163"/>
  <c r="AI60" i="133" s="1"/>
  <c r="F60" i="133" s="1"/>
  <c r="AG19" i="163"/>
  <c r="AG19" i="162"/>
  <c r="AB19" i="162" s="1"/>
  <c r="AH64" i="133" s="1"/>
  <c r="E9" i="167"/>
  <c r="S70" i="167" s="1"/>
  <c r="AD9" i="167"/>
  <c r="AQ109" i="133" s="1"/>
  <c r="AG19" i="167"/>
  <c r="AD19" i="167" s="1"/>
  <c r="AQ117" i="133" s="1"/>
  <c r="AG22" i="167"/>
  <c r="AD22" i="167" s="1"/>
  <c r="AQ120" i="133" s="1"/>
  <c r="AG33" i="162"/>
  <c r="AB33" i="162" s="1"/>
  <c r="AH78" i="133" s="1"/>
  <c r="E20" i="162"/>
  <c r="AB33" i="158"/>
  <c r="AB79" i="133" s="1"/>
  <c r="AD15" i="169"/>
  <c r="AS113" i="133" s="1"/>
  <c r="E9" i="169"/>
  <c r="S70" i="169" s="1"/>
  <c r="E9" i="168"/>
  <c r="S70" i="168" s="1"/>
  <c r="AB22" i="161"/>
  <c r="AG67" i="133" s="1"/>
  <c r="AB34" i="161"/>
  <c r="AG79" i="133" s="1"/>
  <c r="AB19" i="161"/>
  <c r="AG64" i="133" s="1"/>
  <c r="AG22" i="168"/>
  <c r="AG36" i="168" s="1"/>
  <c r="AG19" i="168"/>
  <c r="AG19" i="169"/>
  <c r="AG26" i="169"/>
  <c r="AD9" i="169"/>
  <c r="AS109" i="133" s="1"/>
  <c r="E20" i="169"/>
  <c r="S79" i="169" s="1"/>
  <c r="AD16" i="169"/>
  <c r="AS114" i="133" s="1"/>
  <c r="AD17" i="169"/>
  <c r="AS115" i="133" s="1"/>
  <c r="AD43" i="169"/>
  <c r="AS169" i="133" s="1"/>
  <c r="AD35" i="169"/>
  <c r="AS22" i="133" s="1"/>
  <c r="AD10" i="169"/>
  <c r="AS110" i="133" s="1"/>
  <c r="AD34" i="169"/>
  <c r="AS150" i="133" s="1"/>
  <c r="F150" i="133" s="1"/>
  <c r="AD39" i="169"/>
  <c r="AS164" i="133" s="1"/>
  <c r="AI26" i="169"/>
  <c r="AD11" i="169"/>
  <c r="AS111" i="133" s="1"/>
  <c r="AI19" i="169"/>
  <c r="AD15" i="168"/>
  <c r="AR113" i="133" s="1"/>
  <c r="AD17" i="168"/>
  <c r="AR115" i="133" s="1"/>
  <c r="AD43" i="168"/>
  <c r="AR169" i="133" s="1"/>
  <c r="AD16" i="168"/>
  <c r="AR114" i="133" s="1"/>
  <c r="AD30" i="168"/>
  <c r="AB22" i="163"/>
  <c r="AI67" i="133" s="1"/>
  <c r="AB22" i="162"/>
  <c r="AH67" i="133" s="1"/>
  <c r="L75" i="133"/>
  <c r="L76" i="133"/>
  <c r="S24" i="133"/>
  <c r="S25" i="133"/>
  <c r="F13" i="133" l="1"/>
  <c r="L13" i="133" s="1"/>
  <c r="AD9" i="168"/>
  <c r="AR109" i="133" s="1"/>
  <c r="AI20" i="168"/>
  <c r="AD20" i="168" s="1"/>
  <c r="AR118" i="133" s="1"/>
  <c r="F125" i="133"/>
  <c r="L125" i="133" s="1"/>
  <c r="M125" i="133" s="1"/>
  <c r="H125" i="133" s="1"/>
  <c r="AB20" i="157"/>
  <c r="AF20" i="157"/>
  <c r="AF20" i="156"/>
  <c r="AB20" i="156"/>
  <c r="AB16" i="153"/>
  <c r="AD16" i="153" s="1"/>
  <c r="AD20" i="169"/>
  <c r="AS118" i="133" s="1"/>
  <c r="AH25" i="160"/>
  <c r="AB25" i="160"/>
  <c r="AB22" i="159"/>
  <c r="AF22" i="159"/>
  <c r="AH22" i="158"/>
  <c r="AB22" i="158"/>
  <c r="AH16" i="154"/>
  <c r="AB16" i="154"/>
  <c r="S47" i="133"/>
  <c r="AD16" i="152"/>
  <c r="AD19" i="151"/>
  <c r="R50" i="133"/>
  <c r="AB16" i="151"/>
  <c r="AF16" i="151"/>
  <c r="AF16" i="150"/>
  <c r="AB16" i="150"/>
  <c r="AF20" i="149"/>
  <c r="AF16" i="149"/>
  <c r="AB16" i="149"/>
  <c r="F11" i="133"/>
  <c r="L11" i="133" s="1"/>
  <c r="T23" i="133"/>
  <c r="F23" i="133" s="1"/>
  <c r="L23" i="133" s="1"/>
  <c r="AF17" i="149"/>
  <c r="AB17" i="149"/>
  <c r="AF17" i="153"/>
  <c r="AB17" i="153"/>
  <c r="AB17" i="151"/>
  <c r="AD17" i="151" s="1"/>
  <c r="AB17" i="150"/>
  <c r="AF17" i="150"/>
  <c r="AD20" i="176"/>
  <c r="AB21" i="156"/>
  <c r="AD21" i="156" s="1"/>
  <c r="AD23" i="160"/>
  <c r="AD48" i="133"/>
  <c r="AD26" i="160"/>
  <c r="AD51" i="133"/>
  <c r="AH23" i="159"/>
  <c r="AH26" i="159"/>
  <c r="AB9" i="159"/>
  <c r="AC36" i="133" s="1"/>
  <c r="AD40" i="133"/>
  <c r="U12" i="133"/>
  <c r="U14" i="133"/>
  <c r="AB17" i="154"/>
  <c r="U48" i="133" s="1"/>
  <c r="Q16" i="133"/>
  <c r="AD12" i="150"/>
  <c r="Q14" i="133"/>
  <c r="Q12" i="133"/>
  <c r="E9" i="159"/>
  <c r="AB11" i="159"/>
  <c r="AB20" i="159"/>
  <c r="AE32" i="159"/>
  <c r="AB32" i="159" s="1"/>
  <c r="AC78" i="133" s="1"/>
  <c r="P16" i="133"/>
  <c r="P12" i="133"/>
  <c r="F22" i="133"/>
  <c r="L22" i="133" s="1"/>
  <c r="T16" i="133"/>
  <c r="AF20" i="153"/>
  <c r="AD12" i="153"/>
  <c r="T14" i="133"/>
  <c r="R16" i="133"/>
  <c r="R12" i="133"/>
  <c r="R21" i="133"/>
  <c r="F21" i="133" s="1"/>
  <c r="L21" i="133" s="1"/>
  <c r="Q19" i="133"/>
  <c r="AD24" i="176"/>
  <c r="AD36" i="133"/>
  <c r="AD42" i="133"/>
  <c r="AD44" i="133"/>
  <c r="AD38" i="133"/>
  <c r="AD154" i="133"/>
  <c r="AD43" i="133"/>
  <c r="AC43" i="133"/>
  <c r="AC41" i="133"/>
  <c r="AB14" i="159"/>
  <c r="AE23" i="159"/>
  <c r="AC42" i="133"/>
  <c r="AC44" i="133"/>
  <c r="AC154" i="133"/>
  <c r="AD23" i="158"/>
  <c r="AB48" i="133"/>
  <c r="AD26" i="158"/>
  <c r="AB51" i="133"/>
  <c r="U26" i="133"/>
  <c r="AD20" i="153"/>
  <c r="T51" i="133"/>
  <c r="AD17" i="152"/>
  <c r="S48" i="133"/>
  <c r="AD20" i="152"/>
  <c r="S51" i="133"/>
  <c r="S26" i="133"/>
  <c r="R20" i="133"/>
  <c r="AD20" i="149"/>
  <c r="P51" i="133"/>
  <c r="P20" i="133"/>
  <c r="U165" i="133"/>
  <c r="T19" i="133"/>
  <c r="Q20" i="133"/>
  <c r="T18" i="133"/>
  <c r="P18" i="133"/>
  <c r="R165" i="133"/>
  <c r="Q165" i="133"/>
  <c r="R154" i="133"/>
  <c r="AB20" i="151"/>
  <c r="AF20" i="151"/>
  <c r="R164" i="133"/>
  <c r="AB20" i="150"/>
  <c r="Q18" i="133"/>
  <c r="Q164" i="133"/>
  <c r="F15" i="133"/>
  <c r="L15" i="133" s="1"/>
  <c r="AB35" i="160"/>
  <c r="AD81" i="133" s="1"/>
  <c r="AB32" i="157"/>
  <c r="AB16" i="157"/>
  <c r="AB21" i="157"/>
  <c r="AF21" i="157"/>
  <c r="AB16" i="156"/>
  <c r="AB24" i="156"/>
  <c r="AF24" i="156"/>
  <c r="AB32" i="160"/>
  <c r="AX139" i="133"/>
  <c r="F139" i="133" s="1"/>
  <c r="L139" i="133" s="1"/>
  <c r="M139" i="133" s="1"/>
  <c r="H139" i="133" s="1"/>
  <c r="AD24" i="177"/>
  <c r="AB18" i="163"/>
  <c r="AI63" i="133" s="1"/>
  <c r="F25" i="133"/>
  <c r="L25" i="133" s="1"/>
  <c r="AB17" i="163"/>
  <c r="AI62" i="133" s="1"/>
  <c r="AD20" i="177"/>
  <c r="AX135" i="133"/>
  <c r="F135" i="133" s="1"/>
  <c r="L135" i="133" s="1"/>
  <c r="M135" i="133" s="1"/>
  <c r="H135" i="133" s="1"/>
  <c r="AD23" i="177"/>
  <c r="AX138" i="133"/>
  <c r="F138" i="133" s="1"/>
  <c r="L138" i="133" s="1"/>
  <c r="M138" i="133" s="1"/>
  <c r="H138" i="133" s="1"/>
  <c r="F24" i="133"/>
  <c r="L24" i="133" s="1"/>
  <c r="AB36" i="163"/>
  <c r="AI81" i="133" s="1"/>
  <c r="AB19" i="163"/>
  <c r="AI64" i="133" s="1"/>
  <c r="AI22" i="168"/>
  <c r="AI36" i="168" s="1"/>
  <c r="F103" i="133"/>
  <c r="L103" i="133" s="1"/>
  <c r="AD11" i="168"/>
  <c r="AR111" i="133" s="1"/>
  <c r="AI19" i="168"/>
  <c r="AD19" i="168" s="1"/>
  <c r="AR117" i="133" s="1"/>
  <c r="E20" i="168"/>
  <c r="S79" i="168" s="1"/>
  <c r="AR146" i="133"/>
  <c r="L150" i="133"/>
  <c r="AD26" i="169"/>
  <c r="AS122" i="133" s="1"/>
  <c r="F122" i="133" s="1"/>
  <c r="AD19" i="169"/>
  <c r="AS117" i="133" s="1"/>
  <c r="L59" i="133"/>
  <c r="L58" i="133"/>
  <c r="L60" i="133"/>
  <c r="T47" i="133" l="1"/>
  <c r="AD20" i="156"/>
  <c r="X47" i="133"/>
  <c r="AD20" i="157"/>
  <c r="Y47" i="133"/>
  <c r="AD25" i="160"/>
  <c r="AD50" i="133"/>
  <c r="AC47" i="133"/>
  <c r="AD22" i="159"/>
  <c r="AB47" i="133"/>
  <c r="AD22" i="158"/>
  <c r="U47" i="133"/>
  <c r="AD16" i="154"/>
  <c r="AD17" i="154"/>
  <c r="R47" i="133"/>
  <c r="AD16" i="151"/>
  <c r="Q47" i="133"/>
  <c r="AD16" i="150"/>
  <c r="P47" i="133"/>
  <c r="AD16" i="149"/>
  <c r="AB26" i="159"/>
  <c r="AD26" i="159" s="1"/>
  <c r="X48" i="133"/>
  <c r="P48" i="133"/>
  <c r="AD17" i="149"/>
  <c r="T48" i="133"/>
  <c r="AD17" i="153"/>
  <c r="R48" i="133"/>
  <c r="Q48" i="133"/>
  <c r="AD17" i="150"/>
  <c r="AC38" i="133"/>
  <c r="F12" i="133"/>
  <c r="L12" i="133" s="1"/>
  <c r="F19" i="133"/>
  <c r="L19" i="133" s="1"/>
  <c r="AC45" i="133"/>
  <c r="F26" i="133"/>
  <c r="L26" i="133" s="1"/>
  <c r="F14" i="133"/>
  <c r="L14" i="133" s="1"/>
  <c r="M14" i="133" s="1"/>
  <c r="H14" i="133" s="1"/>
  <c r="F20" i="133"/>
  <c r="L20" i="133" s="1"/>
  <c r="AC40" i="133"/>
  <c r="AF23" i="159"/>
  <c r="AB23" i="159"/>
  <c r="AD21" i="157"/>
  <c r="Y48" i="133"/>
  <c r="Y34" i="133"/>
  <c r="X34" i="133"/>
  <c r="AD24" i="156"/>
  <c r="X51" i="133"/>
  <c r="AD20" i="151"/>
  <c r="R51" i="133"/>
  <c r="AD20" i="150"/>
  <c r="Q51" i="133"/>
  <c r="F18" i="133"/>
  <c r="L18" i="133" s="1"/>
  <c r="F17" i="133"/>
  <c r="L17" i="133" s="1"/>
  <c r="F16" i="133"/>
  <c r="L16" i="133" s="1"/>
  <c r="AB29" i="157"/>
  <c r="AB29" i="156"/>
  <c r="AD22" i="168"/>
  <c r="AR120" i="133" s="1"/>
  <c r="F146" i="133"/>
  <c r="L146" i="133" s="1"/>
  <c r="AD36" i="168"/>
  <c r="AR151" i="133" s="1"/>
  <c r="F151" i="133" s="1"/>
  <c r="H79" i="124"/>
  <c r="H78" i="124"/>
  <c r="H77" i="124"/>
  <c r="H74" i="124"/>
  <c r="E157" i="139"/>
  <c r="E172" i="139"/>
  <c r="E171" i="139"/>
  <c r="E156" i="139"/>
  <c r="E155" i="139"/>
  <c r="E123" i="139"/>
  <c r="E154" i="139"/>
  <c r="E151" i="139"/>
  <c r="E150" i="139"/>
  <c r="E149" i="139"/>
  <c r="E148" i="139"/>
  <c r="E122" i="139"/>
  <c r="E121" i="139"/>
  <c r="E120" i="139"/>
  <c r="E119" i="139"/>
  <c r="E118" i="139"/>
  <c r="E117" i="139"/>
  <c r="E116" i="139"/>
  <c r="E115" i="139"/>
  <c r="E114" i="139"/>
  <c r="E113" i="139"/>
  <c r="E112" i="139"/>
  <c r="E111" i="139"/>
  <c r="E110" i="139"/>
  <c r="E109" i="139"/>
  <c r="E108" i="139"/>
  <c r="E107" i="139"/>
  <c r="E106" i="139"/>
  <c r="E168" i="139"/>
  <c r="E105" i="139"/>
  <c r="E104" i="139"/>
  <c r="E103" i="139"/>
  <c r="E102" i="139"/>
  <c r="E68" i="139"/>
  <c r="E82" i="139"/>
  <c r="E81" i="139"/>
  <c r="E80" i="139"/>
  <c r="E79" i="139"/>
  <c r="E78" i="139"/>
  <c r="E77" i="139"/>
  <c r="E76" i="139"/>
  <c r="E75" i="139"/>
  <c r="E74" i="139"/>
  <c r="E73" i="139"/>
  <c r="E72" i="139"/>
  <c r="E71" i="139"/>
  <c r="E70" i="139"/>
  <c r="E69" i="139"/>
  <c r="AC51" i="133" l="1"/>
  <c r="AD23" i="159"/>
  <c r="AC48" i="133"/>
  <c r="L151" i="133"/>
  <c r="E61" i="139"/>
  <c r="E60" i="139"/>
  <c r="E59" i="139"/>
  <c r="E58" i="139"/>
  <c r="E57" i="139"/>
  <c r="E56" i="139"/>
  <c r="E55" i="139"/>
  <c r="E54" i="139"/>
  <c r="E46" i="139"/>
  <c r="E45" i="139"/>
  <c r="E44" i="139"/>
  <c r="E43" i="139"/>
  <c r="E42" i="139"/>
  <c r="E41" i="139"/>
  <c r="E40" i="139"/>
  <c r="E39" i="139"/>
  <c r="E38" i="139"/>
  <c r="E37" i="139"/>
  <c r="E36" i="139"/>
  <c r="E35" i="139"/>
  <c r="E34" i="139"/>
  <c r="E33" i="139"/>
  <c r="E32" i="139"/>
  <c r="E31" i="139"/>
  <c r="E30" i="139"/>
  <c r="E29" i="139"/>
  <c r="E28" i="139"/>
  <c r="E27" i="139"/>
  <c r="E26" i="139"/>
  <c r="E25" i="139"/>
  <c r="E24" i="139"/>
  <c r="E23" i="139"/>
  <c r="E22" i="139"/>
  <c r="E21" i="139"/>
  <c r="E20" i="139"/>
  <c r="E19" i="139"/>
  <c r="E18" i="139"/>
  <c r="E17" i="139"/>
  <c r="E16" i="139"/>
  <c r="E15" i="139"/>
  <c r="E13" i="139"/>
  <c r="E12" i="139"/>
  <c r="E11" i="139"/>
  <c r="L157" i="139"/>
  <c r="A157" i="139" s="1"/>
  <c r="B156" i="133" s="1"/>
  <c r="M157" i="139"/>
  <c r="B157" i="139" s="1"/>
  <c r="C156" i="133" s="1"/>
  <c r="N157" i="139"/>
  <c r="C157" i="139" s="1"/>
  <c r="D156" i="133" s="1"/>
  <c r="O157" i="139"/>
  <c r="D157" i="139" s="1"/>
  <c r="E156" i="133" s="1"/>
  <c r="R157" i="139"/>
  <c r="T157" i="139"/>
  <c r="I157" i="139" s="1"/>
  <c r="J156" i="133" s="1"/>
  <c r="U157" i="139"/>
  <c r="J157" i="139" s="1"/>
  <c r="K156" i="133" s="1"/>
  <c r="L143" i="139"/>
  <c r="M143" i="139"/>
  <c r="N143" i="139"/>
  <c r="O143" i="139"/>
  <c r="R143" i="139"/>
  <c r="T143" i="139"/>
  <c r="U143" i="139"/>
  <c r="L159" i="139"/>
  <c r="A159" i="139" s="1"/>
  <c r="B159" i="133" s="1"/>
  <c r="M159" i="139"/>
  <c r="B159" i="139" s="1"/>
  <c r="C159" i="133" s="1"/>
  <c r="N159" i="139"/>
  <c r="C159" i="139" s="1"/>
  <c r="D159" i="133" s="1"/>
  <c r="O159" i="139"/>
  <c r="D159" i="139" s="1"/>
  <c r="E159" i="133" s="1"/>
  <c r="R159" i="139"/>
  <c r="T159" i="139"/>
  <c r="I159" i="139" s="1"/>
  <c r="J159" i="133" s="1"/>
  <c r="U159" i="139"/>
  <c r="J159" i="139" s="1"/>
  <c r="K159" i="133" s="1"/>
  <c r="L37" i="139"/>
  <c r="A37" i="139" s="1"/>
  <c r="M37" i="139"/>
  <c r="B37" i="139" s="1"/>
  <c r="N37" i="139"/>
  <c r="C37" i="139" s="1"/>
  <c r="O37" i="139"/>
  <c r="D37" i="139" s="1"/>
  <c r="E37" i="133" s="1"/>
  <c r="R37" i="139"/>
  <c r="T37" i="139"/>
  <c r="I37" i="139" s="1"/>
  <c r="J37" i="133" s="1"/>
  <c r="U37" i="139"/>
  <c r="J37" i="139" s="1"/>
  <c r="K37" i="133" s="1"/>
  <c r="L38" i="139"/>
  <c r="A38" i="139" s="1"/>
  <c r="M38" i="139"/>
  <c r="B38" i="139" s="1"/>
  <c r="N38" i="139"/>
  <c r="C38" i="139" s="1"/>
  <c r="O38" i="139"/>
  <c r="D38" i="139" s="1"/>
  <c r="E38" i="133" s="1"/>
  <c r="R38" i="139"/>
  <c r="T38" i="139"/>
  <c r="I38" i="139" s="1"/>
  <c r="J38" i="133" s="1"/>
  <c r="U38" i="139"/>
  <c r="J38" i="139" s="1"/>
  <c r="K38" i="133" s="1"/>
  <c r="L39" i="139"/>
  <c r="A39" i="139" s="1"/>
  <c r="M39" i="139"/>
  <c r="B39" i="139" s="1"/>
  <c r="N39" i="139"/>
  <c r="C39" i="139" s="1"/>
  <c r="O39" i="139"/>
  <c r="D39" i="139" s="1"/>
  <c r="E39" i="133" s="1"/>
  <c r="R39" i="139"/>
  <c r="T39" i="139"/>
  <c r="I39" i="139" s="1"/>
  <c r="J39" i="133" s="1"/>
  <c r="U39" i="139"/>
  <c r="J39" i="139" s="1"/>
  <c r="K39" i="133" s="1"/>
  <c r="L40" i="139"/>
  <c r="A40" i="139" s="1"/>
  <c r="M40" i="139"/>
  <c r="B40" i="139" s="1"/>
  <c r="N40" i="139"/>
  <c r="C40" i="139" s="1"/>
  <c r="O40" i="139"/>
  <c r="D40" i="139" s="1"/>
  <c r="E40" i="133" s="1"/>
  <c r="R40" i="139"/>
  <c r="T40" i="139"/>
  <c r="I40" i="139" s="1"/>
  <c r="J40" i="133" s="1"/>
  <c r="U40" i="139"/>
  <c r="J40" i="139" s="1"/>
  <c r="K40" i="133" s="1"/>
  <c r="L41" i="139"/>
  <c r="A41" i="139" s="1"/>
  <c r="M41" i="139"/>
  <c r="B41" i="139" s="1"/>
  <c r="N41" i="139"/>
  <c r="C41" i="139" s="1"/>
  <c r="O41" i="139"/>
  <c r="D41" i="139" s="1"/>
  <c r="E41" i="133" s="1"/>
  <c r="R41" i="139"/>
  <c r="T41" i="139"/>
  <c r="I41" i="139" s="1"/>
  <c r="J41" i="133" s="1"/>
  <c r="U41" i="139"/>
  <c r="J41" i="139" s="1"/>
  <c r="K41" i="133" s="1"/>
  <c r="L42" i="139"/>
  <c r="A42" i="139" s="1"/>
  <c r="M42" i="139"/>
  <c r="B42" i="139" s="1"/>
  <c r="N42" i="139"/>
  <c r="C42" i="139" s="1"/>
  <c r="O42" i="139"/>
  <c r="D42" i="139" s="1"/>
  <c r="E42" i="133" s="1"/>
  <c r="R42" i="139"/>
  <c r="T42" i="139"/>
  <c r="I42" i="139" s="1"/>
  <c r="J42" i="133" s="1"/>
  <c r="U42" i="139"/>
  <c r="J42" i="139" s="1"/>
  <c r="K42" i="133" s="1"/>
  <c r="L43" i="139"/>
  <c r="A43" i="139" s="1"/>
  <c r="M43" i="139"/>
  <c r="B43" i="139" s="1"/>
  <c r="N43" i="139"/>
  <c r="C43" i="139" s="1"/>
  <c r="O43" i="139"/>
  <c r="D43" i="139" s="1"/>
  <c r="E43" i="133" s="1"/>
  <c r="R43" i="139"/>
  <c r="T43" i="139"/>
  <c r="I43" i="139" s="1"/>
  <c r="J43" i="133" s="1"/>
  <c r="U43" i="139"/>
  <c r="J43" i="139" s="1"/>
  <c r="K43" i="133" s="1"/>
  <c r="L44" i="139"/>
  <c r="A44" i="139" s="1"/>
  <c r="M44" i="139"/>
  <c r="B44" i="139" s="1"/>
  <c r="N44" i="139"/>
  <c r="C44" i="139" s="1"/>
  <c r="O44" i="139"/>
  <c r="D44" i="139" s="1"/>
  <c r="E44" i="133" s="1"/>
  <c r="R44" i="139"/>
  <c r="T44" i="139"/>
  <c r="I44" i="139" s="1"/>
  <c r="J44" i="133" s="1"/>
  <c r="U44" i="139"/>
  <c r="J44" i="139" s="1"/>
  <c r="K44" i="133" s="1"/>
  <c r="L45" i="139"/>
  <c r="A45" i="139" s="1"/>
  <c r="M45" i="139"/>
  <c r="B45" i="139" s="1"/>
  <c r="N45" i="139"/>
  <c r="C45" i="139" s="1"/>
  <c r="O45" i="139"/>
  <c r="D45" i="139" s="1"/>
  <c r="E45" i="133" s="1"/>
  <c r="R45" i="139"/>
  <c r="T45" i="139"/>
  <c r="I45" i="139" s="1"/>
  <c r="J45" i="133" s="1"/>
  <c r="U45" i="139"/>
  <c r="J45" i="139" s="1"/>
  <c r="K45" i="133" s="1"/>
  <c r="L46" i="139"/>
  <c r="A46" i="139" s="1"/>
  <c r="B46" i="133" s="1"/>
  <c r="M46" i="139"/>
  <c r="B46" i="139" s="1"/>
  <c r="N46" i="139"/>
  <c r="C46" i="139" s="1"/>
  <c r="O46" i="139"/>
  <c r="D46" i="139" s="1"/>
  <c r="R46" i="139"/>
  <c r="T46" i="139"/>
  <c r="I46" i="139" s="1"/>
  <c r="U46" i="139"/>
  <c r="J46" i="139" s="1"/>
  <c r="K46" i="133" s="1"/>
  <c r="L54" i="139"/>
  <c r="A54" i="139" s="1"/>
  <c r="M54" i="139"/>
  <c r="B54" i="139" s="1"/>
  <c r="N54" i="139"/>
  <c r="C54" i="139" s="1"/>
  <c r="O54" i="139"/>
  <c r="D54" i="139" s="1"/>
  <c r="E54" i="133" s="1"/>
  <c r="R54" i="139"/>
  <c r="T54" i="139"/>
  <c r="I54" i="139" s="1"/>
  <c r="J54" i="133" s="1"/>
  <c r="U54" i="139"/>
  <c r="J54" i="139" s="1"/>
  <c r="K54" i="133" s="1"/>
  <c r="L55" i="139"/>
  <c r="A55" i="139" s="1"/>
  <c r="M55" i="139"/>
  <c r="B55" i="139" s="1"/>
  <c r="N55" i="139"/>
  <c r="C55" i="139" s="1"/>
  <c r="O55" i="139"/>
  <c r="D55" i="139" s="1"/>
  <c r="E55" i="133" s="1"/>
  <c r="R55" i="139"/>
  <c r="T55" i="139"/>
  <c r="I55" i="139" s="1"/>
  <c r="J55" i="133" s="1"/>
  <c r="U55" i="139"/>
  <c r="J55" i="139" s="1"/>
  <c r="K55" i="133" s="1"/>
  <c r="L56" i="139"/>
  <c r="A56" i="139" s="1"/>
  <c r="M56" i="139"/>
  <c r="B56" i="139" s="1"/>
  <c r="N56" i="139"/>
  <c r="C56" i="139" s="1"/>
  <c r="O56" i="139"/>
  <c r="D56" i="139" s="1"/>
  <c r="E56" i="133" s="1"/>
  <c r="R56" i="139"/>
  <c r="T56" i="139"/>
  <c r="I56" i="139" s="1"/>
  <c r="J56" i="133" s="1"/>
  <c r="U56" i="139"/>
  <c r="J56" i="139" s="1"/>
  <c r="K56" i="133" s="1"/>
  <c r="L57" i="139"/>
  <c r="A57" i="139" s="1"/>
  <c r="M57" i="139"/>
  <c r="B57" i="139" s="1"/>
  <c r="N57" i="139"/>
  <c r="C57" i="139" s="1"/>
  <c r="O57" i="139"/>
  <c r="D57" i="139" s="1"/>
  <c r="E57" i="133" s="1"/>
  <c r="R57" i="139"/>
  <c r="T57" i="139"/>
  <c r="I57" i="139" s="1"/>
  <c r="J57" i="133" s="1"/>
  <c r="U57" i="139"/>
  <c r="J57" i="139" s="1"/>
  <c r="K57" i="133" s="1"/>
  <c r="L58" i="139"/>
  <c r="A58" i="139" s="1"/>
  <c r="M58" i="139"/>
  <c r="B58" i="139" s="1"/>
  <c r="N58" i="139"/>
  <c r="C58" i="139" s="1"/>
  <c r="O58" i="139"/>
  <c r="D58" i="139" s="1"/>
  <c r="E58" i="133" s="1"/>
  <c r="R58" i="139"/>
  <c r="T58" i="139"/>
  <c r="I58" i="139" s="1"/>
  <c r="J58" i="133" s="1"/>
  <c r="U58" i="139"/>
  <c r="J58" i="139" s="1"/>
  <c r="K58" i="133" s="1"/>
  <c r="L59" i="139"/>
  <c r="A59" i="139" s="1"/>
  <c r="M59" i="139"/>
  <c r="B59" i="139" s="1"/>
  <c r="N59" i="139"/>
  <c r="C59" i="139" s="1"/>
  <c r="O59" i="139"/>
  <c r="D59" i="139" s="1"/>
  <c r="E59" i="133" s="1"/>
  <c r="R59" i="139"/>
  <c r="T59" i="139"/>
  <c r="I59" i="139" s="1"/>
  <c r="J59" i="133" s="1"/>
  <c r="U59" i="139"/>
  <c r="J59" i="139" s="1"/>
  <c r="K59" i="133" s="1"/>
  <c r="L60" i="139"/>
  <c r="A60" i="139" s="1"/>
  <c r="M60" i="139"/>
  <c r="B60" i="139" s="1"/>
  <c r="N60" i="139"/>
  <c r="C60" i="139" s="1"/>
  <c r="O60" i="139"/>
  <c r="D60" i="139" s="1"/>
  <c r="E60" i="133" s="1"/>
  <c r="R60" i="139"/>
  <c r="T60" i="139"/>
  <c r="I60" i="139" s="1"/>
  <c r="J60" i="133" s="1"/>
  <c r="U60" i="139"/>
  <c r="J60" i="139" s="1"/>
  <c r="K60" i="133" s="1"/>
  <c r="L61" i="139"/>
  <c r="A61" i="139" s="1"/>
  <c r="M61" i="139"/>
  <c r="B61" i="139" s="1"/>
  <c r="N61" i="139"/>
  <c r="C61" i="139" s="1"/>
  <c r="O61" i="139"/>
  <c r="D61" i="139" s="1"/>
  <c r="E61" i="133" s="1"/>
  <c r="R61" i="139"/>
  <c r="T61" i="139"/>
  <c r="I61" i="139" s="1"/>
  <c r="J61" i="133" s="1"/>
  <c r="U61" i="139"/>
  <c r="J61" i="139" s="1"/>
  <c r="K61" i="133" s="1"/>
  <c r="L62" i="139"/>
  <c r="A62" i="139" s="1"/>
  <c r="M62" i="139"/>
  <c r="B62" i="139" s="1"/>
  <c r="N62" i="139"/>
  <c r="C62" i="139" s="1"/>
  <c r="O62" i="139"/>
  <c r="D62" i="139" s="1"/>
  <c r="E62" i="133" s="1"/>
  <c r="R62" i="139"/>
  <c r="T62" i="139"/>
  <c r="I62" i="139" s="1"/>
  <c r="J62" i="133" s="1"/>
  <c r="U62" i="139"/>
  <c r="J62" i="139" s="1"/>
  <c r="K62" i="133" s="1"/>
  <c r="L63" i="139"/>
  <c r="A63" i="139" s="1"/>
  <c r="M63" i="139"/>
  <c r="B63" i="139" s="1"/>
  <c r="N63" i="139"/>
  <c r="C63" i="139" s="1"/>
  <c r="O63" i="139"/>
  <c r="D63" i="139" s="1"/>
  <c r="E63" i="133" s="1"/>
  <c r="R63" i="139"/>
  <c r="T63" i="139"/>
  <c r="I63" i="139" s="1"/>
  <c r="J63" i="133" s="1"/>
  <c r="U63" i="139"/>
  <c r="J63" i="139" s="1"/>
  <c r="K63" i="133" s="1"/>
  <c r="L64" i="139"/>
  <c r="A64" i="139" s="1"/>
  <c r="M64" i="139"/>
  <c r="B64" i="139" s="1"/>
  <c r="N64" i="139"/>
  <c r="C64" i="139" s="1"/>
  <c r="O64" i="139"/>
  <c r="D64" i="139" s="1"/>
  <c r="E64" i="133" s="1"/>
  <c r="R64" i="139"/>
  <c r="T64" i="139"/>
  <c r="I64" i="139" s="1"/>
  <c r="J64" i="133" s="1"/>
  <c r="U64" i="139"/>
  <c r="J64" i="139" s="1"/>
  <c r="K64" i="133" s="1"/>
  <c r="L65" i="139"/>
  <c r="A65" i="139" s="1"/>
  <c r="M65" i="139"/>
  <c r="B65" i="139" s="1"/>
  <c r="N65" i="139"/>
  <c r="C65" i="139" s="1"/>
  <c r="O65" i="139"/>
  <c r="D65" i="139" s="1"/>
  <c r="E65" i="133" s="1"/>
  <c r="R65" i="139"/>
  <c r="T65" i="139"/>
  <c r="I65" i="139" s="1"/>
  <c r="J65" i="133" s="1"/>
  <c r="U65" i="139"/>
  <c r="J65" i="139" s="1"/>
  <c r="K65" i="133" s="1"/>
  <c r="L66" i="139"/>
  <c r="A66" i="139" s="1"/>
  <c r="M66" i="139"/>
  <c r="B66" i="139" s="1"/>
  <c r="N66" i="139"/>
  <c r="C66" i="139" s="1"/>
  <c r="O66" i="139"/>
  <c r="D66" i="139" s="1"/>
  <c r="E66" i="133" s="1"/>
  <c r="R66" i="139"/>
  <c r="T66" i="139"/>
  <c r="I66" i="139" s="1"/>
  <c r="J66" i="133" s="1"/>
  <c r="U66" i="139"/>
  <c r="J66" i="139" s="1"/>
  <c r="K66" i="133" s="1"/>
  <c r="L67" i="139"/>
  <c r="A67" i="139" s="1"/>
  <c r="M67" i="139"/>
  <c r="B67" i="139" s="1"/>
  <c r="N67" i="139"/>
  <c r="C67" i="139" s="1"/>
  <c r="O67" i="139"/>
  <c r="D67" i="139" s="1"/>
  <c r="E67" i="133" s="1"/>
  <c r="R67" i="139"/>
  <c r="T67" i="139"/>
  <c r="I67" i="139" s="1"/>
  <c r="J67" i="133" s="1"/>
  <c r="U67" i="139"/>
  <c r="J67" i="139" s="1"/>
  <c r="K67" i="133" s="1"/>
  <c r="L68" i="139"/>
  <c r="A68" i="139" s="1"/>
  <c r="M68" i="139"/>
  <c r="B68" i="139" s="1"/>
  <c r="N68" i="139"/>
  <c r="C68" i="139" s="1"/>
  <c r="O68" i="139"/>
  <c r="D68" i="139" s="1"/>
  <c r="E68" i="133" s="1"/>
  <c r="R68" i="139"/>
  <c r="T68" i="139"/>
  <c r="I68" i="139" s="1"/>
  <c r="J68" i="133" s="1"/>
  <c r="U68" i="139"/>
  <c r="J68" i="139" s="1"/>
  <c r="K68" i="133" s="1"/>
  <c r="L69" i="139"/>
  <c r="A69" i="139" s="1"/>
  <c r="M69" i="139"/>
  <c r="B69" i="139" s="1"/>
  <c r="N69" i="139"/>
  <c r="C69" i="139" s="1"/>
  <c r="O69" i="139"/>
  <c r="D69" i="139" s="1"/>
  <c r="E69" i="133" s="1"/>
  <c r="R69" i="139"/>
  <c r="T69" i="139"/>
  <c r="I69" i="139" s="1"/>
  <c r="J69" i="133" s="1"/>
  <c r="U69" i="139"/>
  <c r="J69" i="139" s="1"/>
  <c r="K69" i="133" s="1"/>
  <c r="L70" i="139"/>
  <c r="A70" i="139" s="1"/>
  <c r="M70" i="139"/>
  <c r="B70" i="139" s="1"/>
  <c r="N70" i="139"/>
  <c r="C70" i="139" s="1"/>
  <c r="O70" i="139"/>
  <c r="D70" i="139" s="1"/>
  <c r="E70" i="133" s="1"/>
  <c r="R70" i="139"/>
  <c r="T70" i="139"/>
  <c r="I70" i="139" s="1"/>
  <c r="J70" i="133" s="1"/>
  <c r="U70" i="139"/>
  <c r="J70" i="139" s="1"/>
  <c r="K70" i="133" s="1"/>
  <c r="L71" i="139"/>
  <c r="A71" i="139" s="1"/>
  <c r="M71" i="139"/>
  <c r="B71" i="139" s="1"/>
  <c r="N71" i="139"/>
  <c r="C71" i="139" s="1"/>
  <c r="O71" i="139"/>
  <c r="D71" i="139" s="1"/>
  <c r="E71" i="133" s="1"/>
  <c r="R71" i="139"/>
  <c r="T71" i="139"/>
  <c r="I71" i="139" s="1"/>
  <c r="J71" i="133" s="1"/>
  <c r="U71" i="139"/>
  <c r="J71" i="139" s="1"/>
  <c r="K71" i="133" s="1"/>
  <c r="L72" i="139"/>
  <c r="A72" i="139" s="1"/>
  <c r="M72" i="139"/>
  <c r="B72" i="139" s="1"/>
  <c r="N72" i="139"/>
  <c r="C72" i="139" s="1"/>
  <c r="O72" i="139"/>
  <c r="D72" i="139" s="1"/>
  <c r="E72" i="133" s="1"/>
  <c r="R72" i="139"/>
  <c r="T72" i="139"/>
  <c r="I72" i="139" s="1"/>
  <c r="J72" i="133" s="1"/>
  <c r="U72" i="139"/>
  <c r="J72" i="139" s="1"/>
  <c r="K72" i="133" s="1"/>
  <c r="L73" i="139"/>
  <c r="A73" i="139" s="1"/>
  <c r="M73" i="139"/>
  <c r="B73" i="139" s="1"/>
  <c r="N73" i="139"/>
  <c r="C73" i="139" s="1"/>
  <c r="O73" i="139"/>
  <c r="D73" i="139" s="1"/>
  <c r="E73" i="133" s="1"/>
  <c r="R73" i="139"/>
  <c r="T73" i="139"/>
  <c r="I73" i="139" s="1"/>
  <c r="J73" i="133" s="1"/>
  <c r="U73" i="139"/>
  <c r="J73" i="139" s="1"/>
  <c r="K73" i="133" s="1"/>
  <c r="L74" i="139"/>
  <c r="A74" i="139" s="1"/>
  <c r="M74" i="139"/>
  <c r="B74" i="139" s="1"/>
  <c r="N74" i="139"/>
  <c r="C74" i="139" s="1"/>
  <c r="O74" i="139"/>
  <c r="D74" i="139" s="1"/>
  <c r="E74" i="133" s="1"/>
  <c r="R74" i="139"/>
  <c r="T74" i="139"/>
  <c r="I74" i="139" s="1"/>
  <c r="J74" i="133" s="1"/>
  <c r="U74" i="139"/>
  <c r="J74" i="139" s="1"/>
  <c r="K74" i="133" s="1"/>
  <c r="L75" i="139"/>
  <c r="A75" i="139" s="1"/>
  <c r="M75" i="139"/>
  <c r="B75" i="139" s="1"/>
  <c r="N75" i="139"/>
  <c r="C75" i="139" s="1"/>
  <c r="O75" i="139"/>
  <c r="D75" i="139" s="1"/>
  <c r="E75" i="133" s="1"/>
  <c r="R75" i="139"/>
  <c r="T75" i="139"/>
  <c r="I75" i="139" s="1"/>
  <c r="J75" i="133" s="1"/>
  <c r="U75" i="139"/>
  <c r="J75" i="139" s="1"/>
  <c r="K75" i="133" s="1"/>
  <c r="L76" i="139"/>
  <c r="A76" i="139" s="1"/>
  <c r="M76" i="139"/>
  <c r="B76" i="139" s="1"/>
  <c r="N76" i="139"/>
  <c r="C76" i="139" s="1"/>
  <c r="O76" i="139"/>
  <c r="D76" i="139" s="1"/>
  <c r="E76" i="133" s="1"/>
  <c r="R76" i="139"/>
  <c r="T76" i="139"/>
  <c r="I76" i="139" s="1"/>
  <c r="J76" i="133" s="1"/>
  <c r="U76" i="139"/>
  <c r="J76" i="139" s="1"/>
  <c r="K76" i="133" s="1"/>
  <c r="L77" i="139"/>
  <c r="A77" i="139" s="1"/>
  <c r="M77" i="139"/>
  <c r="B77" i="139" s="1"/>
  <c r="N77" i="139"/>
  <c r="C77" i="139" s="1"/>
  <c r="O77" i="139"/>
  <c r="D77" i="139" s="1"/>
  <c r="E77" i="133" s="1"/>
  <c r="R77" i="139"/>
  <c r="T77" i="139"/>
  <c r="I77" i="139" s="1"/>
  <c r="J77" i="133" s="1"/>
  <c r="U77" i="139"/>
  <c r="J77" i="139" s="1"/>
  <c r="K77" i="133" s="1"/>
  <c r="L78" i="139"/>
  <c r="A78" i="139" s="1"/>
  <c r="M78" i="139"/>
  <c r="B78" i="139" s="1"/>
  <c r="N78" i="139"/>
  <c r="C78" i="139" s="1"/>
  <c r="O78" i="139"/>
  <c r="D78" i="139" s="1"/>
  <c r="E78" i="133" s="1"/>
  <c r="R78" i="139"/>
  <c r="T78" i="139"/>
  <c r="I78" i="139" s="1"/>
  <c r="J78" i="133" s="1"/>
  <c r="U78" i="139"/>
  <c r="J78" i="139" s="1"/>
  <c r="K78" i="133" s="1"/>
  <c r="L79" i="139"/>
  <c r="A79" i="139" s="1"/>
  <c r="M79" i="139"/>
  <c r="B79" i="139" s="1"/>
  <c r="N79" i="139"/>
  <c r="C79" i="139" s="1"/>
  <c r="O79" i="139"/>
  <c r="D79" i="139" s="1"/>
  <c r="E79" i="133" s="1"/>
  <c r="R79" i="139"/>
  <c r="T79" i="139"/>
  <c r="I79" i="139" s="1"/>
  <c r="J79" i="133" s="1"/>
  <c r="U79" i="139"/>
  <c r="J79" i="139" s="1"/>
  <c r="K79" i="133" s="1"/>
  <c r="L80" i="139"/>
  <c r="A80" i="139" s="1"/>
  <c r="M80" i="139"/>
  <c r="B80" i="139" s="1"/>
  <c r="N80" i="139"/>
  <c r="C80" i="139" s="1"/>
  <c r="O80" i="139"/>
  <c r="D80" i="139" s="1"/>
  <c r="E80" i="133" s="1"/>
  <c r="R80" i="139"/>
  <c r="T80" i="139"/>
  <c r="I80" i="139" s="1"/>
  <c r="J80" i="133" s="1"/>
  <c r="U80" i="139"/>
  <c r="J80" i="139" s="1"/>
  <c r="K80" i="133" s="1"/>
  <c r="L81" i="139"/>
  <c r="A81" i="139" s="1"/>
  <c r="M81" i="139"/>
  <c r="B81" i="139" s="1"/>
  <c r="N81" i="139"/>
  <c r="C81" i="139" s="1"/>
  <c r="O81" i="139"/>
  <c r="D81" i="139" s="1"/>
  <c r="E81" i="133" s="1"/>
  <c r="R81" i="139"/>
  <c r="T81" i="139"/>
  <c r="I81" i="139" s="1"/>
  <c r="J81" i="133" s="1"/>
  <c r="U81" i="139"/>
  <c r="J81" i="139" s="1"/>
  <c r="K81" i="133" s="1"/>
  <c r="L82" i="139"/>
  <c r="A82" i="139" s="1"/>
  <c r="M82" i="139"/>
  <c r="B82" i="139" s="1"/>
  <c r="N82" i="139"/>
  <c r="C82" i="139" s="1"/>
  <c r="O82" i="139"/>
  <c r="D82" i="139" s="1"/>
  <c r="E82" i="133" s="1"/>
  <c r="R82" i="139"/>
  <c r="T82" i="139"/>
  <c r="I82" i="139" s="1"/>
  <c r="J82" i="133" s="1"/>
  <c r="U82" i="139"/>
  <c r="J82" i="139" s="1"/>
  <c r="K82" i="133" s="1"/>
  <c r="L83" i="139"/>
  <c r="A83" i="139" s="1"/>
  <c r="M83" i="139"/>
  <c r="B83" i="139" s="1"/>
  <c r="N83" i="139"/>
  <c r="C83" i="139" s="1"/>
  <c r="O83" i="139"/>
  <c r="D83" i="139" s="1"/>
  <c r="E83" i="133" s="1"/>
  <c r="R83" i="139"/>
  <c r="T83" i="139"/>
  <c r="I83" i="139" s="1"/>
  <c r="J83" i="133" s="1"/>
  <c r="U83" i="139"/>
  <c r="J83" i="139" s="1"/>
  <c r="K83" i="133" s="1"/>
  <c r="L84" i="139"/>
  <c r="A84" i="139" s="1"/>
  <c r="M84" i="139"/>
  <c r="B84" i="139" s="1"/>
  <c r="N84" i="139"/>
  <c r="C84" i="139" s="1"/>
  <c r="O84" i="139"/>
  <c r="D84" i="139" s="1"/>
  <c r="E84" i="133" s="1"/>
  <c r="R84" i="139"/>
  <c r="T84" i="139"/>
  <c r="I84" i="139" s="1"/>
  <c r="J84" i="133" s="1"/>
  <c r="U84" i="139"/>
  <c r="J84" i="139" s="1"/>
  <c r="K84" i="133" s="1"/>
  <c r="L85" i="139"/>
  <c r="A85" i="139" s="1"/>
  <c r="M85" i="139"/>
  <c r="B85" i="139" s="1"/>
  <c r="N85" i="139"/>
  <c r="C85" i="139" s="1"/>
  <c r="O85" i="139"/>
  <c r="D85" i="139" s="1"/>
  <c r="E85" i="133" s="1"/>
  <c r="R85" i="139"/>
  <c r="T85" i="139"/>
  <c r="I85" i="139" s="1"/>
  <c r="J85" i="133" s="1"/>
  <c r="U85" i="139"/>
  <c r="J85" i="139" s="1"/>
  <c r="K85" i="133" s="1"/>
  <c r="L86" i="139"/>
  <c r="A86" i="139" s="1"/>
  <c r="M86" i="139"/>
  <c r="B86" i="139" s="1"/>
  <c r="N86" i="139"/>
  <c r="C86" i="139" s="1"/>
  <c r="O86" i="139"/>
  <c r="D86" i="139" s="1"/>
  <c r="E86" i="133" s="1"/>
  <c r="R86" i="139"/>
  <c r="T86" i="139"/>
  <c r="I86" i="139" s="1"/>
  <c r="J86" i="133" s="1"/>
  <c r="U86" i="139"/>
  <c r="J86" i="139" s="1"/>
  <c r="K86" i="133" s="1"/>
  <c r="L87" i="139"/>
  <c r="A87" i="139" s="1"/>
  <c r="M87" i="139"/>
  <c r="B87" i="139" s="1"/>
  <c r="N87" i="139"/>
  <c r="C87" i="139" s="1"/>
  <c r="O87" i="139"/>
  <c r="D87" i="139" s="1"/>
  <c r="E87" i="133" s="1"/>
  <c r="R87" i="139"/>
  <c r="T87" i="139"/>
  <c r="I87" i="139" s="1"/>
  <c r="J87" i="133" s="1"/>
  <c r="U87" i="139"/>
  <c r="J87" i="139" s="1"/>
  <c r="K87" i="133" s="1"/>
  <c r="L88" i="139"/>
  <c r="A88" i="139" s="1"/>
  <c r="M88" i="139"/>
  <c r="B88" i="139" s="1"/>
  <c r="N88" i="139"/>
  <c r="C88" i="139" s="1"/>
  <c r="O88" i="139"/>
  <c r="D88" i="139" s="1"/>
  <c r="E88" i="133" s="1"/>
  <c r="R88" i="139"/>
  <c r="T88" i="139"/>
  <c r="I88" i="139" s="1"/>
  <c r="J88" i="133" s="1"/>
  <c r="U88" i="139"/>
  <c r="J88" i="139" s="1"/>
  <c r="K88" i="133" s="1"/>
  <c r="L89" i="139"/>
  <c r="A89" i="139" s="1"/>
  <c r="M89" i="139"/>
  <c r="B89" i="139" s="1"/>
  <c r="N89" i="139"/>
  <c r="C89" i="139" s="1"/>
  <c r="O89" i="139"/>
  <c r="D89" i="139" s="1"/>
  <c r="E89" i="133" s="1"/>
  <c r="R89" i="139"/>
  <c r="T89" i="139"/>
  <c r="I89" i="139" s="1"/>
  <c r="J89" i="133" s="1"/>
  <c r="U89" i="139"/>
  <c r="J89" i="139" s="1"/>
  <c r="K89" i="133" s="1"/>
  <c r="L90" i="139"/>
  <c r="A90" i="139" s="1"/>
  <c r="M90" i="139"/>
  <c r="B90" i="139" s="1"/>
  <c r="N90" i="139"/>
  <c r="C90" i="139" s="1"/>
  <c r="O90" i="139"/>
  <c r="D90" i="139" s="1"/>
  <c r="E90" i="133" s="1"/>
  <c r="R90" i="139"/>
  <c r="T90" i="139"/>
  <c r="I90" i="139" s="1"/>
  <c r="J90" i="133" s="1"/>
  <c r="U90" i="139"/>
  <c r="J90" i="139" s="1"/>
  <c r="K90" i="133" s="1"/>
  <c r="L91" i="139"/>
  <c r="A91" i="139" s="1"/>
  <c r="M91" i="139"/>
  <c r="B91" i="139" s="1"/>
  <c r="N91" i="139"/>
  <c r="C91" i="139" s="1"/>
  <c r="O91" i="139"/>
  <c r="D91" i="139" s="1"/>
  <c r="E91" i="133" s="1"/>
  <c r="R91" i="139"/>
  <c r="T91" i="139"/>
  <c r="I91" i="139" s="1"/>
  <c r="J91" i="133" s="1"/>
  <c r="U91" i="139"/>
  <c r="J91" i="139" s="1"/>
  <c r="K91" i="133" s="1"/>
  <c r="L92" i="139"/>
  <c r="A92" i="139" s="1"/>
  <c r="M92" i="139"/>
  <c r="B92" i="139" s="1"/>
  <c r="N92" i="139"/>
  <c r="C92" i="139" s="1"/>
  <c r="O92" i="139"/>
  <c r="D92" i="139" s="1"/>
  <c r="E92" i="133" s="1"/>
  <c r="R92" i="139"/>
  <c r="T92" i="139"/>
  <c r="I92" i="139" s="1"/>
  <c r="J92" i="133" s="1"/>
  <c r="U92" i="139"/>
  <c r="J92" i="139" s="1"/>
  <c r="K92" i="133" s="1"/>
  <c r="L93" i="139"/>
  <c r="A93" i="139" s="1"/>
  <c r="M93" i="139"/>
  <c r="B93" i="139" s="1"/>
  <c r="N93" i="139"/>
  <c r="C93" i="139" s="1"/>
  <c r="O93" i="139"/>
  <c r="D93" i="139" s="1"/>
  <c r="E93" i="133" s="1"/>
  <c r="R93" i="139"/>
  <c r="T93" i="139"/>
  <c r="I93" i="139" s="1"/>
  <c r="J93" i="133" s="1"/>
  <c r="U93" i="139"/>
  <c r="J93" i="139" s="1"/>
  <c r="K93" i="133" s="1"/>
  <c r="L94" i="139"/>
  <c r="A94" i="139" s="1"/>
  <c r="M94" i="139"/>
  <c r="B94" i="139" s="1"/>
  <c r="N94" i="139"/>
  <c r="C94" i="139" s="1"/>
  <c r="O94" i="139"/>
  <c r="D94" i="139" s="1"/>
  <c r="E94" i="133" s="1"/>
  <c r="R94" i="139"/>
  <c r="T94" i="139"/>
  <c r="I94" i="139" s="1"/>
  <c r="J94" i="133" s="1"/>
  <c r="U94" i="139"/>
  <c r="J94" i="139" s="1"/>
  <c r="K94" i="133" s="1"/>
  <c r="L95" i="139"/>
  <c r="A95" i="139" s="1"/>
  <c r="M95" i="139"/>
  <c r="B95" i="139" s="1"/>
  <c r="N95" i="139"/>
  <c r="C95" i="139" s="1"/>
  <c r="O95" i="139"/>
  <c r="D95" i="139" s="1"/>
  <c r="E95" i="133" s="1"/>
  <c r="R95" i="139"/>
  <c r="T95" i="139"/>
  <c r="I95" i="139" s="1"/>
  <c r="J95" i="133" s="1"/>
  <c r="U95" i="139"/>
  <c r="J95" i="139" s="1"/>
  <c r="K95" i="133" s="1"/>
  <c r="L96" i="139"/>
  <c r="A96" i="139" s="1"/>
  <c r="M96" i="139"/>
  <c r="B96" i="139" s="1"/>
  <c r="N96" i="139"/>
  <c r="C96" i="139" s="1"/>
  <c r="O96" i="139"/>
  <c r="D96" i="139" s="1"/>
  <c r="E96" i="133" s="1"/>
  <c r="R96" i="139"/>
  <c r="T96" i="139"/>
  <c r="I96" i="139" s="1"/>
  <c r="J96" i="133" s="1"/>
  <c r="U96" i="139"/>
  <c r="J96" i="139" s="1"/>
  <c r="K96" i="133" s="1"/>
  <c r="L97" i="139"/>
  <c r="A97" i="139" s="1"/>
  <c r="M97" i="139"/>
  <c r="B97" i="139" s="1"/>
  <c r="N97" i="139"/>
  <c r="C97" i="139" s="1"/>
  <c r="O97" i="139"/>
  <c r="D97" i="139" s="1"/>
  <c r="E97" i="133" s="1"/>
  <c r="R97" i="139"/>
  <c r="T97" i="139"/>
  <c r="I97" i="139" s="1"/>
  <c r="J97" i="133" s="1"/>
  <c r="U97" i="139"/>
  <c r="J97" i="139" s="1"/>
  <c r="K97" i="133" s="1"/>
  <c r="L98" i="139"/>
  <c r="A98" i="139" s="1"/>
  <c r="M98" i="139"/>
  <c r="B98" i="139" s="1"/>
  <c r="N98" i="139"/>
  <c r="C98" i="139" s="1"/>
  <c r="O98" i="139"/>
  <c r="D98" i="139" s="1"/>
  <c r="E98" i="133" s="1"/>
  <c r="R98" i="139"/>
  <c r="T98" i="139"/>
  <c r="I98" i="139" s="1"/>
  <c r="J98" i="133" s="1"/>
  <c r="U98" i="139"/>
  <c r="J98" i="139" s="1"/>
  <c r="K98" i="133" s="1"/>
  <c r="L99" i="139"/>
  <c r="A99" i="139" s="1"/>
  <c r="M99" i="139"/>
  <c r="B99" i="139" s="1"/>
  <c r="N99" i="139"/>
  <c r="C99" i="139" s="1"/>
  <c r="O99" i="139"/>
  <c r="D99" i="139" s="1"/>
  <c r="E99" i="133" s="1"/>
  <c r="R99" i="139"/>
  <c r="T99" i="139"/>
  <c r="I99" i="139" s="1"/>
  <c r="J99" i="133" s="1"/>
  <c r="U99" i="139"/>
  <c r="J99" i="139" s="1"/>
  <c r="K99" i="133" s="1"/>
  <c r="L100" i="139"/>
  <c r="A100" i="139" s="1"/>
  <c r="M100" i="139"/>
  <c r="B100" i="139" s="1"/>
  <c r="N100" i="139"/>
  <c r="C100" i="139" s="1"/>
  <c r="O100" i="139"/>
  <c r="D100" i="139" s="1"/>
  <c r="E100" i="133" s="1"/>
  <c r="R100" i="139"/>
  <c r="T100" i="139"/>
  <c r="I100" i="139" s="1"/>
  <c r="J100" i="133" s="1"/>
  <c r="U100" i="139"/>
  <c r="J100" i="139" s="1"/>
  <c r="K100" i="133" s="1"/>
  <c r="L101" i="139"/>
  <c r="A101" i="139" s="1"/>
  <c r="M101" i="139"/>
  <c r="B101" i="139" s="1"/>
  <c r="N101" i="139"/>
  <c r="C101" i="139" s="1"/>
  <c r="O101" i="139"/>
  <c r="D101" i="139" s="1"/>
  <c r="E101" i="133" s="1"/>
  <c r="R101" i="139"/>
  <c r="T101" i="139"/>
  <c r="I101" i="139" s="1"/>
  <c r="J101" i="133" s="1"/>
  <c r="U101" i="139"/>
  <c r="J101" i="139" s="1"/>
  <c r="K101" i="133" s="1"/>
  <c r="L102" i="139"/>
  <c r="A102" i="139" s="1"/>
  <c r="M102" i="139"/>
  <c r="B102" i="139" s="1"/>
  <c r="N102" i="139"/>
  <c r="C102" i="139" s="1"/>
  <c r="O102" i="139"/>
  <c r="D102" i="139" s="1"/>
  <c r="E102" i="133" s="1"/>
  <c r="R102" i="139"/>
  <c r="T102" i="139"/>
  <c r="I102" i="139" s="1"/>
  <c r="J102" i="133" s="1"/>
  <c r="U102" i="139"/>
  <c r="J102" i="139" s="1"/>
  <c r="K102" i="133" s="1"/>
  <c r="L103" i="139"/>
  <c r="A103" i="139" s="1"/>
  <c r="M103" i="139"/>
  <c r="B103" i="139" s="1"/>
  <c r="N103" i="139"/>
  <c r="C103" i="139" s="1"/>
  <c r="O103" i="139"/>
  <c r="D103" i="139" s="1"/>
  <c r="E103" i="133" s="1"/>
  <c r="R103" i="139"/>
  <c r="T103" i="139"/>
  <c r="I103" i="139" s="1"/>
  <c r="J103" i="133" s="1"/>
  <c r="U103" i="139"/>
  <c r="J103" i="139" s="1"/>
  <c r="K103" i="133" s="1"/>
  <c r="L104" i="139"/>
  <c r="A104" i="139" s="1"/>
  <c r="B15" i="171" s="1"/>
  <c r="O15" i="171" s="1"/>
  <c r="M104" i="139"/>
  <c r="B104" i="139" s="1"/>
  <c r="G15" i="171" s="1"/>
  <c r="T15" i="171" s="1"/>
  <c r="N104" i="139"/>
  <c r="C104" i="139" s="1"/>
  <c r="I15" i="171" s="1"/>
  <c r="V15" i="171" s="1"/>
  <c r="O104" i="139"/>
  <c r="D104" i="139" s="1"/>
  <c r="E104" i="133" s="1"/>
  <c r="R104" i="139"/>
  <c r="T104" i="139"/>
  <c r="I104" i="139" s="1"/>
  <c r="J104" i="133" s="1"/>
  <c r="U104" i="139"/>
  <c r="J104" i="139" s="1"/>
  <c r="K104" i="133" s="1"/>
  <c r="L105" i="139"/>
  <c r="A105" i="139" s="1"/>
  <c r="B16" i="171" s="1"/>
  <c r="O16" i="171" s="1"/>
  <c r="M105" i="139"/>
  <c r="B105" i="139" s="1"/>
  <c r="G16" i="171" s="1"/>
  <c r="T16" i="171" s="1"/>
  <c r="N105" i="139"/>
  <c r="C105" i="139" s="1"/>
  <c r="I16" i="171" s="1"/>
  <c r="V16" i="171" s="1"/>
  <c r="O105" i="139"/>
  <c r="D105" i="139" s="1"/>
  <c r="E105" i="133" s="1"/>
  <c r="R105" i="139"/>
  <c r="T105" i="139"/>
  <c r="I105" i="139" s="1"/>
  <c r="J105" i="133" s="1"/>
  <c r="U105" i="139"/>
  <c r="J105" i="139" s="1"/>
  <c r="K105" i="133" s="1"/>
  <c r="A168" i="139"/>
  <c r="O31" i="171" s="1"/>
  <c r="B168" i="139"/>
  <c r="T31" i="171" s="1"/>
  <c r="C168" i="139"/>
  <c r="V31" i="171" s="1"/>
  <c r="D168" i="139"/>
  <c r="E106" i="133" s="1"/>
  <c r="I168" i="139"/>
  <c r="J106" i="133" s="1"/>
  <c r="J168" i="139"/>
  <c r="K106" i="133" s="1"/>
  <c r="L106" i="139"/>
  <c r="A106" i="139" s="1"/>
  <c r="M106" i="139"/>
  <c r="B106" i="139" s="1"/>
  <c r="N106" i="139"/>
  <c r="C106" i="139" s="1"/>
  <c r="O106" i="139"/>
  <c r="D106" i="139" s="1"/>
  <c r="E107" i="133" s="1"/>
  <c r="R106" i="139"/>
  <c r="T106" i="139"/>
  <c r="I106" i="139" s="1"/>
  <c r="J107" i="133" s="1"/>
  <c r="U106" i="139"/>
  <c r="J106" i="139" s="1"/>
  <c r="K107" i="133" s="1"/>
  <c r="L107" i="139"/>
  <c r="A107" i="139" s="1"/>
  <c r="M107" i="139"/>
  <c r="B107" i="139" s="1"/>
  <c r="N107" i="139"/>
  <c r="C107" i="139" s="1"/>
  <c r="O107" i="139"/>
  <c r="D107" i="139" s="1"/>
  <c r="E108" i="133" s="1"/>
  <c r="R107" i="139"/>
  <c r="T107" i="139"/>
  <c r="I107" i="139" s="1"/>
  <c r="J108" i="133" s="1"/>
  <c r="U107" i="139"/>
  <c r="J107" i="139" s="1"/>
  <c r="K108" i="133" s="1"/>
  <c r="L108" i="139"/>
  <c r="A108" i="139" s="1"/>
  <c r="M108" i="139"/>
  <c r="B108" i="139" s="1"/>
  <c r="N108" i="139"/>
  <c r="C108" i="139" s="1"/>
  <c r="O108" i="139"/>
  <c r="D108" i="139" s="1"/>
  <c r="E109" i="133" s="1"/>
  <c r="R108" i="139"/>
  <c r="T108" i="139"/>
  <c r="I108" i="139" s="1"/>
  <c r="J109" i="133" s="1"/>
  <c r="U108" i="139"/>
  <c r="J108" i="139" s="1"/>
  <c r="K109" i="133" s="1"/>
  <c r="L109" i="139"/>
  <c r="A109" i="139" s="1"/>
  <c r="M109" i="139"/>
  <c r="B109" i="139" s="1"/>
  <c r="N109" i="139"/>
  <c r="C109" i="139" s="1"/>
  <c r="O109" i="139"/>
  <c r="D109" i="139" s="1"/>
  <c r="E110" i="133" s="1"/>
  <c r="R109" i="139"/>
  <c r="T109" i="139"/>
  <c r="I109" i="139" s="1"/>
  <c r="J110" i="133" s="1"/>
  <c r="U109" i="139"/>
  <c r="J109" i="139" s="1"/>
  <c r="K110" i="133" s="1"/>
  <c r="L110" i="139"/>
  <c r="A110" i="139" s="1"/>
  <c r="M110" i="139"/>
  <c r="B110" i="139" s="1"/>
  <c r="N110" i="139"/>
  <c r="C110" i="139" s="1"/>
  <c r="O110" i="139"/>
  <c r="D110" i="139" s="1"/>
  <c r="E111" i="133" s="1"/>
  <c r="R110" i="139"/>
  <c r="T110" i="139"/>
  <c r="I110" i="139" s="1"/>
  <c r="J111" i="133" s="1"/>
  <c r="U110" i="139"/>
  <c r="J110" i="139" s="1"/>
  <c r="K111" i="133" s="1"/>
  <c r="L111" i="139"/>
  <c r="A111" i="139" s="1"/>
  <c r="B112" i="133" s="1"/>
  <c r="M111" i="139"/>
  <c r="B111" i="139" s="1"/>
  <c r="C112" i="133" s="1"/>
  <c r="N111" i="139"/>
  <c r="C111" i="139" s="1"/>
  <c r="D112" i="133" s="1"/>
  <c r="O111" i="139"/>
  <c r="D111" i="139" s="1"/>
  <c r="E112" i="133" s="1"/>
  <c r="R111" i="139"/>
  <c r="T111" i="139"/>
  <c r="I111" i="139" s="1"/>
  <c r="J112" i="133" s="1"/>
  <c r="U111" i="139"/>
  <c r="J111" i="139" s="1"/>
  <c r="K112" i="133" s="1"/>
  <c r="L112" i="139"/>
  <c r="A112" i="139" s="1"/>
  <c r="M112" i="139"/>
  <c r="B112" i="139" s="1"/>
  <c r="N112" i="139"/>
  <c r="C112" i="139" s="1"/>
  <c r="O112" i="139"/>
  <c r="D112" i="139" s="1"/>
  <c r="E113" i="133" s="1"/>
  <c r="R112" i="139"/>
  <c r="T112" i="139"/>
  <c r="I112" i="139" s="1"/>
  <c r="J113" i="133" s="1"/>
  <c r="U112" i="139"/>
  <c r="J112" i="139" s="1"/>
  <c r="K113" i="133" s="1"/>
  <c r="L113" i="139"/>
  <c r="A113" i="139" s="1"/>
  <c r="M113" i="139"/>
  <c r="B113" i="139" s="1"/>
  <c r="N113" i="139"/>
  <c r="C113" i="139" s="1"/>
  <c r="O113" i="139"/>
  <c r="D113" i="139" s="1"/>
  <c r="E114" i="133" s="1"/>
  <c r="R113" i="139"/>
  <c r="T113" i="139"/>
  <c r="I113" i="139" s="1"/>
  <c r="J114" i="133" s="1"/>
  <c r="U113" i="139"/>
  <c r="J113" i="139" s="1"/>
  <c r="K114" i="133" s="1"/>
  <c r="L114" i="139"/>
  <c r="A114" i="139" s="1"/>
  <c r="M114" i="139"/>
  <c r="B114" i="139" s="1"/>
  <c r="N114" i="139"/>
  <c r="C114" i="139" s="1"/>
  <c r="O114" i="139"/>
  <c r="D114" i="139" s="1"/>
  <c r="E115" i="133" s="1"/>
  <c r="R114" i="139"/>
  <c r="T114" i="139"/>
  <c r="I114" i="139" s="1"/>
  <c r="J115" i="133" s="1"/>
  <c r="U114" i="139"/>
  <c r="J114" i="139" s="1"/>
  <c r="K115" i="133" s="1"/>
  <c r="L115" i="139"/>
  <c r="A115" i="139" s="1"/>
  <c r="B116" i="133" s="1"/>
  <c r="M115" i="139"/>
  <c r="B115" i="139" s="1"/>
  <c r="C116" i="133" s="1"/>
  <c r="N115" i="139"/>
  <c r="C115" i="139" s="1"/>
  <c r="D116" i="133" s="1"/>
  <c r="O115" i="139"/>
  <c r="D115" i="139" s="1"/>
  <c r="E116" i="133" s="1"/>
  <c r="R115" i="139"/>
  <c r="T115" i="139"/>
  <c r="I115" i="139" s="1"/>
  <c r="J116" i="133" s="1"/>
  <c r="U115" i="139"/>
  <c r="J115" i="139" s="1"/>
  <c r="K116" i="133" s="1"/>
  <c r="L116" i="139"/>
  <c r="A116" i="139" s="1"/>
  <c r="M116" i="139"/>
  <c r="B116" i="139" s="1"/>
  <c r="N116" i="139"/>
  <c r="C116" i="139" s="1"/>
  <c r="O116" i="139"/>
  <c r="D116" i="139" s="1"/>
  <c r="E117" i="133" s="1"/>
  <c r="R116" i="139"/>
  <c r="T116" i="139"/>
  <c r="I116" i="139" s="1"/>
  <c r="J117" i="133" s="1"/>
  <c r="U116" i="139"/>
  <c r="J116" i="139" s="1"/>
  <c r="K117" i="133" s="1"/>
  <c r="L117" i="139"/>
  <c r="A117" i="139" s="1"/>
  <c r="M117" i="139"/>
  <c r="B117" i="139" s="1"/>
  <c r="N117" i="139"/>
  <c r="C117" i="139" s="1"/>
  <c r="O117" i="139"/>
  <c r="D117" i="139" s="1"/>
  <c r="E118" i="133" s="1"/>
  <c r="R117" i="139"/>
  <c r="T117" i="139"/>
  <c r="I117" i="139" s="1"/>
  <c r="J118" i="133" s="1"/>
  <c r="U117" i="139"/>
  <c r="J117" i="139" s="1"/>
  <c r="K118" i="133" s="1"/>
  <c r="L118" i="139"/>
  <c r="A118" i="139" s="1"/>
  <c r="B119" i="133" s="1"/>
  <c r="M118" i="139"/>
  <c r="B118" i="139" s="1"/>
  <c r="C119" i="133" s="1"/>
  <c r="N118" i="139"/>
  <c r="C118" i="139" s="1"/>
  <c r="D119" i="133" s="1"/>
  <c r="O118" i="139"/>
  <c r="D118" i="139" s="1"/>
  <c r="E119" i="133" s="1"/>
  <c r="R118" i="139"/>
  <c r="T118" i="139"/>
  <c r="I118" i="139" s="1"/>
  <c r="J119" i="133" s="1"/>
  <c r="U118" i="139"/>
  <c r="J118" i="139" s="1"/>
  <c r="K119" i="133" s="1"/>
  <c r="L119" i="139"/>
  <c r="A119" i="139" s="1"/>
  <c r="M119" i="139"/>
  <c r="B119" i="139" s="1"/>
  <c r="N119" i="139"/>
  <c r="C119" i="139" s="1"/>
  <c r="O119" i="139"/>
  <c r="D119" i="139" s="1"/>
  <c r="E120" i="133" s="1"/>
  <c r="R119" i="139"/>
  <c r="T119" i="139"/>
  <c r="I119" i="139" s="1"/>
  <c r="J120" i="133" s="1"/>
  <c r="U119" i="139"/>
  <c r="J119" i="139" s="1"/>
  <c r="K120" i="133" s="1"/>
  <c r="L120" i="139"/>
  <c r="A120" i="139" s="1"/>
  <c r="M120" i="139"/>
  <c r="B120" i="139" s="1"/>
  <c r="N120" i="139"/>
  <c r="C120" i="139" s="1"/>
  <c r="O120" i="139"/>
  <c r="D120" i="139" s="1"/>
  <c r="E121" i="133" s="1"/>
  <c r="R120" i="139"/>
  <c r="T120" i="139"/>
  <c r="I120" i="139" s="1"/>
  <c r="J121" i="133" s="1"/>
  <c r="U120" i="139"/>
  <c r="J120" i="139" s="1"/>
  <c r="K121" i="133" s="1"/>
  <c r="L121" i="139"/>
  <c r="A121" i="139" s="1"/>
  <c r="M121" i="139"/>
  <c r="B121" i="139" s="1"/>
  <c r="N121" i="139"/>
  <c r="C121" i="139" s="1"/>
  <c r="O121" i="139"/>
  <c r="D121" i="139" s="1"/>
  <c r="E122" i="133" s="1"/>
  <c r="R121" i="139"/>
  <c r="T121" i="139"/>
  <c r="I121" i="139" s="1"/>
  <c r="J122" i="133" s="1"/>
  <c r="U121" i="139"/>
  <c r="J121" i="139" s="1"/>
  <c r="K122" i="133" s="1"/>
  <c r="L122" i="139"/>
  <c r="A122" i="139" s="1"/>
  <c r="B123" i="133" s="1"/>
  <c r="M122" i="139"/>
  <c r="B122" i="139" s="1"/>
  <c r="C123" i="133" s="1"/>
  <c r="N122" i="139"/>
  <c r="C122" i="139" s="1"/>
  <c r="D123" i="133" s="1"/>
  <c r="O122" i="139"/>
  <c r="D122" i="139" s="1"/>
  <c r="E123" i="133" s="1"/>
  <c r="R122" i="139"/>
  <c r="T122" i="139"/>
  <c r="I122" i="139" s="1"/>
  <c r="J123" i="133" s="1"/>
  <c r="U122" i="139"/>
  <c r="J122" i="139" s="1"/>
  <c r="K123" i="133" s="1"/>
  <c r="A148" i="139"/>
  <c r="B148" i="139"/>
  <c r="C148" i="139"/>
  <c r="D148" i="139"/>
  <c r="E144" i="133" s="1"/>
  <c r="I148" i="139"/>
  <c r="J144" i="133" s="1"/>
  <c r="J148" i="139"/>
  <c r="K144" i="133" s="1"/>
  <c r="A149" i="139"/>
  <c r="B149" i="139"/>
  <c r="C149" i="139"/>
  <c r="D149" i="139"/>
  <c r="E145" i="133" s="1"/>
  <c r="I149" i="139"/>
  <c r="J145" i="133" s="1"/>
  <c r="J149" i="139"/>
  <c r="K145" i="133" s="1"/>
  <c r="A150" i="139"/>
  <c r="B150" i="139"/>
  <c r="C150" i="139"/>
  <c r="D150" i="139"/>
  <c r="E146" i="133" s="1"/>
  <c r="I150" i="139"/>
  <c r="J146" i="133" s="1"/>
  <c r="J150" i="139"/>
  <c r="K146" i="133" s="1"/>
  <c r="A151" i="139"/>
  <c r="B151" i="139"/>
  <c r="C151" i="139"/>
  <c r="D151" i="139"/>
  <c r="E147" i="133" s="1"/>
  <c r="J147" i="133"/>
  <c r="K147" i="133"/>
  <c r="A154" i="139"/>
  <c r="B154" i="139"/>
  <c r="C154" i="139"/>
  <c r="D154" i="139"/>
  <c r="E150" i="133" s="1"/>
  <c r="I154" i="139"/>
  <c r="J150" i="133" s="1"/>
  <c r="J154" i="139"/>
  <c r="K150" i="133" s="1"/>
  <c r="L123" i="139"/>
  <c r="A123" i="139" s="1"/>
  <c r="M123" i="139"/>
  <c r="B123" i="139" s="1"/>
  <c r="G25" i="171" s="1"/>
  <c r="T25" i="171" s="1"/>
  <c r="N123" i="139"/>
  <c r="C123" i="139" s="1"/>
  <c r="I25" i="171" s="1"/>
  <c r="V25" i="171" s="1"/>
  <c r="O123" i="139"/>
  <c r="D123" i="139" s="1"/>
  <c r="E151" i="133" s="1"/>
  <c r="R123" i="139"/>
  <c r="T123" i="139"/>
  <c r="I123" i="139" s="1"/>
  <c r="J151" i="133" s="1"/>
  <c r="U123" i="139"/>
  <c r="J123" i="139" s="1"/>
  <c r="K151" i="133" s="1"/>
  <c r="A155" i="139"/>
  <c r="B18" i="171" s="1"/>
  <c r="O18" i="171" s="1"/>
  <c r="B155" i="139"/>
  <c r="G18" i="171" s="1"/>
  <c r="T18" i="171" s="1"/>
  <c r="C155" i="139"/>
  <c r="I18" i="171" s="1"/>
  <c r="V18" i="171" s="1"/>
  <c r="D155" i="139"/>
  <c r="E152" i="133" s="1"/>
  <c r="I155" i="139"/>
  <c r="J152" i="133" s="1"/>
  <c r="J155" i="139"/>
  <c r="K152" i="133" s="1"/>
  <c r="L156" i="139"/>
  <c r="A156" i="139" s="1"/>
  <c r="B153" i="133" s="1"/>
  <c r="M156" i="139"/>
  <c r="B156" i="139" s="1"/>
  <c r="C153" i="133" s="1"/>
  <c r="N156" i="139"/>
  <c r="C156" i="139" s="1"/>
  <c r="D153" i="133" s="1"/>
  <c r="O156" i="139"/>
  <c r="D156" i="139" s="1"/>
  <c r="E153" i="133" s="1"/>
  <c r="R156" i="139"/>
  <c r="T156" i="139"/>
  <c r="I156" i="139" s="1"/>
  <c r="J153" i="133" s="1"/>
  <c r="U156" i="139"/>
  <c r="J156" i="139" s="1"/>
  <c r="K153" i="133" s="1"/>
  <c r="L171" i="139"/>
  <c r="A171" i="139" s="1"/>
  <c r="M171" i="139"/>
  <c r="B171" i="139" s="1"/>
  <c r="N171" i="139"/>
  <c r="C171" i="139" s="1"/>
  <c r="O171" i="139"/>
  <c r="D171" i="139" s="1"/>
  <c r="E154" i="133" s="1"/>
  <c r="R171" i="139"/>
  <c r="T171" i="139"/>
  <c r="I171" i="139" s="1"/>
  <c r="J154" i="133" s="1"/>
  <c r="U171" i="139"/>
  <c r="J171" i="139" s="1"/>
  <c r="K154" i="133" s="1"/>
  <c r="L172" i="139"/>
  <c r="A172" i="139" s="1"/>
  <c r="M172" i="139"/>
  <c r="B172" i="139" s="1"/>
  <c r="N172" i="139"/>
  <c r="C172" i="139" s="1"/>
  <c r="O172" i="139"/>
  <c r="D172" i="139" s="1"/>
  <c r="E155" i="133" s="1"/>
  <c r="R172" i="139"/>
  <c r="T172" i="139"/>
  <c r="I172" i="139" s="1"/>
  <c r="J155" i="133" s="1"/>
  <c r="U172" i="139"/>
  <c r="J172" i="139" s="1"/>
  <c r="K155" i="133" s="1"/>
  <c r="U12" i="139"/>
  <c r="J12" i="139" s="1"/>
  <c r="K12" i="133" s="1"/>
  <c r="U13" i="139"/>
  <c r="J13" i="139" s="1"/>
  <c r="K13" i="133" s="1"/>
  <c r="U15" i="139"/>
  <c r="J15" i="139" s="1"/>
  <c r="K15" i="133" s="1"/>
  <c r="U16" i="139"/>
  <c r="J16" i="139" s="1"/>
  <c r="K16" i="133" s="1"/>
  <c r="U17" i="139"/>
  <c r="J17" i="139" s="1"/>
  <c r="K17" i="133" s="1"/>
  <c r="J18" i="139"/>
  <c r="K18" i="133" s="1"/>
  <c r="J19" i="139"/>
  <c r="K19" i="133" s="1"/>
  <c r="U20" i="139"/>
  <c r="J20" i="139" s="1"/>
  <c r="K20" i="133" s="1"/>
  <c r="U21" i="139"/>
  <c r="J21" i="139" s="1"/>
  <c r="K21" i="133" s="1"/>
  <c r="U22" i="139"/>
  <c r="J22" i="139" s="1"/>
  <c r="K22" i="133" s="1"/>
  <c r="U23" i="139"/>
  <c r="J23" i="139" s="1"/>
  <c r="K23" i="133" s="1"/>
  <c r="U24" i="139"/>
  <c r="J24" i="139" s="1"/>
  <c r="K24" i="133" s="1"/>
  <c r="U25" i="139"/>
  <c r="J25" i="139" s="1"/>
  <c r="K25" i="133" s="1"/>
  <c r="U26" i="139"/>
  <c r="J26" i="139" s="1"/>
  <c r="K26" i="133" s="1"/>
  <c r="U27" i="139"/>
  <c r="J27" i="139" s="1"/>
  <c r="K27" i="133" s="1"/>
  <c r="U28" i="139"/>
  <c r="J28" i="139" s="1"/>
  <c r="K28" i="133" s="1"/>
  <c r="U29" i="139"/>
  <c r="J29" i="139" s="1"/>
  <c r="K29" i="133" s="1"/>
  <c r="U30" i="139"/>
  <c r="J30" i="139" s="1"/>
  <c r="K30" i="133" s="1"/>
  <c r="U31" i="139"/>
  <c r="J31" i="139" s="1"/>
  <c r="K31" i="133" s="1"/>
  <c r="U32" i="139"/>
  <c r="J32" i="139" s="1"/>
  <c r="K32" i="133" s="1"/>
  <c r="U33" i="139"/>
  <c r="J33" i="139" s="1"/>
  <c r="K33" i="133" s="1"/>
  <c r="U34" i="139"/>
  <c r="J34" i="139" s="1"/>
  <c r="K34" i="133" s="1"/>
  <c r="U35" i="139"/>
  <c r="J35" i="139" s="1"/>
  <c r="K35" i="133" s="1"/>
  <c r="U36" i="139"/>
  <c r="J36" i="139" s="1"/>
  <c r="K36" i="133" s="1"/>
  <c r="U11" i="139"/>
  <c r="J11" i="139" s="1"/>
  <c r="K11" i="133" s="1"/>
  <c r="Y33" i="156" l="1"/>
  <c r="Y33" i="157"/>
  <c r="Y33" i="125"/>
  <c r="Y45" i="154"/>
  <c r="Y43" i="156"/>
  <c r="Y43" i="125"/>
  <c r="Y45" i="151"/>
  <c r="Y37" i="159"/>
  <c r="Y43" i="157"/>
  <c r="Y37" i="160"/>
  <c r="Y45" i="149"/>
  <c r="Y45" i="153"/>
  <c r="Y45" i="152"/>
  <c r="Y45" i="150"/>
  <c r="Y37" i="126"/>
  <c r="Y37" i="158"/>
  <c r="Y32" i="125"/>
  <c r="Y35" i="126"/>
  <c r="Y32" i="156"/>
  <c r="Y32" i="157"/>
  <c r="Y35" i="160"/>
  <c r="Y35" i="159"/>
  <c r="Y29" i="157"/>
  <c r="Y29" i="125"/>
  <c r="Y32" i="126"/>
  <c r="Y32" i="160"/>
  <c r="Y32" i="159"/>
  <c r="Y29" i="156"/>
  <c r="Y30" i="156"/>
  <c r="Y33" i="126"/>
  <c r="Y33" i="159"/>
  <c r="Y33" i="160"/>
  <c r="Y30" i="157"/>
  <c r="Y30" i="125"/>
  <c r="O25" i="171"/>
  <c r="B25" i="171"/>
  <c r="Y31" i="157"/>
  <c r="Y31" i="125"/>
  <c r="Y34" i="160"/>
  <c r="Y34" i="159"/>
  <c r="Y31" i="156"/>
  <c r="Y34" i="126"/>
  <c r="Y20" i="126"/>
  <c r="Y20" i="159"/>
  <c r="Y20" i="160"/>
  <c r="Y20" i="158"/>
  <c r="Y19" i="160"/>
  <c r="Y19" i="159"/>
  <c r="Y19" i="126"/>
  <c r="Y19" i="158"/>
  <c r="Y17" i="159"/>
  <c r="Y17" i="126"/>
  <c r="Y17" i="160"/>
  <c r="Y17" i="158"/>
  <c r="Y16" i="159"/>
  <c r="Y16" i="160"/>
  <c r="Y16" i="126"/>
  <c r="Y16" i="158"/>
  <c r="Y15" i="126"/>
  <c r="Y15" i="159"/>
  <c r="Y15" i="160"/>
  <c r="Y15" i="158"/>
  <c r="Y14" i="160"/>
  <c r="Y14" i="126"/>
  <c r="Y14" i="159"/>
  <c r="Y14" i="158"/>
  <c r="Y12" i="160"/>
  <c r="Y12" i="126"/>
  <c r="Y12" i="159"/>
  <c r="Y11" i="160"/>
  <c r="Y11" i="126"/>
  <c r="Y11" i="159"/>
  <c r="Y10" i="159"/>
  <c r="Y10" i="160"/>
  <c r="Y10" i="126"/>
  <c r="C143" i="139"/>
  <c r="D157" i="133" s="1"/>
  <c r="B143" i="139"/>
  <c r="C157" i="133" s="1"/>
  <c r="A143" i="139"/>
  <c r="B157" i="133" s="1"/>
  <c r="J143" i="139"/>
  <c r="K157" i="133" s="1"/>
  <c r="I143" i="139"/>
  <c r="J157" i="133" s="1"/>
  <c r="D143" i="139"/>
  <c r="E157" i="133" s="1"/>
  <c r="AA29" i="168"/>
  <c r="AA29" i="130"/>
  <c r="AA29" i="169"/>
  <c r="AA23" i="130"/>
  <c r="AA23" i="168"/>
  <c r="AA23" i="169"/>
  <c r="AB20" i="130"/>
  <c r="AB20" i="169"/>
  <c r="AB20" i="168"/>
  <c r="AB16" i="130"/>
  <c r="AB16" i="169"/>
  <c r="AB16" i="168"/>
  <c r="AC34" i="169"/>
  <c r="AC34" i="130"/>
  <c r="AC34" i="168"/>
  <c r="AB31" i="130"/>
  <c r="AB31" i="168"/>
  <c r="AB31" i="169"/>
  <c r="AA30" i="169"/>
  <c r="AA30" i="130"/>
  <c r="AA30" i="168"/>
  <c r="AC28" i="130"/>
  <c r="AC28" i="168"/>
  <c r="AC28" i="169"/>
  <c r="AA26" i="130"/>
  <c r="AA26" i="168"/>
  <c r="AA26" i="169"/>
  <c r="AC22" i="169"/>
  <c r="AC22" i="130"/>
  <c r="AC22" i="168"/>
  <c r="AA20" i="169"/>
  <c r="AA20" i="130"/>
  <c r="AA20" i="168"/>
  <c r="AB17" i="130"/>
  <c r="AB17" i="168"/>
  <c r="AB17" i="169"/>
  <c r="AA16" i="169"/>
  <c r="AA16" i="130"/>
  <c r="AA16" i="168"/>
  <c r="AB11" i="169"/>
  <c r="AB11" i="130"/>
  <c r="AB11" i="168"/>
  <c r="AA10" i="168"/>
  <c r="AA10" i="130"/>
  <c r="AA10" i="169"/>
  <c r="AA36" i="130"/>
  <c r="AA36" i="168"/>
  <c r="AA36" i="169"/>
  <c r="AC31" i="130"/>
  <c r="AC31" i="168"/>
  <c r="AC31" i="169"/>
  <c r="AB30" i="130"/>
  <c r="AB30" i="168"/>
  <c r="AB30" i="169"/>
  <c r="AB26" i="169"/>
  <c r="AB26" i="168"/>
  <c r="AB26" i="130"/>
  <c r="AA19" i="169"/>
  <c r="AA19" i="130"/>
  <c r="AA19" i="168"/>
  <c r="AC17" i="168"/>
  <c r="AC17" i="169"/>
  <c r="AC17" i="130"/>
  <c r="AA15" i="169"/>
  <c r="AA15" i="168"/>
  <c r="AA15" i="130"/>
  <c r="AC11" i="130"/>
  <c r="AC11" i="169"/>
  <c r="AC11" i="168"/>
  <c r="AB10" i="169"/>
  <c r="AB10" i="130"/>
  <c r="AB10" i="168"/>
  <c r="AC36" i="169"/>
  <c r="AC36" i="168"/>
  <c r="AC36" i="130"/>
  <c r="AB34" i="130"/>
  <c r="AB34" i="168"/>
  <c r="AB34" i="169"/>
  <c r="AA31" i="169"/>
  <c r="AA31" i="130"/>
  <c r="AA31" i="168"/>
  <c r="AC29" i="130"/>
  <c r="AC29" i="169"/>
  <c r="AC29" i="168"/>
  <c r="AB28" i="169"/>
  <c r="AB28" i="130"/>
  <c r="AB28" i="168"/>
  <c r="AC23" i="169"/>
  <c r="AC23" i="130"/>
  <c r="AC23" i="168"/>
  <c r="AB22" i="168"/>
  <c r="AB22" i="169"/>
  <c r="AB22" i="130"/>
  <c r="AC19" i="169"/>
  <c r="AC19" i="130"/>
  <c r="AC19" i="168"/>
  <c r="AA17" i="169"/>
  <c r="AA17" i="168"/>
  <c r="AA17" i="130"/>
  <c r="AC15" i="130"/>
  <c r="AC15" i="168"/>
  <c r="AC15" i="169"/>
  <c r="AA11" i="168"/>
  <c r="AA11" i="130"/>
  <c r="AA11" i="169"/>
  <c r="AC9" i="169"/>
  <c r="AC9" i="130"/>
  <c r="AC9" i="168"/>
  <c r="AA9" i="130"/>
  <c r="AA9" i="168"/>
  <c r="AA9" i="169"/>
  <c r="AB36" i="130"/>
  <c r="AB36" i="168"/>
  <c r="AB36" i="169"/>
  <c r="AA34" i="130"/>
  <c r="AA34" i="168"/>
  <c r="AA34" i="169"/>
  <c r="AC30" i="130"/>
  <c r="AC30" i="169"/>
  <c r="AC30" i="168"/>
  <c r="AB29" i="169"/>
  <c r="AB29" i="168"/>
  <c r="AB29" i="130"/>
  <c r="AA28" i="169"/>
  <c r="AA28" i="130"/>
  <c r="AA28" i="168"/>
  <c r="AC26" i="169"/>
  <c r="AC26" i="130"/>
  <c r="AC26" i="168"/>
  <c r="AB23" i="168"/>
  <c r="AB23" i="169"/>
  <c r="AB23" i="130"/>
  <c r="AA22" i="130"/>
  <c r="AA22" i="168"/>
  <c r="AA22" i="169"/>
  <c r="AC20" i="169"/>
  <c r="AC20" i="130"/>
  <c r="AC20" i="168"/>
  <c r="AB19" i="130"/>
  <c r="AB19" i="168"/>
  <c r="AB19" i="169"/>
  <c r="AC16" i="130"/>
  <c r="AC16" i="168"/>
  <c r="AC16" i="169"/>
  <c r="AB15" i="169"/>
  <c r="AB15" i="130"/>
  <c r="AB15" i="168"/>
  <c r="AC10" i="169"/>
  <c r="AC10" i="168"/>
  <c r="AC10" i="130"/>
  <c r="AB9" i="169"/>
  <c r="AB9" i="130"/>
  <c r="AB9" i="168"/>
  <c r="C151" i="133"/>
  <c r="AB36" i="167"/>
  <c r="B144" i="133"/>
  <c r="AA28" i="167"/>
  <c r="C121" i="133"/>
  <c r="AB23" i="167"/>
  <c r="D114" i="133"/>
  <c r="AC16" i="167"/>
  <c r="D110" i="133"/>
  <c r="AC10" i="167"/>
  <c r="B151" i="133"/>
  <c r="AA36" i="167"/>
  <c r="C146" i="133"/>
  <c r="AB30" i="167"/>
  <c r="C122" i="133"/>
  <c r="AB26" i="167"/>
  <c r="B121" i="133"/>
  <c r="AA23" i="167"/>
  <c r="C118" i="133"/>
  <c r="AB20" i="167"/>
  <c r="B117" i="133"/>
  <c r="AA19" i="167"/>
  <c r="D115" i="133"/>
  <c r="AC17" i="167"/>
  <c r="C114" i="133"/>
  <c r="AB16" i="167"/>
  <c r="B113" i="133"/>
  <c r="AA15" i="167"/>
  <c r="D111" i="133"/>
  <c r="AC11" i="167"/>
  <c r="C110" i="133"/>
  <c r="AB10" i="167"/>
  <c r="B109" i="133"/>
  <c r="AA9" i="167"/>
  <c r="D151" i="133"/>
  <c r="AC36" i="167"/>
  <c r="C150" i="133"/>
  <c r="AB34" i="167"/>
  <c r="B147" i="133"/>
  <c r="AA31" i="167"/>
  <c r="D145" i="133"/>
  <c r="AC29" i="167"/>
  <c r="C144" i="133"/>
  <c r="AB28" i="167"/>
  <c r="D121" i="133"/>
  <c r="AC23" i="167"/>
  <c r="C120" i="133"/>
  <c r="AB22" i="167"/>
  <c r="D117" i="133"/>
  <c r="AC19" i="167"/>
  <c r="B115" i="133"/>
  <c r="AA17" i="167"/>
  <c r="D113" i="133"/>
  <c r="AC15" i="167"/>
  <c r="B111" i="133"/>
  <c r="AA11" i="167"/>
  <c r="D109" i="133"/>
  <c r="AC9" i="167"/>
  <c r="D152" i="133"/>
  <c r="B150" i="133"/>
  <c r="AA34" i="167"/>
  <c r="D146" i="133"/>
  <c r="AC30" i="167"/>
  <c r="C145" i="133"/>
  <c r="AB29" i="167"/>
  <c r="D122" i="133"/>
  <c r="AC26" i="167"/>
  <c r="B120" i="133"/>
  <c r="AA22" i="167"/>
  <c r="D118" i="133"/>
  <c r="AC20" i="167"/>
  <c r="C117" i="133"/>
  <c r="AB19" i="167"/>
  <c r="C113" i="133"/>
  <c r="AB15" i="167"/>
  <c r="C109" i="133"/>
  <c r="AB9" i="167"/>
  <c r="C152" i="133"/>
  <c r="D147" i="133"/>
  <c r="AC31" i="167"/>
  <c r="B145" i="133"/>
  <c r="AA29" i="167"/>
  <c r="B152" i="133"/>
  <c r="D150" i="133"/>
  <c r="AC34" i="167"/>
  <c r="C147" i="133"/>
  <c r="AB31" i="167"/>
  <c r="B146" i="133"/>
  <c r="AA30" i="167"/>
  <c r="D144" i="133"/>
  <c r="AC28" i="167"/>
  <c r="B122" i="133"/>
  <c r="AA26" i="167"/>
  <c r="D120" i="133"/>
  <c r="AC22" i="167"/>
  <c r="B118" i="133"/>
  <c r="AA20" i="167"/>
  <c r="C115" i="133"/>
  <c r="AB17" i="167"/>
  <c r="B114" i="133"/>
  <c r="AA16" i="167"/>
  <c r="C111" i="133"/>
  <c r="AB11" i="167"/>
  <c r="B110" i="133"/>
  <c r="AA10" i="167"/>
  <c r="Z46" i="162"/>
  <c r="Z46" i="163"/>
  <c r="Z46" i="161"/>
  <c r="Z46" i="128"/>
  <c r="C155" i="133"/>
  <c r="Y43" i="155"/>
  <c r="B154" i="133"/>
  <c r="Y45" i="148"/>
  <c r="B108" i="133"/>
  <c r="C106" i="133"/>
  <c r="B105" i="133"/>
  <c r="AA29" i="165"/>
  <c r="AA29" i="166"/>
  <c r="AA29" i="129"/>
  <c r="AA29" i="164"/>
  <c r="D103" i="133"/>
  <c r="Z28" i="165"/>
  <c r="Z28" i="166"/>
  <c r="Z28" i="129"/>
  <c r="Z28" i="164"/>
  <c r="C102" i="133"/>
  <c r="Y27" i="165"/>
  <c r="Y27" i="164"/>
  <c r="Y27" i="129"/>
  <c r="Y27" i="166"/>
  <c r="B101" i="133"/>
  <c r="AA25" i="165"/>
  <c r="AA25" i="129"/>
  <c r="AA25" i="164"/>
  <c r="AA25" i="166"/>
  <c r="D99" i="133"/>
  <c r="Z24" i="165"/>
  <c r="Z24" i="166"/>
  <c r="Z24" i="164"/>
  <c r="Z24" i="129"/>
  <c r="C98" i="133"/>
  <c r="Y23" i="166"/>
  <c r="Y23" i="165"/>
  <c r="Y23" i="164"/>
  <c r="Y23" i="129"/>
  <c r="B97" i="133"/>
  <c r="AA21" i="165"/>
  <c r="AA21" i="166"/>
  <c r="AA21" i="129"/>
  <c r="AA21" i="164"/>
  <c r="D95" i="133"/>
  <c r="Z20" i="165"/>
  <c r="Z20" i="166"/>
  <c r="Z20" i="164"/>
  <c r="Z20" i="129"/>
  <c r="C94" i="133"/>
  <c r="Y19" i="165"/>
  <c r="Y19" i="164"/>
  <c r="Y19" i="166"/>
  <c r="Y19" i="129"/>
  <c r="B93" i="133"/>
  <c r="AA17" i="165"/>
  <c r="AA17" i="129"/>
  <c r="AA17" i="164"/>
  <c r="AA17" i="166"/>
  <c r="D91" i="133"/>
  <c r="Z16" i="165"/>
  <c r="Z16" i="164"/>
  <c r="Z16" i="166"/>
  <c r="Z16" i="129"/>
  <c r="C90" i="133"/>
  <c r="Y15" i="166"/>
  <c r="Y15" i="164"/>
  <c r="Y15" i="165"/>
  <c r="Y15" i="129"/>
  <c r="B89" i="133"/>
  <c r="AA13" i="165"/>
  <c r="AA13" i="166"/>
  <c r="AA13" i="129"/>
  <c r="AA13" i="164"/>
  <c r="D87" i="133"/>
  <c r="Z12" i="129"/>
  <c r="Z12" i="166"/>
  <c r="Z12" i="165"/>
  <c r="Z12" i="164"/>
  <c r="C86" i="133"/>
  <c r="Y11" i="166"/>
  <c r="Y11" i="164"/>
  <c r="Y11" i="165"/>
  <c r="Y11" i="129"/>
  <c r="B85" i="133"/>
  <c r="AA9" i="165"/>
  <c r="AA9" i="164"/>
  <c r="AA9" i="166"/>
  <c r="AA9" i="129"/>
  <c r="D83" i="133"/>
  <c r="Z37" i="162"/>
  <c r="Z37" i="163"/>
  <c r="Z37" i="128"/>
  <c r="Z37" i="161"/>
  <c r="Z33" i="155"/>
  <c r="C82" i="133"/>
  <c r="Y36" i="161"/>
  <c r="Y36" i="162"/>
  <c r="Y36" i="163"/>
  <c r="Y36" i="128"/>
  <c r="Y32" i="155"/>
  <c r="Y35" i="158"/>
  <c r="B81" i="133"/>
  <c r="AA34" i="163"/>
  <c r="AA34" i="128"/>
  <c r="AA34" i="161"/>
  <c r="AA34" i="162"/>
  <c r="AA30" i="155"/>
  <c r="AA33" i="158"/>
  <c r="D79" i="133"/>
  <c r="Z33" i="161"/>
  <c r="Z33" i="163"/>
  <c r="Z33" i="128"/>
  <c r="Z33" i="162"/>
  <c r="Z32" i="158"/>
  <c r="Z29" i="155"/>
  <c r="C78" i="133"/>
  <c r="Y32" i="162"/>
  <c r="Y32" i="163"/>
  <c r="Y32" i="128"/>
  <c r="Y32" i="161"/>
  <c r="B77" i="133"/>
  <c r="AA30" i="161"/>
  <c r="AA30" i="162"/>
  <c r="AA30" i="163"/>
  <c r="AA30" i="128"/>
  <c r="D75" i="133"/>
  <c r="Z29" i="162"/>
  <c r="Z29" i="161"/>
  <c r="Z29" i="163"/>
  <c r="Z29" i="128"/>
  <c r="C74" i="133"/>
  <c r="Y28" i="162"/>
  <c r="Y28" i="163"/>
  <c r="Y28" i="128"/>
  <c r="Y28" i="161"/>
  <c r="B73" i="133"/>
  <c r="AA26" i="161"/>
  <c r="AA26" i="162"/>
  <c r="AA26" i="163"/>
  <c r="AA26" i="128"/>
  <c r="D71" i="133"/>
  <c r="Z25" i="162"/>
  <c r="Z25" i="161"/>
  <c r="Z25" i="163"/>
  <c r="Z25" i="128"/>
  <c r="C70" i="133"/>
  <c r="Y24" i="162"/>
  <c r="Y24" i="163"/>
  <c r="Y24" i="128"/>
  <c r="Y24" i="161"/>
  <c r="B69" i="133"/>
  <c r="AA22" i="162"/>
  <c r="AA22" i="163"/>
  <c r="AA22" i="128"/>
  <c r="AA22" i="161"/>
  <c r="D67" i="133"/>
  <c r="Z21" i="162"/>
  <c r="Z21" i="163"/>
  <c r="Z21" i="128"/>
  <c r="Z21" i="161"/>
  <c r="C66" i="133"/>
  <c r="Y20" i="163"/>
  <c r="Y20" i="128"/>
  <c r="Y20" i="161"/>
  <c r="Y20" i="162"/>
  <c r="B65" i="133"/>
  <c r="AA18" i="162"/>
  <c r="AA18" i="163"/>
  <c r="AA18" i="128"/>
  <c r="AA18" i="161"/>
  <c r="D63" i="133"/>
  <c r="Z17" i="162"/>
  <c r="Z17" i="163"/>
  <c r="Z17" i="128"/>
  <c r="Z17" i="161"/>
  <c r="C62" i="133"/>
  <c r="Y16" i="163"/>
  <c r="Y16" i="128"/>
  <c r="Y16" i="161"/>
  <c r="Y16" i="162"/>
  <c r="B61" i="133"/>
  <c r="AA14" i="162"/>
  <c r="AA14" i="163"/>
  <c r="AA14" i="128"/>
  <c r="AA14" i="161"/>
  <c r="D59" i="133"/>
  <c r="Z13" i="162"/>
  <c r="Z13" i="163"/>
  <c r="Z13" i="128"/>
  <c r="Z13" i="161"/>
  <c r="C58" i="133"/>
  <c r="Y12" i="163"/>
  <c r="Y12" i="128"/>
  <c r="Y12" i="161"/>
  <c r="Y12" i="162"/>
  <c r="B57" i="133"/>
  <c r="AA10" i="162"/>
  <c r="AA10" i="163"/>
  <c r="AA10" i="128"/>
  <c r="AA10" i="161"/>
  <c r="D55" i="133"/>
  <c r="Z9" i="128"/>
  <c r="Z9" i="161"/>
  <c r="Z9" i="162"/>
  <c r="Z9" i="163"/>
  <c r="C54" i="133"/>
  <c r="D44" i="133"/>
  <c r="D42" i="133"/>
  <c r="C41" i="133"/>
  <c r="B40" i="133"/>
  <c r="AA12" i="158"/>
  <c r="D39" i="133"/>
  <c r="Z11" i="158"/>
  <c r="C38" i="133"/>
  <c r="Y10" i="158"/>
  <c r="B37" i="133"/>
  <c r="Y46" i="163"/>
  <c r="Y46" i="128"/>
  <c r="Y46" i="162"/>
  <c r="Y46" i="161"/>
  <c r="B155" i="133"/>
  <c r="D107" i="133"/>
  <c r="B106" i="133"/>
  <c r="D104" i="133"/>
  <c r="Z29" i="165"/>
  <c r="Z29" i="166"/>
  <c r="Z29" i="164"/>
  <c r="Z29" i="129"/>
  <c r="C103" i="133"/>
  <c r="Y28" i="164"/>
  <c r="Y28" i="166"/>
  <c r="Y28" i="165"/>
  <c r="Y28" i="129"/>
  <c r="B102" i="133"/>
  <c r="AA26" i="166"/>
  <c r="AA26" i="165"/>
  <c r="AA26" i="129"/>
  <c r="AA26" i="164"/>
  <c r="D100" i="133"/>
  <c r="Z25" i="165"/>
  <c r="Z25" i="166"/>
  <c r="Z25" i="129"/>
  <c r="Z25" i="164"/>
  <c r="C99" i="133"/>
  <c r="Y24" i="166"/>
  <c r="Y24" i="164"/>
  <c r="Y24" i="129"/>
  <c r="Y24" i="165"/>
  <c r="B98" i="133"/>
  <c r="AA22" i="165"/>
  <c r="AA22" i="166"/>
  <c r="AA22" i="129"/>
  <c r="AA22" i="164"/>
  <c r="D96" i="133"/>
  <c r="Z21" i="165"/>
  <c r="Z21" i="166"/>
  <c r="Z21" i="129"/>
  <c r="Z21" i="164"/>
  <c r="C95" i="133"/>
  <c r="Y20" i="164"/>
  <c r="Y20" i="129"/>
  <c r="Y20" i="166"/>
  <c r="Y20" i="165"/>
  <c r="B94" i="133"/>
  <c r="AA18" i="165"/>
  <c r="AA18" i="166"/>
  <c r="AA18" i="129"/>
  <c r="AA18" i="164"/>
  <c r="D92" i="133"/>
  <c r="Z17" i="166"/>
  <c r="Z17" i="164"/>
  <c r="Z17" i="165"/>
  <c r="Z17" i="129"/>
  <c r="C91" i="133"/>
  <c r="Y16" i="166"/>
  <c r="Y16" i="165"/>
  <c r="Y16" i="129"/>
  <c r="Y16" i="164"/>
  <c r="B90" i="133"/>
  <c r="AA14" i="165"/>
  <c r="AA14" i="166"/>
  <c r="AA14" i="129"/>
  <c r="AA14" i="164"/>
  <c r="D88" i="133"/>
  <c r="Z13" i="129"/>
  <c r="Z13" i="166"/>
  <c r="Z13" i="164"/>
  <c r="Z13" i="165"/>
  <c r="C87" i="133"/>
  <c r="Y12" i="166"/>
  <c r="Y12" i="165"/>
  <c r="Y12" i="129"/>
  <c r="Y12" i="164"/>
  <c r="B86" i="133"/>
  <c r="AA10" i="165"/>
  <c r="AA10" i="166"/>
  <c r="AA10" i="129"/>
  <c r="AA10" i="164"/>
  <c r="D84" i="133"/>
  <c r="Z9" i="165"/>
  <c r="Z9" i="129"/>
  <c r="Z9" i="166"/>
  <c r="Z9" i="164"/>
  <c r="C83" i="133"/>
  <c r="Y37" i="128"/>
  <c r="Y37" i="161"/>
  <c r="Y37" i="162"/>
  <c r="Y37" i="163"/>
  <c r="Y33" i="155"/>
  <c r="B82" i="133"/>
  <c r="AA35" i="163"/>
  <c r="AA35" i="128"/>
  <c r="AA35" i="161"/>
  <c r="AA35" i="162"/>
  <c r="AA31" i="155"/>
  <c r="AA34" i="158"/>
  <c r="D80" i="133"/>
  <c r="Z34" i="161"/>
  <c r="Z34" i="162"/>
  <c r="Z34" i="163"/>
  <c r="Z34" i="128"/>
  <c r="Z33" i="158"/>
  <c r="Z30" i="155"/>
  <c r="C79" i="133"/>
  <c r="Y33" i="162"/>
  <c r="Y33" i="161"/>
  <c r="Y33" i="163"/>
  <c r="Y33" i="128"/>
  <c r="Y32" i="158"/>
  <c r="Y29" i="155"/>
  <c r="B78" i="133"/>
  <c r="AA31" i="161"/>
  <c r="AA31" i="162"/>
  <c r="AA31" i="163"/>
  <c r="AA31" i="128"/>
  <c r="D76" i="133"/>
  <c r="Z30" i="162"/>
  <c r="Z30" i="163"/>
  <c r="Z30" i="128"/>
  <c r="Z30" i="161"/>
  <c r="C75" i="133"/>
  <c r="Y29" i="162"/>
  <c r="Y29" i="163"/>
  <c r="Y29" i="128"/>
  <c r="Y29" i="161"/>
  <c r="B74" i="133"/>
  <c r="AA27" i="161"/>
  <c r="AA27" i="162"/>
  <c r="AA27" i="163"/>
  <c r="AA27" i="128"/>
  <c r="D72" i="133"/>
  <c r="Z26" i="162"/>
  <c r="Z26" i="163"/>
  <c r="Z26" i="128"/>
  <c r="Z26" i="161"/>
  <c r="C71" i="133"/>
  <c r="Y25" i="162"/>
  <c r="Y25" i="163"/>
  <c r="Y25" i="128"/>
  <c r="Y25" i="161"/>
  <c r="B70" i="133"/>
  <c r="AA23" i="162"/>
  <c r="AA23" i="163"/>
  <c r="AA23" i="128"/>
  <c r="AA23" i="161"/>
  <c r="D68" i="133"/>
  <c r="Z22" i="162"/>
  <c r="Z22" i="163"/>
  <c r="Z22" i="128"/>
  <c r="Z22" i="161"/>
  <c r="C67" i="133"/>
  <c r="Y21" i="163"/>
  <c r="Y21" i="128"/>
  <c r="Y21" i="161"/>
  <c r="Y21" i="162"/>
  <c r="B66" i="133"/>
  <c r="AA19" i="162"/>
  <c r="AA19" i="163"/>
  <c r="AA19" i="128"/>
  <c r="AA19" i="161"/>
  <c r="D64" i="133"/>
  <c r="Z18" i="162"/>
  <c r="Z18" i="163"/>
  <c r="Z18" i="128"/>
  <c r="Z18" i="161"/>
  <c r="C63" i="133"/>
  <c r="Y17" i="163"/>
  <c r="Y17" i="128"/>
  <c r="Y17" i="161"/>
  <c r="Y17" i="162"/>
  <c r="B62" i="133"/>
  <c r="AA15" i="162"/>
  <c r="AA15" i="163"/>
  <c r="AA15" i="128"/>
  <c r="AA15" i="161"/>
  <c r="D60" i="133"/>
  <c r="Z14" i="162"/>
  <c r="Z14" i="163"/>
  <c r="Z14" i="128"/>
  <c r="Z14" i="161"/>
  <c r="C59" i="133"/>
  <c r="Y13" i="163"/>
  <c r="Y13" i="128"/>
  <c r="Y13" i="161"/>
  <c r="Y13" i="162"/>
  <c r="B58" i="133"/>
  <c r="AA11" i="162"/>
  <c r="AA11" i="163"/>
  <c r="AA11" i="128"/>
  <c r="AA11" i="161"/>
  <c r="D56" i="133"/>
  <c r="Z10" i="162"/>
  <c r="Z10" i="163"/>
  <c r="Z10" i="128"/>
  <c r="Z10" i="161"/>
  <c r="C55" i="133"/>
  <c r="Y9" i="128"/>
  <c r="Y9" i="161"/>
  <c r="Y9" i="163"/>
  <c r="Y9" i="162"/>
  <c r="B54" i="133"/>
  <c r="D45" i="133"/>
  <c r="C44" i="133"/>
  <c r="D43" i="133"/>
  <c r="C42" i="133"/>
  <c r="B41" i="133"/>
  <c r="Z12" i="158"/>
  <c r="C39" i="133"/>
  <c r="Y11" i="158"/>
  <c r="B38" i="133"/>
  <c r="AA43" i="155"/>
  <c r="D154" i="133"/>
  <c r="AA45" i="148"/>
  <c r="D108" i="133"/>
  <c r="C107" i="133"/>
  <c r="D105" i="133"/>
  <c r="C104" i="133"/>
  <c r="Y29" i="165"/>
  <c r="Y29" i="166"/>
  <c r="Y29" i="129"/>
  <c r="Y29" i="164"/>
  <c r="B103" i="133"/>
  <c r="AA27" i="166"/>
  <c r="AA27" i="165"/>
  <c r="AA27" i="129"/>
  <c r="AA27" i="164"/>
  <c r="D101" i="133"/>
  <c r="Z26" i="165"/>
  <c r="Z26" i="166"/>
  <c r="Z26" i="164"/>
  <c r="Z26" i="129"/>
  <c r="C100" i="133"/>
  <c r="Y25" i="166"/>
  <c r="Y25" i="165"/>
  <c r="Y25" i="164"/>
  <c r="Y25" i="129"/>
  <c r="B99" i="133"/>
  <c r="AA23" i="165"/>
  <c r="AA23" i="166"/>
  <c r="AA23" i="129"/>
  <c r="AA23" i="164"/>
  <c r="D97" i="133"/>
  <c r="Z22" i="165"/>
  <c r="Z22" i="166"/>
  <c r="Z22" i="129"/>
  <c r="Z22" i="164"/>
  <c r="C96" i="133"/>
  <c r="Y21" i="165"/>
  <c r="Y21" i="166"/>
  <c r="Y21" i="164"/>
  <c r="Y21" i="129"/>
  <c r="B95" i="133"/>
  <c r="AA19" i="166"/>
  <c r="AA19" i="165"/>
  <c r="AA19" i="129"/>
  <c r="AA19" i="164"/>
  <c r="D93" i="133"/>
  <c r="Z18" i="165"/>
  <c r="Z18" i="164"/>
  <c r="Z18" i="166"/>
  <c r="Z18" i="129"/>
  <c r="C92" i="133"/>
  <c r="Y17" i="166"/>
  <c r="Y17" i="164"/>
  <c r="Y17" i="165"/>
  <c r="Y17" i="129"/>
  <c r="B91" i="133"/>
  <c r="AA15" i="165"/>
  <c r="AA15" i="166"/>
  <c r="AA15" i="129"/>
  <c r="AA15" i="164"/>
  <c r="D89" i="133"/>
  <c r="Z14" i="129"/>
  <c r="Z14" i="165"/>
  <c r="Z14" i="164"/>
  <c r="Z14" i="166"/>
  <c r="C88" i="133"/>
  <c r="Y13" i="166"/>
  <c r="Y13" i="129"/>
  <c r="Y13" i="165"/>
  <c r="Y13" i="164"/>
  <c r="B87" i="133"/>
  <c r="AA11" i="165"/>
  <c r="AA11" i="129"/>
  <c r="AA11" i="166"/>
  <c r="AA11" i="164"/>
  <c r="D85" i="133"/>
  <c r="Z10" i="166"/>
  <c r="Z10" i="129"/>
  <c r="Z10" i="165"/>
  <c r="Z10" i="164"/>
  <c r="C84" i="133"/>
  <c r="Y9" i="165"/>
  <c r="Y9" i="164"/>
  <c r="Y9" i="166"/>
  <c r="Y9" i="129"/>
  <c r="B83" i="133"/>
  <c r="AA36" i="162"/>
  <c r="AA36" i="163"/>
  <c r="AA36" i="128"/>
  <c r="AA36" i="161"/>
  <c r="AA35" i="158"/>
  <c r="AA32" i="155"/>
  <c r="D81" i="133"/>
  <c r="Z35" i="128"/>
  <c r="Z35" i="161"/>
  <c r="Z35" i="163"/>
  <c r="Z35" i="162"/>
  <c r="Z34" i="158"/>
  <c r="Z31" i="155"/>
  <c r="C80" i="133"/>
  <c r="Y34" i="162"/>
  <c r="Y34" i="163"/>
  <c r="Y34" i="128"/>
  <c r="Y34" i="161"/>
  <c r="Y33" i="158"/>
  <c r="Y30" i="155"/>
  <c r="B79" i="133"/>
  <c r="AA32" i="161"/>
  <c r="AA32" i="162"/>
  <c r="AA32" i="163"/>
  <c r="AA32" i="128"/>
  <c r="D77" i="133"/>
  <c r="Z31" i="162"/>
  <c r="Z31" i="161"/>
  <c r="Z31" i="163"/>
  <c r="Z31" i="128"/>
  <c r="C76" i="133"/>
  <c r="Y30" i="162"/>
  <c r="Y30" i="163"/>
  <c r="Y30" i="128"/>
  <c r="Y30" i="161"/>
  <c r="B75" i="133"/>
  <c r="AA28" i="161"/>
  <c r="AA28" i="162"/>
  <c r="AA28" i="163"/>
  <c r="AA28" i="128"/>
  <c r="D73" i="133"/>
  <c r="Z27" i="162"/>
  <c r="Z27" i="161"/>
  <c r="Z27" i="163"/>
  <c r="Z27" i="128"/>
  <c r="C72" i="133"/>
  <c r="Y26" i="162"/>
  <c r="Y26" i="163"/>
  <c r="Y26" i="128"/>
  <c r="Y26" i="161"/>
  <c r="B71" i="133"/>
  <c r="AA24" i="161"/>
  <c r="AA24" i="162"/>
  <c r="AA24" i="163"/>
  <c r="AA24" i="128"/>
  <c r="D69" i="133"/>
  <c r="Z23" i="162"/>
  <c r="Z23" i="163"/>
  <c r="Z23" i="128"/>
  <c r="Z23" i="161"/>
  <c r="C68" i="133"/>
  <c r="Y22" i="163"/>
  <c r="Y22" i="128"/>
  <c r="Y22" i="161"/>
  <c r="Y22" i="162"/>
  <c r="B67" i="133"/>
  <c r="AA20" i="162"/>
  <c r="AA20" i="163"/>
  <c r="AA20" i="128"/>
  <c r="AA20" i="161"/>
  <c r="D65" i="133"/>
  <c r="Z19" i="162"/>
  <c r="Z19" i="163"/>
  <c r="Z19" i="128"/>
  <c r="Z19" i="161"/>
  <c r="C64" i="133"/>
  <c r="Y18" i="163"/>
  <c r="Y18" i="128"/>
  <c r="Y18" i="161"/>
  <c r="Y18" i="162"/>
  <c r="B63" i="133"/>
  <c r="AA16" i="162"/>
  <c r="AA16" i="163"/>
  <c r="AA16" i="128"/>
  <c r="AA16" i="161"/>
  <c r="D61" i="133"/>
  <c r="Z15" i="162"/>
  <c r="Z15" i="163"/>
  <c r="Z15" i="128"/>
  <c r="Z15" i="161"/>
  <c r="C60" i="133"/>
  <c r="Y14" i="163"/>
  <c r="Y14" i="128"/>
  <c r="Y14" i="161"/>
  <c r="Y14" i="162"/>
  <c r="B59" i="133"/>
  <c r="AA12" i="162"/>
  <c r="AA12" i="163"/>
  <c r="AA12" i="128"/>
  <c r="AA12" i="161"/>
  <c r="D57" i="133"/>
  <c r="Z11" i="162"/>
  <c r="Z11" i="163"/>
  <c r="Z11" i="128"/>
  <c r="Z11" i="161"/>
  <c r="C56" i="133"/>
  <c r="Y10" i="163"/>
  <c r="Y10" i="128"/>
  <c r="Y10" i="161"/>
  <c r="Y10" i="162"/>
  <c r="B55" i="133"/>
  <c r="C45" i="133"/>
  <c r="B44" i="133"/>
  <c r="C43" i="133"/>
  <c r="B42" i="133"/>
  <c r="D40" i="133"/>
  <c r="Y12" i="158"/>
  <c r="B39" i="133"/>
  <c r="AA10" i="158"/>
  <c r="D37" i="133"/>
  <c r="AA46" i="163"/>
  <c r="AA46" i="161"/>
  <c r="AA46" i="128"/>
  <c r="AA46" i="162"/>
  <c r="D155" i="133"/>
  <c r="Z43" i="155"/>
  <c r="C154" i="133"/>
  <c r="Z45" i="148"/>
  <c r="C108" i="133"/>
  <c r="B107" i="133"/>
  <c r="D106" i="133"/>
  <c r="C105" i="133"/>
  <c r="B104" i="133"/>
  <c r="AA28" i="165"/>
  <c r="AA28" i="166"/>
  <c r="AA28" i="164"/>
  <c r="AA28" i="129"/>
  <c r="D102" i="133"/>
  <c r="Z27" i="165"/>
  <c r="Z27" i="129"/>
  <c r="Z27" i="166"/>
  <c r="Z27" i="164"/>
  <c r="C101" i="133"/>
  <c r="Y26" i="166"/>
  <c r="Y26" i="164"/>
  <c r="Y26" i="129"/>
  <c r="Y26" i="165"/>
  <c r="B100" i="133"/>
  <c r="AA24" i="165"/>
  <c r="AA24" i="166"/>
  <c r="AA24" i="129"/>
  <c r="AA24" i="164"/>
  <c r="D98" i="133"/>
  <c r="Z23" i="165"/>
  <c r="Z23" i="166"/>
  <c r="Z23" i="164"/>
  <c r="Z23" i="129"/>
  <c r="C97" i="133"/>
  <c r="Y22" i="164"/>
  <c r="Y22" i="129"/>
  <c r="Y22" i="166"/>
  <c r="Y22" i="165"/>
  <c r="B96" i="133"/>
  <c r="AA20" i="165"/>
  <c r="AA20" i="166"/>
  <c r="AA20" i="129"/>
  <c r="AA20" i="164"/>
  <c r="D94" i="133"/>
  <c r="Z19" i="165"/>
  <c r="Z19" i="129"/>
  <c r="Z19" i="166"/>
  <c r="Z19" i="164"/>
  <c r="C93" i="133"/>
  <c r="Y18" i="166"/>
  <c r="Y18" i="165"/>
  <c r="Y18" i="129"/>
  <c r="Y18" i="164"/>
  <c r="B92" i="133"/>
  <c r="AA16" i="165"/>
  <c r="AA16" i="166"/>
  <c r="AA16" i="129"/>
  <c r="AA16" i="164"/>
  <c r="D90" i="133"/>
  <c r="Z15" i="166"/>
  <c r="Z15" i="164"/>
  <c r="Z15" i="165"/>
  <c r="Z15" i="129"/>
  <c r="C89" i="133"/>
  <c r="Y14" i="166"/>
  <c r="Y14" i="165"/>
  <c r="Y14" i="129"/>
  <c r="Y14" i="164"/>
  <c r="B88" i="133"/>
  <c r="AA12" i="165"/>
  <c r="AA12" i="166"/>
  <c r="AA12" i="164"/>
  <c r="AA12" i="129"/>
  <c r="D86" i="133"/>
  <c r="Z11" i="129"/>
  <c r="Z11" i="166"/>
  <c r="Z11" i="164"/>
  <c r="Z11" i="165"/>
  <c r="C85" i="133"/>
  <c r="Y10" i="165"/>
  <c r="Y10" i="129"/>
  <c r="Y10" i="166"/>
  <c r="Y10" i="164"/>
  <c r="B84" i="133"/>
  <c r="AA37" i="162"/>
  <c r="AA37" i="163"/>
  <c r="AA37" i="128"/>
  <c r="AA37" i="161"/>
  <c r="AA33" i="155"/>
  <c r="D82" i="133"/>
  <c r="Z36" i="163"/>
  <c r="Z36" i="128"/>
  <c r="Z36" i="161"/>
  <c r="Z36" i="162"/>
  <c r="Z32" i="155"/>
  <c r="Z35" i="158"/>
  <c r="C81" i="133"/>
  <c r="Y35" i="162"/>
  <c r="Y35" i="128"/>
  <c r="Y35" i="161"/>
  <c r="Y35" i="163"/>
  <c r="Y34" i="158"/>
  <c r="Y31" i="155"/>
  <c r="B80" i="133"/>
  <c r="AA33" i="163"/>
  <c r="AA33" i="128"/>
  <c r="AA33" i="161"/>
  <c r="AA33" i="162"/>
  <c r="AA29" i="155"/>
  <c r="AA32" i="158"/>
  <c r="D78" i="133"/>
  <c r="Z32" i="162"/>
  <c r="Z32" i="163"/>
  <c r="Z32" i="128"/>
  <c r="Z32" i="161"/>
  <c r="C77" i="133"/>
  <c r="Y31" i="162"/>
  <c r="Y31" i="163"/>
  <c r="Y31" i="128"/>
  <c r="Y31" i="161"/>
  <c r="B76" i="133"/>
  <c r="AA29" i="161"/>
  <c r="AA29" i="162"/>
  <c r="AA29" i="163"/>
  <c r="AA29" i="128"/>
  <c r="D74" i="133"/>
  <c r="Z28" i="162"/>
  <c r="Z28" i="163"/>
  <c r="Z28" i="128"/>
  <c r="Z28" i="161"/>
  <c r="C73" i="133"/>
  <c r="Y27" i="162"/>
  <c r="Y27" i="163"/>
  <c r="Y27" i="128"/>
  <c r="Y27" i="161"/>
  <c r="B72" i="133"/>
  <c r="AA25" i="161"/>
  <c r="AA25" i="162"/>
  <c r="AA25" i="163"/>
  <c r="AA25" i="128"/>
  <c r="D70" i="133"/>
  <c r="Z24" i="162"/>
  <c r="Z24" i="163"/>
  <c r="Z24" i="128"/>
  <c r="Z24" i="161"/>
  <c r="C69" i="133"/>
  <c r="Y23" i="163"/>
  <c r="Y23" i="128"/>
  <c r="Y23" i="161"/>
  <c r="Y23" i="162"/>
  <c r="B68" i="133"/>
  <c r="AA21" i="162"/>
  <c r="AA21" i="163"/>
  <c r="AA21" i="128"/>
  <c r="AA21" i="161"/>
  <c r="D66" i="133"/>
  <c r="Z20" i="162"/>
  <c r="Z20" i="163"/>
  <c r="Z20" i="128"/>
  <c r="Z20" i="161"/>
  <c r="C65" i="133"/>
  <c r="Y19" i="163"/>
  <c r="Y19" i="128"/>
  <c r="Y19" i="161"/>
  <c r="Y19" i="162"/>
  <c r="B64" i="133"/>
  <c r="AA17" i="162"/>
  <c r="AA17" i="163"/>
  <c r="AA17" i="128"/>
  <c r="AA17" i="161"/>
  <c r="D62" i="133"/>
  <c r="Z16" i="162"/>
  <c r="Z16" i="163"/>
  <c r="Z16" i="128"/>
  <c r="Z16" i="161"/>
  <c r="C61" i="133"/>
  <c r="Y15" i="163"/>
  <c r="Y15" i="128"/>
  <c r="Y15" i="161"/>
  <c r="Y15" i="162"/>
  <c r="B60" i="133"/>
  <c r="AA13" i="162"/>
  <c r="AA13" i="163"/>
  <c r="AA13" i="128"/>
  <c r="AA13" i="161"/>
  <c r="D58" i="133"/>
  <c r="Z12" i="162"/>
  <c r="Z12" i="163"/>
  <c r="Z12" i="128"/>
  <c r="Z12" i="161"/>
  <c r="C57" i="133"/>
  <c r="Y11" i="163"/>
  <c r="Y11" i="128"/>
  <c r="Y11" i="161"/>
  <c r="Y11" i="162"/>
  <c r="B56" i="133"/>
  <c r="AA9" i="128"/>
  <c r="AA9" i="161"/>
  <c r="AA9" i="163"/>
  <c r="AA9" i="162"/>
  <c r="D54" i="133"/>
  <c r="B45" i="133"/>
  <c r="B43" i="133"/>
  <c r="D41" i="133"/>
  <c r="C40" i="133"/>
  <c r="AA11" i="158"/>
  <c r="D38" i="133"/>
  <c r="Z10" i="158"/>
  <c r="C37" i="133"/>
  <c r="L27" i="139"/>
  <c r="A27" i="139" s="1"/>
  <c r="M27" i="139"/>
  <c r="B27" i="139" s="1"/>
  <c r="N27" i="139"/>
  <c r="C27" i="139" s="1"/>
  <c r="O27" i="139"/>
  <c r="D27" i="139" s="1"/>
  <c r="E27" i="133" s="1"/>
  <c r="R27" i="139"/>
  <c r="T27" i="139"/>
  <c r="I27" i="139" s="1"/>
  <c r="J27" i="133" s="1"/>
  <c r="L28" i="139"/>
  <c r="A28" i="139" s="1"/>
  <c r="M28" i="139"/>
  <c r="B28" i="139" s="1"/>
  <c r="N28" i="139"/>
  <c r="C28" i="139" s="1"/>
  <c r="O28" i="139"/>
  <c r="D28" i="139" s="1"/>
  <c r="E28" i="133" s="1"/>
  <c r="R28" i="139"/>
  <c r="T28" i="139"/>
  <c r="I28" i="139" s="1"/>
  <c r="J28" i="133" s="1"/>
  <c r="L29" i="139"/>
  <c r="A29" i="139" s="1"/>
  <c r="M29" i="139"/>
  <c r="B29" i="139" s="1"/>
  <c r="N29" i="139"/>
  <c r="C29" i="139" s="1"/>
  <c r="O29" i="139"/>
  <c r="D29" i="139" s="1"/>
  <c r="E29" i="133" s="1"/>
  <c r="R29" i="139"/>
  <c r="T29" i="139"/>
  <c r="I29" i="139" s="1"/>
  <c r="J29" i="133" s="1"/>
  <c r="L30" i="139"/>
  <c r="A30" i="139" s="1"/>
  <c r="M30" i="139"/>
  <c r="B30" i="139" s="1"/>
  <c r="N30" i="139"/>
  <c r="C30" i="139" s="1"/>
  <c r="O30" i="139"/>
  <c r="D30" i="139" s="1"/>
  <c r="E30" i="133" s="1"/>
  <c r="R30" i="139"/>
  <c r="T30" i="139"/>
  <c r="I30" i="139" s="1"/>
  <c r="J30" i="133" s="1"/>
  <c r="L31" i="139"/>
  <c r="A31" i="139" s="1"/>
  <c r="M31" i="139"/>
  <c r="B31" i="139" s="1"/>
  <c r="N31" i="139"/>
  <c r="C31" i="139" s="1"/>
  <c r="O31" i="139"/>
  <c r="D31" i="139" s="1"/>
  <c r="E31" i="133" s="1"/>
  <c r="R31" i="139"/>
  <c r="T31" i="139"/>
  <c r="I31" i="139" s="1"/>
  <c r="J31" i="133" s="1"/>
  <c r="L32" i="139"/>
  <c r="A32" i="139" s="1"/>
  <c r="M32" i="139"/>
  <c r="B32" i="139" s="1"/>
  <c r="N32" i="139"/>
  <c r="C32" i="139" s="1"/>
  <c r="O32" i="139"/>
  <c r="D32" i="139" s="1"/>
  <c r="E32" i="133" s="1"/>
  <c r="R32" i="139"/>
  <c r="T32" i="139"/>
  <c r="I32" i="139" s="1"/>
  <c r="J32" i="133" s="1"/>
  <c r="L33" i="139"/>
  <c r="A33" i="139" s="1"/>
  <c r="M33" i="139"/>
  <c r="B33" i="139" s="1"/>
  <c r="N33" i="139"/>
  <c r="C33" i="139" s="1"/>
  <c r="O33" i="139"/>
  <c r="D33" i="139" s="1"/>
  <c r="E33" i="133" s="1"/>
  <c r="R33" i="139"/>
  <c r="T33" i="139"/>
  <c r="I33" i="139" s="1"/>
  <c r="J33" i="133" s="1"/>
  <c r="L34" i="139"/>
  <c r="A34" i="139" s="1"/>
  <c r="M34" i="139"/>
  <c r="B34" i="139" s="1"/>
  <c r="N34" i="139"/>
  <c r="C34" i="139" s="1"/>
  <c r="O34" i="139"/>
  <c r="D34" i="139" s="1"/>
  <c r="E34" i="133" s="1"/>
  <c r="R34" i="139"/>
  <c r="T34" i="139"/>
  <c r="I34" i="139" s="1"/>
  <c r="J34" i="133" s="1"/>
  <c r="L35" i="139"/>
  <c r="A35" i="139" s="1"/>
  <c r="M35" i="139"/>
  <c r="B35" i="139" s="1"/>
  <c r="N35" i="139"/>
  <c r="C35" i="139" s="1"/>
  <c r="O35" i="139"/>
  <c r="D35" i="139" s="1"/>
  <c r="E35" i="133" s="1"/>
  <c r="R35" i="139"/>
  <c r="T35" i="139"/>
  <c r="I35" i="139" s="1"/>
  <c r="J35" i="133" s="1"/>
  <c r="L36" i="139"/>
  <c r="A36" i="139" s="1"/>
  <c r="M36" i="139"/>
  <c r="B36" i="139" s="1"/>
  <c r="N36" i="139"/>
  <c r="C36" i="139" s="1"/>
  <c r="O36" i="139"/>
  <c r="D36" i="139" s="1"/>
  <c r="E36" i="133" s="1"/>
  <c r="R36" i="139"/>
  <c r="T36" i="139"/>
  <c r="I36" i="139" s="1"/>
  <c r="J36" i="133" s="1"/>
  <c r="L24" i="139"/>
  <c r="A24" i="139" s="1"/>
  <c r="M24" i="139"/>
  <c r="B24" i="139" s="1"/>
  <c r="N24" i="139"/>
  <c r="C24" i="139" s="1"/>
  <c r="O24" i="139"/>
  <c r="D24" i="139" s="1"/>
  <c r="E24" i="133" s="1"/>
  <c r="R24" i="139"/>
  <c r="T24" i="139"/>
  <c r="I24" i="139" s="1"/>
  <c r="J24" i="133" s="1"/>
  <c r="L25" i="139"/>
  <c r="A25" i="139" s="1"/>
  <c r="M25" i="139"/>
  <c r="B25" i="139" s="1"/>
  <c r="N25" i="139"/>
  <c r="C25" i="139" s="1"/>
  <c r="O25" i="139"/>
  <c r="D25" i="139" s="1"/>
  <c r="E25" i="133" s="1"/>
  <c r="R25" i="139"/>
  <c r="T25" i="139"/>
  <c r="I25" i="139" s="1"/>
  <c r="J25" i="133" s="1"/>
  <c r="L26" i="139"/>
  <c r="A26" i="139" s="1"/>
  <c r="M26" i="139"/>
  <c r="B26" i="139" s="1"/>
  <c r="N26" i="139"/>
  <c r="C26" i="139" s="1"/>
  <c r="O26" i="139"/>
  <c r="D26" i="139" s="1"/>
  <c r="E26" i="133" s="1"/>
  <c r="R26" i="139"/>
  <c r="T26" i="139"/>
  <c r="I26" i="139" s="1"/>
  <c r="J26" i="133" s="1"/>
  <c r="L12" i="139"/>
  <c r="A12" i="139" s="1"/>
  <c r="M12" i="139"/>
  <c r="B12" i="139" s="1"/>
  <c r="N12" i="139"/>
  <c r="C12" i="139" s="1"/>
  <c r="O12" i="139"/>
  <c r="D12" i="139" s="1"/>
  <c r="E12" i="133" s="1"/>
  <c r="R12" i="139"/>
  <c r="T12" i="139"/>
  <c r="I12" i="139" s="1"/>
  <c r="J12" i="133" s="1"/>
  <c r="L13" i="139"/>
  <c r="A13" i="139" s="1"/>
  <c r="M13" i="139"/>
  <c r="B13" i="139" s="1"/>
  <c r="N13" i="139"/>
  <c r="C13" i="139" s="1"/>
  <c r="O13" i="139"/>
  <c r="D13" i="139" s="1"/>
  <c r="E13" i="133" s="1"/>
  <c r="R13" i="139"/>
  <c r="T13" i="139"/>
  <c r="I13" i="139" s="1"/>
  <c r="J13" i="133" s="1"/>
  <c r="L15" i="139"/>
  <c r="A15" i="139" s="1"/>
  <c r="M15" i="139"/>
  <c r="B15" i="139" s="1"/>
  <c r="N15" i="139"/>
  <c r="C15" i="139" s="1"/>
  <c r="O15" i="139"/>
  <c r="D15" i="139" s="1"/>
  <c r="E15" i="133" s="1"/>
  <c r="R15" i="139"/>
  <c r="T15" i="139"/>
  <c r="I15" i="139" s="1"/>
  <c r="J15" i="133" s="1"/>
  <c r="L16" i="139"/>
  <c r="A16" i="139" s="1"/>
  <c r="M16" i="139"/>
  <c r="B16" i="139" s="1"/>
  <c r="N16" i="139"/>
  <c r="C16" i="139" s="1"/>
  <c r="O16" i="139"/>
  <c r="D16" i="139" s="1"/>
  <c r="E16" i="133" s="1"/>
  <c r="R16" i="139"/>
  <c r="T16" i="139"/>
  <c r="I16" i="139" s="1"/>
  <c r="J16" i="133" s="1"/>
  <c r="L17" i="139"/>
  <c r="A17" i="139" s="1"/>
  <c r="M17" i="139"/>
  <c r="B17" i="139" s="1"/>
  <c r="N17" i="139"/>
  <c r="C17" i="139" s="1"/>
  <c r="O17" i="139"/>
  <c r="D17" i="139" s="1"/>
  <c r="E17" i="133" s="1"/>
  <c r="R17" i="139"/>
  <c r="T17" i="139"/>
  <c r="I17" i="139" s="1"/>
  <c r="J17" i="133" s="1"/>
  <c r="A18" i="139"/>
  <c r="B18" i="139"/>
  <c r="C18" i="139"/>
  <c r="D18" i="139"/>
  <c r="E18" i="133" s="1"/>
  <c r="I18" i="139"/>
  <c r="J18" i="133" s="1"/>
  <c r="A19" i="139"/>
  <c r="B19" i="139"/>
  <c r="C19" i="139"/>
  <c r="D19" i="139"/>
  <c r="E19" i="133" s="1"/>
  <c r="I19" i="139"/>
  <c r="J19" i="133" s="1"/>
  <c r="L20" i="139"/>
  <c r="A20" i="139" s="1"/>
  <c r="M20" i="139"/>
  <c r="B20" i="139" s="1"/>
  <c r="N20" i="139"/>
  <c r="C20" i="139" s="1"/>
  <c r="O20" i="139"/>
  <c r="D20" i="139" s="1"/>
  <c r="E20" i="133" s="1"/>
  <c r="R20" i="139"/>
  <c r="T20" i="139"/>
  <c r="I20" i="139" s="1"/>
  <c r="J20" i="133" s="1"/>
  <c r="L21" i="139"/>
  <c r="A21" i="139" s="1"/>
  <c r="M21" i="139"/>
  <c r="B21" i="139" s="1"/>
  <c r="N21" i="139"/>
  <c r="C21" i="139" s="1"/>
  <c r="O21" i="139"/>
  <c r="D21" i="139" s="1"/>
  <c r="E21" i="133" s="1"/>
  <c r="R21" i="139"/>
  <c r="T21" i="139"/>
  <c r="I21" i="139" s="1"/>
  <c r="J21" i="133" s="1"/>
  <c r="L22" i="139"/>
  <c r="A22" i="139" s="1"/>
  <c r="M22" i="139"/>
  <c r="B22" i="139" s="1"/>
  <c r="N22" i="139"/>
  <c r="C22" i="139" s="1"/>
  <c r="O22" i="139"/>
  <c r="D22" i="139" s="1"/>
  <c r="E22" i="133" s="1"/>
  <c r="R22" i="139"/>
  <c r="T22" i="139"/>
  <c r="I22" i="139" s="1"/>
  <c r="J22" i="133" s="1"/>
  <c r="L23" i="139"/>
  <c r="A23" i="139" s="1"/>
  <c r="M23" i="139"/>
  <c r="B23" i="139" s="1"/>
  <c r="N23" i="139"/>
  <c r="C23" i="139" s="1"/>
  <c r="O23" i="139"/>
  <c r="D23" i="139" s="1"/>
  <c r="E23" i="133" s="1"/>
  <c r="R23" i="139"/>
  <c r="T23" i="139"/>
  <c r="I23" i="139" s="1"/>
  <c r="J23" i="133" s="1"/>
  <c r="T11" i="139"/>
  <c r="I11" i="139" s="1"/>
  <c r="J11" i="133" s="1"/>
  <c r="R11" i="139"/>
  <c r="O11" i="139"/>
  <c r="D11" i="139" s="1"/>
  <c r="E11" i="133" s="1"/>
  <c r="N11" i="139"/>
  <c r="C11" i="139" s="1"/>
  <c r="M11" i="139"/>
  <c r="B11" i="139" s="1"/>
  <c r="L11" i="139"/>
  <c r="A11" i="139" s="1"/>
  <c r="W11" i="139"/>
  <c r="U10" i="139"/>
  <c r="J10" i="139" s="1"/>
  <c r="T10" i="139"/>
  <c r="I10" i="139" s="1"/>
  <c r="B4" i="139"/>
  <c r="B3" i="139"/>
  <c r="M239" i="138"/>
  <c r="K237" i="138"/>
  <c r="M238" i="138"/>
  <c r="K236" i="138"/>
  <c r="H238" i="138"/>
  <c r="M237" i="138"/>
  <c r="K235" i="138"/>
  <c r="H237" i="138"/>
  <c r="F237" i="138"/>
  <c r="K234" i="138"/>
  <c r="H236" i="138"/>
  <c r="F236" i="138"/>
  <c r="F31" i="124"/>
  <c r="F32" i="124"/>
  <c r="E33" i="124"/>
  <c r="F33" i="124"/>
  <c r="I32" i="124"/>
  <c r="B304" i="133"/>
  <c r="T81" i="130"/>
  <c r="T80" i="130"/>
  <c r="U83" i="130" s="1"/>
  <c r="AA84" i="130"/>
  <c r="Z73" i="130"/>
  <c r="Z84" i="130" s="1"/>
  <c r="T70" i="130"/>
  <c r="AA76" i="130"/>
  <c r="T69" i="130"/>
  <c r="AB75" i="130"/>
  <c r="AB64" i="130"/>
  <c r="P51" i="130"/>
  <c r="T49" i="130"/>
  <c r="T31" i="130"/>
  <c r="W24" i="130"/>
  <c r="V24" i="130"/>
  <c r="U26" i="130"/>
  <c r="S24" i="130"/>
  <c r="R24" i="130"/>
  <c r="W23" i="130"/>
  <c r="V23" i="130"/>
  <c r="S23" i="130"/>
  <c r="R23" i="130"/>
  <c r="W22" i="130"/>
  <c r="V22" i="130"/>
  <c r="S22" i="130"/>
  <c r="R22" i="130"/>
  <c r="W13" i="130"/>
  <c r="V13" i="130"/>
  <c r="U15" i="130"/>
  <c r="S13" i="130"/>
  <c r="R13" i="130"/>
  <c r="W12" i="130"/>
  <c r="V12" i="130"/>
  <c r="S12" i="130"/>
  <c r="R12" i="130"/>
  <c r="W11" i="130"/>
  <c r="V11" i="130"/>
  <c r="S11" i="130"/>
  <c r="R11" i="130"/>
  <c r="T79" i="129"/>
  <c r="T78" i="129"/>
  <c r="Z82" i="129"/>
  <c r="Y71" i="129"/>
  <c r="Y82" i="129" s="1"/>
  <c r="T68" i="129"/>
  <c r="Z74" i="129"/>
  <c r="T67" i="129"/>
  <c r="AA73" i="129"/>
  <c r="AA62" i="129"/>
  <c r="T44" i="129"/>
  <c r="C32" i="129"/>
  <c r="S30" i="129"/>
  <c r="U26" i="129"/>
  <c r="P24" i="129"/>
  <c r="P23" i="129"/>
  <c r="P22" i="129"/>
  <c r="U15" i="129"/>
  <c r="P13" i="129"/>
  <c r="P12" i="129"/>
  <c r="P11" i="129"/>
  <c r="T87" i="128"/>
  <c r="T86" i="128"/>
  <c r="Z90" i="128"/>
  <c r="Y79" i="128"/>
  <c r="Y90" i="128" s="1"/>
  <c r="T76" i="128"/>
  <c r="Z82" i="128"/>
  <c r="T75" i="128"/>
  <c r="AA81" i="128"/>
  <c r="AA70" i="128"/>
  <c r="T44" i="128"/>
  <c r="S30" i="128"/>
  <c r="U26" i="128"/>
  <c r="P14" i="128"/>
  <c r="U15" i="128"/>
  <c r="P13" i="128"/>
  <c r="P12" i="128"/>
  <c r="P11" i="128"/>
  <c r="U9" i="128"/>
  <c r="T87" i="126"/>
  <c r="T86" i="126"/>
  <c r="Z90" i="126"/>
  <c r="Y79" i="126"/>
  <c r="Y90" i="126" s="1"/>
  <c r="T76" i="126"/>
  <c r="Z82" i="126"/>
  <c r="T75" i="126"/>
  <c r="AA81" i="126"/>
  <c r="AA70" i="126"/>
  <c r="T45" i="126"/>
  <c r="O28" i="126"/>
  <c r="T98" i="125"/>
  <c r="T97" i="125"/>
  <c r="Z101" i="125"/>
  <c r="Y90" i="125"/>
  <c r="Y101" i="125" s="1"/>
  <c r="T87" i="125"/>
  <c r="Z93" i="125"/>
  <c r="T86" i="125"/>
  <c r="AA92" i="125"/>
  <c r="AA81" i="125"/>
  <c r="N81" i="125"/>
  <c r="U80" i="125"/>
  <c r="P80" i="125"/>
  <c r="T46" i="125"/>
  <c r="O31" i="125"/>
  <c r="E330" i="124"/>
  <c r="B330" i="124"/>
  <c r="I31" i="124"/>
  <c r="Y13" i="150" l="1"/>
  <c r="Y13" i="149"/>
  <c r="Y13" i="153"/>
  <c r="Y13" i="152"/>
  <c r="Y13" i="154"/>
  <c r="Y13" i="151"/>
  <c r="Y27" i="154"/>
  <c r="Y27" i="153"/>
  <c r="Y27" i="151"/>
  <c r="Y27" i="149"/>
  <c r="Y27" i="152"/>
  <c r="Y27" i="150"/>
  <c r="Y14" i="154"/>
  <c r="Y14" i="151"/>
  <c r="Y14" i="152"/>
  <c r="Y14" i="153"/>
  <c r="Y14" i="150"/>
  <c r="Y14" i="149"/>
  <c r="Y30" i="154"/>
  <c r="Y30" i="153"/>
  <c r="Y30" i="151"/>
  <c r="Y30" i="149"/>
  <c r="Y30" i="150"/>
  <c r="Y30" i="152"/>
  <c r="Y33" i="150"/>
  <c r="Y33" i="152"/>
  <c r="Y33" i="149"/>
  <c r="Y33" i="154"/>
  <c r="Y33" i="153"/>
  <c r="Y33" i="151"/>
  <c r="Y11" i="149"/>
  <c r="Y11" i="154"/>
  <c r="Y11" i="151"/>
  <c r="Y11" i="153"/>
  <c r="Y11" i="152"/>
  <c r="Y11" i="150"/>
  <c r="Y22" i="154"/>
  <c r="Y22" i="151"/>
  <c r="Y22" i="153"/>
  <c r="Y22" i="149"/>
  <c r="Y22" i="150"/>
  <c r="Y22" i="152"/>
  <c r="Y26" i="150"/>
  <c r="Y26" i="153"/>
  <c r="Y26" i="152"/>
  <c r="Y26" i="154"/>
  <c r="Y26" i="149"/>
  <c r="Y26" i="151"/>
  <c r="Y24" i="152"/>
  <c r="Y24" i="149"/>
  <c r="Y24" i="150"/>
  <c r="Y24" i="154"/>
  <c r="Y24" i="151"/>
  <c r="Y24" i="153"/>
  <c r="Y15" i="153"/>
  <c r="Y15" i="150"/>
  <c r="Y15" i="149"/>
  <c r="Y15" i="154"/>
  <c r="Y15" i="152"/>
  <c r="Y15" i="151"/>
  <c r="Y25" i="154"/>
  <c r="Y25" i="151"/>
  <c r="Y25" i="153"/>
  <c r="Y25" i="150"/>
  <c r="Y25" i="152"/>
  <c r="Y25" i="149"/>
  <c r="Y9" i="153"/>
  <c r="Y9" i="154"/>
  <c r="Y9" i="150"/>
  <c r="Y9" i="149"/>
  <c r="Y9" i="152"/>
  <c r="Y9" i="151"/>
  <c r="Y28" i="154"/>
  <c r="Y28" i="153"/>
  <c r="Y28" i="151"/>
  <c r="Y28" i="150"/>
  <c r="Y28" i="152"/>
  <c r="Y28" i="149"/>
  <c r="Y29" i="152"/>
  <c r="Y29" i="149"/>
  <c r="Y29" i="150"/>
  <c r="Y29" i="154"/>
  <c r="Y29" i="153"/>
  <c r="Y29" i="151"/>
  <c r="Y23" i="153"/>
  <c r="Y23" i="150"/>
  <c r="Y23" i="149"/>
  <c r="Y23" i="151"/>
  <c r="Y23" i="152"/>
  <c r="Y23" i="154"/>
  <c r="AG26" i="126"/>
  <c r="AG27" i="126"/>
  <c r="AG25" i="126"/>
  <c r="AG24" i="126"/>
  <c r="Y10" i="151"/>
  <c r="Y10" i="152"/>
  <c r="Y10" i="154"/>
  <c r="Y10" i="150"/>
  <c r="Y10" i="149"/>
  <c r="Y10" i="153"/>
  <c r="Y9" i="126"/>
  <c r="Y9" i="160"/>
  <c r="Y9" i="159"/>
  <c r="Y16" i="125"/>
  <c r="Y16" i="156"/>
  <c r="Y16" i="157"/>
  <c r="Y14" i="125"/>
  <c r="Y14" i="156"/>
  <c r="Y14" i="157"/>
  <c r="Y13" i="125"/>
  <c r="Y13" i="156"/>
  <c r="Y13" i="157"/>
  <c r="Y12" i="156"/>
  <c r="Y12" i="157"/>
  <c r="Y12" i="125"/>
  <c r="Y11" i="157"/>
  <c r="Y11" i="156"/>
  <c r="Y11" i="125"/>
  <c r="Y10" i="125"/>
  <c r="Y10" i="157"/>
  <c r="Y10" i="156"/>
  <c r="Y9" i="125"/>
  <c r="Y9" i="157"/>
  <c r="Y9" i="156"/>
  <c r="AE23" i="125"/>
  <c r="AF23" i="125" s="1"/>
  <c r="AG25" i="125"/>
  <c r="AG23" i="125"/>
  <c r="AG22" i="125"/>
  <c r="AH22" i="125" s="1"/>
  <c r="AE25" i="125"/>
  <c r="AF25" i="125" s="1"/>
  <c r="AE22" i="125"/>
  <c r="AG24" i="125"/>
  <c r="AH24" i="125" s="1"/>
  <c r="AE22" i="126"/>
  <c r="AH25" i="126"/>
  <c r="AE24" i="126"/>
  <c r="AH24" i="126"/>
  <c r="AE27" i="126"/>
  <c r="AH27" i="126"/>
  <c r="AE23" i="126"/>
  <c r="AF23" i="126" s="1"/>
  <c r="AH26" i="126"/>
  <c r="U81" i="129"/>
  <c r="U78" i="128"/>
  <c r="U77" i="128"/>
  <c r="U88" i="128"/>
  <c r="U89" i="128"/>
  <c r="U71" i="130"/>
  <c r="U72" i="130"/>
  <c r="U77" i="126"/>
  <c r="U80" i="129"/>
  <c r="U82" i="130"/>
  <c r="U88" i="126"/>
  <c r="U70" i="129"/>
  <c r="U69" i="129"/>
  <c r="U100" i="125"/>
  <c r="U99" i="125"/>
  <c r="U88" i="125"/>
  <c r="U89" i="125"/>
  <c r="Z65" i="130"/>
  <c r="Z76" i="130"/>
  <c r="AG42" i="128"/>
  <c r="AG41" i="128"/>
  <c r="AG38" i="128"/>
  <c r="AB38" i="128" s="1"/>
  <c r="AJ168" i="133" s="1"/>
  <c r="AE41" i="128"/>
  <c r="AG39" i="128"/>
  <c r="Q182" i="139"/>
  <c r="F182" i="139" s="1"/>
  <c r="Q181" i="139"/>
  <c r="F181" i="139" s="1"/>
  <c r="AA35" i="167"/>
  <c r="AA35" i="130"/>
  <c r="AA35" i="168"/>
  <c r="AA35" i="169"/>
  <c r="AC35" i="167"/>
  <c r="AC35" i="169"/>
  <c r="AC35" i="168"/>
  <c r="AC35" i="130"/>
  <c r="AB35" i="167"/>
  <c r="AB35" i="130"/>
  <c r="AB35" i="169"/>
  <c r="AB35" i="168"/>
  <c r="AG42" i="130"/>
  <c r="Q158" i="139"/>
  <c r="F158" i="139" s="1"/>
  <c r="F153" i="139"/>
  <c r="Q152" i="139"/>
  <c r="F152" i="139" s="1"/>
  <c r="AE35" i="129"/>
  <c r="AG26" i="129"/>
  <c r="AE24" i="129"/>
  <c r="AE22" i="129"/>
  <c r="AG19" i="129"/>
  <c r="AE36" i="129"/>
  <c r="AE26" i="129"/>
  <c r="AG23" i="129"/>
  <c r="AE21" i="129"/>
  <c r="AE19" i="129"/>
  <c r="AG35" i="129"/>
  <c r="AG25" i="129"/>
  <c r="AE23" i="129"/>
  <c r="AG20" i="129"/>
  <c r="AE27" i="129"/>
  <c r="AE25" i="129"/>
  <c r="AG22" i="129"/>
  <c r="AE20" i="129"/>
  <c r="AG21" i="128"/>
  <c r="AG20" i="128"/>
  <c r="B23" i="133"/>
  <c r="Y27" i="148"/>
  <c r="D22" i="133"/>
  <c r="AA26" i="148"/>
  <c r="B21" i="133"/>
  <c r="Y25" i="148"/>
  <c r="D20" i="133"/>
  <c r="AA24" i="148"/>
  <c r="B19" i="133"/>
  <c r="Y23" i="148"/>
  <c r="D18" i="133"/>
  <c r="AA22" i="148"/>
  <c r="B17" i="133"/>
  <c r="Y15" i="148"/>
  <c r="B16" i="133"/>
  <c r="Y14" i="148"/>
  <c r="D15" i="133"/>
  <c r="AA13" i="148"/>
  <c r="B13" i="133"/>
  <c r="Y11" i="148"/>
  <c r="D12" i="133"/>
  <c r="AA10" i="148"/>
  <c r="B26" i="133"/>
  <c r="Y30" i="148"/>
  <c r="D25" i="133"/>
  <c r="AA29" i="148"/>
  <c r="B24" i="133"/>
  <c r="Y28" i="148"/>
  <c r="AA9" i="158"/>
  <c r="D36" i="133"/>
  <c r="Q35" i="139"/>
  <c r="F35" i="139" s="1"/>
  <c r="B35" i="133"/>
  <c r="AA16" i="155"/>
  <c r="D34" i="133"/>
  <c r="Y14" i="155"/>
  <c r="B33" i="133"/>
  <c r="AA13" i="155"/>
  <c r="D32" i="133"/>
  <c r="Y12" i="155"/>
  <c r="B31" i="133"/>
  <c r="AA11" i="155"/>
  <c r="D30" i="133"/>
  <c r="Y10" i="155"/>
  <c r="B29" i="133"/>
  <c r="AA9" i="155"/>
  <c r="D28" i="133"/>
  <c r="B27" i="133"/>
  <c r="Y33" i="148"/>
  <c r="Q171" i="139"/>
  <c r="F171" i="139" s="1"/>
  <c r="F200" i="139"/>
  <c r="G193" i="133" s="1"/>
  <c r="H193" i="133" s="1"/>
  <c r="M193" i="133" s="1"/>
  <c r="Q170" i="139"/>
  <c r="F170" i="139" s="1"/>
  <c r="Q175" i="139"/>
  <c r="F175" i="139" s="1"/>
  <c r="Q174" i="139"/>
  <c r="F174" i="139" s="1"/>
  <c r="Q177" i="139"/>
  <c r="F177" i="139" s="1"/>
  <c r="K66" i="171" s="1"/>
  <c r="Q179" i="139"/>
  <c r="F179" i="139" s="1"/>
  <c r="Q176" i="139"/>
  <c r="F176" i="139" s="1"/>
  <c r="Q180" i="139"/>
  <c r="F180" i="139" s="1"/>
  <c r="Q178" i="139"/>
  <c r="F178" i="139" s="1"/>
  <c r="K65" i="171" s="1"/>
  <c r="Q173" i="139"/>
  <c r="F173" i="139" s="1"/>
  <c r="F201" i="139"/>
  <c r="G194" i="133" s="1"/>
  <c r="H194" i="133" s="1"/>
  <c r="M194" i="133" s="1"/>
  <c r="Q186" i="139"/>
  <c r="F186" i="139" s="1"/>
  <c r="Q194" i="139"/>
  <c r="F194" i="139" s="1"/>
  <c r="K46" i="171" s="1"/>
  <c r="X46" i="171" s="1"/>
  <c r="Y46" i="171" s="1"/>
  <c r="Q198" i="139"/>
  <c r="F198" i="139" s="1"/>
  <c r="F167" i="139"/>
  <c r="Q188" i="139"/>
  <c r="F188" i="139" s="1"/>
  <c r="F169" i="139"/>
  <c r="Q162" i="139"/>
  <c r="F162" i="139" s="1"/>
  <c r="Q187" i="139"/>
  <c r="F187" i="139" s="1"/>
  <c r="F184" i="139"/>
  <c r="G167" i="133" s="1"/>
  <c r="Q185" i="139"/>
  <c r="F185" i="139" s="1"/>
  <c r="Q164" i="139"/>
  <c r="F164" i="139" s="1"/>
  <c r="Q191" i="139"/>
  <c r="F191" i="139" s="1"/>
  <c r="K43" i="171" s="1"/>
  <c r="X43" i="171" s="1"/>
  <c r="Y43" i="171" s="1"/>
  <c r="Q193" i="139"/>
  <c r="F193" i="139" s="1"/>
  <c r="K45" i="171" s="1"/>
  <c r="X45" i="171" s="1"/>
  <c r="Y45" i="171" s="1"/>
  <c r="Q160" i="139"/>
  <c r="F160" i="139" s="1"/>
  <c r="G160" i="133" s="1"/>
  <c r="F163" i="139"/>
  <c r="Q196" i="139"/>
  <c r="F196" i="139" s="1"/>
  <c r="K48" i="171" s="1"/>
  <c r="X48" i="171" s="1"/>
  <c r="Y48" i="171" s="1"/>
  <c r="Q166" i="139"/>
  <c r="F166" i="139" s="1"/>
  <c r="F161" i="139"/>
  <c r="G161" i="133" s="1"/>
  <c r="Q189" i="139"/>
  <c r="F189" i="139" s="1"/>
  <c r="Q195" i="139"/>
  <c r="F195" i="139" s="1"/>
  <c r="K47" i="171" s="1"/>
  <c r="X47" i="171" s="1"/>
  <c r="Y47" i="171" s="1"/>
  <c r="F199" i="139"/>
  <c r="Q190" i="139"/>
  <c r="F190" i="139" s="1"/>
  <c r="F165" i="139"/>
  <c r="Q197" i="139"/>
  <c r="F197" i="139" s="1"/>
  <c r="Q192" i="139"/>
  <c r="F192" i="139" s="1"/>
  <c r="K44" i="171" s="1"/>
  <c r="X44" i="171" s="1"/>
  <c r="Y44" i="171" s="1"/>
  <c r="B11" i="133"/>
  <c r="Y9" i="148"/>
  <c r="C22" i="133"/>
  <c r="Z26" i="148"/>
  <c r="C20" i="133"/>
  <c r="Z24" i="148"/>
  <c r="C18" i="133"/>
  <c r="Z22" i="148"/>
  <c r="C15" i="133"/>
  <c r="Z13" i="148"/>
  <c r="C12" i="133"/>
  <c r="Z10" i="148"/>
  <c r="C25" i="133"/>
  <c r="Z29" i="148"/>
  <c r="Z9" i="158"/>
  <c r="C36" i="133"/>
  <c r="Z16" i="155"/>
  <c r="C34" i="133"/>
  <c r="Z13" i="155"/>
  <c r="C32" i="133"/>
  <c r="Z11" i="155"/>
  <c r="C30" i="133"/>
  <c r="Z9" i="155"/>
  <c r="C28" i="133"/>
  <c r="C11" i="133"/>
  <c r="Z9" i="148"/>
  <c r="D23" i="133"/>
  <c r="AA27" i="148"/>
  <c r="B22" i="133"/>
  <c r="Y26" i="148"/>
  <c r="D21" i="133"/>
  <c r="AA25" i="148"/>
  <c r="B20" i="133"/>
  <c r="Y24" i="148"/>
  <c r="D19" i="133"/>
  <c r="AA23" i="148"/>
  <c r="B18" i="133"/>
  <c r="Y22" i="148"/>
  <c r="D17" i="133"/>
  <c r="AA15" i="148"/>
  <c r="D16" i="133"/>
  <c r="AA14" i="148"/>
  <c r="B15" i="133"/>
  <c r="Y13" i="148"/>
  <c r="D13" i="133"/>
  <c r="AA11" i="148"/>
  <c r="B12" i="133"/>
  <c r="Y10" i="148"/>
  <c r="D26" i="133"/>
  <c r="AA30" i="148"/>
  <c r="Q25" i="139"/>
  <c r="F25" i="139" s="1"/>
  <c r="B25" i="133"/>
  <c r="Y29" i="148"/>
  <c r="D24" i="133"/>
  <c r="AA28" i="148"/>
  <c r="Y9" i="158"/>
  <c r="B36" i="133"/>
  <c r="D35" i="133"/>
  <c r="Y16" i="155"/>
  <c r="B34" i="133"/>
  <c r="AA14" i="155"/>
  <c r="D33" i="133"/>
  <c r="Y13" i="155"/>
  <c r="B32" i="133"/>
  <c r="AA12" i="155"/>
  <c r="D31" i="133"/>
  <c r="Y11" i="155"/>
  <c r="B30" i="133"/>
  <c r="AA10" i="155"/>
  <c r="D29" i="133"/>
  <c r="Y9" i="155"/>
  <c r="B28" i="133"/>
  <c r="D27" i="133"/>
  <c r="AA33" i="148"/>
  <c r="D11" i="133"/>
  <c r="AA9" i="148"/>
  <c r="C23" i="133"/>
  <c r="Z27" i="148"/>
  <c r="C21" i="133"/>
  <c r="Z25" i="148"/>
  <c r="C19" i="133"/>
  <c r="Z23" i="148"/>
  <c r="C17" i="133"/>
  <c r="Z15" i="148"/>
  <c r="C16" i="133"/>
  <c r="Z14" i="148"/>
  <c r="C13" i="133"/>
  <c r="Z11" i="148"/>
  <c r="C26" i="133"/>
  <c r="Z30" i="148"/>
  <c r="C24" i="133"/>
  <c r="Z28" i="148"/>
  <c r="C35" i="133"/>
  <c r="Z14" i="155"/>
  <c r="C33" i="133"/>
  <c r="Z12" i="155"/>
  <c r="C31" i="133"/>
  <c r="Z10" i="155"/>
  <c r="C29" i="133"/>
  <c r="C27" i="133"/>
  <c r="Z33" i="148"/>
  <c r="Y71" i="126"/>
  <c r="Y82" i="126"/>
  <c r="Y74" i="129"/>
  <c r="Y71" i="128"/>
  <c r="Y82" i="128"/>
  <c r="Y82" i="125"/>
  <c r="Y93" i="125"/>
  <c r="B33" i="124"/>
  <c r="H31" i="124"/>
  <c r="E32" i="124"/>
  <c r="B32" i="124"/>
  <c r="B31" i="124"/>
  <c r="H32" i="124"/>
  <c r="E31" i="124"/>
  <c r="Q23" i="139"/>
  <c r="F23" i="139" s="1"/>
  <c r="Q21" i="139"/>
  <c r="F21" i="139" s="1"/>
  <c r="Q155" i="139"/>
  <c r="F155" i="139" s="1"/>
  <c r="K18" i="171" s="1"/>
  <c r="Q11" i="139"/>
  <c r="F11" i="139" s="1"/>
  <c r="Q17" i="139"/>
  <c r="F17" i="139" s="1"/>
  <c r="Q33" i="139"/>
  <c r="F33" i="139" s="1"/>
  <c r="Q120" i="139"/>
  <c r="F120" i="139" s="1"/>
  <c r="Q18" i="139"/>
  <c r="F18" i="139" s="1"/>
  <c r="Q16" i="139"/>
  <c r="F16" i="139" s="1"/>
  <c r="Q13" i="139"/>
  <c r="F13" i="139" s="1"/>
  <c r="Q31" i="139"/>
  <c r="F31" i="139" s="1"/>
  <c r="Q29" i="139"/>
  <c r="F29" i="139" s="1"/>
  <c r="Q118" i="139"/>
  <c r="F118" i="139" s="1"/>
  <c r="G119" i="133" s="1"/>
  <c r="Q24" i="139"/>
  <c r="F24" i="139" s="1"/>
  <c r="Q113" i="139"/>
  <c r="F113" i="139" s="1"/>
  <c r="Q154" i="139"/>
  <c r="F154" i="139" s="1"/>
  <c r="Q26" i="139"/>
  <c r="F26" i="139" s="1"/>
  <c r="Q36" i="139"/>
  <c r="F36" i="139" s="1"/>
  <c r="Q32" i="139"/>
  <c r="F32" i="139" s="1"/>
  <c r="Q117" i="139"/>
  <c r="F117" i="139" s="1"/>
  <c r="F151" i="139"/>
  <c r="F149" i="139"/>
  <c r="Q115" i="139"/>
  <c r="F115" i="139" s="1"/>
  <c r="G116" i="133" s="1"/>
  <c r="Q157" i="139"/>
  <c r="F157" i="139" s="1"/>
  <c r="G156" i="133" s="1"/>
  <c r="Q143" i="139"/>
  <c r="Q159" i="139"/>
  <c r="F159" i="139" s="1"/>
  <c r="G159" i="133" s="1"/>
  <c r="Q37" i="139"/>
  <c r="F37" i="139" s="1"/>
  <c r="Q38" i="139"/>
  <c r="F38" i="139" s="1"/>
  <c r="Q39" i="139"/>
  <c r="F39" i="139" s="1"/>
  <c r="Q40" i="139"/>
  <c r="F40" i="139" s="1"/>
  <c r="Q41" i="139"/>
  <c r="F41" i="139" s="1"/>
  <c r="Q42" i="139"/>
  <c r="F42" i="139" s="1"/>
  <c r="Q43" i="139"/>
  <c r="F43" i="139" s="1"/>
  <c r="Q44" i="139"/>
  <c r="F44" i="139" s="1"/>
  <c r="Q45" i="139"/>
  <c r="F45" i="139" s="1"/>
  <c r="Q46" i="139"/>
  <c r="F46" i="139" s="1"/>
  <c r="G46" i="133" s="1"/>
  <c r="M46" i="133" s="1"/>
  <c r="H46" i="133" s="1"/>
  <c r="Q54" i="139"/>
  <c r="F54" i="139" s="1"/>
  <c r="Q55" i="139"/>
  <c r="F55" i="139" s="1"/>
  <c r="Q56" i="139"/>
  <c r="F56" i="139" s="1"/>
  <c r="Q57" i="139"/>
  <c r="F57" i="139" s="1"/>
  <c r="Q58" i="139"/>
  <c r="F58" i="139" s="1"/>
  <c r="Q59" i="139"/>
  <c r="F59" i="139" s="1"/>
  <c r="Q60" i="139"/>
  <c r="F60" i="139" s="1"/>
  <c r="Q61" i="139"/>
  <c r="F61" i="139" s="1"/>
  <c r="Q62" i="139"/>
  <c r="F62" i="139" s="1"/>
  <c r="Q63" i="139"/>
  <c r="F63" i="139" s="1"/>
  <c r="Q64" i="139"/>
  <c r="F64" i="139" s="1"/>
  <c r="Q65" i="139"/>
  <c r="F65" i="139" s="1"/>
  <c r="Q66" i="139"/>
  <c r="F66" i="139" s="1"/>
  <c r="Q67" i="139"/>
  <c r="F67" i="139" s="1"/>
  <c r="Q68" i="139"/>
  <c r="F68" i="139" s="1"/>
  <c r="Q69" i="139"/>
  <c r="F69" i="139" s="1"/>
  <c r="Q70" i="139"/>
  <c r="F70" i="139" s="1"/>
  <c r="Q71" i="139"/>
  <c r="F71" i="139" s="1"/>
  <c r="Q72" i="139"/>
  <c r="F72" i="139" s="1"/>
  <c r="Q73" i="139"/>
  <c r="F73" i="139" s="1"/>
  <c r="Q74" i="139"/>
  <c r="F74" i="139" s="1"/>
  <c r="Q75" i="139"/>
  <c r="F75" i="139" s="1"/>
  <c r="Q76" i="139"/>
  <c r="F76" i="139" s="1"/>
  <c r="Q77" i="139"/>
  <c r="F77" i="139" s="1"/>
  <c r="Q78" i="139"/>
  <c r="F78" i="139" s="1"/>
  <c r="Q79" i="139"/>
  <c r="F79" i="139" s="1"/>
  <c r="Q80" i="139"/>
  <c r="F80" i="139" s="1"/>
  <c r="Q81" i="139"/>
  <c r="F81" i="139" s="1"/>
  <c r="Q82" i="139"/>
  <c r="F82" i="139" s="1"/>
  <c r="Q83" i="139"/>
  <c r="F83" i="139" s="1"/>
  <c r="Q84" i="139"/>
  <c r="F84" i="139" s="1"/>
  <c r="Q85" i="139"/>
  <c r="F85" i="139" s="1"/>
  <c r="Q86" i="139"/>
  <c r="F86" i="139" s="1"/>
  <c r="Q87" i="139"/>
  <c r="F87" i="139" s="1"/>
  <c r="Q88" i="139"/>
  <c r="F88" i="139" s="1"/>
  <c r="Q89" i="139"/>
  <c r="F89" i="139" s="1"/>
  <c r="Q90" i="139"/>
  <c r="F90" i="139" s="1"/>
  <c r="Q91" i="139"/>
  <c r="F91" i="139" s="1"/>
  <c r="Q92" i="139"/>
  <c r="F92" i="139" s="1"/>
  <c r="Q93" i="139"/>
  <c r="F93" i="139" s="1"/>
  <c r="Q94" i="139"/>
  <c r="F94" i="139" s="1"/>
  <c r="Q95" i="139"/>
  <c r="F95" i="139" s="1"/>
  <c r="Q96" i="139"/>
  <c r="F96" i="139" s="1"/>
  <c r="Q97" i="139"/>
  <c r="F97" i="139" s="1"/>
  <c r="Q98" i="139"/>
  <c r="F98" i="139" s="1"/>
  <c r="Q99" i="139"/>
  <c r="F99" i="139" s="1"/>
  <c r="Q100" i="139"/>
  <c r="F100" i="139" s="1"/>
  <c r="Q101" i="139"/>
  <c r="F101" i="139" s="1"/>
  <c r="Q102" i="139"/>
  <c r="F102" i="139" s="1"/>
  <c r="Q103" i="139"/>
  <c r="F103" i="139" s="1"/>
  <c r="Q104" i="139"/>
  <c r="F104" i="139" s="1"/>
  <c r="K15" i="171" s="1"/>
  <c r="Q105" i="139"/>
  <c r="F105" i="139" s="1"/>
  <c r="K16" i="171" s="1"/>
  <c r="Q168" i="139"/>
  <c r="F168" i="139" s="1"/>
  <c r="Q106" i="139"/>
  <c r="F106" i="139" s="1"/>
  <c r="Q107" i="139"/>
  <c r="F107" i="139" s="1"/>
  <c r="Q108" i="139"/>
  <c r="F108" i="139" s="1"/>
  <c r="Q109" i="139"/>
  <c r="F109" i="139" s="1"/>
  <c r="Q110" i="139"/>
  <c r="F110" i="139" s="1"/>
  <c r="Q111" i="139"/>
  <c r="F111" i="139" s="1"/>
  <c r="G112" i="133" s="1"/>
  <c r="Q112" i="139"/>
  <c r="F112" i="139" s="1"/>
  <c r="Q22" i="139"/>
  <c r="F22" i="139" s="1"/>
  <c r="F19" i="139"/>
  <c r="Q15" i="139"/>
  <c r="F15" i="139" s="1"/>
  <c r="Q34" i="139"/>
  <c r="F34" i="139" s="1"/>
  <c r="Q30" i="139"/>
  <c r="F30" i="139" s="1"/>
  <c r="Q27" i="139"/>
  <c r="F27" i="139" s="1"/>
  <c r="Q121" i="139"/>
  <c r="F121" i="139" s="1"/>
  <c r="Q156" i="139"/>
  <c r="F156" i="139" s="1"/>
  <c r="G153" i="133" s="1"/>
  <c r="Q123" i="139"/>
  <c r="F123" i="139" s="1"/>
  <c r="K25" i="171" s="1"/>
  <c r="Q119" i="139"/>
  <c r="F119" i="139" s="1"/>
  <c r="Q114" i="139"/>
  <c r="F114" i="139" s="1"/>
  <c r="Q20" i="139"/>
  <c r="F20" i="139" s="1"/>
  <c r="Q12" i="139"/>
  <c r="F12" i="139" s="1"/>
  <c r="Q28" i="139"/>
  <c r="F28" i="139" s="1"/>
  <c r="Q150" i="139"/>
  <c r="F150" i="139" s="1"/>
  <c r="Q116" i="139"/>
  <c r="F116" i="139" s="1"/>
  <c r="Q172" i="139"/>
  <c r="F172" i="139" s="1"/>
  <c r="Q148" i="139"/>
  <c r="F148" i="139" s="1"/>
  <c r="Q122" i="139"/>
  <c r="F122" i="139" s="1"/>
  <c r="G123" i="133" s="1"/>
  <c r="M123" i="133" s="1"/>
  <c r="H123" i="133" s="1"/>
  <c r="Y66" i="129"/>
  <c r="Z66" i="129" s="1"/>
  <c r="Z68" i="130"/>
  <c r="Y74" i="126"/>
  <c r="Z74" i="126" s="1"/>
  <c r="Y74" i="128"/>
  <c r="Z74" i="128" s="1"/>
  <c r="Y85" i="125"/>
  <c r="Z85" i="125" s="1"/>
  <c r="Z72" i="130"/>
  <c r="AA72" i="130" s="1"/>
  <c r="Y70" i="129"/>
  <c r="Z70" i="129" s="1"/>
  <c r="Y78" i="128"/>
  <c r="Z78" i="128" s="1"/>
  <c r="Y89" i="125"/>
  <c r="Z89" i="125" s="1"/>
  <c r="Y78" i="126"/>
  <c r="Z78" i="126" s="1"/>
  <c r="Z71" i="130"/>
  <c r="AA71" i="130" s="1"/>
  <c r="Y69" i="129"/>
  <c r="Z69" i="129" s="1"/>
  <c r="Y77" i="128"/>
  <c r="Z77" i="128" s="1"/>
  <c r="Y77" i="126"/>
  <c r="Z77" i="126" s="1"/>
  <c r="Y88" i="125"/>
  <c r="Z88" i="125" s="1"/>
  <c r="Z69" i="130"/>
  <c r="AA69" i="130" s="1"/>
  <c r="Y67" i="129"/>
  <c r="Z67" i="129" s="1"/>
  <c r="Y75" i="126"/>
  <c r="Z75" i="126" s="1"/>
  <c r="Y75" i="128"/>
  <c r="Z75" i="128" s="1"/>
  <c r="Y86" i="125"/>
  <c r="Z86" i="125" s="1"/>
  <c r="Z70" i="130"/>
  <c r="AA70" i="130" s="1"/>
  <c r="Y68" i="129"/>
  <c r="Z68" i="129" s="1"/>
  <c r="Y76" i="128"/>
  <c r="Z76" i="128" s="1"/>
  <c r="Y76" i="126"/>
  <c r="Z76" i="126" s="1"/>
  <c r="Y87" i="125"/>
  <c r="Z87" i="125" s="1"/>
  <c r="Y63" i="129"/>
  <c r="L66" i="171" l="1"/>
  <c r="X66" i="171"/>
  <c r="Y66" i="171" s="1"/>
  <c r="X65" i="171"/>
  <c r="Y65" i="171" s="1"/>
  <c r="L65" i="171"/>
  <c r="AC33" i="157"/>
  <c r="AC33" i="125"/>
  <c r="AC33" i="156"/>
  <c r="AC13" i="157"/>
  <c r="AC13" i="125"/>
  <c r="AC13" i="156"/>
  <c r="AC16" i="125"/>
  <c r="AC16" i="157"/>
  <c r="AC16" i="156"/>
  <c r="AC9" i="126"/>
  <c r="AC9" i="159"/>
  <c r="AC9" i="160"/>
  <c r="AC25" i="152"/>
  <c r="AC25" i="151"/>
  <c r="AC25" i="150"/>
  <c r="AC25" i="154"/>
  <c r="AC25" i="153"/>
  <c r="AC25" i="149"/>
  <c r="AC27" i="150"/>
  <c r="AC27" i="154"/>
  <c r="AC27" i="153"/>
  <c r="AC27" i="149"/>
  <c r="AC27" i="152"/>
  <c r="AC27" i="151"/>
  <c r="AC30" i="152"/>
  <c r="AC30" i="151"/>
  <c r="AC30" i="150"/>
  <c r="AC30" i="154"/>
  <c r="AC30" i="153"/>
  <c r="AC30" i="149"/>
  <c r="AC23" i="150"/>
  <c r="AC23" i="154"/>
  <c r="AC23" i="149"/>
  <c r="AC23" i="153"/>
  <c r="AC23" i="152"/>
  <c r="AC23" i="151"/>
  <c r="AC20" i="160"/>
  <c r="AC20" i="159"/>
  <c r="AC20" i="126"/>
  <c r="AH20" i="126" s="1"/>
  <c r="AC20" i="158"/>
  <c r="AC29" i="149"/>
  <c r="AC29" i="152"/>
  <c r="AC29" i="151"/>
  <c r="AC29" i="150"/>
  <c r="AC29" i="154"/>
  <c r="AC29" i="153"/>
  <c r="AC15" i="151"/>
  <c r="AC15" i="152"/>
  <c r="AC15" i="150"/>
  <c r="AC15" i="154"/>
  <c r="AC15" i="153"/>
  <c r="AC15" i="149"/>
  <c r="AC9" i="153"/>
  <c r="AC9" i="149"/>
  <c r="AC9" i="151"/>
  <c r="AC9" i="152"/>
  <c r="AC9" i="150"/>
  <c r="AC9" i="154"/>
  <c r="AC26" i="151"/>
  <c r="AC26" i="150"/>
  <c r="AC26" i="154"/>
  <c r="AC26" i="153"/>
  <c r="AC26" i="149"/>
  <c r="AC26" i="152"/>
  <c r="AC10" i="156"/>
  <c r="AC10" i="125"/>
  <c r="AC10" i="157"/>
  <c r="AC12" i="156"/>
  <c r="AC12" i="125"/>
  <c r="AC12" i="157"/>
  <c r="AC9" i="156"/>
  <c r="AC9" i="125"/>
  <c r="AC9" i="157"/>
  <c r="AC11" i="151"/>
  <c r="AC11" i="152"/>
  <c r="AC11" i="150"/>
  <c r="AC11" i="154"/>
  <c r="AC11" i="153"/>
  <c r="AC11" i="149"/>
  <c r="AC12" i="159"/>
  <c r="AC12" i="160"/>
  <c r="AC12" i="126"/>
  <c r="AC14" i="149"/>
  <c r="AC14" i="153"/>
  <c r="AC14" i="151"/>
  <c r="AC14" i="152"/>
  <c r="AC14" i="150"/>
  <c r="AC14" i="154"/>
  <c r="AC33" i="151"/>
  <c r="AC33" i="150"/>
  <c r="AC33" i="154"/>
  <c r="AC33" i="153"/>
  <c r="AC33" i="149"/>
  <c r="AC33" i="152"/>
  <c r="AC11" i="156"/>
  <c r="AC11" i="157"/>
  <c r="AC11" i="125"/>
  <c r="AC13" i="149"/>
  <c r="AC13" i="150"/>
  <c r="AC13" i="154"/>
  <c r="AC13" i="153"/>
  <c r="AC13" i="151"/>
  <c r="AC13" i="152"/>
  <c r="AC28" i="154"/>
  <c r="AC28" i="153"/>
  <c r="AC28" i="149"/>
  <c r="AC28" i="152"/>
  <c r="AC28" i="151"/>
  <c r="AC28" i="150"/>
  <c r="AC16" i="126"/>
  <c r="AC16" i="160"/>
  <c r="AC16" i="159"/>
  <c r="AC16" i="158"/>
  <c r="AC11" i="159"/>
  <c r="AC11" i="160"/>
  <c r="AC11" i="126"/>
  <c r="AC22" i="150"/>
  <c r="AC22" i="154"/>
  <c r="AC22" i="153"/>
  <c r="AC22" i="149"/>
  <c r="AC22" i="151"/>
  <c r="AC22" i="152"/>
  <c r="AC19" i="126"/>
  <c r="AC19" i="159"/>
  <c r="AC19" i="160"/>
  <c r="AC19" i="158"/>
  <c r="AC17" i="126"/>
  <c r="AC17" i="160"/>
  <c r="AC17" i="159"/>
  <c r="AC17" i="158"/>
  <c r="AC15" i="126"/>
  <c r="AC15" i="159"/>
  <c r="AC15" i="160"/>
  <c r="AC15" i="158"/>
  <c r="AC14" i="126"/>
  <c r="AC14" i="159"/>
  <c r="AC14" i="160"/>
  <c r="AC14" i="158"/>
  <c r="AC10" i="126"/>
  <c r="AC10" i="160"/>
  <c r="AC10" i="159"/>
  <c r="AC10" i="152"/>
  <c r="AC10" i="151"/>
  <c r="AC10" i="150"/>
  <c r="AC10" i="154"/>
  <c r="AC10" i="153"/>
  <c r="AC10" i="149"/>
  <c r="AC24" i="153"/>
  <c r="AC24" i="149"/>
  <c r="AC24" i="152"/>
  <c r="AC24" i="151"/>
  <c r="AC24" i="150"/>
  <c r="AC24" i="154"/>
  <c r="AC14" i="157"/>
  <c r="AC14" i="125"/>
  <c r="AC14" i="156"/>
  <c r="AC37" i="126"/>
  <c r="AH37" i="126" s="1"/>
  <c r="AC45" i="153"/>
  <c r="AC43" i="125"/>
  <c r="AH43" i="125" s="1"/>
  <c r="AC45" i="149"/>
  <c r="AC43" i="157"/>
  <c r="AC45" i="151"/>
  <c r="AC37" i="160"/>
  <c r="AC37" i="159"/>
  <c r="AC45" i="152"/>
  <c r="AC43" i="156"/>
  <c r="AC45" i="150"/>
  <c r="AC45" i="154"/>
  <c r="AC37" i="158"/>
  <c r="AC37" i="154"/>
  <c r="AC37" i="151"/>
  <c r="AC37" i="149"/>
  <c r="AC37" i="152"/>
  <c r="AC37" i="153"/>
  <c r="AC37" i="150"/>
  <c r="AC36" i="150"/>
  <c r="AC36" i="154"/>
  <c r="AC36" i="152"/>
  <c r="AC36" i="151"/>
  <c r="AC36" i="153"/>
  <c r="AC36" i="149"/>
  <c r="AC43" i="151"/>
  <c r="AC43" i="153"/>
  <c r="AC43" i="149"/>
  <c r="AC43" i="154"/>
  <c r="AC43" i="150"/>
  <c r="AC43" i="152"/>
  <c r="AC42" i="150"/>
  <c r="AC42" i="152"/>
  <c r="AC42" i="153"/>
  <c r="AC42" i="151"/>
  <c r="AC42" i="154"/>
  <c r="AC42" i="149"/>
  <c r="AC35" i="160"/>
  <c r="AC35" i="159"/>
  <c r="AC32" i="156"/>
  <c r="AC35" i="126"/>
  <c r="AC32" i="125"/>
  <c r="AC32" i="157"/>
  <c r="AC31" i="125"/>
  <c r="AC31" i="156"/>
  <c r="AC31" i="157"/>
  <c r="AC34" i="126"/>
  <c r="AC34" i="159"/>
  <c r="AC34" i="160"/>
  <c r="AC30" i="125"/>
  <c r="AC33" i="160"/>
  <c r="AC30" i="157"/>
  <c r="AC30" i="156"/>
  <c r="AC33" i="126"/>
  <c r="AC33" i="159"/>
  <c r="AC32" i="126"/>
  <c r="AC32" i="159"/>
  <c r="AC29" i="156"/>
  <c r="AC29" i="125"/>
  <c r="AC29" i="157"/>
  <c r="AC32" i="160"/>
  <c r="AB22" i="125"/>
  <c r="AF22" i="125"/>
  <c r="AB23" i="125"/>
  <c r="AH23" i="125"/>
  <c r="AB25" i="125"/>
  <c r="AH25" i="125"/>
  <c r="AF27" i="126"/>
  <c r="AB27" i="126"/>
  <c r="AB24" i="126"/>
  <c r="AF24" i="126"/>
  <c r="AF22" i="126"/>
  <c r="AB23" i="129"/>
  <c r="AO97" i="133" s="1"/>
  <c r="AC38" i="175"/>
  <c r="AF38" i="175" s="1"/>
  <c r="AC38" i="176"/>
  <c r="AC38" i="177"/>
  <c r="AC40" i="175"/>
  <c r="AH40" i="175" s="1"/>
  <c r="AC40" i="177"/>
  <c r="AC40" i="176"/>
  <c r="AC41" i="175"/>
  <c r="AF41" i="175" s="1"/>
  <c r="AC41" i="176"/>
  <c r="AC41" i="177"/>
  <c r="AC43" i="175"/>
  <c r="AF43" i="175" s="1"/>
  <c r="AC43" i="176"/>
  <c r="AC43" i="177"/>
  <c r="AC39" i="175"/>
  <c r="AD39" i="175" s="1"/>
  <c r="AC39" i="176"/>
  <c r="AC39" i="177"/>
  <c r="AC42" i="175"/>
  <c r="AF42" i="175" s="1"/>
  <c r="AC42" i="177"/>
  <c r="AC42" i="176"/>
  <c r="X32" i="171"/>
  <c r="Y32" i="171" s="1"/>
  <c r="L32" i="171"/>
  <c r="F143" i="139"/>
  <c r="G157" i="133" s="1"/>
  <c r="M157" i="133" s="1"/>
  <c r="H157" i="133" s="1"/>
  <c r="K54" i="171"/>
  <c r="L54" i="171" s="1"/>
  <c r="L31" i="171"/>
  <c r="X31" i="171"/>
  <c r="Y31" i="171" s="1"/>
  <c r="AB22" i="129"/>
  <c r="AO96" i="133" s="1"/>
  <c r="AF22" i="175"/>
  <c r="AH22" i="175"/>
  <c r="AH27" i="175"/>
  <c r="AF27" i="175"/>
  <c r="AF26" i="175"/>
  <c r="AH26" i="175"/>
  <c r="AH24" i="175"/>
  <c r="AF24" i="175"/>
  <c r="AH23" i="175"/>
  <c r="AF23" i="175"/>
  <c r="AH20" i="175"/>
  <c r="AF20" i="175"/>
  <c r="AH37" i="175"/>
  <c r="AF37" i="175"/>
  <c r="AD37" i="175"/>
  <c r="AF17" i="175"/>
  <c r="AH17" i="175"/>
  <c r="AH36" i="175"/>
  <c r="AF36" i="175"/>
  <c r="AD36" i="175"/>
  <c r="AF16" i="175"/>
  <c r="AH16" i="175"/>
  <c r="AH19" i="175"/>
  <c r="AF19" i="175"/>
  <c r="AH15" i="175"/>
  <c r="AF15" i="175"/>
  <c r="AH35" i="175"/>
  <c r="AD35" i="175"/>
  <c r="AF35" i="175"/>
  <c r="AH34" i="175"/>
  <c r="AF34" i="175"/>
  <c r="AD34" i="175"/>
  <c r="AF14" i="175"/>
  <c r="AH14" i="175"/>
  <c r="AH33" i="175"/>
  <c r="AF33" i="175"/>
  <c r="AD33" i="175"/>
  <c r="AH12" i="175"/>
  <c r="AF12" i="175"/>
  <c r="AH31" i="175"/>
  <c r="AF31" i="175"/>
  <c r="AH11" i="175"/>
  <c r="AF11" i="175"/>
  <c r="AH10" i="175"/>
  <c r="AF10" i="175"/>
  <c r="AH32" i="175"/>
  <c r="AF32" i="175"/>
  <c r="AD32" i="175"/>
  <c r="AH9" i="175"/>
  <c r="AF9" i="175"/>
  <c r="AD9" i="175"/>
  <c r="AF30" i="175"/>
  <c r="AH30" i="175"/>
  <c r="AF29" i="175"/>
  <c r="AH29" i="175"/>
  <c r="AH28" i="175"/>
  <c r="AF28" i="175"/>
  <c r="G158" i="133"/>
  <c r="K26" i="171"/>
  <c r="AB20" i="129"/>
  <c r="AO94" i="133" s="1"/>
  <c r="AB25" i="129"/>
  <c r="AO99" i="133" s="1"/>
  <c r="Y73" i="130"/>
  <c r="T73" i="130" s="1"/>
  <c r="I15" i="130" s="1"/>
  <c r="AA68" i="130"/>
  <c r="L25" i="171"/>
  <c r="X25" i="171"/>
  <c r="Y25" i="171" s="1"/>
  <c r="L16" i="171"/>
  <c r="X16" i="171"/>
  <c r="Y16" i="171" s="1"/>
  <c r="L18" i="171"/>
  <c r="X18" i="171"/>
  <c r="Y18" i="171" s="1"/>
  <c r="L15" i="171"/>
  <c r="X15" i="171"/>
  <c r="Y15" i="171" s="1"/>
  <c r="L43" i="171"/>
  <c r="K40" i="171"/>
  <c r="G189" i="133"/>
  <c r="M189" i="133" s="1"/>
  <c r="H189" i="133" s="1"/>
  <c r="K60" i="171"/>
  <c r="G180" i="133"/>
  <c r="M180" i="133" s="1"/>
  <c r="H180" i="133" s="1"/>
  <c r="K49" i="171"/>
  <c r="G190" i="133"/>
  <c r="M190" i="133" s="1"/>
  <c r="H190" i="133" s="1"/>
  <c r="K61" i="171"/>
  <c r="L44" i="171"/>
  <c r="K41" i="171"/>
  <c r="L45" i="171"/>
  <c r="K42" i="171"/>
  <c r="M116" i="133"/>
  <c r="H116" i="133" s="1"/>
  <c r="M119" i="133"/>
  <c r="H119" i="133" s="1"/>
  <c r="M167" i="133"/>
  <c r="H167" i="133" s="1"/>
  <c r="M112" i="133"/>
  <c r="H112" i="133" s="1"/>
  <c r="M159" i="133"/>
  <c r="H159" i="133" s="1"/>
  <c r="M153" i="133"/>
  <c r="H153" i="133" s="1"/>
  <c r="M156" i="133"/>
  <c r="H156" i="133" s="1"/>
  <c r="M161" i="133"/>
  <c r="H161" i="133" s="1"/>
  <c r="M160" i="133"/>
  <c r="H160" i="133" s="1"/>
  <c r="AB41" i="128"/>
  <c r="AC45" i="148"/>
  <c r="AH45" i="148" s="1"/>
  <c r="AC32" i="129"/>
  <c r="K58" i="171"/>
  <c r="G182" i="133"/>
  <c r="K55" i="171"/>
  <c r="G185" i="133"/>
  <c r="G184" i="133"/>
  <c r="K57" i="171"/>
  <c r="G187" i="133"/>
  <c r="G188" i="133"/>
  <c r="K56" i="171"/>
  <c r="G183" i="133"/>
  <c r="K59" i="171"/>
  <c r="AE37" i="167"/>
  <c r="AJ37" i="167" s="1"/>
  <c r="AE30" i="168"/>
  <c r="AE30" i="169"/>
  <c r="AE30" i="130"/>
  <c r="AE29" i="168"/>
  <c r="AE29" i="130"/>
  <c r="AE29" i="169"/>
  <c r="AE33" i="169"/>
  <c r="G149" i="133"/>
  <c r="AE33" i="130"/>
  <c r="AE33" i="168"/>
  <c r="AE33" i="167"/>
  <c r="AE35" i="169"/>
  <c r="AE35" i="167"/>
  <c r="AE35" i="168"/>
  <c r="AE35" i="130"/>
  <c r="AE10" i="130"/>
  <c r="AE10" i="169"/>
  <c r="AE10" i="168"/>
  <c r="AE31" i="169"/>
  <c r="AE31" i="168"/>
  <c r="AE31" i="130"/>
  <c r="G175" i="133"/>
  <c r="AE39" i="130"/>
  <c r="AE39" i="168"/>
  <c r="AE39" i="169"/>
  <c r="G176" i="133"/>
  <c r="K38" i="171"/>
  <c r="AE43" i="168"/>
  <c r="AE43" i="169"/>
  <c r="AE43" i="130"/>
  <c r="AE37" i="169"/>
  <c r="AE37" i="130"/>
  <c r="AE37" i="168"/>
  <c r="AE28" i="130"/>
  <c r="AE28" i="168"/>
  <c r="AE28" i="169"/>
  <c r="AE36" i="130"/>
  <c r="AE36" i="168"/>
  <c r="AE36" i="169"/>
  <c r="AE11" i="169"/>
  <c r="AE11" i="168"/>
  <c r="AE11" i="130"/>
  <c r="K37" i="171"/>
  <c r="AE42" i="168"/>
  <c r="AE42" i="130"/>
  <c r="AE42" i="169"/>
  <c r="G177" i="133"/>
  <c r="L46" i="171"/>
  <c r="AE19" i="169"/>
  <c r="AE19" i="130"/>
  <c r="AE19" i="168"/>
  <c r="AE17" i="169"/>
  <c r="AE17" i="130"/>
  <c r="AE17" i="168"/>
  <c r="AE26" i="130"/>
  <c r="AE26" i="169"/>
  <c r="AE26" i="168"/>
  <c r="AE15" i="168"/>
  <c r="AE15" i="169"/>
  <c r="AE15" i="130"/>
  <c r="AE9" i="168"/>
  <c r="AE9" i="169"/>
  <c r="AE9" i="130"/>
  <c r="AE20" i="168"/>
  <c r="AE20" i="130"/>
  <c r="AE20" i="169"/>
  <c r="AE34" i="169"/>
  <c r="AE34" i="130"/>
  <c r="AE34" i="168"/>
  <c r="G178" i="133"/>
  <c r="L47" i="171"/>
  <c r="G179" i="133"/>
  <c r="L48" i="171"/>
  <c r="G174" i="133"/>
  <c r="AE44" i="168"/>
  <c r="K39" i="171"/>
  <c r="AE44" i="169"/>
  <c r="AE44" i="130"/>
  <c r="AE40" i="130"/>
  <c r="AE40" i="168"/>
  <c r="AE40" i="169"/>
  <c r="G186" i="133"/>
  <c r="AE22" i="169"/>
  <c r="AE22" i="168"/>
  <c r="AE22" i="130"/>
  <c r="AE16" i="130"/>
  <c r="AE16" i="168"/>
  <c r="AE16" i="169"/>
  <c r="AE23" i="130"/>
  <c r="AE23" i="169"/>
  <c r="AE23" i="168"/>
  <c r="AE32" i="130"/>
  <c r="AE32" i="167"/>
  <c r="G148" i="133"/>
  <c r="AE32" i="169"/>
  <c r="AE32" i="168"/>
  <c r="G154" i="133"/>
  <c r="G117" i="133"/>
  <c r="AE19" i="167"/>
  <c r="G115" i="133"/>
  <c r="AE17" i="167"/>
  <c r="G113" i="133"/>
  <c r="AE15" i="167"/>
  <c r="G118" i="133"/>
  <c r="AE20" i="167"/>
  <c r="G150" i="133"/>
  <c r="AE34" i="167"/>
  <c r="G120" i="133"/>
  <c r="AE22" i="167"/>
  <c r="G114" i="133"/>
  <c r="AE16" i="167"/>
  <c r="G152" i="133"/>
  <c r="G171" i="133"/>
  <c r="AC41" i="162"/>
  <c r="AC41" i="128"/>
  <c r="AC41" i="163"/>
  <c r="AC41" i="161"/>
  <c r="G144" i="133"/>
  <c r="AE28" i="167"/>
  <c r="G151" i="133"/>
  <c r="AE36" i="167"/>
  <c r="G111" i="133"/>
  <c r="AE11" i="167"/>
  <c r="G145" i="133"/>
  <c r="AE29" i="167"/>
  <c r="G170" i="133"/>
  <c r="AE44" i="167"/>
  <c r="AC37" i="165"/>
  <c r="AC37" i="166"/>
  <c r="AC37" i="129"/>
  <c r="AC37" i="164"/>
  <c r="AC40" i="163"/>
  <c r="AC40" i="161"/>
  <c r="AC40" i="162"/>
  <c r="AC40" i="128"/>
  <c r="AE40" i="167"/>
  <c r="AC31" i="129"/>
  <c r="G122" i="133"/>
  <c r="AE26" i="167"/>
  <c r="G109" i="133"/>
  <c r="AE9" i="167"/>
  <c r="G173" i="133"/>
  <c r="AC43" i="163"/>
  <c r="AC43" i="161"/>
  <c r="AC43" i="128"/>
  <c r="AC43" i="162"/>
  <c r="G168" i="133"/>
  <c r="AE42" i="167"/>
  <c r="AC35" i="129"/>
  <c r="AC35" i="164"/>
  <c r="AC35" i="165"/>
  <c r="AC38" i="161"/>
  <c r="AC38" i="163"/>
  <c r="AC35" i="166"/>
  <c r="AC38" i="162"/>
  <c r="AC38" i="128"/>
  <c r="G146" i="133"/>
  <c r="AE30" i="167"/>
  <c r="G121" i="133"/>
  <c r="AE23" i="167"/>
  <c r="AE39" i="167"/>
  <c r="G169" i="133"/>
  <c r="AC36" i="129"/>
  <c r="AF36" i="129" s="1"/>
  <c r="AE43" i="167"/>
  <c r="AC36" i="165"/>
  <c r="AC36" i="164"/>
  <c r="AC39" i="162"/>
  <c r="AC39" i="128"/>
  <c r="AC39" i="161"/>
  <c r="AC36" i="166"/>
  <c r="AC39" i="163"/>
  <c r="G110" i="133"/>
  <c r="AE10" i="167"/>
  <c r="G147" i="133"/>
  <c r="AE31" i="167"/>
  <c r="G172" i="133"/>
  <c r="AC42" i="162"/>
  <c r="AC42" i="128"/>
  <c r="AC42" i="163"/>
  <c r="AC42" i="161"/>
  <c r="AB26" i="129"/>
  <c r="AB35" i="129"/>
  <c r="AO168" i="133" s="1"/>
  <c r="AB19" i="129"/>
  <c r="AC9" i="155"/>
  <c r="G28" i="133"/>
  <c r="AC11" i="155"/>
  <c r="G30" i="133"/>
  <c r="G19" i="133"/>
  <c r="AC23" i="148"/>
  <c r="G107" i="133"/>
  <c r="G104" i="133"/>
  <c r="AC26" i="166"/>
  <c r="AC26" i="165"/>
  <c r="AC26" i="164"/>
  <c r="AC26" i="129"/>
  <c r="G100" i="133"/>
  <c r="AC22" i="166"/>
  <c r="AC22" i="165"/>
  <c r="AC22" i="129"/>
  <c r="AC22" i="164"/>
  <c r="G96" i="133"/>
  <c r="AC18" i="166"/>
  <c r="AC18" i="165"/>
  <c r="AC18" i="129"/>
  <c r="AC18" i="164"/>
  <c r="G92" i="133"/>
  <c r="AC14" i="166"/>
  <c r="AC14" i="165"/>
  <c r="AC14" i="129"/>
  <c r="AC14" i="164"/>
  <c r="G88" i="133"/>
  <c r="AC10" i="165"/>
  <c r="AC10" i="166"/>
  <c r="AC10" i="129"/>
  <c r="AC10" i="164"/>
  <c r="G84" i="133"/>
  <c r="AC35" i="162"/>
  <c r="AC35" i="163"/>
  <c r="AC35" i="128"/>
  <c r="AC35" i="161"/>
  <c r="AC31" i="155"/>
  <c r="AC34" i="158"/>
  <c r="G80" i="133"/>
  <c r="AC31" i="163"/>
  <c r="AC31" i="128"/>
  <c r="AC31" i="161"/>
  <c r="AC31" i="162"/>
  <c r="G76" i="133"/>
  <c r="AC27" i="163"/>
  <c r="AC27" i="128"/>
  <c r="AH27" i="128" s="1"/>
  <c r="AC27" i="161"/>
  <c r="AC27" i="162"/>
  <c r="G72" i="133"/>
  <c r="AC23" i="163"/>
  <c r="AC23" i="128"/>
  <c r="AC23" i="161"/>
  <c r="AC23" i="162"/>
  <c r="G68" i="133"/>
  <c r="AC19" i="161"/>
  <c r="AC19" i="162"/>
  <c r="AC19" i="163"/>
  <c r="AC19" i="128"/>
  <c r="G64" i="133"/>
  <c r="AC15" i="161"/>
  <c r="AC15" i="162"/>
  <c r="AC15" i="163"/>
  <c r="AC15" i="128"/>
  <c r="G60" i="133"/>
  <c r="AC11" i="161"/>
  <c r="AC11" i="162"/>
  <c r="AC11" i="163"/>
  <c r="AC11" i="128"/>
  <c r="G56" i="133"/>
  <c r="G45" i="133"/>
  <c r="G43" i="133"/>
  <c r="G13" i="133"/>
  <c r="AC11" i="148"/>
  <c r="AC14" i="155"/>
  <c r="G33" i="133"/>
  <c r="G23" i="133"/>
  <c r="AC27" i="148"/>
  <c r="G25" i="133"/>
  <c r="AC29" i="148"/>
  <c r="AC44" i="128"/>
  <c r="AC44" i="162"/>
  <c r="AC44" i="163"/>
  <c r="AC42" i="155"/>
  <c r="G166" i="133"/>
  <c r="AC44" i="148"/>
  <c r="G35" i="133"/>
  <c r="G155" i="133"/>
  <c r="AC46" i="161"/>
  <c r="AC46" i="162"/>
  <c r="AC46" i="163"/>
  <c r="AC46" i="128"/>
  <c r="G20" i="133"/>
  <c r="AC24" i="148"/>
  <c r="G15" i="133"/>
  <c r="AC13" i="148"/>
  <c r="G22" i="133"/>
  <c r="AC26" i="148"/>
  <c r="AC29" i="165"/>
  <c r="AC29" i="129"/>
  <c r="AC29" i="166"/>
  <c r="AC29" i="164"/>
  <c r="G103" i="133"/>
  <c r="AC25" i="166"/>
  <c r="AC25" i="165"/>
  <c r="AC25" i="129"/>
  <c r="AC25" i="164"/>
  <c r="G99" i="133"/>
  <c r="AC21" i="165"/>
  <c r="AC21" i="166"/>
  <c r="AC21" i="129"/>
  <c r="AF21" i="129" s="1"/>
  <c r="AC21" i="164"/>
  <c r="G95" i="133"/>
  <c r="AC17" i="166"/>
  <c r="AC17" i="165"/>
  <c r="AC17" i="129"/>
  <c r="AC17" i="164"/>
  <c r="G91" i="133"/>
  <c r="AC13" i="166"/>
  <c r="AC13" i="165"/>
  <c r="AC13" i="129"/>
  <c r="AC13" i="164"/>
  <c r="G87" i="133"/>
  <c r="AC9" i="165"/>
  <c r="AC9" i="129"/>
  <c r="AC9" i="166"/>
  <c r="AC9" i="164"/>
  <c r="G83" i="133"/>
  <c r="AC34" i="162"/>
  <c r="AC34" i="163"/>
  <c r="AC34" i="128"/>
  <c r="AC34" i="161"/>
  <c r="AC33" i="158"/>
  <c r="AC30" i="155"/>
  <c r="G79" i="133"/>
  <c r="AC30" i="163"/>
  <c r="AC30" i="128"/>
  <c r="AC30" i="161"/>
  <c r="AC30" i="162"/>
  <c r="G75" i="133"/>
  <c r="AC26" i="163"/>
  <c r="AC26" i="128"/>
  <c r="AH26" i="128" s="1"/>
  <c r="AC26" i="161"/>
  <c r="AC26" i="162"/>
  <c r="G71" i="133"/>
  <c r="AC22" i="161"/>
  <c r="AC22" i="162"/>
  <c r="AC22" i="163"/>
  <c r="AC22" i="128"/>
  <c r="G67" i="133"/>
  <c r="AC18" i="161"/>
  <c r="AC18" i="162"/>
  <c r="AC18" i="163"/>
  <c r="AC18" i="128"/>
  <c r="G63" i="133"/>
  <c r="AC14" i="161"/>
  <c r="AC14" i="162"/>
  <c r="AC14" i="163"/>
  <c r="AC14" i="128"/>
  <c r="G59" i="133"/>
  <c r="AC10" i="161"/>
  <c r="AC10" i="162"/>
  <c r="AC10" i="163"/>
  <c r="AC10" i="128"/>
  <c r="G55" i="133"/>
  <c r="G44" i="133"/>
  <c r="G42" i="133"/>
  <c r="AC12" i="158"/>
  <c r="G39" i="133"/>
  <c r="AC9" i="158"/>
  <c r="G36" i="133"/>
  <c r="G24" i="133"/>
  <c r="AC28" i="148"/>
  <c r="AC10" i="155"/>
  <c r="G29" i="133"/>
  <c r="G16" i="133"/>
  <c r="AC14" i="148"/>
  <c r="AC42" i="148"/>
  <c r="AC30" i="129"/>
  <c r="AC30" i="164"/>
  <c r="AC30" i="165"/>
  <c r="AC30" i="166"/>
  <c r="G164" i="133"/>
  <c r="AC16" i="155"/>
  <c r="G34" i="133"/>
  <c r="G106" i="133"/>
  <c r="AC28" i="165"/>
  <c r="AC28" i="166"/>
  <c r="AC28" i="164"/>
  <c r="AC28" i="129"/>
  <c r="G102" i="133"/>
  <c r="AC24" i="166"/>
  <c r="AC24" i="165"/>
  <c r="AC24" i="129"/>
  <c r="AF24" i="129" s="1"/>
  <c r="AC24" i="164"/>
  <c r="G98" i="133"/>
  <c r="AC20" i="166"/>
  <c r="AC20" i="165"/>
  <c r="AC20" i="164"/>
  <c r="AC20" i="129"/>
  <c r="G94" i="133"/>
  <c r="AC16" i="166"/>
  <c r="AC16" i="165"/>
  <c r="AC16" i="129"/>
  <c r="AC16" i="164"/>
  <c r="G90" i="133"/>
  <c r="AC12" i="165"/>
  <c r="AC12" i="166"/>
  <c r="AC12" i="164"/>
  <c r="AC12" i="129"/>
  <c r="G86" i="133"/>
  <c r="AC37" i="128"/>
  <c r="AC37" i="161"/>
  <c r="AC37" i="162"/>
  <c r="AC37" i="163"/>
  <c r="AC33" i="155"/>
  <c r="G82" i="133"/>
  <c r="AC33" i="162"/>
  <c r="AC33" i="163"/>
  <c r="AC33" i="128"/>
  <c r="AC33" i="161"/>
  <c r="AC32" i="158"/>
  <c r="AC29" i="155"/>
  <c r="G78" i="133"/>
  <c r="AC29" i="163"/>
  <c r="AC29" i="128"/>
  <c r="AC29" i="161"/>
  <c r="AC29" i="162"/>
  <c r="G74" i="133"/>
  <c r="AC25" i="163"/>
  <c r="AC25" i="128"/>
  <c r="AH25" i="128" s="1"/>
  <c r="AC25" i="161"/>
  <c r="AC25" i="162"/>
  <c r="G70" i="133"/>
  <c r="AC21" i="161"/>
  <c r="AC21" i="162"/>
  <c r="AC21" i="163"/>
  <c r="AC21" i="128"/>
  <c r="G66" i="133"/>
  <c r="AC17" i="161"/>
  <c r="AC17" i="162"/>
  <c r="AC17" i="163"/>
  <c r="AC17" i="128"/>
  <c r="G62" i="133"/>
  <c r="AC13" i="161"/>
  <c r="AC13" i="162"/>
  <c r="AC13" i="163"/>
  <c r="AC13" i="128"/>
  <c r="G58" i="133"/>
  <c r="AC9" i="128"/>
  <c r="AC9" i="161"/>
  <c r="AC9" i="162"/>
  <c r="AC9" i="163"/>
  <c r="G54" i="133"/>
  <c r="G41" i="133"/>
  <c r="AC11" i="158"/>
  <c r="G38" i="133"/>
  <c r="G26" i="133"/>
  <c r="AC30" i="148"/>
  <c r="AC12" i="155"/>
  <c r="G31" i="133"/>
  <c r="G18" i="133"/>
  <c r="AC22" i="148"/>
  <c r="G11" i="133"/>
  <c r="AC9" i="148"/>
  <c r="AC31" i="165"/>
  <c r="AC31" i="164"/>
  <c r="AC31" i="166"/>
  <c r="G165" i="133"/>
  <c r="AC43" i="148"/>
  <c r="G12" i="133"/>
  <c r="AC10" i="148"/>
  <c r="G27" i="133"/>
  <c r="AC33" i="148"/>
  <c r="G108" i="133"/>
  <c r="G105" i="133"/>
  <c r="AC27" i="165"/>
  <c r="AC27" i="166"/>
  <c r="AC27" i="129"/>
  <c r="AF27" i="129" s="1"/>
  <c r="AC27" i="164"/>
  <c r="G101" i="133"/>
  <c r="AC23" i="166"/>
  <c r="AC23" i="165"/>
  <c r="AC23" i="129"/>
  <c r="AC23" i="164"/>
  <c r="G97" i="133"/>
  <c r="AC19" i="165"/>
  <c r="AC19" i="166"/>
  <c r="AC19" i="129"/>
  <c r="AC19" i="164"/>
  <c r="G93" i="133"/>
  <c r="AC15" i="166"/>
  <c r="AC15" i="165"/>
  <c r="AC15" i="129"/>
  <c r="AC15" i="164"/>
  <c r="G89" i="133"/>
  <c r="AC11" i="165"/>
  <c r="AC11" i="129"/>
  <c r="AC11" i="164"/>
  <c r="AC11" i="166"/>
  <c r="G85" i="133"/>
  <c r="AC36" i="161"/>
  <c r="AC36" i="162"/>
  <c r="AC36" i="163"/>
  <c r="AC36" i="128"/>
  <c r="AC32" i="155"/>
  <c r="AC35" i="158"/>
  <c r="G81" i="133"/>
  <c r="AC32" i="162"/>
  <c r="AC32" i="163"/>
  <c r="AC32" i="128"/>
  <c r="AC32" i="161"/>
  <c r="G77" i="133"/>
  <c r="AC28" i="163"/>
  <c r="AC28" i="128"/>
  <c r="AC28" i="161"/>
  <c r="AC28" i="162"/>
  <c r="G73" i="133"/>
  <c r="AC24" i="163"/>
  <c r="AC24" i="128"/>
  <c r="AH24" i="128" s="1"/>
  <c r="AC24" i="161"/>
  <c r="AC24" i="162"/>
  <c r="G69" i="133"/>
  <c r="AC20" i="161"/>
  <c r="AC20" i="162"/>
  <c r="AC20" i="163"/>
  <c r="AC20" i="128"/>
  <c r="G65" i="133"/>
  <c r="AC16" i="161"/>
  <c r="AC16" i="162"/>
  <c r="AC16" i="163"/>
  <c r="AC16" i="128"/>
  <c r="G61" i="133"/>
  <c r="AC12" i="161"/>
  <c r="AC12" i="162"/>
  <c r="AC12" i="163"/>
  <c r="AC12" i="128"/>
  <c r="G57" i="133"/>
  <c r="G40" i="133"/>
  <c r="AC10" i="158"/>
  <c r="G37" i="133"/>
  <c r="AC13" i="155"/>
  <c r="G32" i="133"/>
  <c r="G17" i="133"/>
  <c r="AC15" i="148"/>
  <c r="G21" i="133"/>
  <c r="AC25" i="148"/>
  <c r="G163" i="133"/>
  <c r="AC37" i="148"/>
  <c r="G162" i="133"/>
  <c r="AC36" i="148"/>
  <c r="AC43" i="155"/>
  <c r="X79" i="128"/>
  <c r="T79" i="128" s="1"/>
  <c r="O80" i="128" s="1"/>
  <c r="X90" i="125"/>
  <c r="T90" i="125" s="1"/>
  <c r="H15" i="125" s="1"/>
  <c r="X79" i="126"/>
  <c r="X71" i="129"/>
  <c r="T71" i="129" s="1"/>
  <c r="O72" i="129" s="1"/>
  <c r="Y98" i="125"/>
  <c r="Z98" i="125"/>
  <c r="Z79" i="129"/>
  <c r="Y79" i="129"/>
  <c r="Y78" i="129"/>
  <c r="Z78" i="129"/>
  <c r="Y83" i="128"/>
  <c r="Z95" i="125"/>
  <c r="Y95" i="125"/>
  <c r="Y100" i="125"/>
  <c r="Z100" i="125"/>
  <c r="AA83" i="130"/>
  <c r="Z83" i="130"/>
  <c r="Y85" i="126"/>
  <c r="Z85" i="126"/>
  <c r="Y94" i="125"/>
  <c r="Y87" i="128"/>
  <c r="Z87" i="128"/>
  <c r="Y86" i="126"/>
  <c r="Z86" i="126"/>
  <c r="Y75" i="129"/>
  <c r="Z88" i="126"/>
  <c r="Y88" i="126"/>
  <c r="AA82" i="130"/>
  <c r="Z82" i="130"/>
  <c r="Y84" i="128"/>
  <c r="Z84" i="128"/>
  <c r="Z89" i="126"/>
  <c r="Y89" i="126"/>
  <c r="Z81" i="129"/>
  <c r="Y81" i="129"/>
  <c r="Z85" i="128"/>
  <c r="Y85" i="128"/>
  <c r="Z87" i="126"/>
  <c r="Y87" i="126"/>
  <c r="AA81" i="130"/>
  <c r="Z81" i="130"/>
  <c r="Z97" i="125"/>
  <c r="Y97" i="125"/>
  <c r="Y83" i="126"/>
  <c r="Y88" i="128"/>
  <c r="Z88" i="128"/>
  <c r="Y76" i="129"/>
  <c r="Z78" i="130"/>
  <c r="AA78" i="130"/>
  <c r="Y96" i="125"/>
  <c r="Z96" i="125"/>
  <c r="Z79" i="130"/>
  <c r="Y86" i="128"/>
  <c r="AA80" i="130"/>
  <c r="Z80" i="130"/>
  <c r="Z77" i="130"/>
  <c r="Y99" i="125"/>
  <c r="Z99" i="125"/>
  <c r="Z80" i="129"/>
  <c r="Y80" i="129"/>
  <c r="Y84" i="126"/>
  <c r="Y89" i="128"/>
  <c r="Z89" i="128"/>
  <c r="Z77" i="129"/>
  <c r="Y77" i="129"/>
  <c r="AH10" i="160" l="1"/>
  <c r="AF10" i="160"/>
  <c r="AD10" i="160"/>
  <c r="AH22" i="149"/>
  <c r="AF22" i="149"/>
  <c r="AD22" i="149"/>
  <c r="AF13" i="154"/>
  <c r="AH13" i="154"/>
  <c r="AD13" i="154"/>
  <c r="AH12" i="159"/>
  <c r="AD12" i="159"/>
  <c r="AF12" i="159"/>
  <c r="AF26" i="150"/>
  <c r="AD26" i="150"/>
  <c r="AH26" i="150"/>
  <c r="AH20" i="158"/>
  <c r="AF20" i="158"/>
  <c r="AD20" i="158"/>
  <c r="AH27" i="154"/>
  <c r="AD27" i="154"/>
  <c r="AF27" i="154"/>
  <c r="AF10" i="126"/>
  <c r="AH10" i="126"/>
  <c r="AD10" i="126"/>
  <c r="AF22" i="153"/>
  <c r="AH22" i="153"/>
  <c r="AD22" i="153"/>
  <c r="AH13" i="150"/>
  <c r="AF13" i="150"/>
  <c r="AD13" i="150"/>
  <c r="AF11" i="149"/>
  <c r="AH11" i="149"/>
  <c r="AD11" i="149"/>
  <c r="AH26" i="151"/>
  <c r="AD26" i="151"/>
  <c r="AF26" i="151"/>
  <c r="AD27" i="150"/>
  <c r="AF27" i="150"/>
  <c r="AH27" i="150"/>
  <c r="AH22" i="154"/>
  <c r="AF22" i="154"/>
  <c r="AD22" i="154"/>
  <c r="AH13" i="149"/>
  <c r="AF13" i="149"/>
  <c r="AD13" i="149"/>
  <c r="AH11" i="153"/>
  <c r="AF11" i="153"/>
  <c r="AD11" i="153"/>
  <c r="AF9" i="154"/>
  <c r="AH9" i="154"/>
  <c r="AD9" i="154"/>
  <c r="AH20" i="159"/>
  <c r="AF20" i="159"/>
  <c r="AD20" i="159"/>
  <c r="AH25" i="149"/>
  <c r="AF25" i="149"/>
  <c r="AD25" i="149"/>
  <c r="AF14" i="160"/>
  <c r="AH14" i="160"/>
  <c r="AD14" i="160"/>
  <c r="AF22" i="150"/>
  <c r="AH22" i="150"/>
  <c r="AD22" i="150"/>
  <c r="AF11" i="154"/>
  <c r="AD11" i="154"/>
  <c r="AH11" i="154"/>
  <c r="AH9" i="150"/>
  <c r="AF9" i="150"/>
  <c r="AD9" i="150"/>
  <c r="AH20" i="160"/>
  <c r="AF20" i="160"/>
  <c r="AD20" i="160"/>
  <c r="AF25" i="153"/>
  <c r="AH25" i="153"/>
  <c r="AD25" i="153"/>
  <c r="AH14" i="156"/>
  <c r="AF14" i="156"/>
  <c r="AD14" i="156"/>
  <c r="AH14" i="159"/>
  <c r="AF14" i="159"/>
  <c r="AD14" i="159"/>
  <c r="AF11" i="157"/>
  <c r="AH11" i="157"/>
  <c r="AD11" i="157"/>
  <c r="AF11" i="150"/>
  <c r="AH11" i="150"/>
  <c r="AD11" i="150"/>
  <c r="AH9" i="152"/>
  <c r="AF9" i="152"/>
  <c r="AD9" i="152"/>
  <c r="AH23" i="151"/>
  <c r="AF23" i="151"/>
  <c r="AD23" i="151"/>
  <c r="AF25" i="154"/>
  <c r="AH25" i="154"/>
  <c r="AD25" i="154"/>
  <c r="AF11" i="160"/>
  <c r="AH11" i="160"/>
  <c r="AD11" i="160"/>
  <c r="AH11" i="156"/>
  <c r="AF11" i="156"/>
  <c r="AD11" i="156"/>
  <c r="AF11" i="152"/>
  <c r="AH11" i="152"/>
  <c r="AD11" i="152"/>
  <c r="AH9" i="151"/>
  <c r="AF9" i="151"/>
  <c r="AD9" i="151"/>
  <c r="AH23" i="152"/>
  <c r="AF23" i="152"/>
  <c r="AD23" i="152"/>
  <c r="AH25" i="150"/>
  <c r="AF25" i="150"/>
  <c r="AD25" i="150"/>
  <c r="AD38" i="175"/>
  <c r="AF14" i="157"/>
  <c r="AH14" i="157"/>
  <c r="AD14" i="157"/>
  <c r="AH11" i="159"/>
  <c r="AF11" i="159"/>
  <c r="AD11" i="159"/>
  <c r="AH33" i="152"/>
  <c r="AD33" i="152"/>
  <c r="AF33" i="152"/>
  <c r="AF11" i="151"/>
  <c r="AH11" i="151"/>
  <c r="AD11" i="151"/>
  <c r="AF9" i="149"/>
  <c r="AH9" i="149"/>
  <c r="AD9" i="149"/>
  <c r="AF23" i="153"/>
  <c r="AH23" i="153"/>
  <c r="AD23" i="153"/>
  <c r="AH25" i="151"/>
  <c r="AF25" i="151"/>
  <c r="AD25" i="151"/>
  <c r="AH38" i="175"/>
  <c r="AF24" i="154"/>
  <c r="AH24" i="154"/>
  <c r="AD24" i="154"/>
  <c r="AF15" i="160"/>
  <c r="AH15" i="160"/>
  <c r="AD15" i="160"/>
  <c r="AF33" i="149"/>
  <c r="AH33" i="149"/>
  <c r="AD33" i="149"/>
  <c r="AH9" i="157"/>
  <c r="AF9" i="157"/>
  <c r="AD9" i="157"/>
  <c r="AH9" i="153"/>
  <c r="AF9" i="153"/>
  <c r="AD9" i="153"/>
  <c r="AH23" i="149"/>
  <c r="AF23" i="149"/>
  <c r="AD23" i="149"/>
  <c r="AH25" i="152"/>
  <c r="AD25" i="152"/>
  <c r="AF25" i="152"/>
  <c r="AF24" i="150"/>
  <c r="AH24" i="150"/>
  <c r="AD24" i="150"/>
  <c r="AH15" i="159"/>
  <c r="AF15" i="159"/>
  <c r="AD15" i="159"/>
  <c r="AF16" i="159"/>
  <c r="AH16" i="159"/>
  <c r="AD16" i="159"/>
  <c r="AH33" i="153"/>
  <c r="AF33" i="153"/>
  <c r="AD33" i="153"/>
  <c r="AH15" i="149"/>
  <c r="AD15" i="149"/>
  <c r="AF15" i="149"/>
  <c r="AH23" i="154"/>
  <c r="AF23" i="154"/>
  <c r="AD23" i="154"/>
  <c r="AF9" i="160"/>
  <c r="AH9" i="160"/>
  <c r="AD9" i="160"/>
  <c r="AH24" i="151"/>
  <c r="AF24" i="151"/>
  <c r="AD24" i="151"/>
  <c r="AF16" i="160"/>
  <c r="AH16" i="160"/>
  <c r="AD16" i="160"/>
  <c r="AH33" i="154"/>
  <c r="AF33" i="154"/>
  <c r="AD33" i="154"/>
  <c r="AH9" i="156"/>
  <c r="AF9" i="156"/>
  <c r="AD9" i="156"/>
  <c r="AF15" i="153"/>
  <c r="AH15" i="153"/>
  <c r="AD15" i="153"/>
  <c r="AH23" i="150"/>
  <c r="AF23" i="150"/>
  <c r="AD23" i="150"/>
  <c r="AH9" i="159"/>
  <c r="AD9" i="159"/>
  <c r="AF9" i="159"/>
  <c r="AF24" i="152"/>
  <c r="AH24" i="152"/>
  <c r="AD24" i="152"/>
  <c r="AF33" i="150"/>
  <c r="AD33" i="150"/>
  <c r="AH33" i="150"/>
  <c r="AF12" i="157"/>
  <c r="AH12" i="157"/>
  <c r="AD12" i="157"/>
  <c r="AF15" i="154"/>
  <c r="AD15" i="154"/>
  <c r="AH15" i="154"/>
  <c r="AH30" i="149"/>
  <c r="AF30" i="149"/>
  <c r="AD30" i="149"/>
  <c r="AH24" i="149"/>
  <c r="AF24" i="149"/>
  <c r="AD24" i="149"/>
  <c r="AH17" i="159"/>
  <c r="AF17" i="159"/>
  <c r="AD17" i="159"/>
  <c r="AH28" i="150"/>
  <c r="AD28" i="150"/>
  <c r="AF28" i="150"/>
  <c r="AH33" i="151"/>
  <c r="AF33" i="151"/>
  <c r="AD33" i="151"/>
  <c r="AH15" i="150"/>
  <c r="AF15" i="150"/>
  <c r="AD15" i="150"/>
  <c r="AD30" i="153"/>
  <c r="AH30" i="153"/>
  <c r="AF30" i="153"/>
  <c r="AH16" i="156"/>
  <c r="AF16" i="156"/>
  <c r="AD16" i="156"/>
  <c r="AH24" i="153"/>
  <c r="AF24" i="153"/>
  <c r="AD24" i="153"/>
  <c r="AF17" i="160"/>
  <c r="AH17" i="160"/>
  <c r="AD17" i="160"/>
  <c r="AF28" i="151"/>
  <c r="AH28" i="151"/>
  <c r="AD28" i="151"/>
  <c r="AF14" i="154"/>
  <c r="AD14" i="154"/>
  <c r="AH14" i="154"/>
  <c r="AH12" i="156"/>
  <c r="AF12" i="156"/>
  <c r="AD12" i="156"/>
  <c r="AF15" i="152"/>
  <c r="AH15" i="152"/>
  <c r="AD15" i="152"/>
  <c r="AF30" i="154"/>
  <c r="AH30" i="154"/>
  <c r="AD30" i="154"/>
  <c r="AF16" i="157"/>
  <c r="AH16" i="157"/>
  <c r="AD16" i="157"/>
  <c r="AH10" i="149"/>
  <c r="AF10" i="149"/>
  <c r="AD10" i="149"/>
  <c r="AF28" i="152"/>
  <c r="AH28" i="152"/>
  <c r="AD28" i="152"/>
  <c r="AF14" i="150"/>
  <c r="AH14" i="150"/>
  <c r="AD14" i="150"/>
  <c r="AF10" i="157"/>
  <c r="AH10" i="157"/>
  <c r="AD10" i="157"/>
  <c r="AH15" i="151"/>
  <c r="AF15" i="151"/>
  <c r="AD15" i="151"/>
  <c r="AH30" i="150"/>
  <c r="AD30" i="150"/>
  <c r="AF30" i="150"/>
  <c r="AF10" i="153"/>
  <c r="AH10" i="153"/>
  <c r="AD10" i="153"/>
  <c r="AF19" i="158"/>
  <c r="AH19" i="158"/>
  <c r="AD19" i="158"/>
  <c r="AH28" i="149"/>
  <c r="AF28" i="149"/>
  <c r="AD28" i="149"/>
  <c r="AF14" i="152"/>
  <c r="AH14" i="152"/>
  <c r="AD14" i="152"/>
  <c r="AH29" i="153"/>
  <c r="AD29" i="153"/>
  <c r="AF29" i="153"/>
  <c r="AH30" i="151"/>
  <c r="AD30" i="151"/>
  <c r="AF30" i="151"/>
  <c r="AH13" i="156"/>
  <c r="AF13" i="156"/>
  <c r="AD13" i="156"/>
  <c r="AF10" i="154"/>
  <c r="AH10" i="154"/>
  <c r="AD10" i="154"/>
  <c r="AF19" i="160"/>
  <c r="AH19" i="160"/>
  <c r="AD19" i="160"/>
  <c r="AF28" i="153"/>
  <c r="AH28" i="153"/>
  <c r="AD28" i="153"/>
  <c r="AH14" i="151"/>
  <c r="AF14" i="151"/>
  <c r="AD14" i="151"/>
  <c r="AH10" i="156"/>
  <c r="AD10" i="156"/>
  <c r="AF10" i="156"/>
  <c r="AH29" i="154"/>
  <c r="AD29" i="154"/>
  <c r="AF29" i="154"/>
  <c r="AH30" i="152"/>
  <c r="AF30" i="152"/>
  <c r="AD30" i="152"/>
  <c r="AF10" i="150"/>
  <c r="AH10" i="150"/>
  <c r="AD10" i="150"/>
  <c r="AH19" i="159"/>
  <c r="AD19" i="159"/>
  <c r="AF19" i="159"/>
  <c r="AH28" i="154"/>
  <c r="AD28" i="154"/>
  <c r="AF28" i="154"/>
  <c r="AH14" i="153"/>
  <c r="AF14" i="153"/>
  <c r="AD14" i="153"/>
  <c r="AH26" i="152"/>
  <c r="AF26" i="152"/>
  <c r="AD26" i="152"/>
  <c r="AD29" i="150"/>
  <c r="AF29" i="150"/>
  <c r="AH29" i="150"/>
  <c r="AH27" i="151"/>
  <c r="AD27" i="151"/>
  <c r="AF27" i="151"/>
  <c r="AH13" i="157"/>
  <c r="AD13" i="157"/>
  <c r="AF13" i="157"/>
  <c r="AH10" i="151"/>
  <c r="AF10" i="151"/>
  <c r="AD10" i="151"/>
  <c r="AH13" i="152"/>
  <c r="AF13" i="152"/>
  <c r="AD13" i="152"/>
  <c r="AH14" i="149"/>
  <c r="AF14" i="149"/>
  <c r="AD14" i="149"/>
  <c r="AH26" i="149"/>
  <c r="AD26" i="149"/>
  <c r="AF26" i="149"/>
  <c r="AH29" i="151"/>
  <c r="AD29" i="151"/>
  <c r="AF29" i="151"/>
  <c r="AH27" i="152"/>
  <c r="AF27" i="152"/>
  <c r="AD27" i="152"/>
  <c r="AH33" i="156"/>
  <c r="AF33" i="156"/>
  <c r="AD33" i="156"/>
  <c r="AF10" i="152"/>
  <c r="AH10" i="152"/>
  <c r="AD10" i="152"/>
  <c r="AH22" i="152"/>
  <c r="AF22" i="152"/>
  <c r="AD22" i="152"/>
  <c r="AH13" i="151"/>
  <c r="AF13" i="151"/>
  <c r="AD13" i="151"/>
  <c r="AF12" i="126"/>
  <c r="AH12" i="126"/>
  <c r="AD12" i="126"/>
  <c r="AD26" i="153"/>
  <c r="AH26" i="153"/>
  <c r="AF26" i="153"/>
  <c r="AH29" i="152"/>
  <c r="AF29" i="152"/>
  <c r="AD29" i="152"/>
  <c r="AH27" i="149"/>
  <c r="AD27" i="149"/>
  <c r="AF27" i="149"/>
  <c r="AF33" i="125"/>
  <c r="AD33" i="125"/>
  <c r="AH33" i="125"/>
  <c r="AH10" i="159"/>
  <c r="AF10" i="159"/>
  <c r="AD10" i="159"/>
  <c r="AH22" i="151"/>
  <c r="AF22" i="151"/>
  <c r="AD22" i="151"/>
  <c r="AF13" i="153"/>
  <c r="AH13" i="153"/>
  <c r="AD13" i="153"/>
  <c r="AF12" i="160"/>
  <c r="AH12" i="160"/>
  <c r="AD12" i="160"/>
  <c r="AF26" i="154"/>
  <c r="AH26" i="154"/>
  <c r="AD26" i="154"/>
  <c r="AD29" i="149"/>
  <c r="AF29" i="149"/>
  <c r="AH29" i="149"/>
  <c r="AF27" i="153"/>
  <c r="AH27" i="153"/>
  <c r="AD27" i="153"/>
  <c r="AH33" i="157"/>
  <c r="AD33" i="157"/>
  <c r="AF33" i="157"/>
  <c r="AF37" i="158"/>
  <c r="AH37" i="158"/>
  <c r="AD37" i="158"/>
  <c r="AH45" i="154"/>
  <c r="AF45" i="154"/>
  <c r="AD45" i="154"/>
  <c r="AD45" i="150"/>
  <c r="AF45" i="150"/>
  <c r="AH45" i="150"/>
  <c r="AH43" i="156"/>
  <c r="AF43" i="156"/>
  <c r="AD43" i="156"/>
  <c r="AH45" i="152"/>
  <c r="AF45" i="152"/>
  <c r="AD45" i="152"/>
  <c r="AH37" i="159"/>
  <c r="AF37" i="159"/>
  <c r="AD37" i="159"/>
  <c r="AF37" i="160"/>
  <c r="AH37" i="160"/>
  <c r="AD37" i="160"/>
  <c r="AH45" i="151"/>
  <c r="AF45" i="151"/>
  <c r="AD45" i="151"/>
  <c r="AF43" i="157"/>
  <c r="AH43" i="157"/>
  <c r="AD43" i="157"/>
  <c r="AH45" i="149"/>
  <c r="AF45" i="149"/>
  <c r="AD45" i="149"/>
  <c r="AH45" i="153"/>
  <c r="AF45" i="153"/>
  <c r="AD45" i="153"/>
  <c r="AH37" i="150"/>
  <c r="AF37" i="150"/>
  <c r="AD37" i="150"/>
  <c r="AH37" i="153"/>
  <c r="AF37" i="153"/>
  <c r="AD37" i="153"/>
  <c r="AH37" i="152"/>
  <c r="AF37" i="152"/>
  <c r="AD37" i="152"/>
  <c r="AF37" i="149"/>
  <c r="AH37" i="149"/>
  <c r="AD37" i="149"/>
  <c r="AH37" i="151"/>
  <c r="AF37" i="151"/>
  <c r="AD37" i="151"/>
  <c r="AD37" i="154"/>
  <c r="AF37" i="154"/>
  <c r="AH37" i="154"/>
  <c r="AD36" i="149"/>
  <c r="AH36" i="149"/>
  <c r="AF36" i="149"/>
  <c r="AH36" i="153"/>
  <c r="AF36" i="153"/>
  <c r="AD36" i="153"/>
  <c r="AD36" i="151"/>
  <c r="AH36" i="151"/>
  <c r="AF36" i="151"/>
  <c r="AD36" i="152"/>
  <c r="AH36" i="152"/>
  <c r="AF36" i="152"/>
  <c r="AH36" i="154"/>
  <c r="AF36" i="154"/>
  <c r="AD36" i="154"/>
  <c r="AD36" i="150"/>
  <c r="AF36" i="150"/>
  <c r="AH36" i="150"/>
  <c r="AH43" i="152"/>
  <c r="AD43" i="152"/>
  <c r="AF43" i="152"/>
  <c r="AF43" i="150"/>
  <c r="AH43" i="150"/>
  <c r="AD43" i="150"/>
  <c r="AF43" i="154"/>
  <c r="AH43" i="154"/>
  <c r="AD43" i="154"/>
  <c r="AH43" i="149"/>
  <c r="AF43" i="149"/>
  <c r="AD43" i="149"/>
  <c r="AH43" i="153"/>
  <c r="AD43" i="153"/>
  <c r="AF43" i="153"/>
  <c r="AF43" i="151"/>
  <c r="AH43" i="151"/>
  <c r="AD43" i="151"/>
  <c r="AH42" i="149"/>
  <c r="AD42" i="149"/>
  <c r="AF42" i="149"/>
  <c r="AF42" i="154"/>
  <c r="AH42" i="154"/>
  <c r="AD42" i="154"/>
  <c r="AH42" i="151"/>
  <c r="AF42" i="151"/>
  <c r="AD42" i="151"/>
  <c r="AH42" i="153"/>
  <c r="AF42" i="153"/>
  <c r="AD42" i="153"/>
  <c r="AH42" i="152"/>
  <c r="AF42" i="152"/>
  <c r="AD42" i="152"/>
  <c r="AH42" i="150"/>
  <c r="AF42" i="150"/>
  <c r="AD42" i="150"/>
  <c r="AH32" i="157"/>
  <c r="AF32" i="157"/>
  <c r="AD32" i="157"/>
  <c r="AF32" i="125"/>
  <c r="AH32" i="125"/>
  <c r="AD32" i="125"/>
  <c r="AH35" i="126"/>
  <c r="AF35" i="126"/>
  <c r="AD35" i="126"/>
  <c r="AH32" i="156"/>
  <c r="AD32" i="156"/>
  <c r="AF32" i="156"/>
  <c r="AH35" i="159"/>
  <c r="AF35" i="159"/>
  <c r="AD35" i="159"/>
  <c r="AF35" i="160"/>
  <c r="AH35" i="160"/>
  <c r="AD35" i="160"/>
  <c r="AH34" i="160"/>
  <c r="AF34" i="160"/>
  <c r="AD34" i="160"/>
  <c r="AH34" i="159"/>
  <c r="AD34" i="159"/>
  <c r="AF34" i="159"/>
  <c r="AD31" i="157"/>
  <c r="AF31" i="157"/>
  <c r="AH31" i="157"/>
  <c r="AF31" i="156"/>
  <c r="AH31" i="156"/>
  <c r="AD31" i="156"/>
  <c r="AH33" i="159"/>
  <c r="AD33" i="159"/>
  <c r="AF33" i="159"/>
  <c r="AF33" i="126"/>
  <c r="AH33" i="126"/>
  <c r="AD33" i="126"/>
  <c r="AH30" i="156"/>
  <c r="AF30" i="156"/>
  <c r="AD30" i="156"/>
  <c r="AH30" i="157"/>
  <c r="AF30" i="157"/>
  <c r="AD30" i="157"/>
  <c r="AH33" i="160"/>
  <c r="AF33" i="160"/>
  <c r="AD33" i="160"/>
  <c r="AH30" i="125"/>
  <c r="AF30" i="125"/>
  <c r="AD30" i="125"/>
  <c r="AF32" i="160"/>
  <c r="AH32" i="160"/>
  <c r="AD32" i="160"/>
  <c r="AH29" i="157"/>
  <c r="AF29" i="157"/>
  <c r="AD29" i="157"/>
  <c r="AH29" i="125"/>
  <c r="AF29" i="125"/>
  <c r="AD29" i="125"/>
  <c r="AH29" i="156"/>
  <c r="AF29" i="156"/>
  <c r="AD29" i="156"/>
  <c r="AH32" i="159"/>
  <c r="AF32" i="159"/>
  <c r="AD32" i="159"/>
  <c r="AH32" i="126"/>
  <c r="AF32" i="126"/>
  <c r="AD32" i="126"/>
  <c r="AD24" i="126"/>
  <c r="AE49" i="133"/>
  <c r="AD27" i="126"/>
  <c r="AE52" i="133"/>
  <c r="AD25" i="125"/>
  <c r="Z52" i="133"/>
  <c r="AD23" i="125"/>
  <c r="Z50" i="133"/>
  <c r="AD22" i="125"/>
  <c r="Z49" i="133"/>
  <c r="Q17" i="125"/>
  <c r="P17" i="125"/>
  <c r="AD40" i="175"/>
  <c r="AF40" i="175"/>
  <c r="AH39" i="175"/>
  <c r="AF39" i="175"/>
  <c r="AD41" i="175"/>
  <c r="AD43" i="175"/>
  <c r="AH41" i="175"/>
  <c r="AH43" i="175"/>
  <c r="AH42" i="176"/>
  <c r="AF42" i="176"/>
  <c r="AD42" i="176"/>
  <c r="AH42" i="177"/>
  <c r="AF42" i="177"/>
  <c r="AD42" i="177"/>
  <c r="AF39" i="177"/>
  <c r="AH39" i="177"/>
  <c r="AD39" i="177"/>
  <c r="AF39" i="176"/>
  <c r="AH39" i="176"/>
  <c r="AD39" i="176"/>
  <c r="AH43" i="177"/>
  <c r="AD43" i="177"/>
  <c r="AF43" i="177"/>
  <c r="AH43" i="176"/>
  <c r="AD43" i="176"/>
  <c r="AF43" i="176"/>
  <c r="AH41" i="177"/>
  <c r="AF41" i="177"/>
  <c r="AD41" i="177"/>
  <c r="AH41" i="176"/>
  <c r="AD41" i="176"/>
  <c r="AF41" i="176"/>
  <c r="AH40" i="176"/>
  <c r="AF40" i="176"/>
  <c r="AD40" i="176"/>
  <c r="AF40" i="177"/>
  <c r="AH40" i="177"/>
  <c r="AD40" i="177"/>
  <c r="AD42" i="175"/>
  <c r="AH38" i="177"/>
  <c r="AF38" i="177"/>
  <c r="AD38" i="177"/>
  <c r="AH42" i="175"/>
  <c r="AH38" i="176"/>
  <c r="AF38" i="176"/>
  <c r="AD38" i="176"/>
  <c r="X54" i="171"/>
  <c r="Y54" i="171" s="1"/>
  <c r="X26" i="171"/>
  <c r="Y26" i="171" s="1"/>
  <c r="L26" i="171"/>
  <c r="F96" i="133"/>
  <c r="L96" i="133" s="1"/>
  <c r="M96" i="133" s="1"/>
  <c r="H96" i="133" s="1"/>
  <c r="F99" i="133"/>
  <c r="L99" i="133" s="1"/>
  <c r="M99" i="133" s="1"/>
  <c r="H99" i="133" s="1"/>
  <c r="F94" i="133"/>
  <c r="L94" i="133" s="1"/>
  <c r="M94" i="133" s="1"/>
  <c r="H94" i="133" s="1"/>
  <c r="F97" i="133"/>
  <c r="L97" i="133" s="1"/>
  <c r="M97" i="133" s="1"/>
  <c r="Y84" i="130"/>
  <c r="T84" i="130" s="1"/>
  <c r="I26" i="130" s="1"/>
  <c r="T17" i="130"/>
  <c r="X82" i="129"/>
  <c r="T82" i="129" s="1"/>
  <c r="O83" i="129" s="1"/>
  <c r="I16" i="130"/>
  <c r="Y11" i="130" s="1"/>
  <c r="U17" i="130"/>
  <c r="B18" i="130" s="1"/>
  <c r="X90" i="128"/>
  <c r="T90" i="128" s="1"/>
  <c r="H26" i="128" s="1"/>
  <c r="X101" i="125"/>
  <c r="T101" i="125" s="1"/>
  <c r="O102" i="125" s="1"/>
  <c r="AO93" i="133"/>
  <c r="AO100" i="133"/>
  <c r="AJ171" i="133"/>
  <c r="F171" i="133" s="1"/>
  <c r="L60" i="171"/>
  <c r="X60" i="171"/>
  <c r="Y60" i="171" s="1"/>
  <c r="L57" i="171"/>
  <c r="X57" i="171"/>
  <c r="Y57" i="171" s="1"/>
  <c r="L59" i="171"/>
  <c r="X59" i="171"/>
  <c r="Y59" i="171" s="1"/>
  <c r="L61" i="171"/>
  <c r="X61" i="171"/>
  <c r="Y61" i="171" s="1"/>
  <c r="L56" i="171"/>
  <c r="X56" i="171"/>
  <c r="Y56" i="171" s="1"/>
  <c r="L58" i="171"/>
  <c r="X58" i="171"/>
  <c r="Y58" i="171" s="1"/>
  <c r="L55" i="171"/>
  <c r="X55" i="171"/>
  <c r="Y55" i="171" s="1"/>
  <c r="L41" i="171"/>
  <c r="X41" i="171"/>
  <c r="Y41" i="171" s="1"/>
  <c r="L49" i="171"/>
  <c r="X49" i="171"/>
  <c r="Y49" i="171" s="1"/>
  <c r="L40" i="171"/>
  <c r="X40" i="171"/>
  <c r="Y40" i="171" s="1"/>
  <c r="L38" i="171"/>
  <c r="X38" i="171"/>
  <c r="Y38" i="171" s="1"/>
  <c r="L42" i="171"/>
  <c r="X42" i="171"/>
  <c r="Y42" i="171" s="1"/>
  <c r="L37" i="171"/>
  <c r="X37" i="171"/>
  <c r="Y37" i="171" s="1"/>
  <c r="L39" i="171"/>
  <c r="X39" i="171"/>
  <c r="Y39" i="171" s="1"/>
  <c r="AF45" i="148"/>
  <c r="M27" i="133"/>
  <c r="M11" i="133"/>
  <c r="M18" i="133"/>
  <c r="H18" i="133" s="1"/>
  <c r="M82" i="133"/>
  <c r="H82" i="133" s="1"/>
  <c r="M15" i="133"/>
  <c r="M60" i="133"/>
  <c r="H60" i="133" s="1"/>
  <c r="M76" i="133"/>
  <c r="H76" i="133" s="1"/>
  <c r="M92" i="133"/>
  <c r="M107" i="133"/>
  <c r="H107" i="133" s="1"/>
  <c r="M19" i="133"/>
  <c r="M121" i="133"/>
  <c r="M174" i="133"/>
  <c r="H174" i="133" s="1"/>
  <c r="M178" i="133"/>
  <c r="H178" i="133" s="1"/>
  <c r="M175" i="133"/>
  <c r="H175" i="133" s="1"/>
  <c r="M188" i="133"/>
  <c r="H188" i="133" s="1"/>
  <c r="M182" i="133"/>
  <c r="H182" i="133" s="1"/>
  <c r="M162" i="133"/>
  <c r="H162" i="133" s="1"/>
  <c r="M102" i="133"/>
  <c r="M22" i="133"/>
  <c r="M166" i="133"/>
  <c r="H166" i="133" s="1"/>
  <c r="M25" i="133"/>
  <c r="H25" i="133" s="1"/>
  <c r="M23" i="133"/>
  <c r="M147" i="133"/>
  <c r="H147" i="133" s="1"/>
  <c r="M173" i="133"/>
  <c r="H173" i="133" s="1"/>
  <c r="M170" i="133"/>
  <c r="H170" i="133" s="1"/>
  <c r="M150" i="133"/>
  <c r="H150" i="133" s="1"/>
  <c r="M184" i="133"/>
  <c r="H184" i="133" s="1"/>
  <c r="M21" i="133"/>
  <c r="H21" i="133" s="1"/>
  <c r="M17" i="133"/>
  <c r="M73" i="133"/>
  <c r="H73" i="133" s="1"/>
  <c r="M105" i="133"/>
  <c r="H105" i="133" s="1"/>
  <c r="M12" i="133"/>
  <c r="M26" i="133"/>
  <c r="H26" i="133" s="1"/>
  <c r="M58" i="133"/>
  <c r="H58" i="133" s="1"/>
  <c r="M74" i="133"/>
  <c r="H74" i="133" s="1"/>
  <c r="M106" i="133"/>
  <c r="H106" i="133" s="1"/>
  <c r="M16" i="133"/>
  <c r="M24" i="133"/>
  <c r="M103" i="133"/>
  <c r="H103" i="133" s="1"/>
  <c r="M20" i="133"/>
  <c r="H20" i="133" s="1"/>
  <c r="M35" i="133"/>
  <c r="H35" i="133" s="1"/>
  <c r="M68" i="133"/>
  <c r="H68" i="133" s="1"/>
  <c r="M146" i="133"/>
  <c r="H146" i="133" s="1"/>
  <c r="M179" i="133"/>
  <c r="H179" i="133" s="1"/>
  <c r="M183" i="133"/>
  <c r="H183" i="133" s="1"/>
  <c r="M185" i="133"/>
  <c r="H185" i="133" s="1"/>
  <c r="M163" i="133"/>
  <c r="H163" i="133" s="1"/>
  <c r="M61" i="133"/>
  <c r="H61" i="133" s="1"/>
  <c r="M77" i="133"/>
  <c r="H77" i="133" s="1"/>
  <c r="M108" i="133"/>
  <c r="H108" i="133" s="1"/>
  <c r="M59" i="133"/>
  <c r="M75" i="133"/>
  <c r="M13" i="133"/>
  <c r="M104" i="133"/>
  <c r="M145" i="133"/>
  <c r="H145" i="133" s="1"/>
  <c r="M151" i="133"/>
  <c r="H151" i="133" s="1"/>
  <c r="M152" i="133"/>
  <c r="H152" i="133" s="1"/>
  <c r="M177" i="133"/>
  <c r="H177" i="133" s="1"/>
  <c r="M176" i="133"/>
  <c r="H176" i="133" s="1"/>
  <c r="AF37" i="167"/>
  <c r="AD45" i="148"/>
  <c r="AH37" i="167"/>
  <c r="AH42" i="130"/>
  <c r="AJ32" i="168"/>
  <c r="AF32" i="168"/>
  <c r="AH32" i="168"/>
  <c r="AH16" i="169"/>
  <c r="AJ16" i="169"/>
  <c r="AF16" i="169"/>
  <c r="AH22" i="168"/>
  <c r="AJ22" i="168"/>
  <c r="AF22" i="168"/>
  <c r="AJ40" i="169"/>
  <c r="AH40" i="169"/>
  <c r="AF40" i="169"/>
  <c r="AH44" i="169"/>
  <c r="AJ44" i="169"/>
  <c r="AF44" i="169"/>
  <c r="AJ20" i="169"/>
  <c r="AH20" i="169"/>
  <c r="AF20" i="169"/>
  <c r="AH9" i="169"/>
  <c r="AJ9" i="169"/>
  <c r="AF9" i="169"/>
  <c r="AH15" i="168"/>
  <c r="AJ15" i="168"/>
  <c r="AF15" i="168"/>
  <c r="AH17" i="168"/>
  <c r="AJ17" i="168"/>
  <c r="AF17" i="168"/>
  <c r="AH42" i="169"/>
  <c r="AJ42" i="169"/>
  <c r="AF42" i="169"/>
  <c r="AH36" i="168"/>
  <c r="AJ36" i="168"/>
  <c r="AF36" i="168"/>
  <c r="AJ28" i="130"/>
  <c r="AF28" i="130"/>
  <c r="AH28" i="130"/>
  <c r="AH43" i="168"/>
  <c r="AJ43" i="168"/>
  <c r="AF43" i="168"/>
  <c r="AH39" i="169"/>
  <c r="AJ39" i="169"/>
  <c r="AF39" i="169"/>
  <c r="AH10" i="168"/>
  <c r="AJ10" i="168"/>
  <c r="AF10" i="168"/>
  <c r="AH35" i="168"/>
  <c r="AJ35" i="168"/>
  <c r="AF35" i="168"/>
  <c r="AJ33" i="168"/>
  <c r="AF33" i="168"/>
  <c r="AH33" i="168"/>
  <c r="AJ29" i="168"/>
  <c r="AH29" i="168"/>
  <c r="AF29" i="168"/>
  <c r="AJ32" i="169"/>
  <c r="AH32" i="169"/>
  <c r="AF32" i="169"/>
  <c r="AF23" i="168"/>
  <c r="AJ23" i="168"/>
  <c r="AH23" i="168"/>
  <c r="AH16" i="168"/>
  <c r="AJ16" i="168"/>
  <c r="AF16" i="168"/>
  <c r="AJ22" i="169"/>
  <c r="AH22" i="169"/>
  <c r="AF22" i="169"/>
  <c r="AJ40" i="168"/>
  <c r="AH40" i="168"/>
  <c r="AF40" i="168"/>
  <c r="AJ34" i="168"/>
  <c r="AF34" i="168"/>
  <c r="AH34" i="168"/>
  <c r="AH9" i="168"/>
  <c r="AJ9" i="168"/>
  <c r="AF9" i="168"/>
  <c r="AJ26" i="168"/>
  <c r="AH26" i="168"/>
  <c r="AF26" i="168"/>
  <c r="AH19" i="169"/>
  <c r="AJ19" i="169"/>
  <c r="AF19" i="169"/>
  <c r="AH11" i="168"/>
  <c r="AJ11" i="168"/>
  <c r="AF11" i="168"/>
  <c r="AJ36" i="130"/>
  <c r="AH36" i="130"/>
  <c r="AF36" i="130"/>
  <c r="AJ37" i="168"/>
  <c r="AH37" i="168"/>
  <c r="AF37" i="168"/>
  <c r="AH39" i="168"/>
  <c r="AJ39" i="168"/>
  <c r="AF39" i="168"/>
  <c r="AH31" i="130"/>
  <c r="AJ31" i="130"/>
  <c r="AF31" i="130"/>
  <c r="AH10" i="169"/>
  <c r="AJ10" i="169"/>
  <c r="AF10" i="169"/>
  <c r="AH35" i="167"/>
  <c r="AJ35" i="167"/>
  <c r="AF35" i="167"/>
  <c r="AJ30" i="130"/>
  <c r="AF30" i="130"/>
  <c r="AH30" i="130"/>
  <c r="AH23" i="169"/>
  <c r="AJ23" i="169"/>
  <c r="AF23" i="169"/>
  <c r="AJ44" i="168"/>
  <c r="AH44" i="168"/>
  <c r="AF44" i="168"/>
  <c r="AJ34" i="130"/>
  <c r="AH34" i="130"/>
  <c r="AF34" i="130"/>
  <c r="AJ20" i="168"/>
  <c r="AH20" i="168"/>
  <c r="AF20" i="168"/>
  <c r="AH26" i="169"/>
  <c r="AJ26" i="169"/>
  <c r="AF26" i="169"/>
  <c r="AH17" i="169"/>
  <c r="AJ17" i="169"/>
  <c r="AF17" i="169"/>
  <c r="AH42" i="168"/>
  <c r="AJ42" i="168"/>
  <c r="AF42" i="168"/>
  <c r="AH11" i="169"/>
  <c r="AJ11" i="169"/>
  <c r="AF11" i="169"/>
  <c r="AJ28" i="169"/>
  <c r="AH28" i="169"/>
  <c r="AF28" i="169"/>
  <c r="AJ31" i="168"/>
  <c r="AH31" i="168"/>
  <c r="AF31" i="168"/>
  <c r="AH35" i="169"/>
  <c r="AJ35" i="169"/>
  <c r="AF35" i="169"/>
  <c r="AF29" i="169"/>
  <c r="AH29" i="169"/>
  <c r="AJ29" i="169"/>
  <c r="AH30" i="169"/>
  <c r="AJ30" i="169"/>
  <c r="AF30" i="169"/>
  <c r="AH32" i="167"/>
  <c r="AJ32" i="167"/>
  <c r="AF32" i="167"/>
  <c r="AH23" i="130"/>
  <c r="AJ23" i="130"/>
  <c r="AF23" i="130"/>
  <c r="AJ44" i="130"/>
  <c r="AH44" i="130"/>
  <c r="AF44" i="130"/>
  <c r="AH34" i="169"/>
  <c r="AJ34" i="169"/>
  <c r="AF34" i="169"/>
  <c r="AH15" i="169"/>
  <c r="AJ15" i="169"/>
  <c r="AF15" i="169"/>
  <c r="AH26" i="130"/>
  <c r="AF26" i="130"/>
  <c r="AJ26" i="130"/>
  <c r="AH19" i="168"/>
  <c r="AJ19" i="168"/>
  <c r="AF19" i="168"/>
  <c r="AJ36" i="169"/>
  <c r="AH36" i="169"/>
  <c r="AF36" i="169"/>
  <c r="AH28" i="168"/>
  <c r="AJ28" i="168"/>
  <c r="AF28" i="168"/>
  <c r="AH37" i="169"/>
  <c r="AJ37" i="169"/>
  <c r="AF37" i="169"/>
  <c r="AH43" i="169"/>
  <c r="AJ43" i="169"/>
  <c r="AF43" i="169"/>
  <c r="AH31" i="169"/>
  <c r="AJ31" i="169"/>
  <c r="AF31" i="169"/>
  <c r="AJ35" i="130"/>
  <c r="AF35" i="130"/>
  <c r="AH35" i="130"/>
  <c r="AH33" i="167"/>
  <c r="AJ33" i="167"/>
  <c r="AF33" i="167"/>
  <c r="AH33" i="169"/>
  <c r="AJ33" i="169"/>
  <c r="AF33" i="169"/>
  <c r="AH29" i="130"/>
  <c r="AJ29" i="130"/>
  <c r="AF29" i="130"/>
  <c r="AH30" i="168"/>
  <c r="AJ30" i="168"/>
  <c r="AF30" i="168"/>
  <c r="AD16" i="148"/>
  <c r="AH16" i="148"/>
  <c r="AF16" i="148"/>
  <c r="AF42" i="162"/>
  <c r="AH42" i="162"/>
  <c r="AD42" i="162"/>
  <c r="AF39" i="162"/>
  <c r="AD39" i="162"/>
  <c r="AH39" i="162"/>
  <c r="AF38" i="161"/>
  <c r="AD38" i="161"/>
  <c r="AH38" i="161"/>
  <c r="AF37" i="129"/>
  <c r="AD37" i="129"/>
  <c r="AH37" i="129"/>
  <c r="AJ11" i="167"/>
  <c r="AH11" i="167"/>
  <c r="AF11" i="167"/>
  <c r="AF41" i="163"/>
  <c r="AH41" i="163"/>
  <c r="AD41" i="163"/>
  <c r="AJ34" i="167"/>
  <c r="AF34" i="167"/>
  <c r="AH34" i="167"/>
  <c r="AJ20" i="167"/>
  <c r="AH20" i="167"/>
  <c r="AF20" i="167"/>
  <c r="AF36" i="166"/>
  <c r="AH36" i="166"/>
  <c r="AD36" i="166"/>
  <c r="AH36" i="164"/>
  <c r="AF36" i="164"/>
  <c r="AD36" i="164"/>
  <c r="AJ39" i="167"/>
  <c r="AH39" i="167"/>
  <c r="AF39" i="167"/>
  <c r="AJ23" i="167"/>
  <c r="AH23" i="167"/>
  <c r="AF23" i="167"/>
  <c r="AF43" i="128"/>
  <c r="AD43" i="128"/>
  <c r="AH43" i="128"/>
  <c r="AJ40" i="167"/>
  <c r="AH40" i="167"/>
  <c r="AF40" i="167"/>
  <c r="AF37" i="166"/>
  <c r="AH37" i="166"/>
  <c r="AD37" i="166"/>
  <c r="AJ29" i="167"/>
  <c r="AH29" i="167"/>
  <c r="AF29" i="167"/>
  <c r="AF41" i="128"/>
  <c r="AH41" i="128"/>
  <c r="AD41" i="128"/>
  <c r="AJ16" i="167"/>
  <c r="AF16" i="167"/>
  <c r="AH16" i="167"/>
  <c r="AJ15" i="167"/>
  <c r="AF15" i="167"/>
  <c r="AH15" i="167"/>
  <c r="AF42" i="163"/>
  <c r="AH42" i="163"/>
  <c r="AD42" i="163"/>
  <c r="AJ31" i="167"/>
  <c r="AH31" i="167"/>
  <c r="AF31" i="167"/>
  <c r="AJ10" i="167"/>
  <c r="AH10" i="167"/>
  <c r="AF10" i="167"/>
  <c r="AF39" i="161"/>
  <c r="AH39" i="161"/>
  <c r="AD39" i="161"/>
  <c r="AH36" i="165"/>
  <c r="AF36" i="165"/>
  <c r="AD36" i="165"/>
  <c r="AJ30" i="167"/>
  <c r="AH30" i="167"/>
  <c r="AF30" i="167"/>
  <c r="AJ42" i="167"/>
  <c r="AF42" i="167"/>
  <c r="AH42" i="167"/>
  <c r="AF43" i="161"/>
  <c r="AD43" i="161"/>
  <c r="AH43" i="161"/>
  <c r="AJ26" i="167"/>
  <c r="AF26" i="167"/>
  <c r="AH26" i="167"/>
  <c r="AF40" i="163"/>
  <c r="AD40" i="163"/>
  <c r="AH40" i="163"/>
  <c r="AF37" i="165"/>
  <c r="AH37" i="165"/>
  <c r="AD37" i="165"/>
  <c r="AF41" i="162"/>
  <c r="AD41" i="162"/>
  <c r="AH41" i="162"/>
  <c r="AJ22" i="167"/>
  <c r="AH22" i="167"/>
  <c r="AF22" i="167"/>
  <c r="AJ17" i="167"/>
  <c r="AH17" i="167"/>
  <c r="AF17" i="167"/>
  <c r="AD39" i="163"/>
  <c r="AF39" i="163"/>
  <c r="AH39" i="163"/>
  <c r="AF38" i="162"/>
  <c r="AD38" i="162"/>
  <c r="AH38" i="162"/>
  <c r="AF43" i="162"/>
  <c r="AD43" i="162"/>
  <c r="AH43" i="162"/>
  <c r="AF40" i="162"/>
  <c r="AD40" i="162"/>
  <c r="AH40" i="162"/>
  <c r="AJ44" i="167"/>
  <c r="AH44" i="167"/>
  <c r="AF44" i="167"/>
  <c r="AF42" i="161"/>
  <c r="AH42" i="161"/>
  <c r="AD42" i="161"/>
  <c r="AF40" i="161"/>
  <c r="AD40" i="161"/>
  <c r="AH40" i="161"/>
  <c r="AJ28" i="167"/>
  <c r="AH28" i="167"/>
  <c r="AF28" i="167"/>
  <c r="AH42" i="128"/>
  <c r="AH39" i="128"/>
  <c r="AJ43" i="167"/>
  <c r="AH43" i="167"/>
  <c r="AF43" i="167"/>
  <c r="AF38" i="128"/>
  <c r="AH38" i="128"/>
  <c r="AD38" i="128"/>
  <c r="AF38" i="163"/>
  <c r="AH38" i="163"/>
  <c r="AD38" i="163"/>
  <c r="AF43" i="163"/>
  <c r="AD43" i="163"/>
  <c r="AH43" i="163"/>
  <c r="AJ9" i="167"/>
  <c r="AH9" i="167"/>
  <c r="AF9" i="167"/>
  <c r="AH31" i="129"/>
  <c r="AF31" i="129"/>
  <c r="AD31" i="129"/>
  <c r="AF40" i="128"/>
  <c r="AD40" i="128"/>
  <c r="AH40" i="128"/>
  <c r="AF37" i="164"/>
  <c r="AH37" i="164"/>
  <c r="AD37" i="164"/>
  <c r="AJ36" i="167"/>
  <c r="AF36" i="167"/>
  <c r="AH36" i="167"/>
  <c r="AF41" i="161"/>
  <c r="AH41" i="161"/>
  <c r="AD41" i="161"/>
  <c r="AJ19" i="167"/>
  <c r="AH19" i="167"/>
  <c r="AF19" i="167"/>
  <c r="AF36" i="148"/>
  <c r="AH36" i="148"/>
  <c r="AD36" i="148"/>
  <c r="AH37" i="148"/>
  <c r="AF37" i="148"/>
  <c r="AD37" i="148"/>
  <c r="AF12" i="162"/>
  <c r="AH12" i="162"/>
  <c r="AD12" i="162"/>
  <c r="AH16" i="163"/>
  <c r="AF16" i="163"/>
  <c r="AD16" i="163"/>
  <c r="AH20" i="128"/>
  <c r="AH24" i="163"/>
  <c r="AF24" i="163"/>
  <c r="AD24" i="163"/>
  <c r="AF28" i="128"/>
  <c r="AH28" i="128"/>
  <c r="AD28" i="128"/>
  <c r="AH32" i="128"/>
  <c r="AD32" i="128"/>
  <c r="AF32" i="128"/>
  <c r="AH32" i="155"/>
  <c r="AD32" i="155"/>
  <c r="AF32" i="155"/>
  <c r="AH36" i="128"/>
  <c r="AF36" i="128"/>
  <c r="AD36" i="128"/>
  <c r="AH11" i="165"/>
  <c r="AF11" i="165"/>
  <c r="AD11" i="165"/>
  <c r="AH15" i="165"/>
  <c r="AF15" i="165"/>
  <c r="AD15" i="165"/>
  <c r="AH19" i="129"/>
  <c r="AF19" i="129"/>
  <c r="AD19" i="129"/>
  <c r="AF23" i="164"/>
  <c r="AD23" i="164"/>
  <c r="AH23" i="164"/>
  <c r="AF27" i="165"/>
  <c r="AH27" i="165"/>
  <c r="AD27" i="165"/>
  <c r="AH35" i="129"/>
  <c r="AD35" i="129"/>
  <c r="AF35" i="129"/>
  <c r="AF33" i="148"/>
  <c r="AH33" i="148"/>
  <c r="AD33" i="148"/>
  <c r="AF10" i="148"/>
  <c r="AD10" i="148"/>
  <c r="AH10" i="148"/>
  <c r="AF31" i="166"/>
  <c r="AH31" i="166"/>
  <c r="AD31" i="166"/>
  <c r="AH22" i="148"/>
  <c r="AF22" i="148"/>
  <c r="AD22" i="148"/>
  <c r="AH11" i="158"/>
  <c r="AF11" i="158"/>
  <c r="AD11" i="158"/>
  <c r="AH13" i="162"/>
  <c r="AF13" i="162"/>
  <c r="AD13" i="162"/>
  <c r="AF17" i="163"/>
  <c r="AH17" i="163"/>
  <c r="AD17" i="163"/>
  <c r="AH21" i="128"/>
  <c r="AF25" i="163"/>
  <c r="AH25" i="163"/>
  <c r="AD25" i="163"/>
  <c r="AF29" i="128"/>
  <c r="AH29" i="128"/>
  <c r="AD29" i="128"/>
  <c r="AH33" i="128"/>
  <c r="AF33" i="128"/>
  <c r="AD33" i="128"/>
  <c r="AH33" i="155"/>
  <c r="AD33" i="155"/>
  <c r="AF33" i="155"/>
  <c r="AF37" i="163"/>
  <c r="AH37" i="163"/>
  <c r="AD37" i="163"/>
  <c r="AH12" i="165"/>
  <c r="AF12" i="165"/>
  <c r="AD12" i="165"/>
  <c r="AH16" i="165"/>
  <c r="AF16" i="165"/>
  <c r="AD16" i="165"/>
  <c r="AH20" i="164"/>
  <c r="AF20" i="164"/>
  <c r="AD20" i="164"/>
  <c r="AD24" i="164"/>
  <c r="AF24" i="164"/>
  <c r="AH24" i="164"/>
  <c r="AH28" i="165"/>
  <c r="AF28" i="165"/>
  <c r="AD28" i="165"/>
  <c r="AH30" i="165"/>
  <c r="AF30" i="165"/>
  <c r="AD30" i="165"/>
  <c r="AH9" i="158"/>
  <c r="AF9" i="158"/>
  <c r="AD9" i="158"/>
  <c r="AH10" i="162"/>
  <c r="AF10" i="162"/>
  <c r="AD10" i="162"/>
  <c r="AH14" i="163"/>
  <c r="AF14" i="163"/>
  <c r="AD14" i="163"/>
  <c r="AH22" i="161"/>
  <c r="AF22" i="161"/>
  <c r="AD22" i="161"/>
  <c r="AH30" i="161"/>
  <c r="AF30" i="161"/>
  <c r="AD30" i="161"/>
  <c r="AH34" i="161"/>
  <c r="AF34" i="161"/>
  <c r="AD34" i="161"/>
  <c r="AF9" i="165"/>
  <c r="AH9" i="165"/>
  <c r="AD9" i="165"/>
  <c r="AF13" i="165"/>
  <c r="AD13" i="165"/>
  <c r="AH13" i="165"/>
  <c r="AF21" i="164"/>
  <c r="AH21" i="164"/>
  <c r="AD21" i="164"/>
  <c r="AF25" i="166"/>
  <c r="AD25" i="166"/>
  <c r="AH25" i="166"/>
  <c r="AD29" i="129"/>
  <c r="AF29" i="129"/>
  <c r="AH29" i="129"/>
  <c r="AF24" i="148"/>
  <c r="AH24" i="148"/>
  <c r="AD24" i="148"/>
  <c r="AH46" i="161"/>
  <c r="AF46" i="161"/>
  <c r="AD46" i="161"/>
  <c r="AH44" i="162"/>
  <c r="AD44" i="162"/>
  <c r="AF44" i="162"/>
  <c r="AH27" i="148"/>
  <c r="AD27" i="148"/>
  <c r="AF27" i="148"/>
  <c r="AF11" i="163"/>
  <c r="AH11" i="163"/>
  <c r="AD11" i="163"/>
  <c r="AH15" i="128"/>
  <c r="AF15" i="128"/>
  <c r="AD15" i="128"/>
  <c r="AH19" i="161"/>
  <c r="AF19" i="161"/>
  <c r="AD19" i="161"/>
  <c r="AF23" i="128"/>
  <c r="AH23" i="128"/>
  <c r="AD23" i="128"/>
  <c r="AH27" i="161"/>
  <c r="AF27" i="161"/>
  <c r="AD27" i="161"/>
  <c r="AF31" i="162"/>
  <c r="AH31" i="162"/>
  <c r="AD31" i="162"/>
  <c r="AF35" i="162"/>
  <c r="AH35" i="162"/>
  <c r="AD35" i="162"/>
  <c r="AH10" i="166"/>
  <c r="AD10" i="166"/>
  <c r="AF10" i="166"/>
  <c r="AH18" i="164"/>
  <c r="AF18" i="164"/>
  <c r="AD18" i="164"/>
  <c r="AF22" i="166"/>
  <c r="AD22" i="166"/>
  <c r="AH22" i="166"/>
  <c r="AH26" i="165"/>
  <c r="AF26" i="165"/>
  <c r="AD26" i="165"/>
  <c r="AF23" i="148"/>
  <c r="AH23" i="148"/>
  <c r="AD23" i="148"/>
  <c r="AH10" i="158"/>
  <c r="AF10" i="158"/>
  <c r="AD10" i="158"/>
  <c r="AH12" i="161"/>
  <c r="AF12" i="161"/>
  <c r="AD12" i="161"/>
  <c r="AH16" i="162"/>
  <c r="AF16" i="162"/>
  <c r="AD16" i="162"/>
  <c r="AH20" i="163"/>
  <c r="AF20" i="163"/>
  <c r="AD20" i="163"/>
  <c r="AF24" i="162"/>
  <c r="AH24" i="162"/>
  <c r="AD24" i="162"/>
  <c r="AF28" i="163"/>
  <c r="AH28" i="163"/>
  <c r="AD28" i="163"/>
  <c r="AF32" i="163"/>
  <c r="AH32" i="163"/>
  <c r="AD32" i="163"/>
  <c r="AH36" i="163"/>
  <c r="AF36" i="163"/>
  <c r="AD36" i="163"/>
  <c r="AF11" i="166"/>
  <c r="AH11" i="166"/>
  <c r="AD11" i="166"/>
  <c r="AF15" i="166"/>
  <c r="AH15" i="166"/>
  <c r="AD15" i="166"/>
  <c r="AH19" i="166"/>
  <c r="AF19" i="166"/>
  <c r="AD19" i="166"/>
  <c r="AH23" i="129"/>
  <c r="AF23" i="129"/>
  <c r="AD23" i="129"/>
  <c r="AH27" i="164"/>
  <c r="AF27" i="164"/>
  <c r="AD27" i="164"/>
  <c r="AH35" i="165"/>
  <c r="AF35" i="165"/>
  <c r="AD35" i="165"/>
  <c r="AH24" i="155"/>
  <c r="AH31" i="164"/>
  <c r="AF31" i="164"/>
  <c r="AD31" i="164"/>
  <c r="AH15" i="158"/>
  <c r="AF15" i="158"/>
  <c r="AD15" i="158"/>
  <c r="AF9" i="163"/>
  <c r="AH9" i="163"/>
  <c r="AD9" i="163"/>
  <c r="AH13" i="161"/>
  <c r="AF13" i="161"/>
  <c r="AD13" i="161"/>
  <c r="AF17" i="162"/>
  <c r="AH17" i="162"/>
  <c r="AD17" i="162"/>
  <c r="AH21" i="163"/>
  <c r="AF21" i="163"/>
  <c r="AD21" i="163"/>
  <c r="AF25" i="162"/>
  <c r="AH25" i="162"/>
  <c r="AD25" i="162"/>
  <c r="AF29" i="163"/>
  <c r="AH29" i="163"/>
  <c r="AD29" i="163"/>
  <c r="AH33" i="163"/>
  <c r="AD33" i="163"/>
  <c r="AF33" i="163"/>
  <c r="AF37" i="162"/>
  <c r="AD37" i="162"/>
  <c r="AH37" i="162"/>
  <c r="AF16" i="166"/>
  <c r="AH16" i="166"/>
  <c r="AD16" i="166"/>
  <c r="AH20" i="165"/>
  <c r="AF20" i="165"/>
  <c r="AD20" i="165"/>
  <c r="AF28" i="129"/>
  <c r="AH28" i="129"/>
  <c r="AD28" i="129"/>
  <c r="AH30" i="164"/>
  <c r="AF30" i="164"/>
  <c r="AD30" i="164"/>
  <c r="AH21" i="148"/>
  <c r="AF21" i="148"/>
  <c r="AD21" i="148"/>
  <c r="AH12" i="158"/>
  <c r="AF12" i="158"/>
  <c r="AD12" i="158"/>
  <c r="AF10" i="161"/>
  <c r="AH10" i="161"/>
  <c r="AD10" i="161"/>
  <c r="AH14" i="162"/>
  <c r="AF14" i="162"/>
  <c r="AD14" i="162"/>
  <c r="AF18" i="163"/>
  <c r="AH18" i="163"/>
  <c r="AD18" i="163"/>
  <c r="AF26" i="163"/>
  <c r="AH26" i="163"/>
  <c r="AD26" i="163"/>
  <c r="AH30" i="128"/>
  <c r="AF30" i="128"/>
  <c r="AD30" i="128"/>
  <c r="AF34" i="128"/>
  <c r="AH34" i="128"/>
  <c r="AD34" i="128"/>
  <c r="AH9" i="164"/>
  <c r="AF9" i="164"/>
  <c r="AD9" i="164"/>
  <c r="AH13" i="166"/>
  <c r="AF13" i="166"/>
  <c r="AD13" i="166"/>
  <c r="AH17" i="165"/>
  <c r="AF17" i="165"/>
  <c r="AD17" i="165"/>
  <c r="AH25" i="164"/>
  <c r="AF25" i="164"/>
  <c r="AD25" i="164"/>
  <c r="AH29" i="165"/>
  <c r="AF29" i="165"/>
  <c r="AD29" i="165"/>
  <c r="AD44" i="128"/>
  <c r="AH44" i="128"/>
  <c r="AF44" i="128"/>
  <c r="AF11" i="162"/>
  <c r="AH11" i="162"/>
  <c r="AD11" i="162"/>
  <c r="AH15" i="163"/>
  <c r="AF15" i="163"/>
  <c r="AD15" i="163"/>
  <c r="AF23" i="163"/>
  <c r="AH23" i="163"/>
  <c r="AD23" i="163"/>
  <c r="AH31" i="161"/>
  <c r="AF31" i="161"/>
  <c r="AD31" i="161"/>
  <c r="AF35" i="161"/>
  <c r="AD35" i="161"/>
  <c r="AH35" i="161"/>
  <c r="AF10" i="165"/>
  <c r="AH10" i="165"/>
  <c r="AD10" i="165"/>
  <c r="AH14" i="165"/>
  <c r="AF14" i="165"/>
  <c r="AD14" i="165"/>
  <c r="AF18" i="129"/>
  <c r="AH18" i="129"/>
  <c r="AD18" i="129"/>
  <c r="AH22" i="164"/>
  <c r="AF22" i="164"/>
  <c r="AD22" i="164"/>
  <c r="AF26" i="166"/>
  <c r="AD26" i="166"/>
  <c r="AH26" i="166"/>
  <c r="AF25" i="148"/>
  <c r="AH25" i="148"/>
  <c r="AD25" i="148"/>
  <c r="AF15" i="148"/>
  <c r="AD15" i="148"/>
  <c r="AH15" i="148"/>
  <c r="AF14" i="158"/>
  <c r="AH14" i="158"/>
  <c r="AD14" i="158"/>
  <c r="AH16" i="161"/>
  <c r="AF16" i="161"/>
  <c r="AD16" i="161"/>
  <c r="AH20" i="162"/>
  <c r="AF20" i="162"/>
  <c r="AD20" i="162"/>
  <c r="AH24" i="161"/>
  <c r="AF24" i="161"/>
  <c r="AD24" i="161"/>
  <c r="AF28" i="162"/>
  <c r="AH28" i="162"/>
  <c r="AD28" i="162"/>
  <c r="AH32" i="162"/>
  <c r="AD32" i="162"/>
  <c r="AF32" i="162"/>
  <c r="AF35" i="158"/>
  <c r="AD35" i="158"/>
  <c r="AH35" i="158"/>
  <c r="AH36" i="162"/>
  <c r="AD36" i="162"/>
  <c r="AF36" i="162"/>
  <c r="AH11" i="164"/>
  <c r="AF11" i="164"/>
  <c r="AD11" i="164"/>
  <c r="AF15" i="164"/>
  <c r="AH15" i="164"/>
  <c r="AD15" i="164"/>
  <c r="AH19" i="165"/>
  <c r="AF19" i="165"/>
  <c r="AD19" i="165"/>
  <c r="AH23" i="165"/>
  <c r="AD23" i="165"/>
  <c r="AF23" i="165"/>
  <c r="AH35" i="166"/>
  <c r="AD35" i="166"/>
  <c r="AF35" i="166"/>
  <c r="AF43" i="148"/>
  <c r="AH43" i="148"/>
  <c r="AD43" i="148"/>
  <c r="AF9" i="162"/>
  <c r="AH9" i="162"/>
  <c r="AD9" i="162"/>
  <c r="AH13" i="128"/>
  <c r="AF13" i="128"/>
  <c r="AD13" i="128"/>
  <c r="AF17" i="161"/>
  <c r="AH17" i="161"/>
  <c r="AD17" i="161"/>
  <c r="AH21" i="162"/>
  <c r="AF21" i="162"/>
  <c r="AD21" i="162"/>
  <c r="AH25" i="161"/>
  <c r="AF25" i="161"/>
  <c r="AD25" i="161"/>
  <c r="AF29" i="162"/>
  <c r="AH29" i="162"/>
  <c r="AD29" i="162"/>
  <c r="AF32" i="158"/>
  <c r="AH32" i="158"/>
  <c r="AD32" i="158"/>
  <c r="AF33" i="162"/>
  <c r="AH33" i="162"/>
  <c r="AD33" i="162"/>
  <c r="AF37" i="161"/>
  <c r="AD37" i="161"/>
  <c r="AH37" i="161"/>
  <c r="AH12" i="164"/>
  <c r="AF12" i="164"/>
  <c r="AD12" i="164"/>
  <c r="AF16" i="164"/>
  <c r="AH16" i="164"/>
  <c r="AD16" i="164"/>
  <c r="AH20" i="166"/>
  <c r="AD20" i="166"/>
  <c r="AF20" i="166"/>
  <c r="AH24" i="165"/>
  <c r="AF24" i="165"/>
  <c r="AD24" i="165"/>
  <c r="AH28" i="164"/>
  <c r="AF28" i="164"/>
  <c r="AD28" i="164"/>
  <c r="AF17" i="148"/>
  <c r="AH17" i="148"/>
  <c r="AD17" i="148"/>
  <c r="AF14" i="148"/>
  <c r="AH14" i="148"/>
  <c r="AD14" i="148"/>
  <c r="AF16" i="158"/>
  <c r="AH16" i="158"/>
  <c r="AD16" i="158"/>
  <c r="AH14" i="161"/>
  <c r="AF14" i="161"/>
  <c r="AD14" i="161"/>
  <c r="AF18" i="162"/>
  <c r="AH18" i="162"/>
  <c r="AD18" i="162"/>
  <c r="AH22" i="163"/>
  <c r="AF22" i="163"/>
  <c r="AD22" i="163"/>
  <c r="AH26" i="162"/>
  <c r="AF26" i="162"/>
  <c r="AD26" i="162"/>
  <c r="AF30" i="163"/>
  <c r="AH30" i="163"/>
  <c r="AD30" i="163"/>
  <c r="AH34" i="163"/>
  <c r="AF34" i="163"/>
  <c r="AD34" i="163"/>
  <c r="AF9" i="166"/>
  <c r="AH9" i="166"/>
  <c r="AD9" i="166"/>
  <c r="AH13" i="164"/>
  <c r="AF13" i="164"/>
  <c r="AD13" i="164"/>
  <c r="AD17" i="166"/>
  <c r="AF17" i="166"/>
  <c r="AH17" i="166"/>
  <c r="AF21" i="166"/>
  <c r="AH21" i="166"/>
  <c r="AD21" i="166"/>
  <c r="AD25" i="129"/>
  <c r="AH25" i="129"/>
  <c r="AF25" i="129"/>
  <c r="AD29" i="164"/>
  <c r="AH29" i="164"/>
  <c r="AF29" i="164"/>
  <c r="AH46" i="163"/>
  <c r="AF46" i="163"/>
  <c r="AD46" i="163"/>
  <c r="AH29" i="148"/>
  <c r="AF29" i="148"/>
  <c r="AD29" i="148"/>
  <c r="AF11" i="161"/>
  <c r="AH11" i="161"/>
  <c r="AD11" i="161"/>
  <c r="AH15" i="162"/>
  <c r="AF15" i="162"/>
  <c r="AD15" i="162"/>
  <c r="AF19" i="163"/>
  <c r="AH19" i="163"/>
  <c r="AD19" i="163"/>
  <c r="AF23" i="162"/>
  <c r="AH23" i="162"/>
  <c r="AD23" i="162"/>
  <c r="AF27" i="163"/>
  <c r="AH27" i="163"/>
  <c r="AD27" i="163"/>
  <c r="AH31" i="128"/>
  <c r="AF31" i="128"/>
  <c r="AD31" i="128"/>
  <c r="AH34" i="158"/>
  <c r="AD34" i="158"/>
  <c r="AF34" i="158"/>
  <c r="AH10" i="164"/>
  <c r="AD10" i="164"/>
  <c r="AF10" i="164"/>
  <c r="AF14" i="166"/>
  <c r="AD14" i="166"/>
  <c r="AH14" i="166"/>
  <c r="AF18" i="165"/>
  <c r="AH18" i="165"/>
  <c r="AD18" i="165"/>
  <c r="AF22" i="129"/>
  <c r="AH22" i="129"/>
  <c r="AD22" i="129"/>
  <c r="AF26" i="129"/>
  <c r="AD26" i="129"/>
  <c r="AH26" i="129"/>
  <c r="AF18" i="148"/>
  <c r="AH18" i="148"/>
  <c r="AD18" i="148"/>
  <c r="AH23" i="155"/>
  <c r="AF23" i="155"/>
  <c r="AD23" i="155"/>
  <c r="AF12" i="163"/>
  <c r="AH12" i="163"/>
  <c r="AD12" i="163"/>
  <c r="AH16" i="128"/>
  <c r="AF16" i="128"/>
  <c r="AD16" i="128"/>
  <c r="AH20" i="161"/>
  <c r="AF20" i="161"/>
  <c r="AD20" i="161"/>
  <c r="AH28" i="161"/>
  <c r="AF28" i="161"/>
  <c r="AD28" i="161"/>
  <c r="AF32" i="161"/>
  <c r="AH32" i="161"/>
  <c r="AD32" i="161"/>
  <c r="AH36" i="161"/>
  <c r="AD36" i="161"/>
  <c r="AF36" i="161"/>
  <c r="AH19" i="164"/>
  <c r="AF19" i="164"/>
  <c r="AD19" i="164"/>
  <c r="AH23" i="166"/>
  <c r="AF23" i="166"/>
  <c r="AD23" i="166"/>
  <c r="AD27" i="166"/>
  <c r="AF27" i="166"/>
  <c r="AH27" i="166"/>
  <c r="AD35" i="164"/>
  <c r="AH35" i="164"/>
  <c r="AF35" i="164"/>
  <c r="AH20" i="148"/>
  <c r="AF20" i="148"/>
  <c r="AD20" i="148"/>
  <c r="AF31" i="165"/>
  <c r="AH31" i="165"/>
  <c r="AD31" i="165"/>
  <c r="AF9" i="148"/>
  <c r="AD9" i="148"/>
  <c r="AH9" i="148"/>
  <c r="AH30" i="148"/>
  <c r="AF30" i="148"/>
  <c r="AD30" i="148"/>
  <c r="AH9" i="161"/>
  <c r="AF9" i="161"/>
  <c r="AD9" i="161"/>
  <c r="AH13" i="163"/>
  <c r="AF13" i="163"/>
  <c r="AD13" i="163"/>
  <c r="AH21" i="161"/>
  <c r="AF21" i="161"/>
  <c r="AD21" i="161"/>
  <c r="AF29" i="161"/>
  <c r="AH29" i="161"/>
  <c r="AD29" i="161"/>
  <c r="AH33" i="161"/>
  <c r="AF33" i="161"/>
  <c r="AD33" i="161"/>
  <c r="AF37" i="128"/>
  <c r="AD37" i="128"/>
  <c r="AH37" i="128"/>
  <c r="AF12" i="166"/>
  <c r="AD12" i="166"/>
  <c r="AH12" i="166"/>
  <c r="AF20" i="129"/>
  <c r="AH20" i="129"/>
  <c r="AD20" i="129"/>
  <c r="AH24" i="166"/>
  <c r="AF24" i="166"/>
  <c r="AD24" i="166"/>
  <c r="AH28" i="166"/>
  <c r="AF28" i="166"/>
  <c r="AD28" i="166"/>
  <c r="AD30" i="166"/>
  <c r="AF30" i="166"/>
  <c r="AH30" i="166"/>
  <c r="AH42" i="148"/>
  <c r="AF42" i="148"/>
  <c r="AD42" i="148"/>
  <c r="AH28" i="148"/>
  <c r="AF28" i="148"/>
  <c r="AD28" i="148"/>
  <c r="AF10" i="163"/>
  <c r="AH10" i="163"/>
  <c r="AD10" i="163"/>
  <c r="AH14" i="128"/>
  <c r="AF14" i="128"/>
  <c r="AD14" i="128"/>
  <c r="AF18" i="161"/>
  <c r="AH18" i="161"/>
  <c r="AD18" i="161"/>
  <c r="AH22" i="162"/>
  <c r="AF22" i="162"/>
  <c r="AD22" i="162"/>
  <c r="AH26" i="161"/>
  <c r="AF26" i="161"/>
  <c r="AD26" i="161"/>
  <c r="AF30" i="162"/>
  <c r="AH30" i="162"/>
  <c r="AD30" i="162"/>
  <c r="AH33" i="158"/>
  <c r="AF33" i="158"/>
  <c r="AD33" i="158"/>
  <c r="AF34" i="162"/>
  <c r="AD34" i="162"/>
  <c r="AH34" i="162"/>
  <c r="AH17" i="164"/>
  <c r="AF17" i="164"/>
  <c r="AD17" i="164"/>
  <c r="AF21" i="165"/>
  <c r="AD21" i="165"/>
  <c r="AH21" i="165"/>
  <c r="AH25" i="165"/>
  <c r="AF25" i="165"/>
  <c r="AD25" i="165"/>
  <c r="AD29" i="166"/>
  <c r="AH29" i="166"/>
  <c r="AF29" i="166"/>
  <c r="AH26" i="148"/>
  <c r="AF26" i="148"/>
  <c r="AD26" i="148"/>
  <c r="AF13" i="148"/>
  <c r="AD13" i="148"/>
  <c r="AH13" i="148"/>
  <c r="AH46" i="162"/>
  <c r="AF46" i="162"/>
  <c r="AD46" i="162"/>
  <c r="AF44" i="148"/>
  <c r="AH44" i="148"/>
  <c r="AD44" i="148"/>
  <c r="AH42" i="155"/>
  <c r="AF42" i="155"/>
  <c r="AD42" i="155"/>
  <c r="AH44" i="163"/>
  <c r="AF44" i="163"/>
  <c r="AD44" i="163"/>
  <c r="AH11" i="148"/>
  <c r="AD11" i="148"/>
  <c r="AF11" i="148"/>
  <c r="AF17" i="158"/>
  <c r="AH17" i="158"/>
  <c r="AD17" i="158"/>
  <c r="AH15" i="161"/>
  <c r="AD15" i="161"/>
  <c r="AF15" i="161"/>
  <c r="AF19" i="162"/>
  <c r="AH19" i="162"/>
  <c r="AD19" i="162"/>
  <c r="AF23" i="161"/>
  <c r="AH23" i="161"/>
  <c r="AD23" i="161"/>
  <c r="AF27" i="162"/>
  <c r="AH27" i="162"/>
  <c r="AD27" i="162"/>
  <c r="AF31" i="163"/>
  <c r="AH31" i="163"/>
  <c r="AD31" i="163"/>
  <c r="AF31" i="155"/>
  <c r="AD31" i="155"/>
  <c r="AH31" i="155"/>
  <c r="AH35" i="163"/>
  <c r="AF35" i="163"/>
  <c r="AD35" i="163"/>
  <c r="AH14" i="164"/>
  <c r="AD14" i="164"/>
  <c r="AF14" i="164"/>
  <c r="AF18" i="166"/>
  <c r="AD18" i="166"/>
  <c r="AH18" i="166"/>
  <c r="AH22" i="165"/>
  <c r="AD22" i="165"/>
  <c r="AF22" i="165"/>
  <c r="AH26" i="164"/>
  <c r="AF26" i="164"/>
  <c r="AD26" i="164"/>
  <c r="H15" i="128"/>
  <c r="O91" i="125"/>
  <c r="X90" i="126"/>
  <c r="H15" i="129"/>
  <c r="U28" i="130"/>
  <c r="B29" i="130" s="1"/>
  <c r="T28" i="130"/>
  <c r="I27" i="130"/>
  <c r="Z94" i="125"/>
  <c r="Y76" i="125"/>
  <c r="Z84" i="126"/>
  <c r="Z83" i="128"/>
  <c r="U69" i="128"/>
  <c r="Z86" i="128"/>
  <c r="U69" i="126"/>
  <c r="Z83" i="126"/>
  <c r="P70" i="126"/>
  <c r="U61" i="129"/>
  <c r="Z75" i="129"/>
  <c r="P62" i="129"/>
  <c r="P64" i="130"/>
  <c r="AA77" i="130"/>
  <c r="U63" i="130"/>
  <c r="Z59" i="130"/>
  <c r="AA79" i="130"/>
  <c r="Y57" i="129"/>
  <c r="Z76" i="129"/>
  <c r="T17" i="128" l="1"/>
  <c r="AF48" i="175"/>
  <c r="AH47" i="149"/>
  <c r="AD47" i="149"/>
  <c r="AH45" i="156"/>
  <c r="AD47" i="152"/>
  <c r="AD47" i="150"/>
  <c r="AF47" i="150"/>
  <c r="AH47" i="150"/>
  <c r="AF47" i="152"/>
  <c r="AH47" i="152"/>
  <c r="AD47" i="153"/>
  <c r="AF47" i="153"/>
  <c r="AH47" i="153"/>
  <c r="AD47" i="151"/>
  <c r="AF47" i="151"/>
  <c r="AH47" i="151"/>
  <c r="AD47" i="154"/>
  <c r="AH47" i="154"/>
  <c r="AF47" i="154"/>
  <c r="AF47" i="149"/>
  <c r="AH40" i="160"/>
  <c r="AF40" i="160"/>
  <c r="AD40" i="159"/>
  <c r="AC7" i="133" s="1"/>
  <c r="AH40" i="159"/>
  <c r="AF40" i="159"/>
  <c r="AD45" i="156"/>
  <c r="AF45" i="156"/>
  <c r="AD45" i="157"/>
  <c r="AF45" i="157"/>
  <c r="AH45" i="157"/>
  <c r="AD40" i="160"/>
  <c r="AD7" i="133" s="1"/>
  <c r="O5" i="125"/>
  <c r="O7" i="125"/>
  <c r="O4" i="125"/>
  <c r="P4" i="125" s="1"/>
  <c r="T13" i="125"/>
  <c r="O6" i="125"/>
  <c r="AF40" i="158"/>
  <c r="AD40" i="158"/>
  <c r="AH40" i="158"/>
  <c r="AD48" i="175"/>
  <c r="AV7" i="133" s="1"/>
  <c r="AH48" i="175"/>
  <c r="AH48" i="176"/>
  <c r="AF48" i="176"/>
  <c r="AD48" i="177"/>
  <c r="G7" i="177" s="1"/>
  <c r="AH48" i="177"/>
  <c r="AD48" i="176"/>
  <c r="AF48" i="177"/>
  <c r="G7" i="175"/>
  <c r="H16" i="128"/>
  <c r="F100" i="133"/>
  <c r="L100" i="133" s="1"/>
  <c r="M100" i="133" s="1"/>
  <c r="H100" i="133" s="1"/>
  <c r="F93" i="133"/>
  <c r="L93" i="133" s="1"/>
  <c r="M93" i="133" s="1"/>
  <c r="H93" i="133" s="1"/>
  <c r="H26" i="129"/>
  <c r="T28" i="129" s="1"/>
  <c r="O91" i="128"/>
  <c r="H11" i="133"/>
  <c r="O12" i="130"/>
  <c r="O13" i="130"/>
  <c r="P24" i="130"/>
  <c r="P23" i="130"/>
  <c r="P22" i="130"/>
  <c r="O11" i="130"/>
  <c r="J16" i="130"/>
  <c r="P12" i="130"/>
  <c r="P11" i="130"/>
  <c r="P13" i="130"/>
  <c r="U17" i="128"/>
  <c r="B18" i="128" s="1"/>
  <c r="L171" i="133"/>
  <c r="M171" i="133" s="1"/>
  <c r="H171" i="133" s="1"/>
  <c r="Y68" i="171"/>
  <c r="AZ7" i="133" s="1"/>
  <c r="H16" i="129"/>
  <c r="I16" i="129" s="1"/>
  <c r="AG16" i="130"/>
  <c r="AH16" i="130" s="1"/>
  <c r="AG17" i="130"/>
  <c r="AH17" i="130" s="1"/>
  <c r="AJ50" i="167"/>
  <c r="AF50" i="167"/>
  <c r="AH50" i="168"/>
  <c r="AF50" i="169"/>
  <c r="AJ50" i="169"/>
  <c r="AH50" i="169"/>
  <c r="AJ50" i="168"/>
  <c r="AH50" i="167"/>
  <c r="AF50" i="168"/>
  <c r="AD48" i="161"/>
  <c r="AD48" i="162"/>
  <c r="AD48" i="163"/>
  <c r="AH46" i="166"/>
  <c r="AF46" i="164"/>
  <c r="AF46" i="165"/>
  <c r="AH48" i="162"/>
  <c r="AH46" i="164"/>
  <c r="AD46" i="164"/>
  <c r="AF48" i="161"/>
  <c r="AH48" i="163"/>
  <c r="AD19" i="148"/>
  <c r="AD47" i="148" s="1"/>
  <c r="H8" i="148" s="1"/>
  <c r="AH19" i="148"/>
  <c r="AH47" i="148" s="1"/>
  <c r="AF19" i="148"/>
  <c r="AF47" i="148" s="1"/>
  <c r="AD46" i="165"/>
  <c r="AF48" i="162"/>
  <c r="AH48" i="161"/>
  <c r="AD46" i="166"/>
  <c r="AF48" i="163"/>
  <c r="AF46" i="166"/>
  <c r="AH46" i="165"/>
  <c r="H26" i="125"/>
  <c r="T17" i="129"/>
  <c r="U17" i="129"/>
  <c r="T28" i="128"/>
  <c r="H27" i="128"/>
  <c r="U28" i="128"/>
  <c r="B29" i="128" s="1"/>
  <c r="O22" i="130"/>
  <c r="J27" i="130"/>
  <c r="O24" i="130"/>
  <c r="O23" i="130"/>
  <c r="Y22" i="130"/>
  <c r="I16" i="128" l="1"/>
  <c r="I17" i="128"/>
  <c r="I27" i="128"/>
  <c r="I28" i="128"/>
  <c r="M28" i="128"/>
  <c r="I23" i="128" s="1"/>
  <c r="M17" i="128"/>
  <c r="AE46" i="128" s="1"/>
  <c r="AF46" i="128" s="1"/>
  <c r="P7" i="125"/>
  <c r="H8" i="175"/>
  <c r="M17" i="125"/>
  <c r="I15" i="125" s="1"/>
  <c r="P28" i="125"/>
  <c r="Q28" i="125"/>
  <c r="AE14" i="125"/>
  <c r="P6" i="125"/>
  <c r="P5" i="125"/>
  <c r="AE10" i="125" s="1"/>
  <c r="O12" i="128"/>
  <c r="AE10" i="128" s="1"/>
  <c r="AF10" i="128" s="1"/>
  <c r="O11" i="128"/>
  <c r="AE9" i="128" s="1"/>
  <c r="O13" i="128"/>
  <c r="AE11" i="128" s="1"/>
  <c r="AF11" i="128" s="1"/>
  <c r="O14" i="128"/>
  <c r="AE12" i="128" s="1"/>
  <c r="AF12" i="128" s="1"/>
  <c r="AX7" i="133"/>
  <c r="H8" i="177"/>
  <c r="G7" i="176"/>
  <c r="H8" i="176"/>
  <c r="AW7" i="133"/>
  <c r="H27" i="129"/>
  <c r="I27" i="129" s="1"/>
  <c r="U28" i="129"/>
  <c r="M28" i="129"/>
  <c r="B29" i="129" s="1"/>
  <c r="M28" i="130"/>
  <c r="M17" i="129"/>
  <c r="B18" i="129" s="1"/>
  <c r="M17" i="130"/>
  <c r="J12" i="130" s="1"/>
  <c r="I17" i="129"/>
  <c r="AE42" i="128"/>
  <c r="AB42" i="128" s="1"/>
  <c r="AJ172" i="133" s="1"/>
  <c r="F172" i="133" s="1"/>
  <c r="O13" i="129"/>
  <c r="O11" i="129"/>
  <c r="O12" i="129"/>
  <c r="H8" i="150"/>
  <c r="R7" i="133"/>
  <c r="S7" i="133"/>
  <c r="H7" i="169"/>
  <c r="AS7" i="133"/>
  <c r="P7" i="133"/>
  <c r="H7" i="168"/>
  <c r="AR7" i="133"/>
  <c r="AG15" i="130"/>
  <c r="AH15" i="130" s="1"/>
  <c r="H7" i="167"/>
  <c r="AQ7" i="133"/>
  <c r="AE39" i="128"/>
  <c r="AG33" i="130"/>
  <c r="AG43" i="130"/>
  <c r="AH43" i="130" s="1"/>
  <c r="G7" i="148"/>
  <c r="G7" i="154"/>
  <c r="O7" i="133"/>
  <c r="G7" i="153"/>
  <c r="AN7" i="133"/>
  <c r="G7" i="166"/>
  <c r="AM7" i="133"/>
  <c r="G7" i="165"/>
  <c r="G7" i="164"/>
  <c r="AL7" i="133"/>
  <c r="P25" i="128"/>
  <c r="P23" i="128"/>
  <c r="P24" i="128"/>
  <c r="P22" i="128"/>
  <c r="H8" i="159"/>
  <c r="G7" i="159"/>
  <c r="G7" i="163"/>
  <c r="H8" i="163"/>
  <c r="AI7" i="133"/>
  <c r="G7" i="161"/>
  <c r="H8" i="161"/>
  <c r="AG7" i="133"/>
  <c r="H8" i="160"/>
  <c r="G7" i="160"/>
  <c r="G7" i="162"/>
  <c r="H8" i="162"/>
  <c r="AH7" i="133"/>
  <c r="AE25" i="128"/>
  <c r="AB25" i="128" s="1"/>
  <c r="AJ70" i="133" s="1"/>
  <c r="F70" i="133" s="1"/>
  <c r="AE26" i="128"/>
  <c r="AF26" i="128" s="1"/>
  <c r="D9" i="128"/>
  <c r="R74" i="128" s="1"/>
  <c r="AE27" i="128"/>
  <c r="AF27" i="128" s="1"/>
  <c r="AE24" i="128"/>
  <c r="AF24" i="128" s="1"/>
  <c r="O23" i="128"/>
  <c r="O22" i="128"/>
  <c r="O25" i="128"/>
  <c r="O24" i="128"/>
  <c r="I26" i="128" l="1"/>
  <c r="J23" i="130"/>
  <c r="AI42" i="130"/>
  <c r="AI32" i="130"/>
  <c r="AJ32" i="130" s="1"/>
  <c r="AI40" i="130"/>
  <c r="AJ40" i="130" s="1"/>
  <c r="J15" i="130"/>
  <c r="AG40" i="130"/>
  <c r="I26" i="129"/>
  <c r="I23" i="129"/>
  <c r="I15" i="129"/>
  <c r="I12" i="129"/>
  <c r="AE21" i="128"/>
  <c r="AE20" i="128"/>
  <c r="AE13" i="125"/>
  <c r="AF13" i="125" s="1"/>
  <c r="AB21" i="128"/>
  <c r="AF21" i="128"/>
  <c r="I15" i="128"/>
  <c r="I12" i="128"/>
  <c r="AG27" i="172"/>
  <c r="AF27" i="172" s="1"/>
  <c r="AE43" i="125"/>
  <c r="AF41" i="125" s="1"/>
  <c r="AE11" i="125"/>
  <c r="AE12" i="125"/>
  <c r="AF10" i="125"/>
  <c r="AF14" i="125"/>
  <c r="AE9" i="125"/>
  <c r="R5" i="125"/>
  <c r="R4" i="125"/>
  <c r="S4" i="125" s="1"/>
  <c r="R6" i="125"/>
  <c r="T24" i="125"/>
  <c r="R7" i="125"/>
  <c r="AE18" i="128"/>
  <c r="AF18" i="128" s="1"/>
  <c r="AV5" i="133"/>
  <c r="AE9" i="129"/>
  <c r="AF9" i="129" s="1"/>
  <c r="AE10" i="129"/>
  <c r="AE12" i="129"/>
  <c r="AF12" i="129" s="1"/>
  <c r="AE13" i="129"/>
  <c r="AE15" i="129"/>
  <c r="AF15" i="129" s="1"/>
  <c r="AE16" i="129"/>
  <c r="O22" i="129"/>
  <c r="O23" i="129"/>
  <c r="AG13" i="129" s="1"/>
  <c r="AH13" i="129" s="1"/>
  <c r="I28" i="129"/>
  <c r="O24" i="129"/>
  <c r="AG14" i="129"/>
  <c r="AH14" i="129" s="1"/>
  <c r="AE17" i="128"/>
  <c r="AI11" i="130"/>
  <c r="AJ11" i="130" s="1"/>
  <c r="AI10" i="130"/>
  <c r="AJ10" i="130" s="1"/>
  <c r="J26" i="130"/>
  <c r="AI9" i="130"/>
  <c r="AE11" i="129"/>
  <c r="AG17" i="129"/>
  <c r="AH17" i="129" s="1"/>
  <c r="AG11" i="129"/>
  <c r="AI33" i="130"/>
  <c r="AJ33" i="130" s="1"/>
  <c r="AG10" i="130"/>
  <c r="AG37" i="172"/>
  <c r="AF37" i="172" s="1"/>
  <c r="AG32" i="130"/>
  <c r="AH32" i="130" s="1"/>
  <c r="AG9" i="130"/>
  <c r="AG11" i="130"/>
  <c r="AG39" i="130"/>
  <c r="AH39" i="130" s="1"/>
  <c r="D9" i="130"/>
  <c r="D20" i="129"/>
  <c r="R77" i="129" s="1"/>
  <c r="D9" i="129"/>
  <c r="R66" i="129" s="1"/>
  <c r="AE17" i="129"/>
  <c r="AF17" i="129" s="1"/>
  <c r="AE14" i="129"/>
  <c r="AG46" i="128"/>
  <c r="AH46" i="128" s="1"/>
  <c r="AG32" i="172"/>
  <c r="AF32" i="172" s="1"/>
  <c r="AF42" i="128"/>
  <c r="B31" i="128"/>
  <c r="Q7" i="133"/>
  <c r="G7" i="150"/>
  <c r="AD42" i="128"/>
  <c r="AF25" i="128"/>
  <c r="H8" i="151"/>
  <c r="G7" i="151"/>
  <c r="U7" i="133"/>
  <c r="H8" i="152"/>
  <c r="G7" i="152"/>
  <c r="H8" i="154"/>
  <c r="H8" i="149"/>
  <c r="G7" i="149"/>
  <c r="AI43" i="130"/>
  <c r="AJ43" i="130" s="1"/>
  <c r="D20" i="130"/>
  <c r="AE19" i="128"/>
  <c r="AF19" i="128" s="1"/>
  <c r="AB39" i="128"/>
  <c r="AJ169" i="133" s="1"/>
  <c r="AF39" i="128"/>
  <c r="AH33" i="130"/>
  <c r="AI16" i="130"/>
  <c r="AI17" i="130"/>
  <c r="AI39" i="130"/>
  <c r="AI15" i="130"/>
  <c r="T7" i="133"/>
  <c r="H8" i="153"/>
  <c r="AG24" i="129"/>
  <c r="AB24" i="129" s="1"/>
  <c r="AO98" i="133" s="1"/>
  <c r="F98" i="133" s="1"/>
  <c r="AG27" i="129"/>
  <c r="AH27" i="129" s="1"/>
  <c r="AG21" i="129"/>
  <c r="AG36" i="129"/>
  <c r="AB27" i="128"/>
  <c r="AD27" i="128" s="1"/>
  <c r="AJ6" i="133"/>
  <c r="D20" i="128"/>
  <c r="R85" i="128" s="1"/>
  <c r="AB24" i="128"/>
  <c r="AE35" i="128"/>
  <c r="AF35" i="128" s="1"/>
  <c r="AE22" i="128"/>
  <c r="AF22" i="128" s="1"/>
  <c r="E9" i="128"/>
  <c r="AF9" i="128"/>
  <c r="AB26" i="128"/>
  <c r="AG9" i="128"/>
  <c r="AG11" i="128"/>
  <c r="AG10" i="128"/>
  <c r="L70" i="133"/>
  <c r="AD25" i="128"/>
  <c r="AG12" i="128"/>
  <c r="AG28" i="172"/>
  <c r="AF28" i="172" s="1"/>
  <c r="AG38" i="172"/>
  <c r="AF38" i="172" s="1"/>
  <c r="AG33" i="172"/>
  <c r="AF33" i="172" s="1"/>
  <c r="H59" i="133"/>
  <c r="H97" i="133"/>
  <c r="AE20" i="125" l="1"/>
  <c r="AD42" i="130"/>
  <c r="AJ42" i="130"/>
  <c r="AG20" i="130"/>
  <c r="AJ9" i="130"/>
  <c r="AI20" i="130"/>
  <c r="AJ20" i="130" s="1"/>
  <c r="AD40" i="130"/>
  <c r="AH40" i="130"/>
  <c r="AG12" i="129"/>
  <c r="AH12" i="129" s="1"/>
  <c r="AB20" i="128"/>
  <c r="AF20" i="128"/>
  <c r="AF20" i="125"/>
  <c r="AD21" i="128"/>
  <c r="AJ66" i="133"/>
  <c r="F66" i="133" s="1"/>
  <c r="L66" i="133" s="1"/>
  <c r="M66" i="133" s="1"/>
  <c r="H66" i="133" s="1"/>
  <c r="E9" i="125"/>
  <c r="AE21" i="125"/>
  <c r="AF21" i="125" s="1"/>
  <c r="M28" i="125"/>
  <c r="I26" i="125" s="1"/>
  <c r="S7" i="125"/>
  <c r="AG13" i="125" s="1"/>
  <c r="AF43" i="125"/>
  <c r="AB43" i="125"/>
  <c r="AD43" i="125" s="1"/>
  <c r="S6" i="125"/>
  <c r="S5" i="125"/>
  <c r="AG9" i="125" s="1"/>
  <c r="AF9" i="125"/>
  <c r="AE16" i="125"/>
  <c r="AE31" i="125" s="1"/>
  <c r="AE24" i="125"/>
  <c r="AF12" i="125"/>
  <c r="AF11" i="125"/>
  <c r="AG18" i="128"/>
  <c r="AH18" i="128" s="1"/>
  <c r="AB14" i="129"/>
  <c r="AO88" i="133" s="1"/>
  <c r="F88" i="133" s="1"/>
  <c r="L88" i="133" s="1"/>
  <c r="M88" i="133" s="1"/>
  <c r="AG15" i="129"/>
  <c r="AG16" i="129"/>
  <c r="AH16" i="129" s="1"/>
  <c r="AG9" i="129"/>
  <c r="AH9" i="129" s="1"/>
  <c r="AG10" i="129"/>
  <c r="AH10" i="129" s="1"/>
  <c r="AF16" i="129"/>
  <c r="AB13" i="129"/>
  <c r="AF13" i="129"/>
  <c r="AF10" i="129"/>
  <c r="AF17" i="128"/>
  <c r="AF48" i="128" s="1"/>
  <c r="AG17" i="128"/>
  <c r="AH17" i="128" s="1"/>
  <c r="AD9" i="130"/>
  <c r="AT109" i="133" s="1"/>
  <c r="F109" i="133" s="1"/>
  <c r="L109" i="133" s="1"/>
  <c r="AD33" i="130"/>
  <c r="AT149" i="133" s="1"/>
  <c r="F149" i="133" s="1"/>
  <c r="L149" i="133" s="1"/>
  <c r="AH11" i="129"/>
  <c r="AE30" i="129"/>
  <c r="AE32" i="129" s="1"/>
  <c r="AF32" i="129" s="1"/>
  <c r="AF11" i="129"/>
  <c r="AD10" i="130"/>
  <c r="AT110" i="133" s="1"/>
  <c r="AH9" i="130"/>
  <c r="AB11" i="129"/>
  <c r="AD32" i="130"/>
  <c r="AT148" i="133" s="1"/>
  <c r="AG22" i="130"/>
  <c r="AG37" i="130" s="1"/>
  <c r="AH10" i="130"/>
  <c r="E9" i="130"/>
  <c r="R68" i="130" s="1"/>
  <c r="AH11" i="130"/>
  <c r="AD11" i="130"/>
  <c r="AT111" i="133" s="1"/>
  <c r="AG19" i="130"/>
  <c r="AH19" i="130" s="1"/>
  <c r="AB17" i="129"/>
  <c r="AO91" i="133" s="1"/>
  <c r="AF14" i="129"/>
  <c r="E9" i="129"/>
  <c r="AJ71" i="133"/>
  <c r="AD24" i="128"/>
  <c r="AJ69" i="133"/>
  <c r="AJ72" i="133"/>
  <c r="L172" i="133"/>
  <c r="M172" i="133" s="1"/>
  <c r="H172" i="133" s="1"/>
  <c r="M70" i="133"/>
  <c r="H70" i="133" s="1"/>
  <c r="AH24" i="129"/>
  <c r="AB27" i="129"/>
  <c r="O5" i="133"/>
  <c r="AD43" i="130"/>
  <c r="AI22" i="130"/>
  <c r="E20" i="130"/>
  <c r="R79" i="130" s="1"/>
  <c r="AD39" i="128"/>
  <c r="AJ39" i="130"/>
  <c r="AD39" i="130"/>
  <c r="AT164" i="133" s="1"/>
  <c r="AD17" i="130"/>
  <c r="AT115" i="133" s="1"/>
  <c r="F115" i="133" s="1"/>
  <c r="AJ17" i="130"/>
  <c r="AJ15" i="130"/>
  <c r="AI19" i="130"/>
  <c r="AJ19" i="130" s="1"/>
  <c r="AD15" i="130"/>
  <c r="AT113" i="133" s="1"/>
  <c r="F113" i="133" s="1"/>
  <c r="AD16" i="130"/>
  <c r="AT114" i="133" s="1"/>
  <c r="F114" i="133" s="1"/>
  <c r="AJ16" i="130"/>
  <c r="AB21" i="129"/>
  <c r="AH21" i="129"/>
  <c r="AD24" i="129"/>
  <c r="L98" i="133"/>
  <c r="AH36" i="129"/>
  <c r="AB36" i="129"/>
  <c r="AO169" i="133" s="1"/>
  <c r="AD26" i="128"/>
  <c r="E20" i="128"/>
  <c r="AB46" i="128"/>
  <c r="AG22" i="128"/>
  <c r="AH10" i="128"/>
  <c r="AB10" i="128"/>
  <c r="AJ55" i="133" s="1"/>
  <c r="F55" i="133" s="1"/>
  <c r="AH11" i="128"/>
  <c r="AB11" i="128"/>
  <c r="AJ56" i="133" s="1"/>
  <c r="F56" i="133" s="1"/>
  <c r="AB12" i="128"/>
  <c r="AJ57" i="133" s="1"/>
  <c r="F57" i="133" s="1"/>
  <c r="AH12" i="128"/>
  <c r="AB9" i="128"/>
  <c r="AJ54" i="133" s="1"/>
  <c r="F54" i="133" s="1"/>
  <c r="AG35" i="128"/>
  <c r="AH9" i="128"/>
  <c r="AG19" i="128"/>
  <c r="AB12" i="129" l="1"/>
  <c r="AG14" i="125"/>
  <c r="AT168" i="133"/>
  <c r="F168" i="133" s="1"/>
  <c r="L168" i="133" s="1"/>
  <c r="M168" i="133" s="1"/>
  <c r="H168" i="133" s="1"/>
  <c r="AF42" i="130"/>
  <c r="AD20" i="130"/>
  <c r="AH20" i="130"/>
  <c r="AT165" i="133"/>
  <c r="F165" i="133" s="1"/>
  <c r="L165" i="133" s="1"/>
  <c r="M165" i="133" s="1"/>
  <c r="H165" i="133" s="1"/>
  <c r="AF40" i="130"/>
  <c r="AT118" i="133"/>
  <c r="F118" i="133" s="1"/>
  <c r="L118" i="133" s="1"/>
  <c r="M118" i="133" s="1"/>
  <c r="H118" i="133" s="1"/>
  <c r="AF20" i="130"/>
  <c r="AD20" i="128"/>
  <c r="AJ65" i="133"/>
  <c r="F65" i="133" s="1"/>
  <c r="L65" i="133" s="1"/>
  <c r="M65" i="133" s="1"/>
  <c r="H65" i="133" s="1"/>
  <c r="AB9" i="125"/>
  <c r="AD9" i="125" s="1"/>
  <c r="AB9" i="129"/>
  <c r="AO83" i="133" s="1"/>
  <c r="F83" i="133" s="1"/>
  <c r="L83" i="133" s="1"/>
  <c r="M83" i="133" s="1"/>
  <c r="H83" i="133" s="1"/>
  <c r="AG10" i="125"/>
  <c r="AB10" i="125" s="1"/>
  <c r="AD10" i="125" s="1"/>
  <c r="AD14" i="129"/>
  <c r="AB16" i="129"/>
  <c r="AD16" i="129" s="1"/>
  <c r="AB18" i="128"/>
  <c r="AD18" i="128" s="1"/>
  <c r="AF31" i="125"/>
  <c r="AF16" i="125"/>
  <c r="AH9" i="125"/>
  <c r="AH14" i="125"/>
  <c r="AB14" i="125"/>
  <c r="AD14" i="125" s="1"/>
  <c r="AB24" i="125"/>
  <c r="AF24" i="125"/>
  <c r="AG11" i="125"/>
  <c r="AG12" i="125"/>
  <c r="AH13" i="125"/>
  <c r="AB13" i="125"/>
  <c r="AD13" i="125" s="1"/>
  <c r="AB10" i="129"/>
  <c r="E20" i="129"/>
  <c r="AD13" i="129"/>
  <c r="AO87" i="133"/>
  <c r="F87" i="133" s="1"/>
  <c r="L87" i="133" s="1"/>
  <c r="M87" i="133" s="1"/>
  <c r="H87" i="133" s="1"/>
  <c r="AG30" i="129"/>
  <c r="AG32" i="129" s="1"/>
  <c r="AB32" i="129" s="1"/>
  <c r="AO158" i="133" s="1"/>
  <c r="AH15" i="129"/>
  <c r="AB15" i="129"/>
  <c r="AD12" i="129"/>
  <c r="AO86" i="133"/>
  <c r="F86" i="133" s="1"/>
  <c r="L86" i="133" s="1"/>
  <c r="M86" i="133" s="1"/>
  <c r="H86" i="133" s="1"/>
  <c r="AF33" i="130"/>
  <c r="AF9" i="130"/>
  <c r="AD22" i="130"/>
  <c r="AT120" i="133" s="1"/>
  <c r="F120" i="133" s="1"/>
  <c r="L120" i="133" s="1"/>
  <c r="AB17" i="128"/>
  <c r="F72" i="133"/>
  <c r="L72" i="133" s="1"/>
  <c r="M72" i="133" s="1"/>
  <c r="H72" i="133" s="1"/>
  <c r="F69" i="133"/>
  <c r="L69" i="133" s="1"/>
  <c r="M69" i="133" s="1"/>
  <c r="H69" i="133" s="1"/>
  <c r="F111" i="133"/>
  <c r="L111" i="133" s="1"/>
  <c r="M111" i="133" s="1"/>
  <c r="H111" i="133" s="1"/>
  <c r="F110" i="133"/>
  <c r="L110" i="133" s="1"/>
  <c r="M110" i="133" s="1"/>
  <c r="H110" i="133" s="1"/>
  <c r="F71" i="133"/>
  <c r="L71" i="133" s="1"/>
  <c r="M71" i="133" s="1"/>
  <c r="H71" i="133" s="1"/>
  <c r="F148" i="133"/>
  <c r="L148" i="133" s="1"/>
  <c r="M148" i="133" s="1"/>
  <c r="H148" i="133" s="1"/>
  <c r="F91" i="133"/>
  <c r="L91" i="133" s="1"/>
  <c r="M91" i="133" s="1"/>
  <c r="H91" i="133" s="1"/>
  <c r="AF10" i="130"/>
  <c r="AH22" i="130"/>
  <c r="AF11" i="130"/>
  <c r="AF32" i="130"/>
  <c r="AO85" i="133"/>
  <c r="AD11" i="129"/>
  <c r="AD17" i="129"/>
  <c r="AF30" i="129"/>
  <c r="AF46" i="129" s="1"/>
  <c r="AD46" i="128"/>
  <c r="AJ155" i="133"/>
  <c r="AO95" i="133"/>
  <c r="AO101" i="133"/>
  <c r="AF43" i="130"/>
  <c r="AT169" i="133"/>
  <c r="F169" i="133" s="1"/>
  <c r="H88" i="133"/>
  <c r="M149" i="133"/>
  <c r="H149" i="133" s="1"/>
  <c r="M98" i="133"/>
  <c r="H98" i="133" s="1"/>
  <c r="M109" i="133"/>
  <c r="H109" i="133" s="1"/>
  <c r="AD27" i="129"/>
  <c r="AD21" i="129"/>
  <c r="AI37" i="130"/>
  <c r="AJ37" i="130" s="1"/>
  <c r="AJ22" i="130"/>
  <c r="AF15" i="130"/>
  <c r="L113" i="133"/>
  <c r="AF39" i="130"/>
  <c r="AF17" i="130"/>
  <c r="L115" i="133"/>
  <c r="AF16" i="130"/>
  <c r="L114" i="133"/>
  <c r="AH37" i="130"/>
  <c r="AD19" i="130"/>
  <c r="AT117" i="133" s="1"/>
  <c r="F117" i="133" s="1"/>
  <c r="AD36" i="129"/>
  <c r="AH22" i="128"/>
  <c r="AB22" i="128"/>
  <c r="AJ67" i="133" s="1"/>
  <c r="F67" i="133" s="1"/>
  <c r="AD9" i="128"/>
  <c r="L54" i="133"/>
  <c r="AH19" i="128"/>
  <c r="AB19" i="128"/>
  <c r="AJ64" i="133" s="1"/>
  <c r="F64" i="133" s="1"/>
  <c r="L55" i="133"/>
  <c r="AD10" i="128"/>
  <c r="AD12" i="128"/>
  <c r="L57" i="133"/>
  <c r="AH35" i="128"/>
  <c r="AB35" i="128"/>
  <c r="AJ80" i="133" s="1"/>
  <c r="AD11" i="128"/>
  <c r="L56" i="133"/>
  <c r="H121" i="133"/>
  <c r="H75" i="133"/>
  <c r="H102" i="133"/>
  <c r="H104" i="133"/>
  <c r="AD9" i="129" l="1"/>
  <c r="AH10" i="125"/>
  <c r="AF45" i="125"/>
  <c r="AG20" i="125"/>
  <c r="AH20" i="125"/>
  <c r="AB20" i="125"/>
  <c r="AO90" i="133"/>
  <c r="F90" i="133" s="1"/>
  <c r="L90" i="133" s="1"/>
  <c r="M90" i="133" s="1"/>
  <c r="H90" i="133" s="1"/>
  <c r="AJ63" i="133"/>
  <c r="F63" i="133" s="1"/>
  <c r="L63" i="133" s="1"/>
  <c r="M63" i="133" s="1"/>
  <c r="H63" i="133" s="1"/>
  <c r="E20" i="125"/>
  <c r="AD24" i="125"/>
  <c r="Z51" i="133"/>
  <c r="AH11" i="125"/>
  <c r="AB11" i="125"/>
  <c r="AD11" i="125" s="1"/>
  <c r="AH12" i="125"/>
  <c r="AB12" i="125"/>
  <c r="AD12" i="125" s="1"/>
  <c r="AG21" i="125"/>
  <c r="AG16" i="125"/>
  <c r="AG31" i="125" s="1"/>
  <c r="AH30" i="129"/>
  <c r="AF22" i="130"/>
  <c r="AO89" i="133"/>
  <c r="F89" i="133" s="1"/>
  <c r="L89" i="133" s="1"/>
  <c r="M89" i="133" s="1"/>
  <c r="H89" i="133" s="1"/>
  <c r="AD15" i="129"/>
  <c r="AB30" i="129"/>
  <c r="AO164" i="133" s="1"/>
  <c r="F164" i="133" s="1"/>
  <c r="L164" i="133" s="1"/>
  <c r="M164" i="133" s="1"/>
  <c r="H164" i="133" s="1"/>
  <c r="AO84" i="133"/>
  <c r="F84" i="133" s="1"/>
  <c r="L84" i="133" s="1"/>
  <c r="M84" i="133" s="1"/>
  <c r="H84" i="133" s="1"/>
  <c r="AD10" i="129"/>
  <c r="AJ62" i="133"/>
  <c r="F62" i="133" s="1"/>
  <c r="L62" i="133" s="1"/>
  <c r="M62" i="133" s="1"/>
  <c r="H62" i="133" s="1"/>
  <c r="AD17" i="128"/>
  <c r="AH50" i="130"/>
  <c r="F155" i="133"/>
  <c r="L155" i="133" s="1"/>
  <c r="M155" i="133" s="1"/>
  <c r="H155" i="133" s="1"/>
  <c r="F101" i="133"/>
  <c r="L101" i="133" s="1"/>
  <c r="M101" i="133" s="1"/>
  <c r="H101" i="133" s="1"/>
  <c r="F95" i="133"/>
  <c r="L95" i="133" s="1"/>
  <c r="M95" i="133" s="1"/>
  <c r="H95" i="133" s="1"/>
  <c r="F85" i="133"/>
  <c r="L85" i="133" s="1"/>
  <c r="M85" i="133" s="1"/>
  <c r="H85" i="133" s="1"/>
  <c r="AD37" i="130"/>
  <c r="AT158" i="133" s="1"/>
  <c r="F158" i="133" s="1"/>
  <c r="L169" i="133"/>
  <c r="M169" i="133" s="1"/>
  <c r="H169" i="133" s="1"/>
  <c r="M120" i="133"/>
  <c r="M115" i="133"/>
  <c r="H115" i="133" s="1"/>
  <c r="M113" i="133"/>
  <c r="H113" i="133" s="1"/>
  <c r="M114" i="133"/>
  <c r="H114" i="133" s="1"/>
  <c r="M54" i="133"/>
  <c r="H54" i="133" s="1"/>
  <c r="M55" i="133"/>
  <c r="H55" i="133" s="1"/>
  <c r="M56" i="133"/>
  <c r="H56" i="133" s="1"/>
  <c r="M57" i="133"/>
  <c r="H57" i="133" s="1"/>
  <c r="AH32" i="129"/>
  <c r="AJ50" i="130"/>
  <c r="AF19" i="130"/>
  <c r="L117" i="133"/>
  <c r="AD32" i="129"/>
  <c r="AH48" i="128"/>
  <c r="AD22" i="128"/>
  <c r="L67" i="133"/>
  <c r="AD19" i="128"/>
  <c r="L64" i="133"/>
  <c r="AD35" i="128"/>
  <c r="H27" i="133"/>
  <c r="H92" i="133"/>
  <c r="Z47" i="133" l="1"/>
  <c r="AD20" i="125"/>
  <c r="AD30" i="129"/>
  <c r="AD46" i="129" s="1"/>
  <c r="AO7" i="133" s="1"/>
  <c r="AL5" i="133" s="1"/>
  <c r="AH31" i="125"/>
  <c r="AB31" i="125"/>
  <c r="AD31" i="125" s="1"/>
  <c r="AH16" i="125"/>
  <c r="AB16" i="125"/>
  <c r="AH21" i="125"/>
  <c r="AB21" i="125"/>
  <c r="AH46" i="129"/>
  <c r="AF37" i="130"/>
  <c r="AF50" i="130" s="1"/>
  <c r="M117" i="133"/>
  <c r="H117" i="133" s="1"/>
  <c r="M67" i="133"/>
  <c r="H67" i="133" s="1"/>
  <c r="M64" i="133"/>
  <c r="H64" i="133" s="1"/>
  <c r="L158" i="133"/>
  <c r="AD48" i="128"/>
  <c r="G7" i="128" s="1"/>
  <c r="AH45" i="125" l="1"/>
  <c r="AD21" i="125"/>
  <c r="Z48" i="133"/>
  <c r="AD16" i="125"/>
  <c r="Z34" i="133"/>
  <c r="G7" i="129"/>
  <c r="M158" i="133"/>
  <c r="H158" i="133" s="1"/>
  <c r="H7" i="130"/>
  <c r="AT7" i="133"/>
  <c r="AQ5" i="133" s="1"/>
  <c r="H8" i="128"/>
  <c r="AJ7" i="133"/>
  <c r="AG5" i="133" s="1"/>
  <c r="AD45" i="125" l="1"/>
  <c r="I12" i="157"/>
  <c r="I23" i="157"/>
  <c r="I26" i="155"/>
  <c r="B18" i="157"/>
  <c r="B29" i="157" l="1"/>
  <c r="D9" i="157"/>
  <c r="R85" i="157" s="1"/>
  <c r="B18" i="156"/>
  <c r="B29" i="155"/>
  <c r="AH11" i="155"/>
  <c r="B31" i="157"/>
  <c r="AG43" i="155"/>
  <c r="AH43" i="155" s="1"/>
  <c r="D20" i="155"/>
  <c r="R96" i="155" s="1"/>
  <c r="D20" i="157"/>
  <c r="R96" i="157" s="1"/>
  <c r="D9" i="156"/>
  <c r="R85" i="156" s="1"/>
  <c r="Y6" i="133"/>
  <c r="B29" i="156"/>
  <c r="AH10" i="155"/>
  <c r="AH14" i="155"/>
  <c r="AH13" i="155"/>
  <c r="L18" i="172"/>
  <c r="K18" i="172" s="1"/>
  <c r="Z18" i="172"/>
  <c r="Y18" i="172" s="1"/>
  <c r="Z17" i="172"/>
  <c r="Y17" i="172" s="1"/>
  <c r="S17" i="172"/>
  <c r="R17" i="172" s="1"/>
  <c r="AG21" i="155" l="1"/>
  <c r="AG16" i="155"/>
  <c r="AG29" i="155" s="1"/>
  <c r="AH12" i="155"/>
  <c r="AH20" i="155"/>
  <c r="D20" i="156"/>
  <c r="R96" i="156" s="1"/>
  <c r="B18" i="155"/>
  <c r="I15" i="155"/>
  <c r="B31" i="155"/>
  <c r="AH22" i="155"/>
  <c r="AF11" i="155"/>
  <c r="B31" i="156"/>
  <c r="Y29" i="133"/>
  <c r="D9" i="155"/>
  <c r="R85" i="155" s="1"/>
  <c r="AH30" i="155"/>
  <c r="X6" i="133"/>
  <c r="AE43" i="155"/>
  <c r="W6" i="133"/>
  <c r="AF14" i="155"/>
  <c r="AF12" i="155"/>
  <c r="AF13" i="155"/>
  <c r="Y30" i="133"/>
  <c r="X30" i="133"/>
  <c r="AH9" i="155"/>
  <c r="S18" i="172"/>
  <c r="R18" i="172" s="1"/>
  <c r="L17" i="172"/>
  <c r="K17" i="172" s="1"/>
  <c r="Y32" i="133"/>
  <c r="Y33" i="133"/>
  <c r="Y31" i="133"/>
  <c r="Y28" i="133"/>
  <c r="Y154" i="133"/>
  <c r="AF10" i="155" l="1"/>
  <c r="E9" i="155"/>
  <c r="AE16" i="155"/>
  <c r="AE29" i="155" s="1"/>
  <c r="AE24" i="155"/>
  <c r="AE21" i="155"/>
  <c r="AF9" i="155"/>
  <c r="AB11" i="155"/>
  <c r="X29" i="133"/>
  <c r="X154" i="133"/>
  <c r="AF25" i="155"/>
  <c r="Y81" i="133"/>
  <c r="F81" i="133" s="1"/>
  <c r="AB10" i="155"/>
  <c r="W29" i="133" s="1"/>
  <c r="AH25" i="155"/>
  <c r="X31" i="133"/>
  <c r="X33" i="133"/>
  <c r="X32" i="133"/>
  <c r="X28" i="133"/>
  <c r="AB13" i="155"/>
  <c r="W32" i="133" s="1"/>
  <c r="AB9" i="155"/>
  <c r="W28" i="133" s="1"/>
  <c r="AB14" i="155"/>
  <c r="W33" i="133" s="1"/>
  <c r="AB43" i="155"/>
  <c r="W154" i="133" s="1"/>
  <c r="AF41" i="155"/>
  <c r="AF43" i="155"/>
  <c r="AB12" i="155"/>
  <c r="W31" i="133" s="1"/>
  <c r="AB24" i="155" l="1"/>
  <c r="AF24" i="155"/>
  <c r="AF21" i="155"/>
  <c r="AB20" i="155"/>
  <c r="W47" i="133" s="1"/>
  <c r="AF20" i="155"/>
  <c r="AF29" i="155"/>
  <c r="AF16" i="155"/>
  <c r="AB22" i="155"/>
  <c r="W49" i="133" s="1"/>
  <c r="F49" i="133" s="1"/>
  <c r="L49" i="133" s="1"/>
  <c r="M49" i="133" s="1"/>
  <c r="H49" i="133" s="1"/>
  <c r="AF22" i="155"/>
  <c r="AD11" i="155"/>
  <c r="W30" i="133"/>
  <c r="AB25" i="155"/>
  <c r="W52" i="133" s="1"/>
  <c r="F52" i="133" s="1"/>
  <c r="L52" i="133" s="1"/>
  <c r="M52" i="133" s="1"/>
  <c r="H52" i="133" s="1"/>
  <c r="AD9" i="155"/>
  <c r="AB30" i="155"/>
  <c r="W79" i="133" s="1"/>
  <c r="F79" i="133" s="1"/>
  <c r="AF30" i="155"/>
  <c r="AD12" i="155"/>
  <c r="L81" i="133"/>
  <c r="AD10" i="155"/>
  <c r="AD14" i="155"/>
  <c r="AD13" i="155"/>
  <c r="AD43" i="155"/>
  <c r="X78" i="133"/>
  <c r="AD24" i="155" l="1"/>
  <c r="W51" i="133"/>
  <c r="AD20" i="155"/>
  <c r="AF45" i="155"/>
  <c r="AD22" i="155"/>
  <c r="AD25" i="155"/>
  <c r="M81" i="133"/>
  <c r="H81" i="133" s="1"/>
  <c r="H8" i="157"/>
  <c r="L79" i="133"/>
  <c r="AD30" i="155"/>
  <c r="M79" i="133" l="1"/>
  <c r="Y7" i="133"/>
  <c r="G7" i="157"/>
  <c r="X7" i="133" l="1"/>
  <c r="H8" i="156"/>
  <c r="G7" i="156"/>
  <c r="I12" i="125" l="1"/>
  <c r="I23" i="125" l="1"/>
  <c r="B18" i="125" l="1"/>
  <c r="D9" i="125"/>
  <c r="R85" i="125" s="1"/>
  <c r="AG17" i="172"/>
  <c r="AF17" i="172" s="1"/>
  <c r="B29" i="125" l="1"/>
  <c r="B31" i="125"/>
  <c r="Z6" i="133"/>
  <c r="D20" i="125"/>
  <c r="R96" i="125" s="1"/>
  <c r="AG18" i="172"/>
  <c r="AF18" i="172" s="1"/>
  <c r="H23" i="133"/>
  <c r="Z154" i="133" l="1"/>
  <c r="Z30" i="133"/>
  <c r="F30" i="133" s="1"/>
  <c r="Z31" i="133"/>
  <c r="F31" i="133" s="1"/>
  <c r="Z32" i="133"/>
  <c r="F32" i="133" s="1"/>
  <c r="Z28" i="133"/>
  <c r="F28" i="133" s="1"/>
  <c r="Z33" i="133"/>
  <c r="F33" i="133" s="1"/>
  <c r="Z29" i="133"/>
  <c r="F29" i="133" s="1"/>
  <c r="L122" i="133"/>
  <c r="H120" i="133"/>
  <c r="L144" i="133"/>
  <c r="H16" i="133"/>
  <c r="M144" i="133" l="1"/>
  <c r="H144" i="133" s="1"/>
  <c r="M122" i="133"/>
  <c r="H122" i="133" s="1"/>
  <c r="L32" i="133"/>
  <c r="L30" i="133"/>
  <c r="L33" i="133"/>
  <c r="L31" i="133"/>
  <c r="L29" i="133"/>
  <c r="L28" i="133"/>
  <c r="H19" i="133"/>
  <c r="H15" i="133"/>
  <c r="H22" i="133"/>
  <c r="H24" i="133"/>
  <c r="H12" i="133"/>
  <c r="H79" i="133"/>
  <c r="H13" i="133"/>
  <c r="H17" i="133"/>
  <c r="Z80" i="133" l="1"/>
  <c r="M33" i="133"/>
  <c r="H33" i="133" s="1"/>
  <c r="M32" i="133"/>
  <c r="H32" i="133" s="1"/>
  <c r="M28" i="133"/>
  <c r="M29" i="133"/>
  <c r="H29" i="133" s="1"/>
  <c r="M30" i="133"/>
  <c r="H30" i="133" s="1"/>
  <c r="M31" i="133"/>
  <c r="H31" i="133" s="1"/>
  <c r="H28" i="133" l="1"/>
  <c r="H8" i="125"/>
  <c r="G7" i="125" l="1"/>
  <c r="Z7" i="133"/>
  <c r="O10" i="139" l="1"/>
  <c r="D10" i="139" s="1"/>
  <c r="L10" i="139"/>
  <c r="A10" i="139" s="1"/>
  <c r="R9" i="139"/>
  <c r="Q9" i="139"/>
  <c r="F10" i="139" s="1"/>
  <c r="N10" i="139"/>
  <c r="C10" i="139" s="1"/>
  <c r="M10" i="139" l="1"/>
  <c r="B10" i="139" s="1"/>
  <c r="T79" i="126" l="1"/>
  <c r="O80" i="126" s="1"/>
  <c r="U78" i="126"/>
  <c r="H15" i="126" l="1"/>
  <c r="R15" i="126" l="1"/>
  <c r="Q15" i="126"/>
  <c r="Q13" i="126" l="1"/>
  <c r="Q10" i="126"/>
  <c r="Q11" i="126"/>
  <c r="Q12" i="126"/>
  <c r="V16" i="126"/>
  <c r="I12" i="126" s="1"/>
  <c r="M15" i="126" l="1"/>
  <c r="AE20" i="126" s="1"/>
  <c r="R12" i="126"/>
  <c r="R13" i="126"/>
  <c r="AE37" i="126"/>
  <c r="AE11" i="126"/>
  <c r="AE9" i="126"/>
  <c r="I15" i="126"/>
  <c r="AG22" i="172"/>
  <c r="AF22" i="172" s="1"/>
  <c r="D9" i="126"/>
  <c r="R74" i="126" s="1"/>
  <c r="T90" i="126"/>
  <c r="O91" i="126" s="1"/>
  <c r="U89" i="126"/>
  <c r="AE34" i="126" l="1"/>
  <c r="AE25" i="126"/>
  <c r="AE19" i="126"/>
  <c r="AF19" i="126" s="1"/>
  <c r="AF20" i="126"/>
  <c r="AB20" i="126"/>
  <c r="AE17" i="126"/>
  <c r="AE16" i="126"/>
  <c r="AF16" i="126" s="1"/>
  <c r="AF34" i="126"/>
  <c r="AE15" i="126"/>
  <c r="AF15" i="126" s="1"/>
  <c r="B18" i="126"/>
  <c r="AE14" i="126"/>
  <c r="AF37" i="126"/>
  <c r="AB37" i="126"/>
  <c r="AF17" i="126"/>
  <c r="AE26" i="126"/>
  <c r="AF9" i="126"/>
  <c r="E9" i="126"/>
  <c r="AF11" i="126"/>
  <c r="B19" i="126"/>
  <c r="H26" i="126"/>
  <c r="AF25" i="126" l="1"/>
  <c r="AB25" i="126"/>
  <c r="AE45" i="133"/>
  <c r="AD20" i="126"/>
  <c r="AD37" i="126"/>
  <c r="AE154" i="133"/>
  <c r="F154" i="133" s="1"/>
  <c r="L154" i="133" s="1"/>
  <c r="M154" i="133" s="1"/>
  <c r="H154" i="133" s="1"/>
  <c r="Q26" i="126"/>
  <c r="R26" i="126"/>
  <c r="AF14" i="126"/>
  <c r="AB26" i="126"/>
  <c r="AF26" i="126"/>
  <c r="AF40" i="126" s="1"/>
  <c r="D20" i="126"/>
  <c r="R85" i="126" s="1"/>
  <c r="AG23" i="172"/>
  <c r="AF23" i="172" s="1"/>
  <c r="AD25" i="126" l="1"/>
  <c r="AE50" i="133"/>
  <c r="F50" i="133" s="1"/>
  <c r="L50" i="133" s="1"/>
  <c r="M50" i="133" s="1"/>
  <c r="H50" i="133" s="1"/>
  <c r="AD26" i="126"/>
  <c r="AE51" i="133"/>
  <c r="F51" i="133" s="1"/>
  <c r="L51" i="133" s="1"/>
  <c r="M51" i="133" s="1"/>
  <c r="H51" i="133" s="1"/>
  <c r="Q24" i="126"/>
  <c r="Q23" i="126"/>
  <c r="Q21" i="126"/>
  <c r="V27" i="126"/>
  <c r="I23" i="126" s="1"/>
  <c r="Q22" i="126"/>
  <c r="M26" i="126" l="1"/>
  <c r="AG14" i="126" s="1"/>
  <c r="R23" i="126"/>
  <c r="I26" i="126" l="1"/>
  <c r="AG9" i="126"/>
  <c r="AG11" i="126"/>
  <c r="AG19" i="126"/>
  <c r="AG16" i="126"/>
  <c r="AH16" i="126" s="1"/>
  <c r="AB14" i="126"/>
  <c r="AH14" i="126"/>
  <c r="AG15" i="126"/>
  <c r="B30" i="126"/>
  <c r="AH11" i="126"/>
  <c r="AB11" i="126"/>
  <c r="AE38" i="133" s="1"/>
  <c r="AH19" i="126"/>
  <c r="AB19" i="126"/>
  <c r="AE44" i="133" s="1"/>
  <c r="F44" i="133" s="1"/>
  <c r="L44" i="133" s="1"/>
  <c r="M44" i="133" s="1"/>
  <c r="H44" i="133" s="1"/>
  <c r="AB16" i="126"/>
  <c r="AH9" i="126"/>
  <c r="AB9" i="126"/>
  <c r="AE36" i="133" s="1"/>
  <c r="E20" i="126"/>
  <c r="AG17" i="126"/>
  <c r="AE6" i="133"/>
  <c r="BA6" i="133" s="1"/>
  <c r="B31" i="126"/>
  <c r="F45" i="133"/>
  <c r="L45" i="133" s="1"/>
  <c r="M45" i="133" s="1"/>
  <c r="H45" i="133" s="1"/>
  <c r="F37" i="133"/>
  <c r="L37" i="133" s="1"/>
  <c r="M37" i="133" s="1"/>
  <c r="H37" i="133" s="1"/>
  <c r="F39" i="133"/>
  <c r="L39" i="133" s="1"/>
  <c r="M39" i="133" s="1"/>
  <c r="H39" i="133" s="1"/>
  <c r="AG22" i="126" l="1"/>
  <c r="AG23" i="126"/>
  <c r="AH23" i="126" s="1"/>
  <c r="AG34" i="126"/>
  <c r="AH34" i="126" s="1"/>
  <c r="AD16" i="126"/>
  <c r="AE42" i="133"/>
  <c r="F42" i="133" s="1"/>
  <c r="L42" i="133" s="1"/>
  <c r="M42" i="133" s="1"/>
  <c r="H42" i="133" s="1"/>
  <c r="AD14" i="126"/>
  <c r="AE40" i="133"/>
  <c r="F40" i="133" s="1"/>
  <c r="L40" i="133" s="1"/>
  <c r="M40" i="133" s="1"/>
  <c r="H40" i="133" s="1"/>
  <c r="AH15" i="126"/>
  <c r="AB15" i="126"/>
  <c r="AD9" i="126"/>
  <c r="F36" i="133"/>
  <c r="L36" i="133" s="1"/>
  <c r="M36" i="133" s="1"/>
  <c r="H36" i="133" s="1"/>
  <c r="BA3" i="133"/>
  <c r="BA187" i="133"/>
  <c r="F187" i="133" s="1"/>
  <c r="L187" i="133" s="1"/>
  <c r="M187" i="133" s="1"/>
  <c r="H187" i="133" s="1"/>
  <c r="BA186" i="133"/>
  <c r="F186" i="133" s="1"/>
  <c r="L186" i="133" s="1"/>
  <c r="M186" i="133" s="1"/>
  <c r="H186" i="133" s="1"/>
  <c r="AD19" i="126"/>
  <c r="AD11" i="126"/>
  <c r="F38" i="133"/>
  <c r="L38" i="133" s="1"/>
  <c r="M38" i="133" s="1"/>
  <c r="H38" i="133" s="1"/>
  <c r="AH17" i="126"/>
  <c r="AB17" i="126"/>
  <c r="AH22" i="126" l="1"/>
  <c r="AB22" i="126"/>
  <c r="AB23" i="126"/>
  <c r="AD23" i="126" s="1"/>
  <c r="AB34" i="126"/>
  <c r="AD34" i="126" s="1"/>
  <c r="AH40" i="126"/>
  <c r="AE80" i="133"/>
  <c r="F80" i="133" s="1"/>
  <c r="L80" i="133" s="1"/>
  <c r="M80" i="133" s="1"/>
  <c r="H80" i="133" s="1"/>
  <c r="AD17" i="126"/>
  <c r="AE43" i="133"/>
  <c r="F43" i="133" s="1"/>
  <c r="L43" i="133" s="1"/>
  <c r="M43" i="133" s="1"/>
  <c r="H43" i="133" s="1"/>
  <c r="AD15" i="126"/>
  <c r="AE41" i="133"/>
  <c r="F41" i="133" s="1"/>
  <c r="L41" i="133" s="1"/>
  <c r="M41" i="133" s="1"/>
  <c r="H41" i="133" s="1"/>
  <c r="H8" i="126"/>
  <c r="G7" i="126"/>
  <c r="AH16" i="155"/>
  <c r="AB21" i="155"/>
  <c r="AB16" i="155"/>
  <c r="AD16" i="155" s="1"/>
  <c r="AB29" i="155"/>
  <c r="AE48" i="133" l="1"/>
  <c r="AD22" i="126"/>
  <c r="AE47" i="133"/>
  <c r="F47" i="133" s="1"/>
  <c r="L47" i="133" s="1"/>
  <c r="M47" i="133" s="1"/>
  <c r="H47" i="133" s="1"/>
  <c r="AD40" i="126"/>
  <c r="AE7" i="133" s="1"/>
  <c r="AD21" i="155"/>
  <c r="W48" i="133"/>
  <c r="F48" i="133" s="1"/>
  <c r="L48" i="133" s="1"/>
  <c r="M48" i="133" s="1"/>
  <c r="AH21" i="155"/>
  <c r="AH29" i="155"/>
  <c r="W34" i="133"/>
  <c r="F34" i="133" s="1"/>
  <c r="L34" i="133" s="1"/>
  <c r="M34" i="133" s="1"/>
  <c r="H34" i="133" s="1"/>
  <c r="AD29" i="155"/>
  <c r="W78" i="133"/>
  <c r="F78" i="133" s="1"/>
  <c r="L78" i="133" s="1"/>
  <c r="M78" i="133" s="1"/>
  <c r="AD45" i="155" l="1"/>
  <c r="H48" i="133"/>
  <c r="M5" i="133"/>
  <c r="H78" i="133"/>
  <c r="M204" i="133"/>
  <c r="G204" i="133" s="1"/>
  <c r="AH45" i="155"/>
  <c r="G7" i="155"/>
  <c r="W7" i="133"/>
  <c r="W5" i="133" s="1"/>
  <c r="H8" i="155"/>
  <c r="G7" i="158"/>
  <c r="AB7" i="133"/>
  <c r="AB5" i="133" s="1"/>
  <c r="H8" i="158"/>
  <c r="AL46" i="172" l="1"/>
  <c r="M3" i="133"/>
</calcChain>
</file>

<file path=xl/sharedStrings.xml><?xml version="1.0" encoding="utf-8"?>
<sst xmlns="http://schemas.openxmlformats.org/spreadsheetml/2006/main" count="3973" uniqueCount="1294">
  <si>
    <t>ceny</t>
  </si>
  <si>
    <t>Pro překlady/Translating:</t>
  </si>
  <si>
    <t>List AVENTPLAN</t>
  </si>
  <si>
    <t>AVENTOS HK top</t>
  </si>
  <si>
    <t>AVENTOS HK-S</t>
  </si>
  <si>
    <t>AVENTOS HK-XS</t>
  </si>
  <si>
    <t>kryt.</t>
  </si>
  <si>
    <t>záv.</t>
  </si>
  <si>
    <t>střed.</t>
  </si>
  <si>
    <t>podl.</t>
  </si>
  <si>
    <t>EXPANDO</t>
  </si>
  <si>
    <t xml:space="preserve">      AVENTOS HF</t>
  </si>
  <si>
    <t xml:space="preserve"> 350 - 800 mm</t>
  </si>
  <si>
    <t>čelní kování</t>
  </si>
  <si>
    <t xml:space="preserve">      AVENTOS HS</t>
  </si>
  <si>
    <t xml:space="preserve"> 300 - 580 mm</t>
  </si>
  <si>
    <t xml:space="preserve">      AVENTOS HL</t>
  </si>
  <si>
    <t xml:space="preserve">   AVENTOS HK top</t>
  </si>
  <si>
    <t>provedení</t>
  </si>
  <si>
    <t xml:space="preserve">      AVENTOS HK</t>
  </si>
  <si>
    <t xml:space="preserve">   AVENTOS HK-S</t>
  </si>
  <si>
    <t xml:space="preserve"> 190 - 600 mm</t>
  </si>
  <si>
    <t xml:space="preserve">      AVENTOS HK-S</t>
  </si>
  <si>
    <t xml:space="preserve">   AVENTOS HK-XS</t>
  </si>
  <si>
    <t xml:space="preserve"> 240 - 600 mm</t>
  </si>
  <si>
    <t>boční čep</t>
  </si>
  <si>
    <t>Závěsy</t>
  </si>
  <si>
    <t>Podložky</t>
  </si>
  <si>
    <t>výpočet</t>
  </si>
  <si>
    <t>A</t>
  </si>
  <si>
    <t>Cena</t>
  </si>
  <si>
    <t>B</t>
  </si>
  <si>
    <t>zdvih A</t>
  </si>
  <si>
    <t>teleskop</t>
  </si>
  <si>
    <t xml:space="preserve"> - SRVDRV</t>
  </si>
  <si>
    <t>F32</t>
  </si>
  <si>
    <t>Závěs A</t>
  </si>
  <si>
    <t>Závěs As</t>
  </si>
  <si>
    <t xml:space="preserve">TKH * </t>
  </si>
  <si>
    <t xml:space="preserve">KH </t>
  </si>
  <si>
    <t>F25</t>
  </si>
  <si>
    <t>F35</t>
  </si>
  <si>
    <t>T558E</t>
  </si>
  <si>
    <t>Z553E</t>
  </si>
  <si>
    <t>F28</t>
  </si>
  <si>
    <t>F38</t>
  </si>
  <si>
    <t>T5550</t>
  </si>
  <si>
    <t>Z5500</t>
  </si>
  <si>
    <t>F39</t>
  </si>
  <si>
    <t>výška korpusu</t>
  </si>
  <si>
    <t>← Hlavní údaj</t>
  </si>
  <si>
    <t>hmot =</t>
  </si>
  <si>
    <t>zadaná / vypočtená</t>
  </si>
  <si>
    <t>zdvih B</t>
  </si>
  <si>
    <t>Závěs B</t>
  </si>
  <si>
    <t>Závěs Bs</t>
  </si>
  <si>
    <t xml:space="preserve"> - Zdroj</t>
  </si>
  <si>
    <t>Provedení:</t>
  </si>
  <si>
    <t>Standard</t>
  </si>
  <si>
    <t>SERVO-DRIVE</t>
  </si>
  <si>
    <t>min.</t>
  </si>
  <si>
    <t>max.</t>
  </si>
  <si>
    <t>TKH</t>
  </si>
  <si>
    <t xml:space="preserve"> *</t>
  </si>
  <si>
    <t>rámeček</t>
  </si>
  <si>
    <t>A = 1</t>
  </si>
  <si>
    <t>B = 2</t>
  </si>
  <si>
    <t>alu</t>
  </si>
  <si>
    <t>váha spoj.</t>
  </si>
  <si>
    <t>tl. skla</t>
  </si>
  <si>
    <t>typ alu</t>
  </si>
  <si>
    <t>váha alu</t>
  </si>
  <si>
    <t>A plocha B</t>
  </si>
  <si>
    <t>4mm</t>
  </si>
  <si>
    <t>5mm</t>
  </si>
  <si>
    <t>jiné</t>
  </si>
  <si>
    <t>max</t>
  </si>
  <si>
    <t xml:space="preserve"> Úvod plánování</t>
  </si>
  <si>
    <t>KH [mm]</t>
  </si>
  <si>
    <t>limit v/š</t>
  </si>
  <si>
    <t>Servo-Drive</t>
  </si>
  <si>
    <t>tyč</t>
  </si>
  <si>
    <t>mezistěny</t>
  </si>
  <si>
    <t xml:space="preserve"> **</t>
  </si>
  <si>
    <t>čelní kov.</t>
  </si>
  <si>
    <t>***</t>
  </si>
  <si>
    <r>
      <rPr>
        <sz val="10"/>
        <rFont val="Calibri"/>
        <family val="2"/>
        <charset val="238"/>
      </rPr>
      <t>↑</t>
    </r>
    <r>
      <rPr>
        <sz val="10"/>
        <rFont val="Arial"/>
        <family val="2"/>
        <charset val="238"/>
      </rPr>
      <t>Síla čela 1=ok, 0=fail</t>
    </r>
  </si>
  <si>
    <t>L25</t>
  </si>
  <si>
    <r>
      <rPr>
        <sz val="9"/>
        <rFont val="Calibri"/>
        <family val="2"/>
        <charset val="238"/>
      </rPr>
      <t>↑</t>
    </r>
    <r>
      <rPr>
        <sz val="9"/>
        <rFont val="Arial"/>
        <family val="2"/>
        <charset val="238"/>
      </rPr>
      <t>Síla čela 1=ok, 0=fail</t>
    </r>
  </si>
  <si>
    <t>dva zdvihače</t>
  </si>
  <si>
    <t>tři zdvihače</t>
  </si>
  <si>
    <t>dva</t>
  </si>
  <si>
    <t>tři</t>
  </si>
  <si>
    <t>min</t>
  </si>
  <si>
    <t>š.max</t>
  </si>
  <si>
    <t>š. min</t>
  </si>
  <si>
    <t xml:space="preserve">  420 - 1610</t>
  </si>
  <si>
    <t>K23</t>
  </si>
  <si>
    <t xml:space="preserve">  930 - 2800</t>
  </si>
  <si>
    <t>K25</t>
  </si>
  <si>
    <t xml:space="preserve">  1730 - 5200</t>
  </si>
  <si>
    <t>K27</t>
  </si>
  <si>
    <t xml:space="preserve">  3200 - 9000</t>
  </si>
  <si>
    <t>K29</t>
  </si>
  <si>
    <t>zdvihač</t>
  </si>
  <si>
    <t>vruty</t>
  </si>
  <si>
    <t>šrouby</t>
  </si>
  <si>
    <t>TIP-ON</t>
  </si>
  <si>
    <t>****</t>
  </si>
  <si>
    <t xml:space="preserve">  220 - 500</t>
  </si>
  <si>
    <t>20K2B00.02</t>
  </si>
  <si>
    <t>K2B</t>
  </si>
  <si>
    <t xml:space="preserve">  400 - 1.000</t>
  </si>
  <si>
    <t>20K2C00.02</t>
  </si>
  <si>
    <t>K2C</t>
  </si>
  <si>
    <t xml:space="preserve">  960 - 2.215</t>
  </si>
  <si>
    <t>20K2E00.02</t>
  </si>
  <si>
    <t>K2E</t>
  </si>
  <si>
    <t>jeden zdvihač</t>
  </si>
  <si>
    <t>jeden</t>
  </si>
  <si>
    <t xml:space="preserve">  200 - 1000</t>
  </si>
  <si>
    <t>20K1101</t>
  </si>
  <si>
    <t>K1101</t>
  </si>
  <si>
    <t xml:space="preserve">  500 - 1500</t>
  </si>
  <si>
    <t>20K1301</t>
  </si>
  <si>
    <t>K1201</t>
  </si>
  <si>
    <t xml:space="preserve">  800 - 1800</t>
  </si>
  <si>
    <t>20K1501</t>
  </si>
  <si>
    <t>K1301</t>
  </si>
  <si>
    <t xml:space="preserve">  180 - 800</t>
  </si>
  <si>
    <t>20K1101T</t>
  </si>
  <si>
    <t xml:space="preserve">  500 - 1200</t>
  </si>
  <si>
    <t>20K1301T</t>
  </si>
  <si>
    <t xml:space="preserve">  800 - 1600</t>
  </si>
  <si>
    <t>20K1501T</t>
  </si>
  <si>
    <t>korpus   A</t>
  </si>
  <si>
    <t>korpus   B</t>
  </si>
  <si>
    <t>podl</t>
  </si>
  <si>
    <t>čep</t>
  </si>
  <si>
    <t>barva</t>
  </si>
  <si>
    <t>1 =</t>
  </si>
  <si>
    <t>2 =</t>
  </si>
  <si>
    <t xml:space="preserve">      AVENTOS HK-XS</t>
  </si>
  <si>
    <t>váha alu -&gt;</t>
  </si>
  <si>
    <t>HF</t>
  </si>
  <si>
    <t>HK-S</t>
  </si>
  <si>
    <t>HK-XS *</t>
  </si>
  <si>
    <t xml:space="preserve"> Art.Nr.</t>
  </si>
  <si>
    <t>a</t>
  </si>
  <si>
    <t>b</t>
  </si>
  <si>
    <t>c</t>
  </si>
  <si>
    <t xml:space="preserve"> TIP-ON</t>
  </si>
  <si>
    <t>k</t>
  </si>
  <si>
    <t>l</t>
  </si>
  <si>
    <t>m</t>
  </si>
  <si>
    <t>n</t>
  </si>
  <si>
    <t xml:space="preserve"> SERVO-DRIVE</t>
  </si>
  <si>
    <t>d</t>
  </si>
  <si>
    <t>e</t>
  </si>
  <si>
    <t>f</t>
  </si>
  <si>
    <t>S</t>
  </si>
  <si>
    <t xml:space="preserve">AVENTPLAN </t>
  </si>
  <si>
    <t>▲</t>
  </si>
  <si>
    <t>trafo:</t>
  </si>
  <si>
    <t>kusy</t>
  </si>
  <si>
    <t>celkem</t>
  </si>
  <si>
    <t>HFw</t>
  </si>
  <si>
    <t>HFwa</t>
  </si>
  <si>
    <t>HFw_wa</t>
  </si>
  <si>
    <t>HFwa_w</t>
  </si>
  <si>
    <t>HFna</t>
  </si>
  <si>
    <t>HFw_na</t>
  </si>
  <si>
    <t>HFna_w</t>
  </si>
  <si>
    <t>HSw</t>
  </si>
  <si>
    <t>HSwa</t>
  </si>
  <si>
    <t>HSna</t>
  </si>
  <si>
    <t>HSt</t>
  </si>
  <si>
    <t>HLw</t>
  </si>
  <si>
    <t>HLwa</t>
  </si>
  <si>
    <t>HLna</t>
  </si>
  <si>
    <t>HLt</t>
  </si>
  <si>
    <t>HKw</t>
  </si>
  <si>
    <t>HKwa</t>
  </si>
  <si>
    <t>HKna</t>
  </si>
  <si>
    <t>HKt</t>
  </si>
  <si>
    <t>HKSw</t>
  </si>
  <si>
    <t>HKSwa</t>
  </si>
  <si>
    <t>HKSna</t>
  </si>
  <si>
    <t>HKSt</t>
  </si>
  <si>
    <t>HKXSw</t>
  </si>
  <si>
    <t>HKXSwa</t>
  </si>
  <si>
    <t>HKXSna</t>
  </si>
  <si>
    <t>HKXSt</t>
  </si>
  <si>
    <t>Access</t>
  </si>
  <si>
    <t>Co chcete plánovat?</t>
  </si>
  <si>
    <t>systém výklopů</t>
  </si>
  <si>
    <t>pro skládací výklopy</t>
  </si>
  <si>
    <t>pro výkyvné výklopy</t>
  </si>
  <si>
    <t>pro zdvihací výklopy</t>
  </si>
  <si>
    <t>pro výklopy</t>
  </si>
  <si>
    <t>pro malé výklopy</t>
  </si>
  <si>
    <t>Tato aplikace slouží k snadnějšímu objednávání kování AVENTOS.</t>
  </si>
  <si>
    <t>Výsledky nemusí být přesné, zvláště při použití výpočtu hmotnosti.</t>
  </si>
  <si>
    <t>Dřevěná čela</t>
  </si>
  <si>
    <t>Dřevěné čelo</t>
  </si>
  <si>
    <t>Dřevěná čela a široké alurámečky</t>
  </si>
  <si>
    <t>Široké alurámečky</t>
  </si>
  <si>
    <t>Široký alurámeček</t>
  </si>
  <si>
    <t>Úzké alurámečky</t>
  </si>
  <si>
    <t>Úzký alurámeček</t>
  </si>
  <si>
    <t>Tenké materiály</t>
  </si>
  <si>
    <t>hmotnost alurámečků</t>
  </si>
  <si>
    <t>materiály tloušťky od 8 do 14 mm</t>
  </si>
  <si>
    <t xml:space="preserve">Materiál   </t>
  </si>
  <si>
    <t>Počet mezistěn</t>
  </si>
  <si>
    <t>Krytky</t>
  </si>
  <si>
    <t>Ostatní</t>
  </si>
  <si>
    <t>horní čelo</t>
  </si>
  <si>
    <t>dolní čelo</t>
  </si>
  <si>
    <t>Cena za korpus</t>
  </si>
  <si>
    <t>Cenová hladina</t>
  </si>
  <si>
    <t>Základní ceny</t>
  </si>
  <si>
    <t>Nákupní ceny</t>
  </si>
  <si>
    <t>Se slevou</t>
  </si>
  <si>
    <t>Zadejte výši slevy</t>
  </si>
  <si>
    <t>Ceny s volitelnou slevou</t>
  </si>
  <si>
    <t>Ceny se slevou od prodejce</t>
  </si>
  <si>
    <t>Nastavit</t>
  </si>
  <si>
    <t>Cena kování</t>
  </si>
  <si>
    <t>Název</t>
  </si>
  <si>
    <t>Číslo artiklu</t>
  </si>
  <si>
    <t>Barva</t>
  </si>
  <si>
    <t>Počet</t>
  </si>
  <si>
    <t>Ks</t>
  </si>
  <si>
    <t>Dostupnost</t>
  </si>
  <si>
    <t>Jednotková cena</t>
  </si>
  <si>
    <t>Celkem</t>
  </si>
  <si>
    <t>Změna</t>
  </si>
  <si>
    <t>Cena celkem bez DPH</t>
  </si>
  <si>
    <r>
      <t xml:space="preserve">Kč            </t>
    </r>
    <r>
      <rPr>
        <i/>
        <sz val="10"/>
        <color theme="1"/>
        <rFont val="Arial"/>
        <family val="2"/>
        <charset val="238"/>
      </rPr>
      <t>(kód měny)</t>
    </r>
  </si>
  <si>
    <t>Korpus</t>
  </si>
  <si>
    <t>Parametry korpusu</t>
  </si>
  <si>
    <t>Vypočtené</t>
  </si>
  <si>
    <t>Zadané</t>
  </si>
  <si>
    <t>Hmotnost čel</t>
  </si>
  <si>
    <t>Počet skříněk</t>
  </si>
  <si>
    <t>Výpočet hmotnosti čel</t>
  </si>
  <si>
    <t>Šířka korpusu</t>
  </si>
  <si>
    <t>Výška korpusu</t>
  </si>
  <si>
    <t>Hmotnost čela včetně úchytky</t>
  </si>
  <si>
    <t>Hmotnost čela vč. 2x hmotnost úchytky</t>
  </si>
  <si>
    <t>Vypočtená hmotnost čela</t>
  </si>
  <si>
    <t>Síla čela</t>
  </si>
  <si>
    <t>Síla horního čela</t>
  </si>
  <si>
    <t>Síla dolního čela</t>
  </si>
  <si>
    <t>Hmotnost úchytky</t>
  </si>
  <si>
    <t>Zdvihací mechanizmus</t>
  </si>
  <si>
    <t>Ukazatel výkonnosti</t>
  </si>
  <si>
    <t>Třetí zdvihač</t>
  </si>
  <si>
    <t>Druhý zdvihač</t>
  </si>
  <si>
    <t>hustota</t>
  </si>
  <si>
    <t>MDF</t>
  </si>
  <si>
    <t>Dřevotříska</t>
  </si>
  <si>
    <t>Jiné - volitelná hustota</t>
  </si>
  <si>
    <t>Alurámečky s 4mm sklem</t>
  </si>
  <si>
    <t>Alurámečky s 5mm sklem</t>
  </si>
  <si>
    <t>Alurámečky s jiným sklem</t>
  </si>
  <si>
    <t>Kompakt</t>
  </si>
  <si>
    <t>Kompozit</t>
  </si>
  <si>
    <t>Kámen</t>
  </si>
  <si>
    <t>Keramika</t>
  </si>
  <si>
    <t>Beton</t>
  </si>
  <si>
    <t>Hmotnosti materiálů</t>
  </si>
  <si>
    <t>Není započtena hmotnost úchytky</t>
  </si>
  <si>
    <t>Opravdu máte úchytku na TIP-ON?</t>
  </si>
  <si>
    <t>Jestli ne, smažte hmotnost úchytky.</t>
  </si>
  <si>
    <t>Pro přesné hodnoty se obraťte na dodavatele materiálu</t>
  </si>
  <si>
    <t>Tyto hodnoty se budou zobrazovat jako přednastavené.</t>
  </si>
  <si>
    <t>v kombinaci se SERVO-DRIVE</t>
  </si>
  <si>
    <t>nelze v kombinaci se SERVO-DRIVE</t>
  </si>
  <si>
    <t>hodnota bude použita pro výpočet LF</t>
  </si>
  <si>
    <t>hodnota bude použita pro výběr zdvihače</t>
  </si>
  <si>
    <t>Použijte "Výpočet hmotnosti"</t>
  </si>
  <si>
    <t>Zadejte hmotnost nebo vyplňte buňky níže</t>
  </si>
  <si>
    <t>Zadejte hmotnost nebo vyplňte nahoře sílu skla</t>
  </si>
  <si>
    <t xml:space="preserve">Vyplňte nahoře objemovou hmotnost </t>
  </si>
  <si>
    <t xml:space="preserve">Vyplňte nahoře sílu skla </t>
  </si>
  <si>
    <t>Přídavný třetí zdvihač</t>
  </si>
  <si>
    <t>Upravte hmotnost nebo výšku</t>
  </si>
  <si>
    <t>nebo přidejte třetí zdvihač</t>
  </si>
  <si>
    <t>Překročena maximální hmotnost</t>
  </si>
  <si>
    <t>Druhá pohonná jednotka</t>
  </si>
  <si>
    <t>Použijte pouze jeden zdvihač</t>
  </si>
  <si>
    <t>Doplňte hodnoty</t>
  </si>
  <si>
    <t>Povinná hodnota</t>
  </si>
  <si>
    <t>Doporučená hodnota</t>
  </si>
  <si>
    <t>Jednostranný zvihač</t>
  </si>
  <si>
    <t>Přidejte druhý zdvihač</t>
  </si>
  <si>
    <t>Horní závěsy</t>
  </si>
  <si>
    <t>Expando</t>
  </si>
  <si>
    <t>na vruty</t>
  </si>
  <si>
    <t>Středové závěsy</t>
  </si>
  <si>
    <t>Montážní podložky</t>
  </si>
  <si>
    <t>Čelní kování</t>
  </si>
  <si>
    <t>Barva krytek</t>
  </si>
  <si>
    <t>Tmavě šedá (TGR)</t>
  </si>
  <si>
    <t>Omezovač úhlu otevření</t>
  </si>
  <si>
    <t>Boční čep</t>
  </si>
  <si>
    <t>Jdi na</t>
  </si>
  <si>
    <t>Úvod plánování</t>
  </si>
  <si>
    <t>Nápověda</t>
  </si>
  <si>
    <t>Odkazy</t>
  </si>
  <si>
    <t>Přehled korpusů</t>
  </si>
  <si>
    <t>Objednávka</t>
  </si>
  <si>
    <t>Celková objednávka</t>
  </si>
  <si>
    <t>Doplňky</t>
  </si>
  <si>
    <t>Soupis kování</t>
  </si>
  <si>
    <t>Symetrická čela</t>
  </si>
  <si>
    <t>Asymetrická čela</t>
  </si>
  <si>
    <t>Základní údaje</t>
  </si>
  <si>
    <t>Ano</t>
  </si>
  <si>
    <t>Ne</t>
  </si>
  <si>
    <t>Zpět</t>
  </si>
  <si>
    <t>Zpět na úvod</t>
  </si>
  <si>
    <t>Zpět na plánování</t>
  </si>
  <si>
    <t>do</t>
  </si>
  <si>
    <t>ks</t>
  </si>
  <si>
    <t>Sada napájecího zdroje</t>
  </si>
  <si>
    <t>Složení: napájecí zdroj Blum 24W, napájecí kabel a držák napájecího zdroje - montáž na stěnu</t>
  </si>
  <si>
    <t>Pokud u jakéhokoli výklopu zvolíte SERVO-DRIVE, bude do objednávky, bez ohledu na celkový počet výklopů, přidán 1x zdroj Blum 24W, 1x napájecí kabel a 1x držák zdroje. Případnou změnu množství upravte v objednávce.</t>
  </si>
  <si>
    <t>Cena bez napájecího zdroje!</t>
  </si>
  <si>
    <t>váha úchytky</t>
  </si>
  <si>
    <t>Provedení čel</t>
  </si>
  <si>
    <t>Přídavný třetí zdvihač může být použit pouze s plným spodním čelem!</t>
  </si>
  <si>
    <t>Přídavný třetí zdvihač může být použit pouze s plným čelem!</t>
  </si>
  <si>
    <t>Pouze pro asymetrická čela: zadejte teoretickou výšku TKH.</t>
  </si>
  <si>
    <t>TKH = dvojnásobná výška horního čela včetně mezer</t>
  </si>
  <si>
    <t>Pokud znáte hmotnost a nechcete využít výpočtu hmotnosti</t>
  </si>
  <si>
    <t>Pro určení typu zdvihače bude použita zadaná hmotnost</t>
  </si>
  <si>
    <t>Pro určení typu zdvihače bude použita vypočtená hmotnost</t>
  </si>
  <si>
    <t>Chcete-li použít vypočtenou hmotnost, smažte zadanou hodnotu</t>
  </si>
  <si>
    <t>Chcete-li použít zadanou hmotnost, zadejte ji do políčka</t>
  </si>
  <si>
    <t>Pro výběr teleskopů bude použita teoretická výška TKH</t>
  </si>
  <si>
    <t>Teoretická výška TKH nesmí být menší než KH</t>
  </si>
  <si>
    <t>Výpočet asymetrických čel</t>
  </si>
  <si>
    <t>Výpočet hmotnosti</t>
  </si>
  <si>
    <t>Změnit</t>
  </si>
  <si>
    <t>Výpočet</t>
  </si>
  <si>
    <t>Mezera nahoře</t>
  </si>
  <si>
    <t>Mezera mezi čely</t>
  </si>
  <si>
    <t>Mezera dole</t>
  </si>
  <si>
    <t>Síla dna korpusu</t>
  </si>
  <si>
    <t>Výsledky plánování</t>
  </si>
  <si>
    <t>Možné výšky čel</t>
  </si>
  <si>
    <t>od</t>
  </si>
  <si>
    <t>nelze</t>
  </si>
  <si>
    <t>Není k dispozici</t>
  </si>
  <si>
    <t>Pozice zdvihače</t>
  </si>
  <si>
    <t>Pozice mont. podložky pro teleskopy</t>
  </si>
  <si>
    <t>Teoretická výška korpusu</t>
  </si>
  <si>
    <t>Tuto výšku zadejte do tabulky pro plánování výklopů</t>
  </si>
  <si>
    <t>Provedení</t>
  </si>
  <si>
    <t>Verze</t>
  </si>
  <si>
    <t>Platnost ceníku od</t>
  </si>
  <si>
    <t>Sleva</t>
  </si>
  <si>
    <t>Prodejce</t>
  </si>
  <si>
    <t>Sleva od prodejce</t>
  </si>
  <si>
    <t>Ceník</t>
  </si>
  <si>
    <t>Z ergonomického hlediska doporučujeme maximální výšku korpusu 600mm. Dodržíte-li však hranici faktoru výkonnosti, můžete realizovat i vyšší výklopy.</t>
  </si>
  <si>
    <t>U širokých korpusů doporučujeme nainstalovat třetí zdvihač na střed korpusu. Důvodem je prohýbání čela v otevřené pozici.</t>
  </si>
  <si>
    <t>Také faktor výkonnosti LF a váha dveří mohou být o 50% navýšeny.</t>
  </si>
  <si>
    <t>Vše záleží na hodnotě faktoru výkonnosti</t>
  </si>
  <si>
    <t>Nutná mezistěna</t>
  </si>
  <si>
    <t xml:space="preserve">Upozornění: Vypočtené hodnoty jsou pouze orientační. </t>
  </si>
  <si>
    <t>Firma Blum ani prodejci neručí za jejich správnost.</t>
  </si>
  <si>
    <t>Hodnota platí jen pro volbu</t>
  </si>
  <si>
    <t>Objemová hmotnost materiálu čel</t>
  </si>
  <si>
    <t>Hustota materiálu</t>
  </si>
  <si>
    <t xml:space="preserve">Změnit objemovou hmotnost </t>
  </si>
  <si>
    <t xml:space="preserve">Zadejte objemovou hmotnost </t>
  </si>
  <si>
    <t>Zadejte sílu skla</t>
  </si>
  <si>
    <t>Hmotnost alurámečků</t>
  </si>
  <si>
    <t>Napájecí zdroj, napájecí kabel a držák napájecího zdroje</t>
  </si>
  <si>
    <t>Chcete-li přidat další komponenty, přejděte na stránku "Doplňky"</t>
  </si>
  <si>
    <t>Formulář pro identifikační údaje</t>
  </si>
  <si>
    <t>Odběratel</t>
  </si>
  <si>
    <t>Adresa</t>
  </si>
  <si>
    <t>Dodací adresa</t>
  </si>
  <si>
    <t>IČO, DIČ</t>
  </si>
  <si>
    <t>Telefon, fax, e-mail</t>
  </si>
  <si>
    <t>Číslo objednávky</t>
  </si>
  <si>
    <t>Zakázka</t>
  </si>
  <si>
    <t>Poznámka</t>
  </si>
  <si>
    <t>Vytvořit objednávku</t>
  </si>
  <si>
    <t>Zde můžete vložit vlastní položky (následujících 10 řádků, zobrazí se v objednávce)</t>
  </si>
  <si>
    <t>Vítejte v aplikaci AVENTPLAN</t>
  </si>
  <si>
    <t>Před prvním spuštěním</t>
  </si>
  <si>
    <t xml:space="preserve">Přejděte na </t>
  </si>
  <si>
    <t>Vyplňte identifikační údaje a výši slevy od prodejce.</t>
  </si>
  <si>
    <t>Po vyplnění se vraťte na úvod a subor uložte nebo zavřete s potvrzením změn.</t>
  </si>
  <si>
    <t>Identifikační údaje se budou zobrazovat v objednávkách</t>
  </si>
  <si>
    <t>Na úvodní obrazovce vyberte, jaké ceny se budou zobrazovat:</t>
  </si>
  <si>
    <t>Základní (ceníkové) ceny bez slevy</t>
  </si>
  <si>
    <t xml:space="preserve">Zadáte-li slevu s mínusovým znamínkem, zobrazí se ceny o tuto hodnotu vyšší. </t>
  </si>
  <si>
    <t>Proveďte volbu barvy krytek</t>
  </si>
  <si>
    <t>Volba ovlivní barvu krytek u všech vybraných zdvihačů.</t>
  </si>
  <si>
    <t>Kliknutím na obrázek nebo popis přejděte na požadovaný typ zdvihače.</t>
  </si>
  <si>
    <t>Legenda</t>
  </si>
  <si>
    <t>Změna zobrazovaných hodnot</t>
  </si>
  <si>
    <t>Změna hmotností uživatelem</t>
  </si>
  <si>
    <t>Upozornění</t>
  </si>
  <si>
    <t>Informace a vysvětlivky</t>
  </si>
  <si>
    <t>Tip</t>
  </si>
  <si>
    <t>Odkazy na brožury, montážní návody a instrukážní videa</t>
  </si>
  <si>
    <t>Soubory PDF</t>
  </si>
  <si>
    <t>Vyberte požadovanou montážní techniku pro závěsy a podložky</t>
  </si>
  <si>
    <t>Potřebný zdvihač se určí pomocí ukazatele výkonnosti.</t>
  </si>
  <si>
    <t>Ukazatel výkonnosti závisí na hmotnosti dolního i horního čílka, a rovněž na výšce korpusu.</t>
  </si>
  <si>
    <t>Pokud je zvolen SERVO-DRIVE, přidá se rovněž druhá pohonná jednotka.</t>
  </si>
  <si>
    <t>Pokud znáte hmotnost čela, můžete ji zadat, jinak použijte "Výpočet hmotnosti".</t>
  </si>
  <si>
    <t>V tabulce má přednost zadaná hodnota. Chcete-li použít vypočtenou hmotnost, smažte zadanou hodnotu.</t>
  </si>
  <si>
    <t>U asymetrických čel musí být větší čelo nahoře!</t>
  </si>
  <si>
    <t>Způsob otvírání</t>
  </si>
  <si>
    <t>výška korpusu KH [mm] x hmotnost obou čel včetně úchytky</t>
  </si>
  <si>
    <t>Teoretická výška korpusu (TKH) = výška horního čela (FHo) x 2 (včetně mezer)</t>
  </si>
  <si>
    <t>Délka teleskopů závisí na výšce korpusu KH</t>
  </si>
  <si>
    <t>U asymetrických čel se použije teoretická výška TKH</t>
  </si>
  <si>
    <t>Pokud zadáte hodnotu TKH, použije se pro určení délky teleskopů</t>
  </si>
  <si>
    <t>Nemáte-li asymetrická čela, nechte políčko prázdné.</t>
  </si>
  <si>
    <t>HS</t>
  </si>
  <si>
    <t>Vyberte požadovanou montážní techniku pro čelní kování</t>
  </si>
  <si>
    <t>Pro výběr správného zdvihače potřebujete znát výšku korpusu a hmotnost čela.</t>
  </si>
  <si>
    <t>Výška korpusu KH = 602 mm zaokrouhlit na KH = 600 mm</t>
  </si>
  <si>
    <t>Výška korpusu KH = 603 mm zaokrouhlit na KH = 605 mm</t>
  </si>
  <si>
    <t>HK HK-S</t>
  </si>
  <si>
    <t>Ukazatel výkonnosti závisí na hmotnosti čela (včetně dvojnásobné hmotnosti úchytky) a na výšce korpusu.</t>
  </si>
  <si>
    <t>výška korpusu (KH) [mm] x hmotnost čela včetně dvojnásobné hmotnosti úchytky</t>
  </si>
  <si>
    <t>Provedení zdvihače</t>
  </si>
  <si>
    <t>Způsob montáže</t>
  </si>
  <si>
    <t>Zvolte, jaký způsob montáže chcete</t>
  </si>
  <si>
    <t>zdvihače s integrovanou šablonou (bez nutnosti rozměřování)</t>
  </si>
  <si>
    <t>V případě použití zdvihače po obou stranách se faktor výkonnosti zdvojnásobí.</t>
  </si>
  <si>
    <t>V případě využití třetího zdvihače můžete zvýšit ukazatel výkonnosti a tudíž hmotnost čílka o 50%.</t>
  </si>
  <si>
    <t>Platí jen pro zdvihač 20K2E00</t>
  </si>
  <si>
    <t>Položky SERVO-DRIVE a - d se do objednávky načítají z jednotlivých korpusů.</t>
  </si>
  <si>
    <t xml:space="preserve">Zde slouží jen k doobjednání jednotlivých kusů. </t>
  </si>
  <si>
    <t>V přehledu se zobrazují rozměry korpusů, volba SERVO-DRIVE a počet kusů.</t>
  </si>
  <si>
    <t>Pokud se u korpusu zobrazí pouze rozměry, může to znamenat:</t>
  </si>
  <si>
    <t>není zadán počet kusů</t>
  </si>
  <si>
    <t>nejsou doplněny všechny povinné parametry</t>
  </si>
  <si>
    <t>jsou překročeny hodnoty povinných parametrů (např. max. výška)</t>
  </si>
  <si>
    <t>V tom případě se korpus nenačte do objednávky.</t>
  </si>
  <si>
    <t>Kliknutím na název korpusu přejděte na stránku zdvihače a údaje doplňte nebo opravte.</t>
  </si>
  <si>
    <t>Můžete doplnit číslo objednávky a označení zakázky.</t>
  </si>
  <si>
    <t>Údaje o odběrateli se načítají z  "Formuláře".</t>
  </si>
  <si>
    <t>Chcete-li údaje doplnit nebo změnit, jděte na "Úvod" a klikněte na "Formulář "</t>
  </si>
  <si>
    <t>Ceny v objednávce se zobrazují v cenové hladině nastavené na úvodní straně.</t>
  </si>
  <si>
    <t xml:space="preserve">V objednávce můžete měnit počty kusů. </t>
  </si>
  <si>
    <t>Pokud chcete určitou položku vynulovat, zadejte do políčka ve sloupci "Změna" hodnotu "x"</t>
  </si>
  <si>
    <t>Pro doplnění artiklů, které nejsou v objednávce můžete použít prázdné řádky.</t>
  </si>
  <si>
    <t>Po úpravě objenávky odfiltrujte pomocí filtru ve sloupci "Ks" prázné řádky.</t>
  </si>
  <si>
    <t>Chcete-li objednávku uložit nebo odeslat jako přílohu, vytvořte nový soubor kliknutím na odkaz</t>
  </si>
  <si>
    <t>Než soubor vytisknete nebo odešlete, odfiltrujte prázdné řádky.</t>
  </si>
  <si>
    <t>Ostatní doplňky</t>
  </si>
  <si>
    <t>Sada ramen</t>
  </si>
  <si>
    <t>Montážní podložky  / Čelní kování</t>
  </si>
  <si>
    <t>Odstup čela</t>
  </si>
  <si>
    <t>Sada krytek pro AVENTOS</t>
  </si>
  <si>
    <t>Sada krytek pro AVENTOS se SERVO-DRIVE</t>
  </si>
  <si>
    <t>Krytky v provedení Nikl (NI-L) můžete přidat v oddílu "Doplňky"</t>
  </si>
  <si>
    <t>Ověření síly zdvihače</t>
  </si>
  <si>
    <t>Odstup čela od korpusu</t>
  </si>
  <si>
    <t>Sklo</t>
  </si>
  <si>
    <t>Před prvním použitím doporučujeme zadat identifikační údaje pro objednávky a poté sešit uložit</t>
  </si>
  <si>
    <t>Údaje pro objednávku, zadání slevy od prodejce</t>
  </si>
  <si>
    <t>Hmotnosti materiálů, skla a alurámečků</t>
  </si>
  <si>
    <t>Přednastavená</t>
  </si>
  <si>
    <t>Podle Úvodu</t>
  </si>
  <si>
    <t>Vlastní</t>
  </si>
  <si>
    <t>Tabulka hmotností</t>
  </si>
  <si>
    <t>Vyberte typ alurámečku!</t>
  </si>
  <si>
    <t>Více informací k výběru alurámečků v Nápovědě</t>
  </si>
  <si>
    <t>Hmotnost spojovacího materiálu</t>
  </si>
  <si>
    <t>Rohové spojky, šrouby, těsnění pro jeden rámeček</t>
  </si>
  <si>
    <t>Můžete nastavit hodnoty pro všechny výklopy nebo můžete měnit nastavení až při plánování jednotlivých výklopů.</t>
  </si>
  <si>
    <t>Chcete-li změny zachovat i pro příští použití, vraťte se na úvod a soubor uložte.</t>
  </si>
  <si>
    <t>Přejít k plánování výklopů</t>
  </si>
  <si>
    <t>Změnit hodnoty můžete v Úvodu plánování</t>
  </si>
  <si>
    <t>Věnujte pozornost výběru alurámečků.</t>
  </si>
  <si>
    <t>Vyberte, který typ lépe odpovídá tvaru použitého alurámečku.</t>
  </si>
  <si>
    <t>Způsob osazení skla do rámečku výrazně ovlivňuje plochu skla a tím i hmotnost!</t>
  </si>
  <si>
    <t>Jako čelní kování pro HK-S umožňuje realizovat výklopy až do 600mm.</t>
  </si>
  <si>
    <t>Hodnoty hmotností byly změněny uživatelem.</t>
  </si>
  <si>
    <t>Výběr barvy ovlivní i barvu pístů, popř. adaptérů TIP-ON</t>
  </si>
  <si>
    <t>Omezovač pouze pro závěsy CLIP top BLUMOTION a CLIP top 110°</t>
  </si>
  <si>
    <t>Nelze pro úzké alurámečky</t>
  </si>
  <si>
    <t>Omezovač pro závěsy CLIP top BLUMOTION a CLIP top 110°  pro tenké dveře</t>
  </si>
  <si>
    <t>Mějte prosím na paměti, že použitelných materiálů je celá řada. Vzhledem k různé objemové hmotnosti nelze zaručit, že všechny materiály budou použitelné pro každou velikost skříňky. Obzvláště u lehčích materiálů nemusí hmotnost čela dosáhnout minimální hodnoty pro daný rozměr. Pokud se po správném zadání všech parametrů nezobrazí v Soupisu kování žádné hodnoty, je pravděpodobné, že váha čela je pod minimální hodnotou. V tom případě nelze výklop realizovat.</t>
  </si>
  <si>
    <t>s vloženým sklem</t>
  </si>
  <si>
    <t>s naloženým nebo nalepeným sklem</t>
  </si>
  <si>
    <t xml:space="preserve"> * maximálně 40 znaků včetně mezer!</t>
  </si>
  <si>
    <t>Zásoby</t>
  </si>
  <si>
    <t>Ukládání</t>
  </si>
  <si>
    <t>Mytí</t>
  </si>
  <si>
    <t>Příprava</t>
  </si>
  <si>
    <t>Vaření</t>
  </si>
  <si>
    <t xml:space="preserve">Barva: </t>
  </si>
  <si>
    <t xml:space="preserve">Čela:  </t>
  </si>
  <si>
    <t xml:space="preserve">Čelní kování:  </t>
  </si>
  <si>
    <t xml:space="preserve">Cena:  </t>
  </si>
  <si>
    <t>platnost ceníku od:</t>
  </si>
  <si>
    <t>Parametry HF</t>
  </si>
  <si>
    <t>Zdvihač</t>
  </si>
  <si>
    <t>alu max.</t>
  </si>
  <si>
    <t>20F2500</t>
  </si>
  <si>
    <t>20F2800</t>
  </si>
  <si>
    <t>Teleskop</t>
  </si>
  <si>
    <t>20F3200</t>
  </si>
  <si>
    <t>20F3500</t>
  </si>
  <si>
    <t>20F3900</t>
  </si>
  <si>
    <t>Parametry HL</t>
  </si>
  <si>
    <t>20L2100</t>
  </si>
  <si>
    <t>20L2300</t>
  </si>
  <si>
    <t>20L2500</t>
  </si>
  <si>
    <t>20L2800</t>
  </si>
  <si>
    <t>20L2900</t>
  </si>
  <si>
    <t>20L3200</t>
  </si>
  <si>
    <t>20L3500</t>
  </si>
  <si>
    <t>20L3800</t>
  </si>
  <si>
    <t>20L3900</t>
  </si>
  <si>
    <t>IDNr.</t>
  </si>
  <si>
    <t>ZN</t>
  </si>
  <si>
    <t>NI</t>
  </si>
  <si>
    <t>HGIG</t>
  </si>
  <si>
    <t>TGIG</t>
  </si>
  <si>
    <t>SWIG</t>
  </si>
  <si>
    <t>70T5550.TL</t>
  </si>
  <si>
    <t>70T558E</t>
  </si>
  <si>
    <t>78Z5500T</t>
  </si>
  <si>
    <t>78Z553ET</t>
  </si>
  <si>
    <t>72T550A.TL</t>
  </si>
  <si>
    <t>78Z550AT</t>
  </si>
  <si>
    <t>175H5B00   R</t>
  </si>
  <si>
    <t>175H5B00   L</t>
  </si>
  <si>
    <t>175H5A00</t>
  </si>
  <si>
    <t>TGR</t>
  </si>
  <si>
    <t>EV</t>
  </si>
  <si>
    <t>22K2300</t>
  </si>
  <si>
    <t>22K2500</t>
  </si>
  <si>
    <t>22K2700</t>
  </si>
  <si>
    <t>22K2900</t>
  </si>
  <si>
    <t>22K2310</t>
  </si>
  <si>
    <t>22K2510</t>
  </si>
  <si>
    <t>22K2710</t>
  </si>
  <si>
    <t>22K2910</t>
  </si>
  <si>
    <t>22K8000</t>
  </si>
  <si>
    <t xml:space="preserve">HG </t>
  </si>
  <si>
    <t xml:space="preserve">SW </t>
  </si>
  <si>
    <t>23K8000</t>
  </si>
  <si>
    <t>22K2300T</t>
  </si>
  <si>
    <t>22K2500T</t>
  </si>
  <si>
    <t>22K2700T</t>
  </si>
  <si>
    <t>22K2900T</t>
  </si>
  <si>
    <t>22K2310T</t>
  </si>
  <si>
    <t>22K2510T</t>
  </si>
  <si>
    <t>22K2710T</t>
  </si>
  <si>
    <t>22K2910T</t>
  </si>
  <si>
    <t>20S4200</t>
  </si>
  <si>
    <t>20S42E1</t>
  </si>
  <si>
    <t>20S42T1</t>
  </si>
  <si>
    <t>20S4200A</t>
  </si>
  <si>
    <t>20K2B00.06</t>
  </si>
  <si>
    <t>20K2C00.06</t>
  </si>
  <si>
    <t>20K2E00.06</t>
  </si>
  <si>
    <t>20K2B00T06</t>
  </si>
  <si>
    <t>20K2C00T06</t>
  </si>
  <si>
    <t>20K2E00T06</t>
  </si>
  <si>
    <t>20K4A00A02</t>
  </si>
  <si>
    <t>20K7A11</t>
  </si>
  <si>
    <t>20K7A41</t>
  </si>
  <si>
    <t>20K5101</t>
  </si>
  <si>
    <t>20K51E1</t>
  </si>
  <si>
    <t>20K4101</t>
  </si>
  <si>
    <t>20K41E1</t>
  </si>
  <si>
    <t>20K4101A</t>
  </si>
  <si>
    <t>660.0950</t>
  </si>
  <si>
    <t>ZML.2200</t>
  </si>
  <si>
    <t>OR</t>
  </si>
  <si>
    <t>70T4532T</t>
  </si>
  <si>
    <t>DGR</t>
  </si>
  <si>
    <t> 71B3550</t>
  </si>
  <si>
    <t> 71B358E</t>
  </si>
  <si>
    <t> 70T3550.TL</t>
  </si>
  <si>
    <t> 70T358E.TL</t>
  </si>
  <si>
    <t xml:space="preserve"> 71B453T</t>
  </si>
  <si>
    <t xml:space="preserve"> 70T453T.TL</t>
  </si>
  <si>
    <t> 71B950A</t>
  </si>
  <si>
    <t>175H3100</t>
  </si>
  <si>
    <t>177H3100E </t>
  </si>
  <si>
    <t>175H5400 </t>
  </si>
  <si>
    <t>177H5400E</t>
  </si>
  <si>
    <t>174H7100E </t>
  </si>
  <si>
    <t>173H7130</t>
  </si>
  <si>
    <t>174H7130E</t>
  </si>
  <si>
    <t>173L6100</t>
  </si>
  <si>
    <t>174E6100.01</t>
  </si>
  <si>
    <t> 70.1503</t>
  </si>
  <si>
    <t> 70.4503</t>
  </si>
  <si>
    <t> 70T1504 </t>
  </si>
  <si>
    <t> 70T3504 </t>
  </si>
  <si>
    <t> 70T4504 </t>
  </si>
  <si>
    <t> 70T3553</t>
  </si>
  <si>
    <t> 70T4503</t>
  </si>
  <si>
    <t>R737</t>
  </si>
  <si>
    <t> 70T4503.09</t>
  </si>
  <si>
    <t>HGR</t>
  </si>
  <si>
    <t>23KA000</t>
  </si>
  <si>
    <t>993.0530</t>
  </si>
  <si>
    <t>993.0830.01</t>
  </si>
  <si>
    <t>Z10K0009</t>
  </si>
  <si>
    <t>NA</t>
  </si>
  <si>
    <t>Z10K800AE</t>
  </si>
  <si>
    <t xml:space="preserve">Z10M200E </t>
  </si>
  <si>
    <t>Z10NG120</t>
  </si>
  <si>
    <t>WGR</t>
  </si>
  <si>
    <t>Z10V100E.01</t>
  </si>
  <si>
    <t>23P5020</t>
  </si>
  <si>
    <t>SW</t>
  </si>
  <si>
    <t>956.1004</t>
  </si>
  <si>
    <t>6914265</t>
  </si>
  <si>
    <t>956A1004</t>
  </si>
  <si>
    <t>WA</t>
  </si>
  <si>
    <t>956.1201</t>
  </si>
  <si>
    <t>6154324</t>
  </si>
  <si>
    <t>956A1201</t>
  </si>
  <si>
    <t>956A1501</t>
  </si>
  <si>
    <t xml:space="preserve"> Doplňky</t>
  </si>
  <si>
    <t xml:space="preserve">   AVENTOS HKi</t>
  </si>
  <si>
    <t>AVENTOS HKi</t>
  </si>
  <si>
    <t xml:space="preserve"> 170 - 600 mm</t>
  </si>
  <si>
    <t>K28</t>
  </si>
  <si>
    <t>24K2300</t>
  </si>
  <si>
    <t>24K2500</t>
  </si>
  <si>
    <t>24K2700</t>
  </si>
  <si>
    <t>24K2800</t>
  </si>
  <si>
    <t>24K2300T</t>
  </si>
  <si>
    <t>24K2500T</t>
  </si>
  <si>
    <t>24K2700T</t>
  </si>
  <si>
    <t>24K2800T</t>
  </si>
  <si>
    <t>24K42E1</t>
  </si>
  <si>
    <t>OS</t>
  </si>
  <si>
    <t>24K4201A</t>
  </si>
  <si>
    <t>24K8000</t>
  </si>
  <si>
    <t>CS</t>
  </si>
  <si>
    <t>plně integrovaný</t>
  </si>
  <si>
    <t>s krytkou</t>
  </si>
  <si>
    <t>částečně integrovaný (s krytkou)</t>
  </si>
  <si>
    <t>provedení zdvihače</t>
  </si>
  <si>
    <t>Světle šedá (HGR)</t>
  </si>
  <si>
    <t>Hedvábně bílá (SW)</t>
  </si>
  <si>
    <t>24K7100</t>
  </si>
  <si>
    <t>M45.1010</t>
  </si>
  <si>
    <t>HKiw</t>
  </si>
  <si>
    <t>Chcete-li změnit provedení zdvihače (plná/částečná integrace), přejděte na výběr HKi</t>
  </si>
  <si>
    <t>Chcete-li změnit barvu krytek, přejděte na "Úvod plánování"</t>
  </si>
  <si>
    <t>HKiwa</t>
  </si>
  <si>
    <t>HKina</t>
  </si>
  <si>
    <t>AVENTOS HF top</t>
  </si>
  <si>
    <t>AVENTOS HS top</t>
  </si>
  <si>
    <t>AVENTOS HL top</t>
  </si>
  <si>
    <t xml:space="preserve">   AVENTOS HF top</t>
  </si>
  <si>
    <t xml:space="preserve"> AVENTOS HF top</t>
  </si>
  <si>
    <t>AVENTPLAN – přehled výklopů</t>
  </si>
  <si>
    <t xml:space="preserve">   AVENTOS HS top</t>
  </si>
  <si>
    <t xml:space="preserve">   AVENTOS HL top</t>
  </si>
  <si>
    <t xml:space="preserve"> AVENTOS HS top</t>
  </si>
  <si>
    <t>montáž:</t>
  </si>
  <si>
    <t>pohyb:</t>
  </si>
  <si>
    <t>eurošrouby</t>
  </si>
  <si>
    <t>mont.</t>
  </si>
  <si>
    <t>22F2500</t>
  </si>
  <si>
    <t>22F2510</t>
  </si>
  <si>
    <t>22F2800</t>
  </si>
  <si>
    <t>22F2810</t>
  </si>
  <si>
    <t>22F3200</t>
  </si>
  <si>
    <t>22F3500</t>
  </si>
  <si>
    <t>22F3900</t>
  </si>
  <si>
    <t>22S2200</t>
  </si>
  <si>
    <t>22S2210</t>
  </si>
  <si>
    <t>22S2500</t>
  </si>
  <si>
    <t>22S2510</t>
  </si>
  <si>
    <t>22S2800</t>
  </si>
  <si>
    <t>22S2810</t>
  </si>
  <si>
    <t>22S3500</t>
  </si>
  <si>
    <t>22.8000</t>
  </si>
  <si>
    <t>23.8000</t>
  </si>
  <si>
    <t>R7037</t>
  </si>
  <si>
    <t>23.A000</t>
  </si>
  <si>
    <t>S22</t>
  </si>
  <si>
    <t>S25</t>
  </si>
  <si>
    <t>S28</t>
  </si>
  <si>
    <t>S22 v</t>
  </si>
  <si>
    <t>Parametry HS</t>
  </si>
  <si>
    <t>22S2200 v</t>
  </si>
  <si>
    <t>hmot. min.</t>
  </si>
  <si>
    <t>hmot. max.</t>
  </si>
  <si>
    <r>
      <rPr>
        <sz val="9"/>
        <rFont val="Calibri"/>
        <family val="2"/>
      </rPr>
      <t>←</t>
    </r>
    <r>
      <rPr>
        <sz val="9"/>
        <rFont val="Arial"/>
        <family val="2"/>
        <charset val="238"/>
      </rPr>
      <t xml:space="preserve"> (350–450)</t>
    </r>
  </si>
  <si>
    <r>
      <rPr>
        <sz val="9"/>
        <rFont val="Calibri"/>
        <family val="2"/>
      </rPr>
      <t>←</t>
    </r>
    <r>
      <rPr>
        <sz val="9"/>
        <rFont val="Arial"/>
        <family val="2"/>
        <charset val="238"/>
      </rPr>
      <t xml:space="preserve"> (450–540)</t>
    </r>
  </si>
  <si>
    <r>
      <rPr>
        <sz val="9"/>
        <color theme="1"/>
        <rFont val="Calibri"/>
        <family val="2"/>
      </rPr>
      <t>↓</t>
    </r>
    <r>
      <rPr>
        <sz val="9"/>
        <color theme="1"/>
        <rFont val="Arial"/>
        <family val="2"/>
        <charset val="238"/>
      </rPr>
      <t>rozhodnutí</t>
    </r>
  </si>
  <si>
    <t xml:space="preserve"> 480 - 1200 mm</t>
  </si>
  <si>
    <t>limit hmot</t>
  </si>
  <si>
    <t>Hmotnost mimo povolený rozsah</t>
  </si>
  <si>
    <t>22L2200</t>
  </si>
  <si>
    <t>min KH</t>
  </si>
  <si>
    <t>max KH</t>
  </si>
  <si>
    <t>min FG</t>
  </si>
  <si>
    <t>max FG</t>
  </si>
  <si>
    <t>22L3200</t>
  </si>
  <si>
    <t>22L3500</t>
  </si>
  <si>
    <t>22L2500</t>
  </si>
  <si>
    <t>22L3800</t>
  </si>
  <si>
    <t>22L3900</t>
  </si>
  <si>
    <t>22L2210</t>
  </si>
  <si>
    <t>22L2510</t>
  </si>
  <si>
    <t>22Q1076U</t>
  </si>
  <si>
    <t>22Q080Z</t>
  </si>
  <si>
    <t>L22</t>
  </si>
  <si>
    <t>↓rozhodnutí</t>
  </si>
  <si>
    <t>hranice</t>
  </si>
  <si>
    <t>HL</t>
  </si>
  <si>
    <t>Výběr můžete upravit v objednávce.</t>
  </si>
  <si>
    <t xml:space="preserve">Pro tyto parametry korpusu lze použít také ramena </t>
  </si>
  <si>
    <t>limit LF</t>
  </si>
  <si>
    <t>Z550AT</t>
  </si>
  <si>
    <t xml:space="preserve">  10000 - 19300</t>
  </si>
  <si>
    <t>Sada zdvihacích mechanizmů</t>
  </si>
  <si>
    <t>Hmotnost čela</t>
  </si>
  <si>
    <t>350 - 450</t>
  </si>
  <si>
    <t>2.00 - 11.50</t>
  </si>
  <si>
    <t>450 - 540</t>
  </si>
  <si>
    <t>2.50 - 12.50</t>
  </si>
  <si>
    <t>480 - 660</t>
  </si>
  <si>
    <t>2.75 - 15.25</t>
  </si>
  <si>
    <t>650 - 800</t>
  </si>
  <si>
    <t>3.50 - 18.50</t>
  </si>
  <si>
    <t>a [mm]</t>
  </si>
  <si>
    <t>b [mm]</t>
  </si>
  <si>
    <t>y [mm]</t>
  </si>
  <si>
    <t>c [mm]</t>
  </si>
  <si>
    <t>340 - 389</t>
  </si>
  <si>
    <t>300 - 339</t>
  </si>
  <si>
    <t>390 - 540</t>
  </si>
  <si>
    <t>480 - 580</t>
  </si>
  <si>
    <t xml:space="preserve">  2600 - 7800</t>
  </si>
  <si>
    <t>min ↓↓</t>
  </si>
  <si>
    <t xml:space="preserve"> &lt;=519</t>
  </si>
  <si>
    <t xml:space="preserve"> &gt;=520</t>
  </si>
  <si>
    <t>Z</t>
  </si>
  <si>
    <t>max ↓↓</t>
  </si>
  <si>
    <t>absolutně</t>
  </si>
  <si>
    <t>vypočtená</t>
  </si>
  <si>
    <t>FHu</t>
  </si>
  <si>
    <t>FHo</t>
  </si>
  <si>
    <t>Čelo nahoře (FHo) v rozmezí</t>
  </si>
  <si>
    <t>Čelo dole (FHu) v rozmezí</t>
  </si>
  <si>
    <t>Výška čela nahoře</t>
  </si>
  <si>
    <t>Výška čela dole</t>
  </si>
  <si>
    <t>výsledná</t>
  </si>
  <si>
    <t>H</t>
  </si>
  <si>
    <t>Zdvihací mechanizmus vruty</t>
  </si>
  <si>
    <t>Zdvihací mechanizmus šrouby</t>
  </si>
  <si>
    <t>vruty = zdvihače s integrovanou šablonou (bez nutnosti rozměřování)</t>
  </si>
  <si>
    <t>šrouby = zdvihače s přednotovanými šrouby (nutné předvrtání)</t>
  </si>
  <si>
    <t>300 - 389</t>
  </si>
  <si>
    <t>390 - 580</t>
  </si>
  <si>
    <t>1.5 - 9.00</t>
  </si>
  <si>
    <t>2.00 - 12.25</t>
  </si>
  <si>
    <t>1.75 - 10.00</t>
  </si>
  <si>
    <t>2.5 - 14.00</t>
  </si>
  <si>
    <t>SD</t>
  </si>
  <si>
    <t>předmont. eurošrouby</t>
  </si>
  <si>
    <t>zdvihače s předmotovanými šrouby (nutné předvrtání)</t>
  </si>
  <si>
    <t>Dva páry zdvihačů</t>
  </si>
  <si>
    <t>Pro výpočet TKH použijte</t>
  </si>
  <si>
    <t>Zadejte počet mezistěn v korpusu</t>
  </si>
  <si>
    <t>Pro třetí přídavný zdvihač je nutná mezistěna, pro dva páry zdvihačů je nutná dvojitá mezistěna</t>
  </si>
  <si>
    <t xml:space="preserve">    2700 - 13500</t>
  </si>
  <si>
    <r>
      <t xml:space="preserve">Závěs A </t>
    </r>
    <r>
      <rPr>
        <sz val="9"/>
        <rFont val="Arial"/>
        <family val="2"/>
      </rPr>
      <t>→</t>
    </r>
  </si>
  <si>
    <t>Je-li ukazatel výkonnosti větší než 19300, přidá se třetí zdvihač.</t>
  </si>
  <si>
    <t>Je-li ukazatel výkonnosti větší než 28950, přidá se druhý pár zdvihačů.</t>
  </si>
  <si>
    <t xml:space="preserve">V případě dvou párů zdvihačů jsou nutné dvě mezistěny nebo jedna zdvojená mezistěna. </t>
  </si>
  <si>
    <t xml:space="preserve">V případě dřevěných čel můžete naplánovat korpusy širší než 1800 mm. Pokud je kvůli nosnosti nutný třetí zdvihač, musí se přidat mezistěna. </t>
  </si>
  <si>
    <t>g</t>
  </si>
  <si>
    <t>h</t>
  </si>
  <si>
    <t>Zadejte hmotnost nebo vyplňte všechny buňky</t>
  </si>
  <si>
    <t>HKi</t>
  </si>
  <si>
    <t>Pro objednání sady předfrézovaných boků použijte</t>
  </si>
  <si>
    <t>R7036</t>
  </si>
  <si>
    <t>173H7100</t>
  </si>
  <si>
    <t>-</t>
  </si>
  <si>
    <t xml:space="preserve">Należy pamiętać, że istnieje wiele różnych materiałów. Ze względu na różne gęstości  nie ma gwarancji, że wszystkie materiały będą nadawały się do każdego rozmiaru korpusu. Szczególnie w przypadku lżejszych materiałów ciężar frontu może nie osiągnąć wartości minimalnej dla danego wymiaru. Jeśli po prawidłowym wprowadzeniu wszystkich parametrów, na liście zamówienia nie wyświetlą się żadne wartości, prawdopodobnie waga frontu jest poniżej wartości minimalnej. W takim przypadku wyliczenie podnośników nie może być wykonane. </t>
  </si>
  <si>
    <t xml:space="preserve">Materiał </t>
  </si>
  <si>
    <t>Zł</t>
  </si>
  <si>
    <t>Podaj liczbę ścianek środkowych w korpusie.</t>
  </si>
  <si>
    <t>W razie wykorzystania trzeciego siłownika współczynnik mocy oraz waga frontu mogą się zwiększyć o 50 %.</t>
  </si>
  <si>
    <t>Co chcesz zaplanować?</t>
  </si>
  <si>
    <t>system podnośników</t>
  </si>
  <si>
    <t>front uchylno-składany</t>
  </si>
  <si>
    <t>front uchylno-nachodzący</t>
  </si>
  <si>
    <t>front nad korpusem</t>
  </si>
  <si>
    <t>front uchylny</t>
  </si>
  <si>
    <t>mały front uchylny</t>
  </si>
  <si>
    <t>Aplikacja ta ułatwia zamawianie systemów AVENTOS.</t>
  </si>
  <si>
    <t>Wyniki nie muszą być dokładne, szczególnie w przypadku wyliczeń wagi.</t>
  </si>
  <si>
    <t>Fronty drewniane</t>
  </si>
  <si>
    <t>Front drewniany</t>
  </si>
  <si>
    <t>Fronty drewniane i szerokie ramki aluminiowe</t>
  </si>
  <si>
    <t>Szerokie ramki aluminiowe</t>
  </si>
  <si>
    <t>Szeroka ramka aluminiowa</t>
  </si>
  <si>
    <t>Wąskie ramki aluminiowe</t>
  </si>
  <si>
    <t>Wąska ramka aluminiowa</t>
  </si>
  <si>
    <t>Cienkie materiały</t>
  </si>
  <si>
    <t>Waga ramki aluminiowej</t>
  </si>
  <si>
    <t>Materiały o grubości od 8 do 14 mm</t>
  </si>
  <si>
    <t>Liczba ścianek środkowych</t>
  </si>
  <si>
    <t>Zaślepki</t>
  </si>
  <si>
    <t>Inne</t>
  </si>
  <si>
    <t>front górny</t>
  </si>
  <si>
    <t>front dolny</t>
  </si>
  <si>
    <t>podnośnik</t>
  </si>
  <si>
    <t>Poziom cen</t>
  </si>
  <si>
    <t>Ceny podstawowe</t>
  </si>
  <si>
    <t>Ceny zakupu</t>
  </si>
  <si>
    <t>Ze zniżką</t>
  </si>
  <si>
    <t>Wprowadź wyższą zniżkę</t>
  </si>
  <si>
    <t>Ceny z wybraną zniżką</t>
  </si>
  <si>
    <t>Ceny ze zniżką wpisaną w „Formularzu”</t>
  </si>
  <si>
    <t>Ustawić</t>
  </si>
  <si>
    <t>Cena okucia</t>
  </si>
  <si>
    <t>Nazwa</t>
  </si>
  <si>
    <t>Kod asortymentu</t>
  </si>
  <si>
    <t>Kolor</t>
  </si>
  <si>
    <t>Ilość</t>
  </si>
  <si>
    <t>Sztuka</t>
  </si>
  <si>
    <t>Dostępność</t>
  </si>
  <si>
    <t>Cena za sztukę</t>
  </si>
  <si>
    <t>W sumie</t>
  </si>
  <si>
    <t>Zmiana</t>
  </si>
  <si>
    <t>Cena całkowita bez VAT</t>
  </si>
  <si>
    <t>Obliczone</t>
  </si>
  <si>
    <t>Podane</t>
  </si>
  <si>
    <t>Waga frontów</t>
  </si>
  <si>
    <t>Ilość szafek</t>
  </si>
  <si>
    <t>Obliczanie wagi frontów</t>
  </si>
  <si>
    <t>Szerokość korpusu</t>
  </si>
  <si>
    <t>Wysokość korpusu</t>
  </si>
  <si>
    <t>Waga frontu</t>
  </si>
  <si>
    <t>Waga frontu wraz z uchwytem</t>
  </si>
  <si>
    <t>Waga frontu wraz z 2 uchwytami</t>
  </si>
  <si>
    <t>Obliczona waga frontu</t>
  </si>
  <si>
    <t>Grubość frontu</t>
  </si>
  <si>
    <t>Grubość górnego frontu</t>
  </si>
  <si>
    <t>Grubość dolnego frontu</t>
  </si>
  <si>
    <t>Waga uchwytu</t>
  </si>
  <si>
    <t>Mechanizm podnoszący</t>
  </si>
  <si>
    <t>Komplet mechanizmów podnoszących</t>
  </si>
  <si>
    <t>Współczynnik mocy</t>
  </si>
  <si>
    <t>Trzeci podnośnik</t>
  </si>
  <si>
    <t>Drugi podnośnik</t>
  </si>
  <si>
    <t>Gęstość materiału</t>
  </si>
  <si>
    <t>Płyta wiórowa</t>
  </si>
  <si>
    <t>Inne – wybrana gęstość materiału</t>
  </si>
  <si>
    <t>Ramki aluminiowe z 4mm szkłem</t>
  </si>
  <si>
    <t>Ramki aluminiowe z 5mm szkłem</t>
  </si>
  <si>
    <t>Ramki aluminiowe z innym szkłem</t>
  </si>
  <si>
    <t>Płyta kompaktowa</t>
  </si>
  <si>
    <t>Płyta kompozytowa</t>
  </si>
  <si>
    <t>Kamień</t>
  </si>
  <si>
    <t>Ceramika</t>
  </si>
  <si>
    <t>Szkło</t>
  </si>
  <si>
    <t>Waga materiału</t>
  </si>
  <si>
    <t>Bez wagi uchwytu</t>
  </si>
  <si>
    <t>Na pewno masz uchwyt do wersji TIP-ON?</t>
  </si>
  <si>
    <t>Jeśli nie wymaż wagę uchwytu</t>
  </si>
  <si>
    <t>Aby uzyskać dokładne wartości, skontaktuj się z dostawcą materiału</t>
  </si>
  <si>
    <t>Wartości te będą wyświetlane jako domyślne.</t>
  </si>
  <si>
    <t>w połączeniu z SERVO-DRIVE</t>
  </si>
  <si>
    <t>niemożliwe w połączeniu z SERVO-DRIVE</t>
  </si>
  <si>
    <t>wartość będzie wykorzystana do obliczenia LF</t>
  </si>
  <si>
    <t>wartość będzie wykorzystana w celu wyboru siłownika</t>
  </si>
  <si>
    <t>Skorzystaj z "Obliczenie wagi"</t>
  </si>
  <si>
    <t>Wprowadź wagę lub wypełnij poniższe komórki</t>
  </si>
  <si>
    <t>Wprowadź wagę lub wypełnij wszystkie komórki</t>
  </si>
  <si>
    <t>Wprowadź wagę lub wypełnij na górze grubość szkła</t>
  </si>
  <si>
    <t xml:space="preserve">Wprowadź na górze masę objętościową </t>
  </si>
  <si>
    <t>Wypełnij na górze grubość szkła</t>
  </si>
  <si>
    <t>Dodatkowy trzeci siłownik</t>
  </si>
  <si>
    <t>Dwie pary siłowników</t>
  </si>
  <si>
    <t>Popraw wagę albo wysokość</t>
  </si>
  <si>
    <t>lub dodaj trzeci siłownik</t>
  </si>
  <si>
    <t>Przekroczono maksymalną wagę</t>
  </si>
  <si>
    <t>Waga poza dozwolonym zakresem</t>
  </si>
  <si>
    <t>Druga jednostka napędu</t>
  </si>
  <si>
    <t>Użyj tylko jeden podnośnik</t>
  </si>
  <si>
    <t>Wypełnij wartości</t>
  </si>
  <si>
    <t>Wartość obowiązkowa</t>
  </si>
  <si>
    <t>Zalecana wartość</t>
  </si>
  <si>
    <t>Jednostronny podnośnik</t>
  </si>
  <si>
    <t>Dodaj drugi podnośnik</t>
  </si>
  <si>
    <t>Zawiasy górne</t>
  </si>
  <si>
    <t>na wkręty</t>
  </si>
  <si>
    <t>Zawiasy środkowe</t>
  </si>
  <si>
    <t>Prowadniki</t>
  </si>
  <si>
    <t>Mocowanie frontu</t>
  </si>
  <si>
    <t>Kolor zaślepek</t>
  </si>
  <si>
    <t>Jasnoszary (HGR)</t>
  </si>
  <si>
    <t>Ciemnoszary (TGR)</t>
  </si>
  <si>
    <t>Jedwabiście biały (SW)</t>
  </si>
  <si>
    <t>Ogranicznik kąta otwarcia</t>
  </si>
  <si>
    <t>Mocowanie korpusu</t>
  </si>
  <si>
    <t>Przejdź do</t>
  </si>
  <si>
    <t>Wprowadzenie do planowania</t>
  </si>
  <si>
    <t>Pomoc</t>
  </si>
  <si>
    <t>Linki</t>
  </si>
  <si>
    <t>Rodzaje korpusów</t>
  </si>
  <si>
    <t>Zamówienie</t>
  </si>
  <si>
    <t>Całkowite zamówienie</t>
  </si>
  <si>
    <t>Dodatki</t>
  </si>
  <si>
    <t>Lista okuć</t>
  </si>
  <si>
    <t>Fronty symetryczne</t>
  </si>
  <si>
    <t>Fronty asymetryczne</t>
  </si>
  <si>
    <t>Podstawowe dane</t>
  </si>
  <si>
    <t>Tak</t>
  </si>
  <si>
    <t>Nie</t>
  </si>
  <si>
    <t>Z powrotem</t>
  </si>
  <si>
    <t>Wróć na początek</t>
  </si>
  <si>
    <t>Wróć do planowania</t>
  </si>
  <si>
    <t>Komplet zasilający</t>
  </si>
  <si>
    <t>Komplet zawiera: zasilacz Blum 24W, kabel i uchwyt zasilacza - montaż na ścianie</t>
  </si>
  <si>
    <t xml:space="preserve">W przypadku wybrania SERVO-DRIVE do dowolnego podnośnika, niezależnie od łącznej liczby podnośników do zamówienia doliczony zostanie 1x zasilacz Blum 24W, 1x kabel zasilający i 1x uchwyt na zasilacz. Dostosuj wszelkie zmiany ilościowe w zamówieniu. </t>
  </si>
  <si>
    <t>Cena bez zasilacza!</t>
  </si>
  <si>
    <t>waga uchwytu</t>
  </si>
  <si>
    <t>Wykonanie frontów</t>
  </si>
  <si>
    <t>Dodatkowy trzeci siłownik można zastosować jedynie z pełnym frontem dolnym!</t>
  </si>
  <si>
    <t>Dodatkowy trzeci siłownik można zastosować jedynie z pełnym frontem!</t>
  </si>
  <si>
    <t>Jedynie do frontów asymetrycznych: wpisz teoretyczną wysokość TKH</t>
  </si>
  <si>
    <t>TKH = Wysokość frontu górnego (mm) x 2 + szczeliny</t>
  </si>
  <si>
    <t>Jeżeli znasz wagę i nie chcesz skorzystać z "obliczenie wagi"</t>
  </si>
  <si>
    <t>W celu określenia rodzaju siłownika będzie wykorzystana podana waga</t>
  </si>
  <si>
    <t>W celu określenia rodzaju siłownika będzie wykorzystana obliczona waga</t>
  </si>
  <si>
    <t>Jeżeli chcesz wykorzystać obliczoną wagę, zmaż podaną wartość</t>
  </si>
  <si>
    <t>Jeżeli chcesz wykorzystać podaną wagą, wpisz ją w pole</t>
  </si>
  <si>
    <t>Do wyboru podnośnika teleskopowego zostanie wykorzystana teoretyczna wysokość TKH</t>
  </si>
  <si>
    <t xml:space="preserve">Wysokość teoretyczna TKH nie może być mniejsza niż KH </t>
  </si>
  <si>
    <t>Obliczanie frontów asymetrycznych</t>
  </si>
  <si>
    <t>Obliczenie wagi</t>
  </si>
  <si>
    <t>Zmienić</t>
  </si>
  <si>
    <t>Obliczenie</t>
  </si>
  <si>
    <t>Szczelina na górze</t>
  </si>
  <si>
    <t>Szczelina pomiędzy frontami</t>
  </si>
  <si>
    <t>Szczelina na dole</t>
  </si>
  <si>
    <t>Grubość dna korpusu</t>
  </si>
  <si>
    <t>Wyniki planowania</t>
  </si>
  <si>
    <t>Możliwe wysokości frontów</t>
  </si>
  <si>
    <t>Front górny (FHo) w granicach</t>
  </si>
  <si>
    <t>Front dolny (FHu) w granicach</t>
  </si>
  <si>
    <t xml:space="preserve">od </t>
  </si>
  <si>
    <t>nie można</t>
  </si>
  <si>
    <t>niedostępne</t>
  </si>
  <si>
    <t>Wysokość frontu górnego</t>
  </si>
  <si>
    <t>Wysokość frontu dolnego</t>
  </si>
  <si>
    <t>Pozycja siłownika</t>
  </si>
  <si>
    <t>Pozycja podkładki montażowej do podnośnika teleskopowego</t>
  </si>
  <si>
    <t>Teoretyczna wysokość korpusu</t>
  </si>
  <si>
    <t xml:space="preserve">Wprowadź tę wysokość do tabelki służącej do planowania podnośników </t>
  </si>
  <si>
    <t xml:space="preserve">Wykonanie </t>
  </si>
  <si>
    <t>Wersja</t>
  </si>
  <si>
    <t>Cennik obowiązuje od</t>
  </si>
  <si>
    <t>Zniżka</t>
  </si>
  <si>
    <t>Sprzedawca</t>
  </si>
  <si>
    <t>Zniżka od sprzedawcy</t>
  </si>
  <si>
    <t xml:space="preserve">Cennik   </t>
  </si>
  <si>
    <t>Z ergonomicznego punktu widzenia zalecana maksymalna wysokość korpusu to 600mm. Jeśli jednak nie przekroczysz granicznych parametrów współczynnika mocy, możesz zamontować również siłowniki o wyższej mocy.</t>
  </si>
  <si>
    <t>Przy szerokich korpusach zalecamy trzeci siłownik. Powodem tego jest wyginanie się frontu w pozycji otwartej.</t>
  </si>
  <si>
    <t>Również współczynnik mocy LF i waga frontów mogą być zwiększone o 50%.</t>
  </si>
  <si>
    <t>Wszystko zależy od współczynnika mocy</t>
  </si>
  <si>
    <t>Konieczna ścianka środkowa</t>
  </si>
  <si>
    <t>Dla trzeciego dodatkowego siłownika wymagana jest ścianka środkowa, dla dwóch siłowników wymagana jest podwójna ścianka środkowa</t>
  </si>
  <si>
    <t>Uwaga: obliczone wartości mają charakter wyłącznie orientacyjny.</t>
  </si>
  <si>
    <t>Firma Blum ani sprzedawcy nie ręczą za ich prawidłowość.</t>
  </si>
  <si>
    <t>Wartość obowiązuje tylko dla opcji</t>
  </si>
  <si>
    <t>Masa objętościowa materiału frontu</t>
  </si>
  <si>
    <t>Zmień masę objętościową</t>
  </si>
  <si>
    <t>Podaj masę objętościową</t>
  </si>
  <si>
    <t>Podaj grubość szkła</t>
  </si>
  <si>
    <t>Zasilacz, kabel zasilający, uchwyt zasilacza</t>
  </si>
  <si>
    <t>Aby dodać więcej komponentów przejdź do strony „Dodatki”</t>
  </si>
  <si>
    <t>Formularz danych identyfikacyjnych</t>
  </si>
  <si>
    <t>Odbiorca</t>
  </si>
  <si>
    <t>Adres</t>
  </si>
  <si>
    <t>Adres dostawy</t>
  </si>
  <si>
    <t>NIP</t>
  </si>
  <si>
    <t>Telefon, faks, e-mail</t>
  </si>
  <si>
    <t>Numer zamówienia</t>
  </si>
  <si>
    <t>Zlecenie</t>
  </si>
  <si>
    <t>Uwaga</t>
  </si>
  <si>
    <t>Utwórz zamówienie</t>
  </si>
  <si>
    <t>Tutaj możesz wstawić własne pozycje ( kolejnych 10 linijek pojawi się w zamówieniu)</t>
  </si>
  <si>
    <t>Witamy w aplikacji AVENTPLAN</t>
  </si>
  <si>
    <t>Przed pierwszym uruchomieniem</t>
  </si>
  <si>
    <t>Otwórz plik</t>
  </si>
  <si>
    <t>Podaj dane identyfikacyjne oraz wysokość zniżek od sprzedawcy.</t>
  </si>
  <si>
    <t>Po wypełnieniu formularz zapisz go albo zamknij potwierdzając zmiany</t>
  </si>
  <si>
    <t>Dane identyfikacyjne będą pojawiać się w zamówieniach</t>
  </si>
  <si>
    <t>Na ekranie głównym wybierz, które ceny mają być wyświetlane:</t>
  </si>
  <si>
    <t>Ceny podstawowe (z cennika) bez zniżki</t>
  </si>
  <si>
    <t>Jeżeli wpiszesz cenę z minusem, wyświetli się cena wyższa o podaną wartość</t>
  </si>
  <si>
    <t>Wybierz kolor zaślepek</t>
  </si>
  <si>
    <t>Wybór będzie miał wpływ na kolor zaślepek wszystkich wybranych siłowników</t>
  </si>
  <si>
    <t>Kliknij na zdjęcie lub opis, aby przejść do żądanego typu podnośnika.</t>
  </si>
  <si>
    <t>Zmiana wyświetlanych wartości</t>
  </si>
  <si>
    <t>Zmiana wagi przez użytkownika</t>
  </si>
  <si>
    <t>Informacje i wyjaśnienia</t>
  </si>
  <si>
    <t>Wskazówka</t>
  </si>
  <si>
    <t>Linki do broszur, instrukcji montażu i filmów instruktażowych</t>
  </si>
  <si>
    <t>Pliki PDF</t>
  </si>
  <si>
    <t>Wybierz dogodną technikę montażu zawiasów i prowadników</t>
  </si>
  <si>
    <t>Odpowiedni siłownik będzie określony za pomocą współczynnika mocy</t>
  </si>
  <si>
    <t>Współczynnik mocy zależy od wagi dolnego i górnego frontu oraz od wysokości korpusu</t>
  </si>
  <si>
    <t>Aby zmienić kolor zaślepek przejdź do „Wprowadzenie do planowania”</t>
  </si>
  <si>
    <t>Aby zmienić rodzaj siłownika (pełna/częściowa integracja), przejdź do wyboru Hki</t>
  </si>
  <si>
    <t>Jeżeli współczynnik mocy jest większy niż 19300, doda się trzeci siłownik.</t>
  </si>
  <si>
    <t>Jeżeli współczynnik mocy jest większy niż 28950, doda się druga para siłowników.</t>
  </si>
  <si>
    <t>W przypadku wybrania SERVO-DRIVE dodawana jest także druga jednostka napędu</t>
  </si>
  <si>
    <t>Jeśli znasz wagę frontu, możesz ją wprowadzić, w przeciwnym razie skorzystaj z „Obliczenia wagi”.</t>
  </si>
  <si>
    <t>W tabeli wprowadzona wartość ma pierwszeństwo aby skorzystać z wagi obliczeniowej, należy usunąć wprowadzoną wartość.</t>
  </si>
  <si>
    <t>W przypadku frontów asymetrycznych, większy front musi być na górze!</t>
  </si>
  <si>
    <t>Sposób otwierania</t>
  </si>
  <si>
    <t>wysokość korpusu (KH) [mm] x waga obu frontów wraz z uchwytem</t>
  </si>
  <si>
    <t>Teoretyczna wysokość korpusu (TKH) = wysokość frontu górnego (FHo) x 2 + szczeliny</t>
  </si>
  <si>
    <t>Długość podnośnika teleskopowego zależy od wysokości korpusu KH</t>
  </si>
  <si>
    <t>W przypadku frontów asymetrycznych wykorzystuje się wysokość teoretyczną TKH</t>
  </si>
  <si>
    <t>Jeżeli podasz wartość TKH, będzie ona wykorzystana do określenia długości podnośnika teleskopowego</t>
  </si>
  <si>
    <t>Jeśli nie masz asymetrycznych frontów, zostaw pole puste</t>
  </si>
  <si>
    <t>Do obliczenia TKH użyj</t>
  </si>
  <si>
    <t>Wybierz dogodną technikę montażu mocowania frontu</t>
  </si>
  <si>
    <t>Aby wybrać odpowiedni siłownik potrzebujesz znać wysokość korpusu i wagę frontu</t>
  </si>
  <si>
    <t>Wysokość korpusu KH = 602 mm należy zaokrąglić do KH = 600 mm</t>
  </si>
  <si>
    <t>Wysokość korpusu KH = 603 mm należy zaokrąglić do KH = 605 mm</t>
  </si>
  <si>
    <t>Do tych parametrów korpusu można wykorzystać również podnośniki teleskopowe</t>
  </si>
  <si>
    <t>Możesz dostosować wybór w zamówieniu.</t>
  </si>
  <si>
    <t>Współczynnik mocy zależy od wagi frontu (wraz z podwójną wagą uchwytu) i od wysokości korpusu.</t>
  </si>
  <si>
    <t>wysokość korpusu (KH) [mm] x waga frontu wraz z podwójną wagą uchwytu</t>
  </si>
  <si>
    <t>Aby zamówić zestaw wstępnie wyfrezowanych boków, użyj</t>
  </si>
  <si>
    <t>funkcja podnośnika</t>
  </si>
  <si>
    <t>Sposób montażu</t>
  </si>
  <si>
    <t>Wybierz sposób montażu</t>
  </si>
  <si>
    <t>wkręty</t>
  </si>
  <si>
    <t>wstępnie zamontowane eurowkręty</t>
  </si>
  <si>
    <t>podnośniki z zintegrowanym szablonem (nie ma potrzeby mierzenia)</t>
  </si>
  <si>
    <t>podnośniki ze wstępnie zamontowanymi wkrętami (wymagane wstępne nawiercenie)</t>
  </si>
  <si>
    <t>Dotyczy tylko siłownika 20K2E00</t>
  </si>
  <si>
    <t>Pozycje SERVO-DRIVE a - d zapisują się do zamówienia z poszczególnych korpusów.</t>
  </si>
  <si>
    <t>Tutaj służy jedynie do dodatkowego zamówienia poszczególnych pozycji</t>
  </si>
  <si>
    <t>Podgląd pokazuje wymiary korpusów, wybór SERVO-DRIVE i liczbę sztuk.</t>
  </si>
  <si>
    <t>Jeżeli przy korpusie pojawią się tylko wymiary, może to oznaczać, że:</t>
  </si>
  <si>
    <t>nie jest podana ilość sztuk</t>
  </si>
  <si>
    <t>nie są podane wszystkie obowiązkowe parametry</t>
  </si>
  <si>
    <t>przekroczone są wartości obowiązkowych parametrów (np. wysokość maksymalna)</t>
  </si>
  <si>
    <t>W takim przypadku korpus nie zapisze się w zamówieniu.</t>
  </si>
  <si>
    <t>Kliknij nazwę korpusu, aby przejść do strony podnośnika i dodać lub poprawić dane.</t>
  </si>
  <si>
    <t>Możesz dodać numer zamówienia i oznaczyć zlecenia</t>
  </si>
  <si>
    <t>Dane o odbiorcy zapisują się z "Formularza"</t>
  </si>
  <si>
    <t>Jeśli chcesz zmienić albo dopełnić dane, przejdź na "Wstęp" i kliknij na "Formularz"</t>
  </si>
  <si>
    <t>Ceny w zamówieniu wyświetlają się na poziomie cen nastawionych na stronie początkowej.</t>
  </si>
  <si>
    <t xml:space="preserve">W zamówieniu możesz zmieniać liczbę sztuk. </t>
  </si>
  <si>
    <t>Jeżeli chcesz daną pozycję wyzerować, wpisz wartość „x” w kolumnie „Zmień”.</t>
  </si>
  <si>
    <t>Możesz użyć pustych kolumn, aby dodać pozycje, które nie znajdują się w zamówieniu.</t>
  </si>
  <si>
    <t>Po edycji zamówienia użyj filtra w kolumnie „szt.”, aby odfiltrować puste kolumny.</t>
  </si>
  <si>
    <t>Aby zapisać lub wysłać zamówienie jako załącznik, utwórz nowy plik klikając w link</t>
  </si>
  <si>
    <t>Odfiltruj puste kolumny przed wydrukowaniem lub wysłaniem pliku.</t>
  </si>
  <si>
    <t>Inne akcesoria</t>
  </si>
  <si>
    <t>Zestaw ramion teleskopowych</t>
  </si>
  <si>
    <t>Prowadniki/Mocowanie frontu</t>
  </si>
  <si>
    <t>Odległość frontu</t>
  </si>
  <si>
    <t>Komplet zaślepek do AVENTOS</t>
  </si>
  <si>
    <t>Komplet zaślepek do AVENTOS z SERVO-DRIVE</t>
  </si>
  <si>
    <t>Zaślepki w wersji nikiel (NI-L) możesz dodać w dziale „Akcesoria”.</t>
  </si>
  <si>
    <t>Weryfikacja siły podnośnika</t>
  </si>
  <si>
    <t>Odległość frontu od korpusu</t>
  </si>
  <si>
    <t>Przed pierwszym użyciem zalecamy wprowadzenie danych identyfikacyjnych do zamówień, a następnie zapisanie formularza.</t>
  </si>
  <si>
    <t>Dane do zamówienia, wpisanie zniżek od sprzedawcy</t>
  </si>
  <si>
    <t>Waga materiału, szkła i ramki aluminiowej</t>
  </si>
  <si>
    <t>Wartość proponowana</t>
  </si>
  <si>
    <t>Według wstępu</t>
  </si>
  <si>
    <t>Własny</t>
  </si>
  <si>
    <t>Tabela wag</t>
  </si>
  <si>
    <t>Wybierz rodzaj ramki aluminiowej!</t>
  </si>
  <si>
    <t>Więcej informacji o wyborze ramki aluminiowej w Pomocy</t>
  </si>
  <si>
    <t xml:space="preserve">Waga materiału łączącego </t>
  </si>
  <si>
    <t>Złącza, śruby, uszczelki do jednej ramki</t>
  </si>
  <si>
    <t>Możesz ustawić wartości dla wszystkich podnośników lub zmienić ustawienia podczas planowania poszczególnych podnośników</t>
  </si>
  <si>
    <t>Jeśli chcesz zachować zmiany, wróć do wstępu i zapisz plik.</t>
  </si>
  <si>
    <t>Przejdź do planowania podnośników</t>
  </si>
  <si>
    <t>Możesz zmienić wartości we Wstępie do planowania</t>
  </si>
  <si>
    <t>Zwróć uwagę na wybór ramek aluminiowych</t>
  </si>
  <si>
    <t>Wybierz, rodzaj, który lepiej pasuje do kształtu zastosowanej ramki aluminiowej.</t>
  </si>
  <si>
    <t>Sposób mocowania szkła w ramkę znacząco wpływa na powierzchnię szkła, a co za tym idzie na jego wagę!</t>
  </si>
  <si>
    <t>Okucie do HK-S umożliwia zastosowanie frontów do wysokości 600mm</t>
  </si>
  <si>
    <t>Wartości wag zostały zmienione przez użytkownika.</t>
  </si>
  <si>
    <t>Wybór koloru wpłynie również na kolor Tip-On oraz adapterów do Tip-On</t>
  </si>
  <si>
    <t>Ogranicznik tylko do zawisów CLIP top BLUMOTION I CLIP top 110°</t>
  </si>
  <si>
    <t>Nie nadaje się do wąskich ramek aluminiowych</t>
  </si>
  <si>
    <t>Ogranicznik do zawiasów CLIP top BLUMOTION i CLIP top 110° do cienkich materiałów</t>
  </si>
  <si>
    <t>z wpuszczanym szkłem</t>
  </si>
  <si>
    <t>ze szkłem nakładanym lub przyklejanym</t>
  </si>
  <si>
    <t xml:space="preserve">w pełni zintegrowany </t>
  </si>
  <si>
    <t>częściowo zintegrowany (z zaślepką )</t>
  </si>
  <si>
    <t>177085</t>
  </si>
  <si>
    <t xml:space="preserve">Aventos HF Top słaby, wkręty      </t>
  </si>
  <si>
    <t xml:space="preserve">Aventos HF Top słaby, eurowkręty      </t>
  </si>
  <si>
    <t xml:space="preserve">Aventos HF Top mocny, wkręty      </t>
  </si>
  <si>
    <t xml:space="preserve">Aventos HF Top mocny, eurowkręty      </t>
  </si>
  <si>
    <t xml:space="preserve">zestaw ramion teleskop. HF Top 480-610mm     </t>
  </si>
  <si>
    <t xml:space="preserve">zestaw ramion teleskop. HF Top 600-910mm     </t>
  </si>
  <si>
    <t xml:space="preserve">zestaw ramion teleskop. HF Top 840-1200mm     </t>
  </si>
  <si>
    <t xml:space="preserve">nakładany Tip-on wkręt 120°       </t>
  </si>
  <si>
    <t xml:space="preserve">zawias nakładany Tip-on Expando 120°      </t>
  </si>
  <si>
    <t xml:space="preserve">zawias środkowy wkręt        </t>
  </si>
  <si>
    <t xml:space="preserve">zawias środkowy Expando        </t>
  </si>
  <si>
    <t xml:space="preserve">alu nakładany Tip-on 120° Aventos HF     </t>
  </si>
  <si>
    <t xml:space="preserve">alu zawias środkowy        </t>
  </si>
  <si>
    <t xml:space="preserve">adapter alu do ramion teleskop. P     </t>
  </si>
  <si>
    <t xml:space="preserve">adapter alu do ramion teleskop. L     </t>
  </si>
  <si>
    <t xml:space="preserve">adapter alu do zawiasu środkowego      </t>
  </si>
  <si>
    <t xml:space="preserve">          </t>
  </si>
  <si>
    <t xml:space="preserve">Aventos HS Top słaby, wkręty      </t>
  </si>
  <si>
    <t xml:space="preserve">Aventos HS Top słaby, eurowkręty      </t>
  </si>
  <si>
    <t xml:space="preserve">Aventos HS Top średni, wkręty      </t>
  </si>
  <si>
    <t xml:space="preserve">Aventos HS Top średni, eurowkręty      </t>
  </si>
  <si>
    <t xml:space="preserve">Aventos HS Top mocny, wkręty      </t>
  </si>
  <si>
    <t xml:space="preserve">Aventos HS Top mocny, eurowkręty      </t>
  </si>
  <si>
    <t xml:space="preserve">ramiona HS Top        </t>
  </si>
  <si>
    <t xml:space="preserve">Aventos HL Top słaby, wkręty      </t>
  </si>
  <si>
    <t xml:space="preserve">Aventos HL Top słaby, eurowkręty      </t>
  </si>
  <si>
    <t xml:space="preserve">Aventos HL Top mocny, wkręty      </t>
  </si>
  <si>
    <t xml:space="preserve">Aventos HL Top mocny, eurowkręty      </t>
  </si>
  <si>
    <t xml:space="preserve">ramiona 300-339 HL Top       </t>
  </si>
  <si>
    <t xml:space="preserve">ramiona 340-389 HL Top       </t>
  </si>
  <si>
    <t xml:space="preserve">ramiona 390-540 HL Top       </t>
  </si>
  <si>
    <t xml:space="preserve">ramiona 480-580 HL Top       </t>
  </si>
  <si>
    <t xml:space="preserve">stablizacja poprzeczna HL Top       </t>
  </si>
  <si>
    <t xml:space="preserve">przedłużka do stabilizacji poprzecznej Aventos HL Top    </t>
  </si>
  <si>
    <t xml:space="preserve">Zaślepki HF/HL/HS - Top bez SD jasnoszare HGR   </t>
  </si>
  <si>
    <t xml:space="preserve">zaślepki HF/HL/HS - Top bez SD ciemnoszare TGR   </t>
  </si>
  <si>
    <t xml:space="preserve">Zaślepki HF/HL/HS - Top bez SD białe SW   </t>
  </si>
  <si>
    <t xml:space="preserve">zaślepki HF/HL/HS - Top do SD jasnoszare HGR   </t>
  </si>
  <si>
    <t xml:space="preserve">Zaślepki HF/HL/HS - Top do SD ciemnoszare TGR   </t>
  </si>
  <si>
    <t xml:space="preserve">Zaślepki HF/HL/HS - Top do SD białe SW   </t>
  </si>
  <si>
    <t xml:space="preserve">Aventos HK top słaby       </t>
  </si>
  <si>
    <t xml:space="preserve">Aventos HK top średni       </t>
  </si>
  <si>
    <t xml:space="preserve">Aventos HK top mocny       </t>
  </si>
  <si>
    <t xml:space="preserve">Aventos HK top najmocnieszy       </t>
  </si>
  <si>
    <t xml:space="preserve">Aventos HK top słaby z eurowkrętami     </t>
  </si>
  <si>
    <t xml:space="preserve">Aventos HK top średni z eurowkrętami     </t>
  </si>
  <si>
    <t xml:space="preserve">Aventos HK top mocny z eurowkrętami     </t>
  </si>
  <si>
    <t xml:space="preserve">Aventos HK top najmocniejszy z eurowkrętami     </t>
  </si>
  <si>
    <t xml:space="preserve">zaślepki HK top bez S-D szare     </t>
  </si>
  <si>
    <t xml:space="preserve">zaślepki HK top bez S-D ciemnoszare metalowe    </t>
  </si>
  <si>
    <t xml:space="preserve">zaślepki HK top bez S-D jedwabiście białe    </t>
  </si>
  <si>
    <t xml:space="preserve">zaślepki HK top do S-D jasnoszare     </t>
  </si>
  <si>
    <t xml:space="preserve">zaślepki HK top do S-D ciemnoszare metalowe    </t>
  </si>
  <si>
    <t xml:space="preserve">zaślepki HK top do S-D jedwabiście białe    </t>
  </si>
  <si>
    <t xml:space="preserve">Aventos HK top słaby Tip-on      </t>
  </si>
  <si>
    <t xml:space="preserve">Aventos HK top średni Tip-on      </t>
  </si>
  <si>
    <t xml:space="preserve">Aventos HK top mocny Tip-on      </t>
  </si>
  <si>
    <t xml:space="preserve">Aventos HK top najmocniejszy Tip-on      </t>
  </si>
  <si>
    <t xml:space="preserve">Aventos HK top słaby Tip-on z eurowkrętami    </t>
  </si>
  <si>
    <t xml:space="preserve">Aventos HK top średni Tip-on z eurowkrętami    </t>
  </si>
  <si>
    <t xml:space="preserve">Aventos HK top mocny Tip-on z eurowkrętami    </t>
  </si>
  <si>
    <t xml:space="preserve">Aventos HK top najmocniejszy Tip-on z eurowkrętami    </t>
  </si>
  <si>
    <t xml:space="preserve">mocowanie frontu do HK Top, HS/Top, HL/Top    </t>
  </si>
  <si>
    <t xml:space="preserve">mocowanie frontu HS, HK top, HL Expando    </t>
  </si>
  <si>
    <t>mocow. frontu do cienkich materiałów Aventos HK, HL, HS, Expando T</t>
  </si>
  <si>
    <t xml:space="preserve">mocowanie frontu alu HK Top, HS/Top, HL/Top    </t>
  </si>
  <si>
    <t xml:space="preserve">Aventos HK-S słaby jasnoszary, zaślepka      </t>
  </si>
  <si>
    <t xml:space="preserve">Aventos HK-S słaby, szary, nowa zaślepka     </t>
  </si>
  <si>
    <t xml:space="preserve">Aventos HK-S słaby jedwabiście biały, zaślepka     </t>
  </si>
  <si>
    <t xml:space="preserve">Aventos HK-S średni jasnoszary, zaślepka      </t>
  </si>
  <si>
    <t xml:space="preserve">Aventos HK-S średni, szary, zaślepka      </t>
  </si>
  <si>
    <t xml:space="preserve">Aventos HK-S średni jedwabiście biały, zaślepka     </t>
  </si>
  <si>
    <t xml:space="preserve">Aventos HK-S mocny jasnoszary, zaślepka      </t>
  </si>
  <si>
    <t xml:space="preserve">Aventos HK-S mocny, szary, nowa zaślepka     </t>
  </si>
  <si>
    <t xml:space="preserve">Aventos HK-S mocny jedwabiście biały      </t>
  </si>
  <si>
    <t xml:space="preserve">Aventos HK-S Tip-on słaby jasnoszary bez Tip-on krytka   </t>
  </si>
  <si>
    <t xml:space="preserve">Aventos HK-S Tip-on słaby ciemnoszary bez Tip-on zaślepka   </t>
  </si>
  <si>
    <t xml:space="preserve">Aventos HK-S Tip-on słaby jedwabiście biały     </t>
  </si>
  <si>
    <t xml:space="preserve">Aventos HK-S Tip-on średni jasnoszary bez Tip-on zaślepka   </t>
  </si>
  <si>
    <t xml:space="preserve">Aventos HK-S Tip-on średni ciemnoszary bez Tip-on zaślepka   </t>
  </si>
  <si>
    <t xml:space="preserve">Aventos HK-S Tip-on średni biały bez Tip-On zaślepka   </t>
  </si>
  <si>
    <t xml:space="preserve">Aventos HK-S Tip-on mocny jasnoszary bez Tip-on zaślepka   </t>
  </si>
  <si>
    <t xml:space="preserve">Aventos HK-S Tip-on mocny ciemnoszary bez Tip-on zaślepka   </t>
  </si>
  <si>
    <t xml:space="preserve">Aventos HK-S Tip-on mocny biały bez Tip-on zaślepka   </t>
  </si>
  <si>
    <t xml:space="preserve">P+L, okucie Aventos HK-S do wąskich ALU ramek   </t>
  </si>
  <si>
    <t xml:space="preserve">ogranicznik na 75° do HK-S      </t>
  </si>
  <si>
    <t xml:space="preserve">ogranicznik na 100° do HK-S      </t>
  </si>
  <si>
    <t xml:space="preserve">Aventos HK-XS słaby        </t>
  </si>
  <si>
    <t xml:space="preserve">Aventos HK-XS średni        </t>
  </si>
  <si>
    <t xml:space="preserve">Aventos HK-XS mocny        </t>
  </si>
  <si>
    <t xml:space="preserve">Aventos HK-XS Tip-on słaby       </t>
  </si>
  <si>
    <t xml:space="preserve">Aventos HK-XS Tip-on średni       </t>
  </si>
  <si>
    <t xml:space="preserve">Aventos HK-XS Tip-on mocny       </t>
  </si>
  <si>
    <t xml:space="preserve">czop boczny do korpusu HK-XS wkręt     </t>
  </si>
  <si>
    <t xml:space="preserve">czop boczny do korpusu HK-XS Exp     </t>
  </si>
  <si>
    <t xml:space="preserve">mocowanie frontu HK-XS wkręt       </t>
  </si>
  <si>
    <t xml:space="preserve">mocowanie frontu HK-XS Expando       </t>
  </si>
  <si>
    <t xml:space="preserve">mocowanie frontu HK-XS alu ramka      </t>
  </si>
  <si>
    <t xml:space="preserve">specjalne wkręty 3.53x9.5mm do szerokich ramek     </t>
  </si>
  <si>
    <t xml:space="preserve">Aventos HKi słaby Blumotion Onyx      </t>
  </si>
  <si>
    <t xml:space="preserve">Aventos HKi średni Blumotion Onyx      </t>
  </si>
  <si>
    <t xml:space="preserve">Aventos HKi mocny Blumotion Onyx      </t>
  </si>
  <si>
    <t xml:space="preserve">Aventos HKi najmocniejszy Blumotion Onyx      </t>
  </si>
  <si>
    <t xml:space="preserve">Aventos HKi słaby Tip-on Onyx      </t>
  </si>
  <si>
    <t xml:space="preserve">Aventos HKi średni Tip-on Onyx      </t>
  </si>
  <si>
    <t xml:space="preserve">Aventos HKi silny Tip-on Onyx      </t>
  </si>
  <si>
    <t xml:space="preserve">Aventos HKi najsilniejszy Tip-on Onyx      </t>
  </si>
  <si>
    <t xml:space="preserve">Aventos HKi mocowanie frontu Expando Onyx     </t>
  </si>
  <si>
    <t xml:space="preserve">Aventos HKi mocowanie frontu alu ramki Onyx    </t>
  </si>
  <si>
    <t xml:space="preserve">Aventos HKi zestaw zaślepek jedwabiście biały SW    </t>
  </si>
  <si>
    <t xml:space="preserve">Aventos HKi zestaw zaślepek szary HG     </t>
  </si>
  <si>
    <t xml:space="preserve">24K8000 Aventos Hki zestaw zaślepek ciemnoszary TG    </t>
  </si>
  <si>
    <t xml:space="preserve">Szablon do znakowania z kołkami do HK Top   </t>
  </si>
  <si>
    <t xml:space="preserve">Zestaw wstępnie wyfrezowanych półfabrykatów HKi      </t>
  </si>
  <si>
    <t xml:space="preserve">Podkładka do Aventos HKi       </t>
  </si>
  <si>
    <t xml:space="preserve">kołek Expando T        </t>
  </si>
  <si>
    <t xml:space="preserve">nakładany z tłumieniem wkręt 110°      </t>
  </si>
  <si>
    <t xml:space="preserve">nakładany z tłumieniem Expando 110°      </t>
  </si>
  <si>
    <t xml:space="preserve">nakładany Tip-on wkręt 110°       </t>
  </si>
  <si>
    <t xml:space="preserve">nakładany Tip-on Expando 110°       </t>
  </si>
  <si>
    <t xml:space="preserve">Zawias do cieńkich materiałów z Blumotion, Expando T, 110°  </t>
  </si>
  <si>
    <t xml:space="preserve">Zawias do cieńkich materiałów, Expando T, 110°    </t>
  </si>
  <si>
    <t xml:space="preserve">alu nakładany z tłumieniem 95°      </t>
  </si>
  <si>
    <t xml:space="preserve">prowadnik prosty wkręt 8 5mm stal     </t>
  </si>
  <si>
    <t xml:space="preserve">prowadnik prosty Expando 8 5mm stal     </t>
  </si>
  <si>
    <t xml:space="preserve">prowadnik prosty wkręt 8 5mm      </t>
  </si>
  <si>
    <t xml:space="preserve">prowadnik prosty Expando 8 5mm      </t>
  </si>
  <si>
    <t xml:space="preserve">prowadnik krzyżakowy mimośród wkręt 8 5mm     </t>
  </si>
  <si>
    <t xml:space="preserve">prowadnik krzyżakowy mimośród Expando 8 5mm     </t>
  </si>
  <si>
    <t xml:space="preserve">prowadnik krzyżakowy mimośród wkręt 11 5mm     </t>
  </si>
  <si>
    <t xml:space="preserve">prowadnik krzyżakowy mimośród Expando 11 5mm     </t>
  </si>
  <si>
    <t xml:space="preserve">prowadnik krzyżakowy, wkręt 8,5mm       </t>
  </si>
  <si>
    <t xml:space="preserve">prowadnik Expando 8 5mm -5      </t>
  </si>
  <si>
    <t xml:space="preserve">zaślepka ramienia do zawiasu nakładanego, bez logo    </t>
  </si>
  <si>
    <t xml:space="preserve">zaślepka ramienia Cristallo, NEW       </t>
  </si>
  <si>
    <t xml:space="preserve">zaślepka puszki do Clip       </t>
  </si>
  <si>
    <t xml:space="preserve">zaślepka puszki zawiasów ze zintegrowanym tłumieniem     </t>
  </si>
  <si>
    <t xml:space="preserve">zaślepka puszki         </t>
  </si>
  <si>
    <t xml:space="preserve">ogranicznik na 86° do 71B3xxx      </t>
  </si>
  <si>
    <t xml:space="preserve">ogranicznik kąta otwarcia 85° Cristallo, NEW     </t>
  </si>
  <si>
    <t xml:space="preserve">ogranicznik kąta otwarcia 92°, Cristallo new     </t>
  </si>
  <si>
    <t xml:space="preserve">Aventos HF/HL/HS - Top Servo-Drive      </t>
  </si>
  <si>
    <t xml:space="preserve">Aventos Servo-drive do HK top      </t>
  </si>
  <si>
    <t xml:space="preserve">odbojnik dystansowy 5mm        </t>
  </si>
  <si>
    <t xml:space="preserve">odbojnik dystansowy 8mm        </t>
  </si>
  <si>
    <t xml:space="preserve">uchwyt kabla do Servodrive       </t>
  </si>
  <si>
    <t xml:space="preserve">kabel 8m Servodrive        </t>
  </si>
  <si>
    <t xml:space="preserve">kabel zasilający 2m Servodrive       </t>
  </si>
  <si>
    <t xml:space="preserve">uchwyt zasilacza Servodrive do ścianki tylnej     </t>
  </si>
  <si>
    <t xml:space="preserve">Złącze pionowe i 2x końcówka ochronna przewodu Servodrive   </t>
  </si>
  <si>
    <t xml:space="preserve">Schalt V20 HGR, włącznik Aventos Servo-drive, nowy typ, jasnoszary  </t>
  </si>
  <si>
    <t xml:space="preserve">Schalt V20 SW, włącznik Aventos Servo-drive, nowy typ, biały  </t>
  </si>
  <si>
    <t xml:space="preserve">Schalt V20 TGR, włącznik Aventos Servo-drive, nowy typ, ciemoszary  </t>
  </si>
  <si>
    <t xml:space="preserve">Tip-on do zawiasu 50mm PG, szary     </t>
  </si>
  <si>
    <t xml:space="preserve">Tip-on do zawiasu 50mm SW, biały     </t>
  </si>
  <si>
    <t xml:space="preserve">Tip-on do zawiasu krótki 50mm z magnesem,komplet, karbon czarny CS </t>
  </si>
  <si>
    <t xml:space="preserve">Tip-on do zawiasu 76mm, PG, szary     </t>
  </si>
  <si>
    <t xml:space="preserve">Tip-on do zawiasu 76mm, SW, biały     </t>
  </si>
  <si>
    <t>Tip-on do zawiasu długi 76mm z magnesem, komplet, karbon czarny CS</t>
  </si>
  <si>
    <t xml:space="preserve">Tip-on adapter prosty 50mm, szary      </t>
  </si>
  <si>
    <t xml:space="preserve">Tip-on adapter prosty, 50mm, biały      </t>
  </si>
  <si>
    <t xml:space="preserve">adapter prosty do Tip-on krótki, wkręt, karbon czarny CS  </t>
  </si>
  <si>
    <t xml:space="preserve">Tip-on adapter prosty, 76mm, szary      </t>
  </si>
  <si>
    <t xml:space="preserve">Tip-on adapter prosty, 76mm, biały      </t>
  </si>
  <si>
    <t xml:space="preserve">adapter prosty do Tip-on długi, wkręt, karbon czarny CS  </t>
  </si>
  <si>
    <t xml:space="preserve">Tip-on adapter krzyżakowy, 76mm, szary      </t>
  </si>
  <si>
    <t>Demos trade Sp. z o.o.</t>
  </si>
  <si>
    <t>Ks. mjr. Karola Woźniaka 5</t>
  </si>
  <si>
    <t>40-389 Katowice</t>
  </si>
  <si>
    <t>zamowienia@demos-trade.com</t>
  </si>
  <si>
    <t>+48327908580</t>
  </si>
  <si>
    <t>4.0.4</t>
  </si>
  <si>
    <t>523392</t>
  </si>
  <si>
    <t xml:space="preserve">Z10NE04EE </t>
  </si>
  <si>
    <t>transformator Servodrive 24V / 72W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</si>
</sst>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0"/>
    <numFmt numFmtId="165" formatCode="#,##0.00\ _K_č"/>
    <numFmt numFmtId="166" formatCode="###0.00"/>
    <numFmt numFmtId="167" formatCode="#\ ##0.00"/>
    <numFmt numFmtId="168" formatCode="#,##0.0"/>
    <numFmt numFmtId="169" formatCode="0.000"/>
    <numFmt numFmtId="170" formatCode="0.0000"/>
    <numFmt numFmtId="171" formatCode="###0"/>
    <numFmt numFmtId="172" formatCode="d/m/yyyy;@"/>
  </numFmts>
  <fonts count="139" x14ac:knownFonts="1">
    <font>
      <sz val="11"/>
      <color theme="1"/>
      <name val="Calibri"/>
      <family val="2"/>
      <scheme val="minor"/>
    </font>
    <font>
      <sz val="10"/>
      <color theme="1"/>
      <name val="Arial"/>
      <family val="2"/>
      <charset val="238"/>
    </font>
    <font>
      <sz val="10"/>
      <color theme="1"/>
      <name val="Arial"/>
      <family val="2"/>
      <charset val="238"/>
    </font>
    <font>
      <sz val="10"/>
      <color theme="1"/>
      <name val="Arial"/>
      <family val="2"/>
      <charset val="238"/>
    </font>
    <font>
      <sz val="11"/>
      <color theme="1"/>
      <name val="Calibri"/>
      <family val="2"/>
      <charset val="238"/>
      <scheme val="minor"/>
    </font>
    <font>
      <sz val="11"/>
      <color theme="1"/>
      <name val="Calibri"/>
      <family val="2"/>
      <charset val="238"/>
      <scheme val="minor"/>
    </font>
    <font>
      <sz val="11"/>
      <color indexed="8"/>
      <name val="Calibri"/>
      <family val="2"/>
      <charset val="238"/>
    </font>
    <font>
      <sz val="14"/>
      <color indexed="9"/>
      <name val="Arial"/>
      <family val="2"/>
    </font>
    <font>
      <sz val="11"/>
      <color indexed="8"/>
      <name val="Arial"/>
      <family val="2"/>
    </font>
    <font>
      <sz val="10"/>
      <color indexed="8"/>
      <name val="Arial"/>
      <family val="2"/>
      <charset val="238"/>
    </font>
    <font>
      <b/>
      <sz val="10"/>
      <name val="Arial"/>
      <family val="2"/>
      <charset val="238"/>
    </font>
    <font>
      <b/>
      <sz val="10"/>
      <color indexed="8"/>
      <name val="Arial"/>
      <family val="2"/>
      <charset val="238"/>
    </font>
    <font>
      <b/>
      <sz val="10"/>
      <color indexed="9"/>
      <name val="Arial"/>
      <family val="2"/>
      <charset val="238"/>
    </font>
    <font>
      <sz val="18"/>
      <color indexed="8"/>
      <name val="Arial"/>
      <family val="2"/>
      <charset val="238"/>
    </font>
    <font>
      <sz val="10"/>
      <name val="Arial"/>
      <family val="2"/>
      <charset val="238"/>
    </font>
    <font>
      <sz val="8"/>
      <name val="Arial"/>
      <family val="2"/>
      <charset val="238"/>
    </font>
    <font>
      <sz val="8"/>
      <name val="Arial CE"/>
      <charset val="238"/>
    </font>
    <font>
      <sz val="9"/>
      <name val="Arial"/>
      <family val="2"/>
      <charset val="238"/>
    </font>
    <font>
      <b/>
      <sz val="9"/>
      <name val="Arial CE"/>
      <charset val="238"/>
    </font>
    <font>
      <b/>
      <sz val="9"/>
      <name val="Arial CE"/>
      <family val="2"/>
      <charset val="238"/>
    </font>
    <font>
      <sz val="9"/>
      <name val="Arial CE"/>
      <family val="2"/>
      <charset val="238"/>
    </font>
    <font>
      <sz val="9"/>
      <name val="Verdana"/>
      <family val="2"/>
      <charset val="238"/>
    </font>
    <font>
      <b/>
      <sz val="9"/>
      <name val="Arial"/>
      <family val="2"/>
      <charset val="238"/>
    </font>
    <font>
      <sz val="9"/>
      <color indexed="55"/>
      <name val="Arial CE"/>
      <family val="2"/>
      <charset val="238"/>
    </font>
    <font>
      <sz val="9"/>
      <color indexed="10"/>
      <name val="Arial"/>
      <family val="2"/>
      <charset val="238"/>
    </font>
    <font>
      <sz val="9"/>
      <color indexed="10"/>
      <name val="Arial CE"/>
      <family val="2"/>
      <charset val="238"/>
    </font>
    <font>
      <sz val="9"/>
      <color indexed="8"/>
      <name val="Arial"/>
      <family val="2"/>
    </font>
    <font>
      <sz val="9"/>
      <name val="Arial"/>
      <family val="2"/>
    </font>
    <font>
      <b/>
      <sz val="10"/>
      <name val="Arial CE"/>
      <charset val="238"/>
    </font>
    <font>
      <b/>
      <sz val="10"/>
      <name val="Arial CE"/>
      <family val="2"/>
      <charset val="238"/>
    </font>
    <font>
      <sz val="10"/>
      <name val="Arial CE"/>
      <family val="2"/>
      <charset val="238"/>
    </font>
    <font>
      <sz val="10"/>
      <color indexed="10"/>
      <name val="Arial"/>
      <family val="2"/>
      <charset val="238"/>
    </font>
    <font>
      <sz val="10"/>
      <name val="Verdana"/>
      <family val="2"/>
      <charset val="238"/>
    </font>
    <font>
      <sz val="9"/>
      <color indexed="8"/>
      <name val="Arial"/>
      <family val="2"/>
      <charset val="238"/>
    </font>
    <font>
      <b/>
      <sz val="9"/>
      <color indexed="8"/>
      <name val="Arial"/>
      <family val="2"/>
      <charset val="238"/>
    </font>
    <font>
      <sz val="9"/>
      <color indexed="9"/>
      <name val="Arial"/>
      <family val="2"/>
      <charset val="238"/>
    </font>
    <font>
      <i/>
      <sz val="10"/>
      <name val="Arial"/>
      <family val="2"/>
      <charset val="238"/>
    </font>
    <font>
      <u/>
      <sz val="10"/>
      <color indexed="30"/>
      <name val="Arial"/>
      <family val="2"/>
      <charset val="238"/>
    </font>
    <font>
      <i/>
      <sz val="9"/>
      <name val="Arial"/>
      <family val="2"/>
      <charset val="238"/>
    </font>
    <font>
      <u/>
      <sz val="10"/>
      <name val="Arial"/>
      <family val="2"/>
      <charset val="238"/>
    </font>
    <font>
      <sz val="11"/>
      <color indexed="8"/>
      <name val="Calibri"/>
      <family val="2"/>
    </font>
    <font>
      <sz val="8"/>
      <name val="Calibri"/>
      <family val="2"/>
    </font>
    <font>
      <sz val="9"/>
      <name val="Arial CE"/>
      <charset val="238"/>
    </font>
    <font>
      <sz val="8"/>
      <color indexed="8"/>
      <name val="Arial"/>
      <family val="2"/>
      <charset val="238"/>
    </font>
    <font>
      <sz val="8"/>
      <color indexed="9"/>
      <name val="Verdana"/>
      <family val="2"/>
      <charset val="238"/>
    </font>
    <font>
      <b/>
      <sz val="10"/>
      <color indexed="10"/>
      <name val="Arial"/>
      <family val="2"/>
      <charset val="238"/>
    </font>
    <font>
      <sz val="10"/>
      <color indexed="22"/>
      <name val="Arial"/>
      <family val="2"/>
      <charset val="238"/>
    </font>
    <font>
      <sz val="16"/>
      <color indexed="8"/>
      <name val="Arial"/>
      <family val="2"/>
      <charset val="238"/>
    </font>
    <font>
      <i/>
      <sz val="10"/>
      <color indexed="8"/>
      <name val="Arial"/>
      <family val="2"/>
      <charset val="238"/>
    </font>
    <font>
      <b/>
      <sz val="11"/>
      <name val="Arial"/>
      <family val="2"/>
      <charset val="238"/>
    </font>
    <font>
      <sz val="11"/>
      <color indexed="8"/>
      <name val="Arial"/>
      <family val="2"/>
      <charset val="238"/>
    </font>
    <font>
      <b/>
      <sz val="12"/>
      <name val="Arial"/>
      <family val="2"/>
      <charset val="238"/>
    </font>
    <font>
      <b/>
      <sz val="12"/>
      <color indexed="8"/>
      <name val="Arial"/>
      <family val="2"/>
      <charset val="238"/>
    </font>
    <font>
      <sz val="11"/>
      <name val="Arial"/>
      <family val="2"/>
      <charset val="238"/>
    </font>
    <font>
      <sz val="10"/>
      <name val="Arial"/>
      <family val="2"/>
    </font>
    <font>
      <sz val="10"/>
      <color indexed="46"/>
      <name val="Arial"/>
      <family val="2"/>
      <charset val="238"/>
    </font>
    <font>
      <sz val="10"/>
      <color indexed="9"/>
      <name val="Arial"/>
      <family val="2"/>
      <charset val="238"/>
    </font>
    <font>
      <sz val="11"/>
      <color indexed="8"/>
      <name val="Calibri"/>
      <family val="2"/>
    </font>
    <font>
      <b/>
      <sz val="9"/>
      <color indexed="10"/>
      <name val="Verdana"/>
      <family val="2"/>
      <charset val="238"/>
    </font>
    <font>
      <sz val="11"/>
      <color theme="1"/>
      <name val="Calibri"/>
      <family val="2"/>
      <charset val="238"/>
      <scheme val="minor"/>
    </font>
    <font>
      <u/>
      <sz val="11"/>
      <color theme="10"/>
      <name val="Calibri"/>
      <family val="2"/>
      <scheme val="minor"/>
    </font>
    <font>
      <u/>
      <sz val="9"/>
      <color theme="10"/>
      <name val="Arial"/>
      <family val="2"/>
      <charset val="238"/>
    </font>
    <font>
      <sz val="9"/>
      <color theme="1"/>
      <name val="Arial"/>
      <family val="2"/>
      <charset val="238"/>
    </font>
    <font>
      <sz val="10"/>
      <color theme="2" tint="-0.249977111117893"/>
      <name val="Arial"/>
      <family val="2"/>
      <charset val="238"/>
    </font>
    <font>
      <sz val="10"/>
      <color theme="2" tint="-0.249977111117893"/>
      <name val="Arial CE"/>
      <family val="2"/>
      <charset val="238"/>
    </font>
    <font>
      <sz val="10"/>
      <color theme="0" tint="-0.14999847407452621"/>
      <name val="Arial"/>
      <family val="2"/>
      <charset val="238"/>
    </font>
    <font>
      <i/>
      <sz val="11"/>
      <color theme="1"/>
      <name val="Arial"/>
      <family val="2"/>
      <charset val="238"/>
    </font>
    <font>
      <sz val="10"/>
      <color rgb="FFFF0000"/>
      <name val="Arial"/>
      <family val="2"/>
      <charset val="238"/>
    </font>
    <font>
      <i/>
      <sz val="9"/>
      <color indexed="8"/>
      <name val="Arial"/>
      <family val="2"/>
      <charset val="238"/>
    </font>
    <font>
      <u/>
      <sz val="11"/>
      <color indexed="63"/>
      <name val="Arial"/>
      <family val="2"/>
      <charset val="238"/>
    </font>
    <font>
      <sz val="10"/>
      <color indexed="63"/>
      <name val="Arial"/>
      <family val="2"/>
      <charset val="238"/>
    </font>
    <font>
      <sz val="10"/>
      <color theme="1"/>
      <name val="Arial"/>
      <family val="2"/>
      <charset val="238"/>
    </font>
    <font>
      <sz val="9"/>
      <color indexed="63"/>
      <name val="Arial"/>
      <family val="2"/>
      <charset val="238"/>
    </font>
    <font>
      <b/>
      <sz val="8"/>
      <name val="Arial"/>
      <family val="2"/>
      <charset val="238"/>
    </font>
    <font>
      <b/>
      <sz val="12"/>
      <color indexed="9"/>
      <name val="Arial"/>
      <family val="2"/>
      <charset val="238"/>
    </font>
    <font>
      <b/>
      <sz val="9"/>
      <color indexed="10"/>
      <name val="Arial"/>
      <family val="2"/>
      <charset val="238"/>
    </font>
    <font>
      <i/>
      <sz val="8"/>
      <name val="Arial"/>
      <family val="2"/>
      <charset val="238"/>
    </font>
    <font>
      <u/>
      <sz val="9"/>
      <color indexed="12"/>
      <name val="Verdana"/>
      <family val="2"/>
      <charset val="238"/>
    </font>
    <font>
      <sz val="9"/>
      <color indexed="12"/>
      <name val="Arial"/>
      <family val="2"/>
      <charset val="238"/>
    </font>
    <font>
      <b/>
      <sz val="9"/>
      <color indexed="9"/>
      <name val="Arial"/>
      <family val="2"/>
      <charset val="238"/>
    </font>
    <font>
      <sz val="9"/>
      <color indexed="23"/>
      <name val="Arial"/>
      <family val="2"/>
      <charset val="238"/>
    </font>
    <font>
      <sz val="9"/>
      <color theme="0" tint="-0.14999847407452621"/>
      <name val="Arial"/>
      <family val="2"/>
      <charset val="238"/>
    </font>
    <font>
      <sz val="9"/>
      <name val="Calibri"/>
      <family val="2"/>
      <charset val="238"/>
    </font>
    <font>
      <b/>
      <sz val="9"/>
      <color theme="0" tint="-0.14999847407452621"/>
      <name val="Arial"/>
      <family val="2"/>
      <charset val="238"/>
    </font>
    <font>
      <b/>
      <sz val="14"/>
      <name val="Arial"/>
      <family val="2"/>
      <charset val="238"/>
    </font>
    <font>
      <b/>
      <i/>
      <sz val="9"/>
      <name val="Arial"/>
      <family val="2"/>
      <charset val="238"/>
    </font>
    <font>
      <u/>
      <sz val="9"/>
      <color indexed="63"/>
      <name val="Arial"/>
      <family val="2"/>
      <charset val="238"/>
    </font>
    <font>
      <b/>
      <sz val="11"/>
      <color indexed="9"/>
      <name val="Arial"/>
      <family val="2"/>
      <charset val="238"/>
    </font>
    <font>
      <sz val="8"/>
      <name val="Verdana"/>
      <family val="2"/>
      <charset val="238"/>
    </font>
    <font>
      <sz val="11"/>
      <name val="Calibri"/>
      <family val="2"/>
      <charset val="238"/>
    </font>
    <font>
      <u/>
      <sz val="10"/>
      <color theme="10"/>
      <name val="Arial"/>
      <family val="2"/>
      <charset val="238"/>
    </font>
    <font>
      <sz val="20"/>
      <color indexed="9"/>
      <name val="Arial"/>
      <family val="2"/>
      <charset val="238"/>
    </font>
    <font>
      <sz val="10"/>
      <color theme="10"/>
      <name val="Arial"/>
      <family val="2"/>
      <charset val="238"/>
    </font>
    <font>
      <sz val="12"/>
      <color indexed="9"/>
      <name val="Arial"/>
      <family val="2"/>
      <charset val="238"/>
    </font>
    <font>
      <sz val="18"/>
      <color indexed="9"/>
      <name val="Arial"/>
      <family val="2"/>
      <charset val="238"/>
    </font>
    <font>
      <sz val="9"/>
      <color theme="0" tint="-0.249977111117893"/>
      <name val="Arial"/>
      <family val="2"/>
      <charset val="238"/>
    </font>
    <font>
      <sz val="9"/>
      <color indexed="22"/>
      <name val="Arial"/>
      <family val="2"/>
      <charset val="238"/>
    </font>
    <font>
      <sz val="11"/>
      <color theme="10"/>
      <name val="Arial"/>
      <family val="2"/>
      <charset val="238"/>
    </font>
    <font>
      <sz val="10"/>
      <color indexed="12"/>
      <name val="Arial"/>
      <family val="2"/>
      <charset val="238"/>
    </font>
    <font>
      <sz val="11"/>
      <color theme="1"/>
      <name val="Arial"/>
      <family val="2"/>
      <charset val="238"/>
    </font>
    <font>
      <sz val="8"/>
      <color theme="0"/>
      <name val="Arial"/>
      <family val="2"/>
      <charset val="238"/>
    </font>
    <font>
      <b/>
      <sz val="8"/>
      <color theme="0"/>
      <name val="Arial"/>
      <family val="2"/>
      <charset val="238"/>
    </font>
    <font>
      <sz val="8"/>
      <color indexed="9"/>
      <name val="Arial"/>
      <family val="2"/>
      <charset val="238"/>
    </font>
    <font>
      <sz val="12"/>
      <name val="Arial"/>
      <family val="2"/>
      <charset val="238"/>
    </font>
    <font>
      <sz val="10"/>
      <color theme="0" tint="-0.249977111117893"/>
      <name val="Arial"/>
      <family val="2"/>
      <charset val="238"/>
    </font>
    <font>
      <u/>
      <sz val="11"/>
      <color theme="10"/>
      <name val="Arial"/>
      <family val="2"/>
      <charset val="238"/>
    </font>
    <font>
      <u/>
      <sz val="11"/>
      <name val="Arial"/>
      <family val="2"/>
      <charset val="238"/>
    </font>
    <font>
      <sz val="10"/>
      <name val="Calibri"/>
      <family val="2"/>
      <charset val="238"/>
    </font>
    <font>
      <b/>
      <sz val="10"/>
      <color theme="0" tint="-0.14999847407452621"/>
      <name val="Arial"/>
      <family val="2"/>
      <charset val="238"/>
    </font>
    <font>
      <u/>
      <sz val="10"/>
      <color indexed="63"/>
      <name val="Arial"/>
      <family val="2"/>
      <charset val="238"/>
    </font>
    <font>
      <i/>
      <sz val="11"/>
      <color indexed="8"/>
      <name val="Arial"/>
      <family val="2"/>
      <charset val="238"/>
    </font>
    <font>
      <sz val="10"/>
      <color indexed="10"/>
      <name val="Arial"/>
      <family val="2"/>
    </font>
    <font>
      <b/>
      <sz val="10"/>
      <color indexed="10"/>
      <name val="Arial"/>
      <family val="2"/>
    </font>
    <font>
      <i/>
      <sz val="10"/>
      <name val="Arial"/>
      <family val="2"/>
    </font>
    <font>
      <b/>
      <sz val="10"/>
      <name val="Arial"/>
      <family val="2"/>
    </font>
    <font>
      <sz val="10"/>
      <color indexed="63"/>
      <name val="Arial"/>
      <family val="2"/>
    </font>
    <font>
      <i/>
      <sz val="10"/>
      <color theme="1"/>
      <name val="Arial"/>
      <family val="2"/>
      <charset val="238"/>
    </font>
    <font>
      <sz val="8"/>
      <name val="Calibri"/>
      <family val="2"/>
      <scheme val="minor"/>
    </font>
    <font>
      <sz val="12"/>
      <color theme="0"/>
      <name val="Arial"/>
      <family val="2"/>
      <charset val="238"/>
    </font>
    <font>
      <b/>
      <sz val="18"/>
      <color rgb="FFFF0000"/>
      <name val="Arial"/>
      <family val="2"/>
      <charset val="238"/>
    </font>
    <font>
      <b/>
      <sz val="24"/>
      <color rgb="FFFF0000"/>
      <name val="Arial"/>
      <family val="2"/>
      <charset val="238"/>
    </font>
    <font>
      <sz val="11"/>
      <color indexed="9"/>
      <name val="Arial"/>
      <family val="2"/>
      <charset val="238"/>
    </font>
    <font>
      <sz val="11"/>
      <color theme="0"/>
      <name val="Arial"/>
      <family val="2"/>
    </font>
    <font>
      <i/>
      <sz val="10"/>
      <color theme="0" tint="-0.499984740745262"/>
      <name val="Arial"/>
      <family val="2"/>
    </font>
    <font>
      <sz val="10"/>
      <color theme="0" tint="-0.499984740745262"/>
      <name val="Arial"/>
      <family val="2"/>
    </font>
    <font>
      <sz val="11"/>
      <name val="Arial"/>
      <family val="2"/>
    </font>
    <font>
      <sz val="8"/>
      <name val="Arial"/>
      <family val="2"/>
    </font>
    <font>
      <sz val="10"/>
      <color theme="0"/>
      <name val="Arial"/>
      <family val="2"/>
    </font>
    <font>
      <sz val="9"/>
      <color theme="2" tint="-0.249977111117893"/>
      <name val="Arial"/>
      <family val="2"/>
      <charset val="238"/>
    </font>
    <font>
      <i/>
      <sz val="9"/>
      <color theme="1"/>
      <name val="Arial"/>
      <family val="2"/>
    </font>
    <font>
      <sz val="9"/>
      <name val="Calibri"/>
      <family val="2"/>
    </font>
    <font>
      <b/>
      <sz val="9"/>
      <name val="Arial"/>
      <family val="2"/>
    </font>
    <font>
      <sz val="9"/>
      <color theme="1"/>
      <name val="Calibri"/>
      <family val="2"/>
    </font>
    <font>
      <b/>
      <sz val="10"/>
      <color theme="1"/>
      <name val="Arial"/>
      <family val="2"/>
    </font>
    <font>
      <i/>
      <sz val="9"/>
      <name val="Arial"/>
      <family val="2"/>
    </font>
    <font>
      <i/>
      <sz val="8"/>
      <color theme="1"/>
      <name val="Arial"/>
      <family val="2"/>
      <charset val="238"/>
    </font>
    <font>
      <sz val="10"/>
      <color theme="0"/>
      <name val="Arial"/>
      <family val="2"/>
      <charset val="238"/>
    </font>
    <font>
      <sz val="18"/>
      <color theme="0"/>
      <name val="Arial"/>
      <family val="2"/>
      <charset val="238"/>
    </font>
    <font>
      <sz val="8"/>
      <color rgb="FF444444"/>
      <name val="Arial"/>
      <family val="2"/>
      <charset val="238"/>
    </font>
  </fonts>
  <fills count="32">
    <fill>
      <patternFill patternType="none"/>
    </fill>
    <fill>
      <patternFill patternType="gray125"/>
    </fill>
    <fill>
      <patternFill patternType="solid">
        <fgColor indexed="47"/>
        <bgColor indexed="64"/>
      </patternFill>
    </fill>
    <fill>
      <patternFill patternType="solid">
        <fgColor indexed="9"/>
        <bgColor indexed="9"/>
      </patternFill>
    </fill>
    <fill>
      <patternFill patternType="solid">
        <fgColor indexed="22"/>
        <bgColor indexed="64"/>
      </patternFill>
    </fill>
    <fill>
      <patternFill patternType="solid">
        <fgColor indexed="46"/>
        <bgColor indexed="64"/>
      </patternFill>
    </fill>
    <fill>
      <patternFill patternType="solid">
        <fgColor indexed="52"/>
        <bgColor indexed="64"/>
      </patternFill>
    </fill>
    <fill>
      <patternFill patternType="solid">
        <fgColor indexed="41"/>
        <bgColor indexed="64"/>
      </patternFill>
    </fill>
    <fill>
      <patternFill patternType="solid">
        <fgColor indexed="10"/>
        <bgColor indexed="64"/>
      </patternFill>
    </fill>
    <fill>
      <patternFill patternType="solid">
        <fgColor indexed="21"/>
        <bgColor indexed="57"/>
      </patternFill>
    </fill>
    <fill>
      <patternFill patternType="solid">
        <fgColor indexed="53"/>
        <bgColor indexed="64"/>
      </patternFill>
    </fill>
    <fill>
      <patternFill patternType="solid">
        <fgColor indexed="30"/>
        <bgColor indexed="64"/>
      </patternFill>
    </fill>
    <fill>
      <patternFill patternType="solid">
        <fgColor indexed="23"/>
        <bgColor indexed="64"/>
      </patternFill>
    </fill>
    <fill>
      <patternFill patternType="solid">
        <fgColor theme="0" tint="-0.14999847407452621"/>
        <bgColor indexed="64"/>
      </patternFill>
    </fill>
    <fill>
      <patternFill patternType="solid">
        <fgColor rgb="FFFF671F"/>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theme="7" tint="0.79998168889431442"/>
        <bgColor indexed="64"/>
      </patternFill>
    </fill>
    <fill>
      <patternFill patternType="solid">
        <fgColor rgb="FFFFFF00"/>
        <bgColor indexed="64"/>
      </patternFill>
    </fill>
    <fill>
      <patternFill patternType="solid">
        <fgColor indexed="13"/>
        <bgColor indexed="64"/>
      </patternFill>
    </fill>
    <fill>
      <patternFill patternType="solid">
        <fgColor indexed="51"/>
        <bgColor indexed="64"/>
      </patternFill>
    </fill>
    <fill>
      <patternFill patternType="solid">
        <fgColor indexed="61"/>
        <bgColor indexed="64"/>
      </patternFill>
    </fill>
    <fill>
      <patternFill patternType="solid">
        <fgColor indexed="34"/>
        <bgColor indexed="64"/>
      </patternFill>
    </fill>
    <fill>
      <patternFill patternType="solid">
        <fgColor theme="6" tint="-0.249977111117893"/>
        <bgColor indexed="64"/>
      </patternFill>
    </fill>
    <fill>
      <patternFill patternType="solid">
        <fgColor rgb="FFFFCC99"/>
        <bgColor indexed="64"/>
      </patternFill>
    </fill>
    <fill>
      <patternFill patternType="solid">
        <fgColor theme="2"/>
        <bgColor indexed="64"/>
      </patternFill>
    </fill>
    <fill>
      <patternFill patternType="solid">
        <fgColor theme="2"/>
        <bgColor indexed="9"/>
      </patternFill>
    </fill>
    <fill>
      <patternFill patternType="solid">
        <fgColor theme="0" tint="-4.9989318521683403E-2"/>
        <bgColor indexed="9"/>
      </patternFill>
    </fill>
    <fill>
      <patternFill patternType="solid">
        <fgColor theme="0" tint="-0.14999847407452621"/>
        <bgColor indexed="9"/>
      </patternFill>
    </fill>
    <fill>
      <patternFill patternType="solid">
        <fgColor theme="2" tint="-9.9978637043366805E-2"/>
        <bgColor indexed="64"/>
      </patternFill>
    </fill>
    <fill>
      <patternFill patternType="solid">
        <fgColor theme="0"/>
        <bgColor indexed="64"/>
      </patternFill>
    </fill>
  </fills>
  <borders count="59">
    <border>
      <left/>
      <right/>
      <top/>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right style="thin">
        <color indexed="64"/>
      </right>
      <top style="thin">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dotted">
        <color indexed="64"/>
      </top>
      <bottom/>
      <diagonal/>
    </border>
    <border>
      <left/>
      <right style="thin">
        <color indexed="64"/>
      </right>
      <top/>
      <bottom/>
      <diagonal/>
    </border>
    <border>
      <left/>
      <right style="thin">
        <color indexed="64"/>
      </right>
      <top style="thin">
        <color indexed="64"/>
      </top>
      <bottom/>
      <diagonal/>
    </border>
    <border>
      <left/>
      <right/>
      <top/>
      <bottom style="medium">
        <color indexed="9"/>
      </bottom>
      <diagonal/>
    </border>
    <border>
      <left/>
      <right/>
      <top style="medium">
        <color indexed="9"/>
      </top>
      <bottom/>
      <diagonal/>
    </border>
    <border>
      <left/>
      <right/>
      <top style="thin">
        <color indexed="64"/>
      </top>
      <bottom/>
      <diagonal/>
    </border>
    <border>
      <left/>
      <right/>
      <top style="thin">
        <color indexed="64"/>
      </top>
      <bottom style="dotted">
        <color indexed="64"/>
      </bottom>
      <diagonal/>
    </border>
    <border>
      <left/>
      <right/>
      <top style="dotted">
        <color indexed="64"/>
      </top>
      <bottom style="thin">
        <color indexed="64"/>
      </bottom>
      <diagonal/>
    </border>
    <border>
      <left style="thin">
        <color indexed="64"/>
      </left>
      <right style="thin">
        <color indexed="64"/>
      </right>
      <top/>
      <bottom style="thin">
        <color indexed="64"/>
      </bottom>
      <diagonal/>
    </border>
    <border>
      <left style="medium">
        <color indexed="9"/>
      </left>
      <right/>
      <top/>
      <bottom/>
      <diagonal/>
    </border>
    <border>
      <left/>
      <right style="medium">
        <color indexed="9"/>
      </right>
      <top/>
      <bottom/>
      <diagonal/>
    </border>
    <border>
      <left style="medium">
        <color indexed="22"/>
      </left>
      <right style="medium">
        <color indexed="22"/>
      </right>
      <top style="medium">
        <color indexed="22"/>
      </top>
      <bottom style="medium">
        <color indexed="22"/>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medium">
        <color indexed="64"/>
      </right>
      <top style="thin">
        <color indexed="64"/>
      </top>
      <bottom style="thin">
        <color indexed="64"/>
      </bottom>
      <diagonal/>
    </border>
    <border>
      <left/>
      <right/>
      <top/>
      <bottom style="medium">
        <color indexed="64"/>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9"/>
      </top>
      <bottom style="medium">
        <color indexed="9"/>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style="dotted">
        <color indexed="64"/>
      </bottom>
      <diagonal/>
    </border>
    <border>
      <left/>
      <right style="thin">
        <color indexed="64"/>
      </right>
      <top style="dotted">
        <color indexed="64"/>
      </top>
      <bottom/>
      <diagonal/>
    </border>
    <border>
      <left/>
      <right style="thick">
        <color theme="0"/>
      </right>
      <top/>
      <bottom/>
      <diagonal/>
    </border>
    <border>
      <left/>
      <right style="thick">
        <color theme="0"/>
      </right>
      <top/>
      <bottom style="medium">
        <color indexed="9"/>
      </bottom>
      <diagonal/>
    </border>
    <border>
      <left/>
      <right style="thick">
        <color theme="0"/>
      </right>
      <top style="medium">
        <color theme="0"/>
      </top>
      <bottom style="medium">
        <color indexed="9"/>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ck">
        <color rgb="FFFF671F"/>
      </left>
      <right style="thick">
        <color rgb="FFFF671F"/>
      </right>
      <top style="thick">
        <color rgb="FFFF671F"/>
      </top>
      <bottom/>
      <diagonal/>
    </border>
    <border>
      <left style="thick">
        <color rgb="FFFF671F"/>
      </left>
      <right style="thick">
        <color rgb="FFFF671F"/>
      </right>
      <top/>
      <bottom style="thick">
        <color rgb="FFFF671F"/>
      </bottom>
      <diagonal/>
    </border>
    <border>
      <left style="thick">
        <color rgb="FFFF671F"/>
      </left>
      <right style="thick">
        <color rgb="FFFF671F"/>
      </right>
      <top/>
      <bottom/>
      <diagonal/>
    </border>
  </borders>
  <cellStyleXfs count="16">
    <xf numFmtId="0" fontId="0" fillId="0" borderId="0"/>
    <xf numFmtId="0" fontId="60" fillId="0" borderId="0" applyNumberFormat="0" applyFill="0" applyBorder="0" applyAlignment="0" applyProtection="0"/>
    <xf numFmtId="0" fontId="61" fillId="0" borderId="0" applyNumberFormat="0" applyFill="0" applyBorder="0" applyAlignment="0" applyProtection="0">
      <alignment vertical="top"/>
      <protection locked="0"/>
    </xf>
    <xf numFmtId="0" fontId="62" fillId="0" borderId="0"/>
    <xf numFmtId="0" fontId="21" fillId="0" borderId="0"/>
    <xf numFmtId="0" fontId="59" fillId="0" borderId="0"/>
    <xf numFmtId="0" fontId="5" fillId="0" borderId="0"/>
    <xf numFmtId="0" fontId="77" fillId="0" borderId="0" applyNumberFormat="0" applyFill="0" applyBorder="0" applyAlignment="0" applyProtection="0">
      <alignment vertical="top"/>
      <protection locked="0"/>
    </xf>
    <xf numFmtId="0" fontId="86" fillId="0" borderId="0" applyNumberFormat="0" applyFill="0" applyBorder="0" applyAlignment="0" applyProtection="0">
      <alignment vertical="top"/>
      <protection locked="0"/>
    </xf>
    <xf numFmtId="0" fontId="6" fillId="0" borderId="0"/>
    <xf numFmtId="0" fontId="21" fillId="0" borderId="0"/>
    <xf numFmtId="0" fontId="4" fillId="0" borderId="0"/>
    <xf numFmtId="0" fontId="6" fillId="0" borderId="0"/>
    <xf numFmtId="0" fontId="99" fillId="0" borderId="0"/>
    <xf numFmtId="0" fontId="99" fillId="0" borderId="0"/>
    <xf numFmtId="0" fontId="14" fillId="0" borderId="0"/>
  </cellStyleXfs>
  <cellXfs count="1306">
    <xf numFmtId="0" fontId="0" fillId="0" borderId="0" xfId="0"/>
    <xf numFmtId="0" fontId="8" fillId="0" borderId="0" xfId="0" applyFont="1"/>
    <xf numFmtId="0" fontId="9" fillId="0" borderId="0" xfId="0" applyFont="1"/>
    <xf numFmtId="0" fontId="17" fillId="0" borderId="4" xfId="0" applyFont="1" applyBorder="1" applyAlignment="1" applyProtection="1">
      <alignment horizontal="center" vertical="center"/>
      <protection hidden="1"/>
    </xf>
    <xf numFmtId="0" fontId="0" fillId="0" borderId="0" xfId="0" applyProtection="1">
      <protection hidden="1"/>
    </xf>
    <xf numFmtId="0" fontId="17" fillId="0" borderId="0" xfId="0" applyFont="1" applyProtection="1">
      <protection hidden="1"/>
    </xf>
    <xf numFmtId="0" fontId="18" fillId="3" borderId="3" xfId="0" applyFont="1" applyFill="1" applyBorder="1" applyAlignment="1" applyProtection="1">
      <alignment horizontal="left" vertical="center"/>
      <protection hidden="1"/>
    </xf>
    <xf numFmtId="0" fontId="19" fillId="0" borderId="3" xfId="0" applyFont="1" applyBorder="1" applyProtection="1">
      <protection hidden="1"/>
    </xf>
    <xf numFmtId="2" fontId="20" fillId="0" borderId="1" xfId="0" applyNumberFormat="1" applyFont="1" applyBorder="1" applyAlignment="1" applyProtection="1">
      <alignment horizontal="center"/>
      <protection hidden="1"/>
    </xf>
    <xf numFmtId="14" fontId="17" fillId="0" borderId="5" xfId="0" applyNumberFormat="1" applyFont="1" applyBorder="1" applyAlignment="1" applyProtection="1">
      <alignment horizontal="center" vertical="center"/>
      <protection hidden="1"/>
    </xf>
    <xf numFmtId="0" fontId="21" fillId="0" borderId="0" xfId="0" applyFont="1" applyProtection="1">
      <protection hidden="1"/>
    </xf>
    <xf numFmtId="0" fontId="17" fillId="0" borderId="0" xfId="0" applyFont="1" applyAlignment="1" applyProtection="1">
      <alignment horizontal="center" vertical="center"/>
      <protection hidden="1"/>
    </xf>
    <xf numFmtId="0" fontId="17" fillId="0" borderId="0" xfId="0" applyFont="1" applyAlignment="1" applyProtection="1">
      <alignment horizontal="center"/>
      <protection hidden="1"/>
    </xf>
    <xf numFmtId="0" fontId="14" fillId="0" borderId="0" xfId="0" applyFont="1" applyProtection="1">
      <protection hidden="1"/>
    </xf>
    <xf numFmtId="0" fontId="9" fillId="0" borderId="6" xfId="0" applyFont="1" applyBorder="1"/>
    <xf numFmtId="0" fontId="9" fillId="0" borderId="7" xfId="0" applyFont="1" applyBorder="1"/>
    <xf numFmtId="0" fontId="14" fillId="0" borderId="0" xfId="0" applyFont="1" applyAlignment="1" applyProtection="1">
      <alignment horizontal="right" vertical="center"/>
      <protection hidden="1"/>
    </xf>
    <xf numFmtId="0" fontId="17" fillId="0" borderId="0" xfId="0" applyFont="1" applyAlignment="1" applyProtection="1">
      <alignment vertical="center"/>
      <protection hidden="1"/>
    </xf>
    <xf numFmtId="0" fontId="15" fillId="0" borderId="9" xfId="0" applyFont="1" applyBorder="1" applyProtection="1">
      <protection hidden="1"/>
    </xf>
    <xf numFmtId="0" fontId="17" fillId="0" borderId="9" xfId="0" applyFont="1" applyBorder="1" applyProtection="1">
      <protection hidden="1"/>
    </xf>
    <xf numFmtId="1" fontId="23" fillId="0" borderId="0" xfId="0" applyNumberFormat="1" applyFont="1" applyAlignment="1" applyProtection="1">
      <alignment horizontal="center"/>
      <protection hidden="1"/>
    </xf>
    <xf numFmtId="0" fontId="24" fillId="0" borderId="0" xfId="0" applyFont="1" applyAlignment="1" applyProtection="1">
      <alignment horizontal="center" vertical="center"/>
      <protection hidden="1"/>
    </xf>
    <xf numFmtId="1" fontId="20" fillId="0" borderId="0" xfId="0" applyNumberFormat="1" applyFont="1" applyAlignment="1" applyProtection="1">
      <alignment horizontal="center"/>
      <protection hidden="1"/>
    </xf>
    <xf numFmtId="2" fontId="20" fillId="0" borderId="0" xfId="0" applyNumberFormat="1" applyFont="1" applyAlignment="1" applyProtection="1">
      <alignment horizontal="center"/>
      <protection hidden="1"/>
    </xf>
    <xf numFmtId="2" fontId="25" fillId="0" borderId="0" xfId="0" applyNumberFormat="1" applyFont="1" applyAlignment="1" applyProtection="1">
      <alignment horizontal="center"/>
      <protection hidden="1"/>
    </xf>
    <xf numFmtId="2" fontId="23" fillId="0" borderId="0" xfId="0" applyNumberFormat="1" applyFont="1" applyAlignment="1" applyProtection="1">
      <alignment horizontal="center"/>
      <protection hidden="1"/>
    </xf>
    <xf numFmtId="0" fontId="26" fillId="0" borderId="0" xfId="0" applyFont="1" applyAlignment="1">
      <alignment horizontal="center" vertical="center"/>
    </xf>
    <xf numFmtId="0" fontId="9" fillId="0" borderId="0" xfId="0" applyFont="1" applyAlignment="1">
      <alignment horizontal="center"/>
    </xf>
    <xf numFmtId="0" fontId="9" fillId="0" borderId="0" xfId="0" applyFont="1" applyAlignment="1">
      <alignment horizontal="right"/>
    </xf>
    <xf numFmtId="0" fontId="11" fillId="0" borderId="0" xfId="0" applyFont="1" applyAlignment="1">
      <alignment horizontal="center"/>
    </xf>
    <xf numFmtId="0" fontId="11" fillId="0" borderId="5" xfId="0" applyFont="1" applyBorder="1" applyAlignment="1">
      <alignment horizontal="center"/>
    </xf>
    <xf numFmtId="0" fontId="15" fillId="0" borderId="0" xfId="0" applyFont="1" applyProtection="1">
      <protection hidden="1"/>
    </xf>
    <xf numFmtId="0" fontId="17" fillId="0" borderId="1" xfId="0" applyFont="1" applyBorder="1" applyProtection="1">
      <protection hidden="1"/>
    </xf>
    <xf numFmtId="0" fontId="18" fillId="3" borderId="1" xfId="0" applyFont="1" applyFill="1" applyBorder="1" applyAlignment="1" applyProtection="1">
      <alignment horizontal="left" vertical="center"/>
      <protection hidden="1"/>
    </xf>
    <xf numFmtId="0" fontId="19" fillId="0" borderId="1" xfId="0" applyFont="1" applyBorder="1" applyProtection="1">
      <protection hidden="1"/>
    </xf>
    <xf numFmtId="164" fontId="9" fillId="0" borderId="3" xfId="0" applyNumberFormat="1" applyFont="1" applyBorder="1" applyAlignment="1">
      <alignment horizontal="center"/>
    </xf>
    <xf numFmtId="0" fontId="62" fillId="0" borderId="0" xfId="3"/>
    <xf numFmtId="0" fontId="17" fillId="0" borderId="0" xfId="4" applyFont="1" applyProtection="1">
      <protection hidden="1"/>
    </xf>
    <xf numFmtId="0" fontId="36" fillId="0" borderId="0" xfId="4" applyFont="1" applyAlignment="1" applyProtection="1">
      <alignment horizontal="center"/>
      <protection hidden="1"/>
    </xf>
    <xf numFmtId="0" fontId="38" fillId="0" borderId="0" xfId="4" applyFont="1" applyAlignment="1" applyProtection="1">
      <alignment horizontal="center"/>
      <protection hidden="1"/>
    </xf>
    <xf numFmtId="0" fontId="9" fillId="0" borderId="0" xfId="0" applyFont="1" applyProtection="1">
      <protection hidden="1"/>
    </xf>
    <xf numFmtId="0" fontId="9" fillId="0" borderId="10" xfId="0" applyFont="1" applyBorder="1" applyProtection="1">
      <protection hidden="1"/>
    </xf>
    <xf numFmtId="0" fontId="9" fillId="0" borderId="11" xfId="0" applyFont="1" applyBorder="1" applyProtection="1">
      <protection hidden="1"/>
    </xf>
    <xf numFmtId="0" fontId="9" fillId="0" borderId="12" xfId="0" applyFont="1" applyBorder="1" applyProtection="1">
      <protection hidden="1"/>
    </xf>
    <xf numFmtId="0" fontId="9" fillId="0" borderId="0" xfId="0" applyFont="1" applyAlignment="1" applyProtection="1">
      <alignment horizontal="left"/>
      <protection hidden="1"/>
    </xf>
    <xf numFmtId="0" fontId="37" fillId="0" borderId="0" xfId="1" applyFont="1" applyFill="1" applyBorder="1" applyAlignment="1" applyProtection="1">
      <alignment horizontal="center" vertical="center"/>
      <protection hidden="1"/>
    </xf>
    <xf numFmtId="0" fontId="15" fillId="0" borderId="9" xfId="0" applyFont="1" applyBorder="1" applyAlignment="1" applyProtection="1">
      <alignment horizontal="center"/>
      <protection hidden="1"/>
    </xf>
    <xf numFmtId="164" fontId="9" fillId="0" borderId="0" xfId="0" applyNumberFormat="1" applyFont="1" applyAlignment="1">
      <alignment horizontal="center"/>
    </xf>
    <xf numFmtId="0" fontId="42" fillId="3" borderId="1" xfId="0" applyFont="1" applyFill="1" applyBorder="1" applyAlignment="1" applyProtection="1">
      <alignment horizontal="center" vertical="center"/>
      <protection hidden="1"/>
    </xf>
    <xf numFmtId="0" fontId="48" fillId="0" borderId="10" xfId="0" applyFont="1" applyBorder="1" applyProtection="1">
      <protection hidden="1"/>
    </xf>
    <xf numFmtId="0" fontId="33" fillId="0" borderId="0" xfId="0" applyFont="1" applyProtection="1">
      <protection hidden="1"/>
    </xf>
    <xf numFmtId="0" fontId="48" fillId="0" borderId="18" xfId="0" applyFont="1" applyBorder="1" applyProtection="1">
      <protection hidden="1"/>
    </xf>
    <xf numFmtId="49" fontId="9" fillId="0" borderId="18" xfId="0" applyNumberFormat="1" applyFont="1" applyBorder="1" applyProtection="1">
      <protection hidden="1"/>
    </xf>
    <xf numFmtId="0" fontId="9" fillId="0" borderId="18" xfId="0" applyFont="1" applyBorder="1" applyProtection="1">
      <protection hidden="1"/>
    </xf>
    <xf numFmtId="0" fontId="48" fillId="0" borderId="0" xfId="0" applyFont="1" applyProtection="1">
      <protection hidden="1"/>
    </xf>
    <xf numFmtId="0" fontId="43" fillId="0" borderId="1" xfId="0" applyFont="1" applyBorder="1" applyAlignment="1" applyProtection="1">
      <alignment wrapText="1"/>
      <protection hidden="1"/>
    </xf>
    <xf numFmtId="0" fontId="43" fillId="0" borderId="1" xfId="0" applyFont="1" applyBorder="1" applyAlignment="1" applyProtection="1">
      <alignment horizontal="center" wrapText="1"/>
      <protection hidden="1"/>
    </xf>
    <xf numFmtId="0" fontId="33" fillId="0" borderId="0" xfId="0" applyFont="1" applyAlignment="1" applyProtection="1">
      <alignment horizontal="center"/>
      <protection hidden="1"/>
    </xf>
    <xf numFmtId="2" fontId="33" fillId="0" borderId="11" xfId="0" applyNumberFormat="1" applyFont="1" applyBorder="1" applyAlignment="1" applyProtection="1">
      <alignment horizontal="center"/>
      <protection hidden="1"/>
    </xf>
    <xf numFmtId="0" fontId="33" fillId="0" borderId="11" xfId="0" applyFont="1" applyBorder="1" applyAlignment="1" applyProtection="1">
      <alignment horizontal="center"/>
      <protection hidden="1"/>
    </xf>
    <xf numFmtId="2" fontId="33" fillId="0" borderId="11" xfId="0" applyNumberFormat="1" applyFont="1" applyBorder="1" applyProtection="1">
      <protection hidden="1"/>
    </xf>
    <xf numFmtId="2" fontId="33" fillId="0" borderId="0" xfId="0" applyNumberFormat="1" applyFont="1" applyProtection="1">
      <protection hidden="1"/>
    </xf>
    <xf numFmtId="0" fontId="0" fillId="0" borderId="11" xfId="0" applyBorder="1" applyProtection="1">
      <protection hidden="1"/>
    </xf>
    <xf numFmtId="0" fontId="10" fillId="0" borderId="11" xfId="0" applyFont="1" applyBorder="1" applyProtection="1">
      <protection hidden="1"/>
    </xf>
    <xf numFmtId="0" fontId="10" fillId="0" borderId="11" xfId="0" applyFont="1" applyBorder="1" applyAlignment="1" applyProtection="1">
      <alignment horizontal="right"/>
      <protection hidden="1"/>
    </xf>
    <xf numFmtId="1" fontId="33" fillId="2" borderId="11" xfId="0" applyNumberFormat="1" applyFont="1" applyFill="1" applyBorder="1" applyAlignment="1" applyProtection="1">
      <alignment horizontal="center"/>
      <protection locked="0"/>
    </xf>
    <xf numFmtId="49" fontId="17" fillId="0" borderId="3" xfId="0" applyNumberFormat="1" applyFont="1" applyBorder="1" applyAlignment="1" applyProtection="1">
      <alignment horizontal="center" vertical="center"/>
      <protection hidden="1"/>
    </xf>
    <xf numFmtId="49" fontId="17" fillId="0" borderId="4" xfId="0" applyNumberFormat="1" applyFont="1" applyBorder="1" applyAlignment="1" applyProtection="1">
      <alignment horizontal="center" vertical="center"/>
      <protection hidden="1"/>
    </xf>
    <xf numFmtId="0" fontId="14" fillId="0" borderId="6" xfId="0" applyFont="1" applyBorder="1" applyProtection="1">
      <protection hidden="1"/>
    </xf>
    <xf numFmtId="0" fontId="28" fillId="3" borderId="6" xfId="0" applyFont="1" applyFill="1" applyBorder="1" applyAlignment="1" applyProtection="1">
      <alignment horizontal="left" vertical="center"/>
      <protection hidden="1"/>
    </xf>
    <xf numFmtId="0" fontId="29" fillId="0" borderId="6" xfId="0" applyFont="1" applyBorder="1" applyProtection="1">
      <protection hidden="1"/>
    </xf>
    <xf numFmtId="49" fontId="14" fillId="0" borderId="6" xfId="0" applyNumberFormat="1" applyFont="1" applyBorder="1" applyAlignment="1" applyProtection="1">
      <alignment horizontal="center" vertical="center"/>
      <protection hidden="1"/>
    </xf>
    <xf numFmtId="0" fontId="14" fillId="0" borderId="7" xfId="0" applyFont="1" applyBorder="1" applyProtection="1">
      <protection hidden="1"/>
    </xf>
    <xf numFmtId="0" fontId="28" fillId="3" borderId="7" xfId="0" applyFont="1" applyFill="1" applyBorder="1" applyAlignment="1" applyProtection="1">
      <alignment horizontal="left" vertical="center"/>
      <protection hidden="1"/>
    </xf>
    <xf numFmtId="0" fontId="29" fillId="0" borderId="7" xfId="0" applyFont="1" applyBorder="1" applyProtection="1">
      <protection hidden="1"/>
    </xf>
    <xf numFmtId="49" fontId="14" fillId="0" borderId="7" xfId="0" applyNumberFormat="1" applyFont="1" applyBorder="1" applyAlignment="1" applyProtection="1">
      <alignment horizontal="center" vertical="center"/>
      <protection hidden="1"/>
    </xf>
    <xf numFmtId="2" fontId="20" fillId="0" borderId="17" xfId="0" applyNumberFormat="1" applyFont="1" applyBorder="1" applyAlignment="1" applyProtection="1">
      <alignment horizontal="center"/>
      <protection hidden="1"/>
    </xf>
    <xf numFmtId="0" fontId="14" fillId="0" borderId="11" xfId="0" applyFont="1" applyBorder="1" applyProtection="1">
      <protection hidden="1"/>
    </xf>
    <xf numFmtId="2" fontId="30" fillId="0" borderId="11" xfId="0" applyNumberFormat="1" applyFont="1" applyBorder="1" applyAlignment="1" applyProtection="1">
      <alignment horizontal="left"/>
      <protection hidden="1"/>
    </xf>
    <xf numFmtId="0" fontId="29" fillId="3" borderId="7" xfId="0" applyFont="1" applyFill="1" applyBorder="1" applyAlignment="1" applyProtection="1">
      <alignment horizontal="left" vertical="center"/>
      <protection hidden="1"/>
    </xf>
    <xf numFmtId="49" fontId="30" fillId="0" borderId="7" xfId="0" applyNumberFormat="1" applyFont="1" applyBorder="1" applyAlignment="1" applyProtection="1">
      <alignment horizontal="center"/>
      <protection hidden="1"/>
    </xf>
    <xf numFmtId="0" fontId="17" fillId="0" borderId="3" xfId="0" applyFont="1" applyBorder="1" applyAlignment="1" applyProtection="1">
      <alignment horizontal="center" wrapText="1"/>
      <protection hidden="1"/>
    </xf>
    <xf numFmtId="0" fontId="16" fillId="0" borderId="3" xfId="0" applyFont="1" applyBorder="1" applyAlignment="1" applyProtection="1">
      <alignment horizontal="center" textRotation="90"/>
      <protection hidden="1"/>
    </xf>
    <xf numFmtId="0" fontId="28" fillId="3" borderId="6" xfId="0" applyFont="1" applyFill="1" applyBorder="1" applyAlignment="1" applyProtection="1">
      <alignment horizontal="center" vertical="center"/>
      <protection hidden="1"/>
    </xf>
    <xf numFmtId="0" fontId="28" fillId="3" borderId="7" xfId="0" applyFont="1" applyFill="1" applyBorder="1" applyAlignment="1" applyProtection="1">
      <alignment horizontal="center" vertical="center"/>
      <protection hidden="1"/>
    </xf>
    <xf numFmtId="0" fontId="29" fillId="3" borderId="7" xfId="0" applyFont="1" applyFill="1" applyBorder="1" applyAlignment="1" applyProtection="1">
      <alignment horizontal="center" vertical="center"/>
      <protection hidden="1"/>
    </xf>
    <xf numFmtId="0" fontId="0" fillId="0" borderId="0" xfId="0" applyAlignment="1">
      <alignment horizontal="center"/>
    </xf>
    <xf numFmtId="0" fontId="40" fillId="0" borderId="0" xfId="0" applyFont="1" applyAlignment="1">
      <alignment horizontal="center"/>
    </xf>
    <xf numFmtId="0" fontId="42" fillId="3" borderId="3" xfId="0" applyFont="1" applyFill="1" applyBorder="1" applyAlignment="1" applyProtection="1">
      <alignment horizontal="center" vertical="center"/>
      <protection hidden="1"/>
    </xf>
    <xf numFmtId="0" fontId="57" fillId="0" borderId="0" xfId="0" applyFont="1" applyAlignment="1">
      <alignment horizontal="center"/>
    </xf>
    <xf numFmtId="0" fontId="15" fillId="0" borderId="0" xfId="0" applyFont="1" applyAlignment="1" applyProtection="1">
      <alignment horizontal="center"/>
      <protection hidden="1"/>
    </xf>
    <xf numFmtId="0" fontId="43" fillId="0" borderId="1" xfId="0" applyFont="1" applyBorder="1" applyAlignment="1" applyProtection="1">
      <alignment horizontal="center" textRotation="90" wrapText="1"/>
      <protection hidden="1"/>
    </xf>
    <xf numFmtId="49" fontId="9" fillId="0" borderId="11" xfId="0" applyNumberFormat="1" applyFont="1" applyBorder="1" applyAlignment="1" applyProtection="1">
      <alignment horizontal="left"/>
      <protection hidden="1"/>
    </xf>
    <xf numFmtId="4" fontId="30" fillId="0" borderId="18" xfId="0" applyNumberFormat="1" applyFont="1" applyBorder="1" applyAlignment="1" applyProtection="1">
      <alignment horizontal="right" indent="1"/>
      <protection hidden="1"/>
    </xf>
    <xf numFmtId="4" fontId="30" fillId="0" borderId="11" xfId="0" applyNumberFormat="1" applyFont="1" applyBorder="1" applyAlignment="1" applyProtection="1">
      <alignment horizontal="right" indent="1"/>
      <protection hidden="1"/>
    </xf>
    <xf numFmtId="4" fontId="30" fillId="0" borderId="7" xfId="0" applyNumberFormat="1" applyFont="1" applyBorder="1" applyAlignment="1" applyProtection="1">
      <alignment horizontal="right" indent="1"/>
      <protection hidden="1"/>
    </xf>
    <xf numFmtId="0" fontId="43" fillId="0" borderId="1" xfId="0" applyFont="1" applyBorder="1" applyAlignment="1" applyProtection="1">
      <alignment horizontal="left" textRotation="90" wrapText="1"/>
      <protection hidden="1"/>
    </xf>
    <xf numFmtId="0" fontId="10" fillId="0" borderId="11" xfId="0" applyFont="1" applyBorder="1" applyAlignment="1" applyProtection="1">
      <alignment horizontal="center"/>
      <protection hidden="1"/>
    </xf>
    <xf numFmtId="0" fontId="14" fillId="0" borderId="6" xfId="0" applyFont="1" applyBorder="1" applyAlignment="1" applyProtection="1">
      <alignment horizontal="center" vertical="center"/>
      <protection hidden="1"/>
    </xf>
    <xf numFmtId="0" fontId="14" fillId="0" borderId="7" xfId="0" applyFont="1" applyBorder="1" applyAlignment="1" applyProtection="1">
      <alignment horizontal="center" vertical="center"/>
      <protection hidden="1"/>
    </xf>
    <xf numFmtId="0" fontId="30" fillId="0" borderId="11" xfId="0" applyFont="1" applyBorder="1" applyAlignment="1" applyProtection="1">
      <alignment horizontal="center"/>
      <protection hidden="1"/>
    </xf>
    <xf numFmtId="0" fontId="9" fillId="0" borderId="0" xfId="0" applyFont="1" applyAlignment="1" applyProtection="1">
      <alignment horizontal="right" vertical="center"/>
      <protection hidden="1"/>
    </xf>
    <xf numFmtId="0" fontId="43" fillId="0" borderId="1" xfId="0" applyFont="1" applyBorder="1" applyAlignment="1" applyProtection="1">
      <alignment horizontal="center" vertical="center" wrapText="1"/>
      <protection hidden="1"/>
    </xf>
    <xf numFmtId="0" fontId="43" fillId="0" borderId="1" xfId="0" applyFont="1" applyBorder="1" applyAlignment="1" applyProtection="1">
      <alignment horizontal="right" wrapText="1" indent="1"/>
      <protection hidden="1"/>
    </xf>
    <xf numFmtId="166" fontId="33" fillId="0" borderId="11" xfId="0" applyNumberFormat="1" applyFont="1" applyBorder="1" applyProtection="1">
      <protection hidden="1"/>
    </xf>
    <xf numFmtId="166" fontId="33" fillId="0" borderId="0" xfId="0" applyNumberFormat="1" applyFont="1" applyProtection="1">
      <protection hidden="1"/>
    </xf>
    <xf numFmtId="166" fontId="33" fillId="0" borderId="0" xfId="0" applyNumberFormat="1" applyFont="1" applyAlignment="1" applyProtection="1">
      <alignment horizontal="right"/>
      <protection hidden="1"/>
    </xf>
    <xf numFmtId="2" fontId="20" fillId="0" borderId="3" xfId="0" applyNumberFormat="1" applyFont="1" applyBorder="1" applyAlignment="1" applyProtection="1">
      <alignment horizontal="center"/>
      <protection hidden="1"/>
    </xf>
    <xf numFmtId="0" fontId="62" fillId="0" borderId="0" xfId="3" applyProtection="1">
      <protection hidden="1"/>
    </xf>
    <xf numFmtId="0" fontId="51" fillId="0" borderId="0" xfId="3" applyFont="1" applyProtection="1">
      <protection hidden="1"/>
    </xf>
    <xf numFmtId="49" fontId="62" fillId="0" borderId="3" xfId="3" applyNumberFormat="1" applyBorder="1" applyAlignment="1" applyProtection="1">
      <alignment horizontal="center" vertical="center"/>
      <protection hidden="1"/>
    </xf>
    <xf numFmtId="49" fontId="62" fillId="0" borderId="0" xfId="3" applyNumberFormat="1"/>
    <xf numFmtId="0" fontId="61" fillId="0" borderId="0" xfId="2" applyAlignment="1" applyProtection="1"/>
    <xf numFmtId="0" fontId="62" fillId="0" borderId="0" xfId="3" applyAlignment="1">
      <alignment horizontal="center"/>
    </xf>
    <xf numFmtId="0" fontId="52" fillId="0" borderId="2" xfId="3" applyFont="1" applyBorder="1"/>
    <xf numFmtId="0" fontId="62" fillId="0" borderId="2" xfId="3" applyBorder="1"/>
    <xf numFmtId="0" fontId="34" fillId="0" borderId="0" xfId="3" applyFont="1" applyAlignment="1" applyProtection="1">
      <alignment horizontal="center"/>
      <protection locked="0" hidden="1"/>
    </xf>
    <xf numFmtId="0" fontId="22" fillId="0" borderId="0" xfId="4" applyFont="1" applyAlignment="1" applyProtection="1">
      <alignment horizontal="center"/>
      <protection locked="0" hidden="1"/>
    </xf>
    <xf numFmtId="0" fontId="17" fillId="0" borderId="0" xfId="4" applyFont="1" applyAlignment="1" applyProtection="1">
      <alignment horizontal="center"/>
      <protection hidden="1"/>
    </xf>
    <xf numFmtId="0" fontId="17" fillId="0" borderId="0" xfId="4" applyFont="1" applyAlignment="1" applyProtection="1">
      <alignment vertical="center"/>
      <protection hidden="1"/>
    </xf>
    <xf numFmtId="3" fontId="17" fillId="0" borderId="0" xfId="4" applyNumberFormat="1" applyFont="1" applyAlignment="1" applyProtection="1">
      <alignment horizontal="center" vertical="center"/>
      <protection locked="0" hidden="1"/>
    </xf>
    <xf numFmtId="0" fontId="21" fillId="0" borderId="0" xfId="4"/>
    <xf numFmtId="0" fontId="17" fillId="0" borderId="0" xfId="4" applyFont="1"/>
    <xf numFmtId="0" fontId="73" fillId="0" borderId="0" xfId="6" applyFont="1" applyProtection="1">
      <protection hidden="1"/>
    </xf>
    <xf numFmtId="0" fontId="15" fillId="0" borderId="0" xfId="6" applyFont="1" applyProtection="1">
      <protection hidden="1"/>
    </xf>
    <xf numFmtId="0" fontId="74" fillId="0" borderId="0" xfId="6" applyFont="1" applyAlignment="1" applyProtection="1">
      <alignment vertical="top"/>
      <protection hidden="1"/>
    </xf>
    <xf numFmtId="0" fontId="51" fillId="0" borderId="0" xfId="6" applyFont="1" applyAlignment="1" applyProtection="1">
      <alignment vertical="center"/>
      <protection hidden="1"/>
    </xf>
    <xf numFmtId="0" fontId="17" fillId="0" borderId="0" xfId="6" applyFont="1" applyProtection="1">
      <protection hidden="1"/>
    </xf>
    <xf numFmtId="0" fontId="75" fillId="0" borderId="0" xfId="6" applyFont="1" applyAlignment="1" applyProtection="1">
      <alignment horizontal="center"/>
      <protection hidden="1"/>
    </xf>
    <xf numFmtId="0" fontId="22" fillId="0" borderId="0" xfId="6" applyFont="1" applyAlignment="1" applyProtection="1">
      <alignment horizontal="center"/>
      <protection hidden="1"/>
    </xf>
    <xf numFmtId="0" fontId="24" fillId="0" borderId="0" xfId="4" applyFont="1" applyAlignment="1" applyProtection="1">
      <alignment vertical="center"/>
      <protection hidden="1"/>
    </xf>
    <xf numFmtId="0" fontId="22" fillId="0" borderId="9" xfId="4" applyFont="1" applyBorder="1" applyAlignment="1" applyProtection="1">
      <alignment horizontal="center"/>
      <protection locked="0" hidden="1"/>
    </xf>
    <xf numFmtId="0" fontId="17" fillId="0" borderId="0" xfId="4" applyFont="1" applyAlignment="1" applyProtection="1">
      <alignment horizontal="center" vertical="center"/>
      <protection hidden="1"/>
    </xf>
    <xf numFmtId="0" fontId="76" fillId="0" borderId="0" xfId="6" applyFont="1" applyAlignment="1" applyProtection="1">
      <alignment horizontal="right"/>
      <protection hidden="1"/>
    </xf>
    <xf numFmtId="0" fontId="76" fillId="0" borderId="0" xfId="4" applyFont="1" applyAlignment="1" applyProtection="1">
      <alignment horizontal="right" vertical="center"/>
      <protection hidden="1"/>
    </xf>
    <xf numFmtId="0" fontId="15" fillId="0" borderId="0" xfId="4" applyFont="1" applyAlignment="1" applyProtection="1">
      <alignment horizontal="left" vertical="center"/>
      <protection hidden="1"/>
    </xf>
    <xf numFmtId="0" fontId="15" fillId="0" borderId="0" xfId="4" applyFont="1" applyAlignment="1" applyProtection="1">
      <alignment horizontal="center" vertical="center"/>
      <protection hidden="1"/>
    </xf>
    <xf numFmtId="0" fontId="21" fillId="0" borderId="0" xfId="4" applyProtection="1">
      <protection hidden="1"/>
    </xf>
    <xf numFmtId="0" fontId="22" fillId="0" borderId="24" xfId="4" applyFont="1" applyBorder="1" applyAlignment="1" applyProtection="1">
      <alignment horizontal="center"/>
      <protection locked="0" hidden="1"/>
    </xf>
    <xf numFmtId="0" fontId="17" fillId="0" borderId="32" xfId="4" applyFont="1" applyBorder="1" applyProtection="1">
      <protection hidden="1"/>
    </xf>
    <xf numFmtId="0" fontId="17" fillId="0" borderId="2" xfId="4" applyFont="1" applyBorder="1" applyAlignment="1" applyProtection="1">
      <alignment horizontal="center"/>
      <protection hidden="1"/>
    </xf>
    <xf numFmtId="0" fontId="72" fillId="0" borderId="0" xfId="2" applyFont="1" applyFill="1" applyBorder="1" applyAlignment="1" applyProtection="1">
      <alignment vertical="center"/>
    </xf>
    <xf numFmtId="0" fontId="24" fillId="0" borderId="0" xfId="4" applyFont="1" applyProtection="1">
      <protection hidden="1"/>
    </xf>
    <xf numFmtId="0" fontId="72" fillId="0" borderId="0" xfId="2" applyFont="1" applyFill="1" applyBorder="1" applyAlignment="1" applyProtection="1">
      <alignment horizontal="center" vertical="center"/>
    </xf>
    <xf numFmtId="0" fontId="17" fillId="0" borderId="0" xfId="4" applyFont="1" applyAlignment="1" applyProtection="1">
      <alignment horizontal="right"/>
      <protection hidden="1"/>
    </xf>
    <xf numFmtId="0" fontId="78" fillId="0" borderId="0" xfId="7" applyFont="1" applyFill="1" applyBorder="1" applyAlignment="1" applyProtection="1">
      <protection hidden="1"/>
    </xf>
    <xf numFmtId="0" fontId="15" fillId="0" borderId="0" xfId="6" applyFont="1" applyAlignment="1" applyProtection="1">
      <alignment horizontal="center"/>
      <protection hidden="1"/>
    </xf>
    <xf numFmtId="0" fontId="24" fillId="0" borderId="0" xfId="4" applyFont="1" applyAlignment="1" applyProtection="1">
      <alignment horizontal="right"/>
      <protection hidden="1"/>
    </xf>
    <xf numFmtId="0" fontId="24" fillId="0" borderId="0" xfId="4" applyFont="1" applyAlignment="1" applyProtection="1">
      <alignment vertical="top" wrapText="1"/>
      <protection hidden="1"/>
    </xf>
    <xf numFmtId="0" fontId="17" fillId="0" borderId="0" xfId="4" applyFont="1" applyAlignment="1" applyProtection="1">
      <alignment horizontal="left"/>
      <protection hidden="1"/>
    </xf>
    <xf numFmtId="0" fontId="24" fillId="0" borderId="0" xfId="6" applyFont="1" applyProtection="1">
      <protection hidden="1"/>
    </xf>
    <xf numFmtId="0" fontId="22" fillId="0" borderId="0" xfId="4" applyFont="1" applyAlignment="1" applyProtection="1">
      <alignment horizontal="center"/>
      <protection hidden="1"/>
    </xf>
    <xf numFmtId="0" fontId="17" fillId="0" borderId="0" xfId="6" applyFont="1" applyAlignment="1" applyProtection="1">
      <alignment horizontal="right"/>
      <protection hidden="1"/>
    </xf>
    <xf numFmtId="0" fontId="38" fillId="0" borderId="0" xfId="4" applyFont="1" applyAlignment="1" applyProtection="1">
      <alignment horizontal="right"/>
      <protection hidden="1"/>
    </xf>
    <xf numFmtId="0" fontId="38" fillId="0" borderId="0" xfId="4" applyFont="1" applyAlignment="1" applyProtection="1">
      <alignment horizontal="left"/>
      <protection hidden="1"/>
    </xf>
    <xf numFmtId="0" fontId="79" fillId="0" borderId="0" xfId="7" applyFont="1" applyFill="1" applyBorder="1" applyAlignment="1" applyProtection="1">
      <protection hidden="1"/>
    </xf>
    <xf numFmtId="0" fontId="22" fillId="0" borderId="24" xfId="4" applyFont="1" applyBorder="1" applyProtection="1">
      <protection hidden="1"/>
    </xf>
    <xf numFmtId="0" fontId="17" fillId="0" borderId="1" xfId="4" applyFont="1" applyBorder="1" applyProtection="1">
      <protection hidden="1"/>
    </xf>
    <xf numFmtId="0" fontId="17" fillId="0" borderId="9" xfId="4" applyFont="1" applyBorder="1" applyProtection="1">
      <protection hidden="1"/>
    </xf>
    <xf numFmtId="0" fontId="76" fillId="0" borderId="24" xfId="4" applyFont="1" applyBorder="1" applyProtection="1">
      <protection hidden="1"/>
    </xf>
    <xf numFmtId="0" fontId="76" fillId="0" borderId="1" xfId="4" applyFont="1" applyBorder="1" applyProtection="1">
      <protection hidden="1"/>
    </xf>
    <xf numFmtId="0" fontId="76" fillId="0" borderId="3" xfId="4" applyFont="1" applyBorder="1" applyAlignment="1" applyProtection="1">
      <alignment horizontal="center"/>
      <protection hidden="1"/>
    </xf>
    <xf numFmtId="0" fontId="76" fillId="0" borderId="3" xfId="4" applyFont="1" applyBorder="1" applyAlignment="1" applyProtection="1">
      <alignment horizontal="center" wrapText="1"/>
      <protection hidden="1"/>
    </xf>
    <xf numFmtId="0" fontId="38" fillId="0" borderId="3" xfId="4" applyFont="1" applyBorder="1" applyAlignment="1" applyProtection="1">
      <alignment horizontal="center"/>
      <protection hidden="1"/>
    </xf>
    <xf numFmtId="0" fontId="17" fillId="0" borderId="24" xfId="4" applyFont="1" applyBorder="1" applyProtection="1">
      <protection hidden="1"/>
    </xf>
    <xf numFmtId="0" fontId="17" fillId="0" borderId="3" xfId="4" applyFont="1" applyBorder="1" applyAlignment="1" applyProtection="1">
      <alignment horizontal="center"/>
      <protection hidden="1"/>
    </xf>
    <xf numFmtId="4" fontId="17" fillId="0" borderId="3" xfId="4" applyNumberFormat="1" applyFont="1" applyBorder="1" applyAlignment="1" applyProtection="1">
      <alignment horizontal="center"/>
      <protection hidden="1"/>
    </xf>
    <xf numFmtId="168" fontId="17" fillId="0" borderId="3" xfId="4" applyNumberFormat="1" applyFont="1" applyBorder="1" applyAlignment="1" applyProtection="1">
      <alignment horizontal="center"/>
      <protection hidden="1"/>
    </xf>
    <xf numFmtId="0" fontId="80" fillId="0" borderId="3" xfId="4" applyFont="1" applyBorder="1" applyAlignment="1" applyProtection="1">
      <alignment horizontal="center"/>
      <protection hidden="1"/>
    </xf>
    <xf numFmtId="0" fontId="17" fillId="0" borderId="9" xfId="4" applyFont="1" applyBorder="1" applyAlignment="1" applyProtection="1">
      <alignment horizontal="center"/>
      <protection hidden="1"/>
    </xf>
    <xf numFmtId="0" fontId="80" fillId="0" borderId="0" xfId="4" applyFont="1" applyAlignment="1" applyProtection="1">
      <alignment horizontal="center"/>
      <protection hidden="1"/>
    </xf>
    <xf numFmtId="4" fontId="22" fillId="0" borderId="3" xfId="4" applyNumberFormat="1" applyFont="1" applyBorder="1" applyAlignment="1" applyProtection="1">
      <alignment horizontal="center"/>
      <protection hidden="1"/>
    </xf>
    <xf numFmtId="0" fontId="22" fillId="0" borderId="2" xfId="4" applyFont="1" applyBorder="1" applyProtection="1">
      <protection hidden="1"/>
    </xf>
    <xf numFmtId="0" fontId="17" fillId="0" borderId="2" xfId="4" applyFont="1" applyBorder="1" applyProtection="1">
      <protection hidden="1"/>
    </xf>
    <xf numFmtId="0" fontId="17" fillId="0" borderId="0" xfId="4" applyFont="1" applyAlignment="1" applyProtection="1">
      <alignment horizontal="right" vertical="center"/>
      <protection hidden="1"/>
    </xf>
    <xf numFmtId="0" fontId="17" fillId="0" borderId="0" xfId="4" applyFont="1" applyAlignment="1" applyProtection="1">
      <alignment horizontal="left" vertical="center"/>
      <protection hidden="1"/>
    </xf>
    <xf numFmtId="0" fontId="17" fillId="13" borderId="0" xfId="4" applyFont="1" applyFill="1" applyAlignment="1" applyProtection="1">
      <alignment horizontal="center"/>
      <protection hidden="1"/>
    </xf>
    <xf numFmtId="0" fontId="17" fillId="13" borderId="0" xfId="4" applyFont="1" applyFill="1" applyProtection="1">
      <protection hidden="1"/>
    </xf>
    <xf numFmtId="0" fontId="81" fillId="0" borderId="0" xfId="4" applyFont="1" applyProtection="1">
      <protection hidden="1"/>
    </xf>
    <xf numFmtId="0" fontId="81" fillId="0" borderId="0" xfId="4" applyFont="1" applyAlignment="1" applyProtection="1">
      <alignment horizontal="left"/>
      <protection hidden="1"/>
    </xf>
    <xf numFmtId="0" fontId="17" fillId="13" borderId="0" xfId="4" applyFont="1" applyFill="1" applyAlignment="1" applyProtection="1">
      <alignment horizontal="left"/>
      <protection hidden="1"/>
    </xf>
    <xf numFmtId="0" fontId="81" fillId="0" borderId="0" xfId="4" applyFont="1" applyAlignment="1" applyProtection="1">
      <alignment horizontal="right"/>
      <protection hidden="1"/>
    </xf>
    <xf numFmtId="0" fontId="17" fillId="0" borderId="0" xfId="4" applyFont="1" applyAlignment="1" applyProtection="1">
      <alignment horizontal="center"/>
      <protection locked="0" hidden="1"/>
    </xf>
    <xf numFmtId="3" fontId="17" fillId="0" borderId="0" xfId="4" applyNumberFormat="1" applyFont="1" applyAlignment="1" applyProtection="1">
      <alignment horizontal="center"/>
      <protection hidden="1"/>
    </xf>
    <xf numFmtId="0" fontId="81" fillId="0" borderId="0" xfId="4" applyFont="1" applyAlignment="1" applyProtection="1">
      <alignment horizontal="center"/>
      <protection hidden="1"/>
    </xf>
    <xf numFmtId="2" fontId="22" fillId="0" borderId="3" xfId="4" applyNumberFormat="1" applyFont="1" applyBorder="1" applyAlignment="1" applyProtection="1">
      <alignment horizontal="center" vertical="center"/>
      <protection hidden="1"/>
    </xf>
    <xf numFmtId="169" fontId="22" fillId="0" borderId="3" xfId="4" applyNumberFormat="1" applyFont="1" applyBorder="1" applyAlignment="1" applyProtection="1">
      <alignment horizontal="center" vertical="center"/>
      <protection hidden="1"/>
    </xf>
    <xf numFmtId="164" fontId="81" fillId="0" borderId="0" xfId="4" applyNumberFormat="1" applyFont="1" applyProtection="1">
      <protection hidden="1"/>
    </xf>
    <xf numFmtId="0" fontId="83" fillId="0" borderId="0" xfId="4" applyFont="1" applyAlignment="1" applyProtection="1">
      <alignment horizontal="center"/>
      <protection locked="0" hidden="1"/>
    </xf>
    <xf numFmtId="0" fontId="75" fillId="0" borderId="0" xfId="4" applyFont="1" applyProtection="1">
      <protection hidden="1"/>
    </xf>
    <xf numFmtId="0" fontId="51" fillId="0" borderId="2" xfId="6" applyFont="1" applyBorder="1" applyAlignment="1" applyProtection="1">
      <alignment vertical="center"/>
      <protection hidden="1"/>
    </xf>
    <xf numFmtId="0" fontId="84" fillId="0" borderId="2" xfId="6" applyFont="1" applyBorder="1" applyAlignment="1" applyProtection="1">
      <alignment vertical="center"/>
      <protection hidden="1"/>
    </xf>
    <xf numFmtId="0" fontId="10" fillId="0" borderId="0" xfId="6" applyFont="1" applyAlignment="1" applyProtection="1">
      <alignment vertical="center"/>
      <protection hidden="1"/>
    </xf>
    <xf numFmtId="169" fontId="22" fillId="0" borderId="0" xfId="4" applyNumberFormat="1" applyFont="1" applyAlignment="1" applyProtection="1">
      <alignment horizontal="center" vertical="center"/>
      <protection hidden="1"/>
    </xf>
    <xf numFmtId="0" fontId="17" fillId="0" borderId="0" xfId="4" applyFont="1" applyProtection="1">
      <protection locked="0" hidden="1"/>
    </xf>
    <xf numFmtId="0" fontId="22" fillId="0" borderId="0" xfId="4" applyFont="1" applyAlignment="1" applyProtection="1">
      <alignment vertical="center"/>
      <protection hidden="1"/>
    </xf>
    <xf numFmtId="0" fontId="38" fillId="0" borderId="0" xfId="4" applyFont="1" applyAlignment="1" applyProtection="1">
      <alignment vertical="center"/>
      <protection hidden="1"/>
    </xf>
    <xf numFmtId="1" fontId="38" fillId="0" borderId="0" xfId="4" applyNumberFormat="1" applyFont="1" applyAlignment="1" applyProtection="1">
      <alignment horizontal="center"/>
      <protection hidden="1"/>
    </xf>
    <xf numFmtId="0" fontId="15" fillId="0" borderId="2" xfId="4" applyFont="1" applyBorder="1" applyAlignment="1" applyProtection="1">
      <alignment horizontal="left" vertical="center"/>
      <protection hidden="1"/>
    </xf>
    <xf numFmtId="0" fontId="17" fillId="0" borderId="2" xfId="4" applyFont="1" applyBorder="1" applyAlignment="1" applyProtection="1">
      <alignment horizontal="center" vertical="center"/>
      <protection hidden="1"/>
    </xf>
    <xf numFmtId="0" fontId="15" fillId="0" borderId="2" xfId="4" applyFont="1" applyBorder="1" applyAlignment="1" applyProtection="1">
      <alignment horizontal="center" vertical="center"/>
      <protection hidden="1"/>
    </xf>
    <xf numFmtId="2" fontId="17" fillId="0" borderId="0" xfId="4" applyNumberFormat="1" applyFont="1" applyProtection="1">
      <protection hidden="1"/>
    </xf>
    <xf numFmtId="0" fontId="17" fillId="0" borderId="24" xfId="4" applyFont="1" applyBorder="1" applyAlignment="1" applyProtection="1">
      <alignment vertical="center"/>
      <protection locked="0" hidden="1"/>
    </xf>
    <xf numFmtId="0" fontId="38" fillId="0" borderId="0" xfId="4" applyFont="1" applyProtection="1">
      <protection hidden="1"/>
    </xf>
    <xf numFmtId="0" fontId="38" fillId="0" borderId="9" xfId="4" applyFont="1" applyBorder="1" applyAlignment="1" applyProtection="1">
      <alignment horizontal="center"/>
      <protection hidden="1"/>
    </xf>
    <xf numFmtId="0" fontId="12" fillId="22" borderId="0" xfId="2" applyFont="1" applyFill="1" applyBorder="1" applyAlignment="1" applyProtection="1">
      <alignment horizontal="right" vertical="top"/>
    </xf>
    <xf numFmtId="1" fontId="17" fillId="0" borderId="0" xfId="4" applyNumberFormat="1" applyFont="1" applyAlignment="1" applyProtection="1">
      <alignment horizontal="center" vertical="center"/>
      <protection hidden="1"/>
    </xf>
    <xf numFmtId="0" fontId="22" fillId="23" borderId="9" xfId="4" applyFont="1" applyFill="1" applyBorder="1" applyAlignment="1" applyProtection="1">
      <alignment horizontal="center"/>
      <protection locked="0" hidden="1"/>
    </xf>
    <xf numFmtId="0" fontId="38" fillId="23" borderId="0" xfId="4" applyFont="1" applyFill="1" applyProtection="1">
      <protection hidden="1"/>
    </xf>
    <xf numFmtId="0" fontId="17" fillId="23" borderId="0" xfId="4" applyFont="1" applyFill="1" applyProtection="1">
      <protection hidden="1"/>
    </xf>
    <xf numFmtId="0" fontId="74" fillId="0" borderId="0" xfId="9" applyFont="1" applyAlignment="1" applyProtection="1">
      <alignment vertical="top"/>
      <protection hidden="1"/>
    </xf>
    <xf numFmtId="0" fontId="51" fillId="0" borderId="0" xfId="9" applyFont="1" applyAlignment="1" applyProtection="1">
      <alignment vertical="center"/>
      <protection hidden="1"/>
    </xf>
    <xf numFmtId="0" fontId="10" fillId="0" borderId="0" xfId="9" applyFont="1" applyAlignment="1" applyProtection="1">
      <alignment vertical="center"/>
      <protection hidden="1"/>
    </xf>
    <xf numFmtId="0" fontId="15" fillId="0" borderId="1" xfId="4" applyFont="1" applyBorder="1" applyAlignment="1" applyProtection="1">
      <alignment horizontal="center" vertical="center"/>
      <protection hidden="1"/>
    </xf>
    <xf numFmtId="0" fontId="15" fillId="0" borderId="0" xfId="4" applyFont="1" applyAlignment="1" applyProtection="1">
      <alignment vertical="center"/>
      <protection hidden="1"/>
    </xf>
    <xf numFmtId="0" fontId="15" fillId="0" borderId="0" xfId="9" applyFont="1" applyAlignment="1" applyProtection="1">
      <alignment horizontal="center" vertical="center"/>
      <protection locked="0" hidden="1"/>
    </xf>
    <xf numFmtId="0" fontId="24" fillId="0" borderId="0" xfId="9" applyFont="1" applyAlignment="1" applyProtection="1">
      <alignment horizontal="right"/>
      <protection hidden="1"/>
    </xf>
    <xf numFmtId="0" fontId="24" fillId="0" borderId="0" xfId="9" applyFont="1" applyProtection="1">
      <protection hidden="1"/>
    </xf>
    <xf numFmtId="0" fontId="17" fillId="0" borderId="0" xfId="9" applyFont="1" applyAlignment="1" applyProtection="1">
      <alignment horizontal="right"/>
      <protection hidden="1"/>
    </xf>
    <xf numFmtId="0" fontId="17" fillId="0" borderId="0" xfId="9" applyFont="1" applyProtection="1">
      <protection hidden="1"/>
    </xf>
    <xf numFmtId="0" fontId="38" fillId="0" borderId="1" xfId="4" applyFont="1" applyBorder="1" applyAlignment="1" applyProtection="1">
      <alignment horizontal="center"/>
      <protection hidden="1"/>
    </xf>
    <xf numFmtId="0" fontId="51" fillId="0" borderId="2" xfId="9" applyFont="1" applyBorder="1" applyAlignment="1" applyProtection="1">
      <alignment vertical="center"/>
      <protection hidden="1"/>
    </xf>
    <xf numFmtId="0" fontId="84" fillId="0" borderId="2" xfId="9" applyFont="1" applyBorder="1" applyAlignment="1" applyProtection="1">
      <alignment vertical="center"/>
      <protection hidden="1"/>
    </xf>
    <xf numFmtId="3" fontId="17" fillId="0" borderId="3" xfId="4" applyNumberFormat="1" applyFont="1" applyBorder="1" applyAlignment="1" applyProtection="1">
      <alignment horizontal="center"/>
      <protection hidden="1"/>
    </xf>
    <xf numFmtId="0" fontId="72" fillId="5" borderId="0" xfId="2" applyFont="1" applyFill="1" applyAlignment="1" applyProtection="1">
      <alignment horizontal="center"/>
      <protection hidden="1"/>
    </xf>
    <xf numFmtId="0" fontId="62" fillId="0" borderId="2" xfId="3" applyBorder="1" applyProtection="1">
      <protection hidden="1"/>
    </xf>
    <xf numFmtId="0" fontId="72" fillId="0" borderId="23" xfId="2" applyFont="1" applyFill="1" applyBorder="1" applyAlignment="1" applyProtection="1">
      <protection hidden="1"/>
    </xf>
    <xf numFmtId="0" fontId="14" fillId="0" borderId="0" xfId="4" applyFont="1" applyAlignment="1" applyProtection="1">
      <alignment vertical="center"/>
      <protection hidden="1"/>
    </xf>
    <xf numFmtId="0" fontId="17" fillId="0" borderId="0" xfId="3" applyFont="1" applyAlignment="1" applyProtection="1">
      <alignment horizontal="center"/>
      <protection hidden="1"/>
    </xf>
    <xf numFmtId="49" fontId="17" fillId="0" borderId="0" xfId="3" applyNumberFormat="1" applyFont="1" applyProtection="1">
      <protection hidden="1"/>
    </xf>
    <xf numFmtId="1" fontId="17" fillId="0" borderId="0" xfId="3" applyNumberFormat="1" applyFont="1" applyProtection="1">
      <protection hidden="1"/>
    </xf>
    <xf numFmtId="0" fontId="88" fillId="0" borderId="0" xfId="3" applyFont="1" applyAlignment="1" applyProtection="1">
      <alignment horizontal="center"/>
      <protection hidden="1"/>
    </xf>
    <xf numFmtId="49" fontId="17" fillId="0" borderId="0" xfId="3" applyNumberFormat="1" applyFont="1" applyAlignment="1" applyProtection="1">
      <alignment horizontal="center"/>
      <protection hidden="1"/>
    </xf>
    <xf numFmtId="0" fontId="44" fillId="0" borderId="0" xfId="3" applyFont="1" applyAlignment="1" applyProtection="1">
      <alignment textRotation="90"/>
      <protection hidden="1"/>
    </xf>
    <xf numFmtId="0" fontId="88" fillId="0" borderId="0" xfId="3" applyFont="1" applyAlignment="1" applyProtection="1">
      <alignment textRotation="90"/>
      <protection hidden="1"/>
    </xf>
    <xf numFmtId="0" fontId="15" fillId="0" borderId="0" xfId="3" applyFont="1" applyAlignment="1" applyProtection="1">
      <alignment horizontal="center" vertical="center"/>
      <protection hidden="1"/>
    </xf>
    <xf numFmtId="0" fontId="88" fillId="0" borderId="0" xfId="3" applyFont="1" applyAlignment="1" applyProtection="1">
      <alignment horizontal="center" vertical="center"/>
      <protection hidden="1"/>
    </xf>
    <xf numFmtId="0" fontId="15" fillId="13" borderId="0" xfId="3" applyFont="1" applyFill="1" applyAlignment="1" applyProtection="1">
      <alignment horizontal="center" vertical="center"/>
      <protection hidden="1"/>
    </xf>
    <xf numFmtId="3" fontId="15" fillId="13" borderId="0" xfId="3" applyNumberFormat="1" applyFont="1" applyFill="1" applyAlignment="1" applyProtection="1">
      <alignment horizontal="center" vertical="center"/>
      <protection hidden="1"/>
    </xf>
    <xf numFmtId="3" fontId="15" fillId="0" borderId="0" xfId="3" applyNumberFormat="1" applyFont="1" applyAlignment="1" applyProtection="1">
      <alignment horizontal="center" vertical="center"/>
      <protection hidden="1"/>
    </xf>
    <xf numFmtId="0" fontId="15" fillId="0" borderId="0" xfId="3" applyFont="1" applyAlignment="1" applyProtection="1">
      <alignment horizontal="center"/>
      <protection hidden="1"/>
    </xf>
    <xf numFmtId="1" fontId="62" fillId="0" borderId="0" xfId="3" applyNumberFormat="1"/>
    <xf numFmtId="0" fontId="88" fillId="0" borderId="0" xfId="3" applyFont="1" applyAlignment="1">
      <alignment horizontal="center"/>
    </xf>
    <xf numFmtId="49" fontId="51" fillId="0" borderId="2" xfId="6" applyNumberFormat="1" applyFont="1" applyBorder="1" applyAlignment="1" applyProtection="1">
      <alignment vertical="center"/>
      <protection hidden="1"/>
    </xf>
    <xf numFmtId="1" fontId="51" fillId="0" borderId="2" xfId="6" applyNumberFormat="1" applyFont="1" applyBorder="1" applyAlignment="1" applyProtection="1">
      <alignment vertical="center"/>
      <protection hidden="1"/>
    </xf>
    <xf numFmtId="0" fontId="71" fillId="0" borderId="0" xfId="3" applyFont="1"/>
    <xf numFmtId="0" fontId="10" fillId="17" borderId="0" xfId="6" applyFont="1" applyFill="1" applyAlignment="1" applyProtection="1">
      <alignment vertical="center"/>
      <protection hidden="1"/>
    </xf>
    <xf numFmtId="0" fontId="56" fillId="17" borderId="0" xfId="6" applyFont="1" applyFill="1" applyAlignment="1" applyProtection="1">
      <alignment vertical="center"/>
      <protection hidden="1"/>
    </xf>
    <xf numFmtId="0" fontId="14" fillId="0" borderId="0" xfId="4" applyFont="1" applyAlignment="1" applyProtection="1">
      <alignment horizontal="center"/>
      <protection hidden="1"/>
    </xf>
    <xf numFmtId="0" fontId="14" fillId="0" borderId="0" xfId="6" applyFont="1" applyAlignment="1" applyProtection="1">
      <alignment horizontal="center"/>
      <protection locked="0" hidden="1"/>
    </xf>
    <xf numFmtId="0" fontId="91" fillId="17" borderId="0" xfId="6" applyFont="1" applyFill="1" applyAlignment="1" applyProtection="1">
      <alignment horizontal="left" vertical="center" indent="1"/>
      <protection hidden="1"/>
    </xf>
    <xf numFmtId="3" fontId="17" fillId="25" borderId="3" xfId="4" applyNumberFormat="1" applyFont="1" applyFill="1" applyBorder="1" applyAlignment="1" applyProtection="1">
      <alignment horizontal="center" vertical="center"/>
      <protection locked="0" hidden="1"/>
    </xf>
    <xf numFmtId="0" fontId="12" fillId="0" borderId="0" xfId="6" applyFont="1" applyAlignment="1" applyProtection="1">
      <alignment vertical="top"/>
      <protection hidden="1"/>
    </xf>
    <xf numFmtId="0" fontId="32" fillId="0" borderId="0" xfId="4" applyFont="1"/>
    <xf numFmtId="0" fontId="32" fillId="0" borderId="0" xfId="4" applyFont="1" applyAlignment="1">
      <alignment vertical="center"/>
    </xf>
    <xf numFmtId="0" fontId="14" fillId="0" borderId="0" xfId="4" applyFont="1" applyProtection="1">
      <protection hidden="1"/>
    </xf>
    <xf numFmtId="0" fontId="31" fillId="0" borderId="0" xfId="4" applyFont="1" applyAlignment="1" applyProtection="1">
      <alignment vertical="center"/>
      <protection hidden="1"/>
    </xf>
    <xf numFmtId="0" fontId="14" fillId="25" borderId="3" xfId="4" applyFont="1" applyFill="1" applyBorder="1" applyAlignment="1" applyProtection="1">
      <alignment horizontal="center" vertical="center"/>
      <protection locked="0" hidden="1"/>
    </xf>
    <xf numFmtId="4" fontId="14" fillId="25" borderId="3" xfId="4" applyNumberFormat="1" applyFont="1" applyFill="1" applyBorder="1" applyAlignment="1" applyProtection="1">
      <alignment horizontal="center" vertical="center"/>
      <protection locked="0" hidden="1"/>
    </xf>
    <xf numFmtId="2" fontId="14" fillId="0" borderId="3" xfId="4" applyNumberFormat="1" applyFont="1" applyBorder="1" applyAlignment="1" applyProtection="1">
      <alignment horizontal="center" vertical="center"/>
      <protection hidden="1"/>
    </xf>
    <xf numFmtId="3" fontId="14" fillId="25" borderId="3" xfId="4" applyNumberFormat="1" applyFont="1" applyFill="1" applyBorder="1" applyAlignment="1" applyProtection="1">
      <alignment horizontal="center" vertical="center"/>
      <protection locked="0" hidden="1"/>
    </xf>
    <xf numFmtId="0" fontId="10" fillId="25" borderId="5" xfId="4" applyFont="1" applyFill="1" applyBorder="1" applyAlignment="1" applyProtection="1">
      <alignment horizontal="center" vertical="center"/>
      <protection locked="0" hidden="1"/>
    </xf>
    <xf numFmtId="0" fontId="14" fillId="0" borderId="0" xfId="4" applyFont="1" applyAlignment="1" applyProtection="1">
      <alignment horizontal="left" vertical="center"/>
      <protection hidden="1"/>
    </xf>
    <xf numFmtId="2" fontId="14" fillId="25" borderId="3" xfId="4" applyNumberFormat="1" applyFont="1" applyFill="1" applyBorder="1" applyAlignment="1" applyProtection="1">
      <alignment horizontal="center" vertical="center"/>
      <protection locked="0" hidden="1"/>
    </xf>
    <xf numFmtId="3" fontId="14" fillId="0" borderId="0" xfId="4" applyNumberFormat="1" applyFont="1" applyProtection="1">
      <protection hidden="1"/>
    </xf>
    <xf numFmtId="0" fontId="45" fillId="0" borderId="0" xfId="4" applyFont="1" applyProtection="1">
      <protection hidden="1"/>
    </xf>
    <xf numFmtId="0" fontId="32" fillId="0" borderId="0" xfId="4" applyFont="1" applyProtection="1">
      <protection hidden="1"/>
    </xf>
    <xf numFmtId="0" fontId="14" fillId="0" borderId="0" xfId="6" applyFont="1" applyAlignment="1" applyProtection="1">
      <alignment horizontal="center" vertical="center"/>
      <protection locked="0" hidden="1"/>
    </xf>
    <xf numFmtId="0" fontId="14" fillId="0" borderId="0" xfId="4" applyFont="1" applyAlignment="1" applyProtection="1">
      <alignment horizontal="center" vertical="center"/>
      <protection hidden="1"/>
    </xf>
    <xf numFmtId="0" fontId="14" fillId="0" borderId="0" xfId="4" applyFont="1" applyAlignment="1" applyProtection="1">
      <alignment horizontal="right" vertical="center"/>
      <protection hidden="1"/>
    </xf>
    <xf numFmtId="3" fontId="14" fillId="0" borderId="0" xfId="4" applyNumberFormat="1" applyFont="1" applyAlignment="1" applyProtection="1">
      <alignment vertical="center"/>
      <protection hidden="1"/>
    </xf>
    <xf numFmtId="0" fontId="14" fillId="0" borderId="0" xfId="6" applyFont="1" applyAlignment="1" applyProtection="1">
      <alignment vertical="top" wrapText="1"/>
      <protection hidden="1"/>
    </xf>
    <xf numFmtId="0" fontId="36" fillId="0" borderId="0" xfId="4" applyFont="1" applyProtection="1">
      <protection hidden="1"/>
    </xf>
    <xf numFmtId="0" fontId="31" fillId="0" borderId="0" xfId="4" applyFont="1" applyProtection="1">
      <protection hidden="1"/>
    </xf>
    <xf numFmtId="0" fontId="14" fillId="0" borderId="0" xfId="4" applyFont="1" applyAlignment="1" applyProtection="1">
      <alignment horizontal="right"/>
      <protection hidden="1"/>
    </xf>
    <xf numFmtId="0" fontId="14" fillId="0" borderId="0" xfId="4" applyFont="1" applyAlignment="1" applyProtection="1">
      <alignment vertical="top"/>
      <protection hidden="1"/>
    </xf>
    <xf numFmtId="0" fontId="14" fillId="0" borderId="0" xfId="4" applyFont="1" applyAlignment="1" applyProtection="1">
      <alignment vertical="top" wrapText="1"/>
      <protection hidden="1"/>
    </xf>
    <xf numFmtId="0" fontId="14" fillId="0" borderId="0" xfId="4" applyFont="1"/>
    <xf numFmtId="0" fontId="11" fillId="0" borderId="0" xfId="0" applyFont="1" applyAlignment="1" applyProtection="1">
      <alignment horizontal="right"/>
      <protection hidden="1"/>
    </xf>
    <xf numFmtId="2" fontId="14" fillId="0" borderId="0" xfId="4" applyNumberFormat="1" applyFont="1" applyAlignment="1" applyProtection="1">
      <alignment horizontal="center" vertical="center"/>
      <protection hidden="1"/>
    </xf>
    <xf numFmtId="0" fontId="17" fillId="0" borderId="0" xfId="0" applyFont="1"/>
    <xf numFmtId="0" fontId="89" fillId="0" borderId="0" xfId="0" applyFont="1"/>
    <xf numFmtId="0" fontId="89" fillId="0" borderId="0" xfId="0" applyFont="1" applyAlignment="1">
      <alignment horizontal="center"/>
    </xf>
    <xf numFmtId="1" fontId="17" fillId="0" borderId="0" xfId="0" applyNumberFormat="1" applyFont="1" applyAlignment="1">
      <alignment horizontal="center"/>
    </xf>
    <xf numFmtId="0" fontId="17" fillId="0" borderId="0" xfId="0" applyFont="1" applyAlignment="1">
      <alignment horizontal="center"/>
    </xf>
    <xf numFmtId="0" fontId="76" fillId="0" borderId="0" xfId="0" applyFont="1"/>
    <xf numFmtId="0" fontId="76" fillId="0" borderId="0" xfId="0" applyFont="1" applyAlignment="1">
      <alignment horizontal="right"/>
    </xf>
    <xf numFmtId="0" fontId="17" fillId="0" borderId="0" xfId="0" applyFont="1" applyAlignment="1">
      <alignment horizontal="right"/>
    </xf>
    <xf numFmtId="0" fontId="73" fillId="0" borderId="0" xfId="0" applyFont="1" applyAlignment="1">
      <alignment horizontal="center"/>
    </xf>
    <xf numFmtId="1" fontId="38" fillId="0" borderId="0" xfId="0" applyNumberFormat="1" applyFont="1" applyAlignment="1">
      <alignment horizontal="center"/>
    </xf>
    <xf numFmtId="0" fontId="38" fillId="0" borderId="0" xfId="0" applyFont="1" applyAlignment="1">
      <alignment horizontal="center"/>
    </xf>
    <xf numFmtId="0" fontId="38" fillId="0" borderId="0" xfId="0" applyFont="1"/>
    <xf numFmtId="170" fontId="17" fillId="0" borderId="0" xfId="0" applyNumberFormat="1" applyFont="1" applyAlignment="1">
      <alignment horizontal="center"/>
    </xf>
    <xf numFmtId="2" fontId="17" fillId="0" borderId="0" xfId="0" applyNumberFormat="1" applyFont="1" applyAlignment="1">
      <alignment horizontal="center"/>
    </xf>
    <xf numFmtId="170" fontId="38" fillId="0" borderId="0" xfId="0" applyNumberFormat="1" applyFont="1" applyAlignment="1">
      <alignment horizontal="center"/>
    </xf>
    <xf numFmtId="0" fontId="14" fillId="0" borderId="9" xfId="4" applyFont="1" applyBorder="1" applyAlignment="1" applyProtection="1">
      <alignment horizontal="right" vertical="center"/>
      <protection hidden="1"/>
    </xf>
    <xf numFmtId="0" fontId="62" fillId="0" borderId="0" xfId="3" applyAlignment="1">
      <alignment horizontal="right"/>
    </xf>
    <xf numFmtId="0" fontId="14" fillId="0" borderId="1" xfId="4" applyFont="1" applyBorder="1" applyAlignment="1" applyProtection="1">
      <alignment horizontal="right" vertical="center"/>
      <protection hidden="1"/>
    </xf>
    <xf numFmtId="0" fontId="17" fillId="0" borderId="9" xfId="4" applyFont="1" applyBorder="1" applyAlignment="1" applyProtection="1">
      <alignment horizontal="center"/>
      <protection locked="0" hidden="1"/>
    </xf>
    <xf numFmtId="0" fontId="62" fillId="0" borderId="0" xfId="3" applyAlignment="1" applyProtection="1">
      <alignment horizontal="center"/>
      <protection hidden="1"/>
    </xf>
    <xf numFmtId="0" fontId="62" fillId="0" borderId="3" xfId="3" applyBorder="1" applyAlignment="1" applyProtection="1">
      <alignment horizontal="center"/>
      <protection hidden="1"/>
    </xf>
    <xf numFmtId="0" fontId="17" fillId="0" borderId="24" xfId="4" applyFont="1" applyBorder="1" applyAlignment="1" applyProtection="1">
      <alignment horizontal="center"/>
      <protection hidden="1"/>
    </xf>
    <xf numFmtId="0" fontId="15" fillId="0" borderId="1" xfId="0" applyFont="1" applyBorder="1" applyProtection="1">
      <protection hidden="1"/>
    </xf>
    <xf numFmtId="0" fontId="51" fillId="10" borderId="0" xfId="11" applyFont="1" applyFill="1" applyAlignment="1" applyProtection="1">
      <alignment vertical="center"/>
      <protection hidden="1"/>
    </xf>
    <xf numFmtId="0" fontId="94" fillId="10" borderId="0" xfId="11" applyFont="1" applyFill="1" applyAlignment="1" applyProtection="1">
      <alignment vertical="center"/>
      <protection hidden="1"/>
    </xf>
    <xf numFmtId="0" fontId="84" fillId="10" borderId="0" xfId="11" applyFont="1" applyFill="1" applyAlignment="1" applyProtection="1">
      <alignment vertical="center"/>
      <protection hidden="1"/>
    </xf>
    <xf numFmtId="0" fontId="51" fillId="0" borderId="0" xfId="11" applyFont="1" applyAlignment="1" applyProtection="1">
      <alignment vertical="center"/>
      <protection hidden="1"/>
    </xf>
    <xf numFmtId="0" fontId="72" fillId="0" borderId="23" xfId="2" applyFont="1" applyFill="1" applyBorder="1" applyAlignment="1" applyProtection="1"/>
    <xf numFmtId="0" fontId="51" fillId="0" borderId="2" xfId="11" applyFont="1" applyBorder="1" applyAlignment="1" applyProtection="1">
      <alignment vertical="center"/>
      <protection hidden="1"/>
    </xf>
    <xf numFmtId="0" fontId="51" fillId="10" borderId="0" xfId="9" applyFont="1" applyFill="1" applyAlignment="1" applyProtection="1">
      <alignment vertical="center"/>
      <protection hidden="1"/>
    </xf>
    <xf numFmtId="0" fontId="84" fillId="10" borderId="0" xfId="9" applyFont="1" applyFill="1" applyAlignment="1" applyProtection="1">
      <alignment vertical="center"/>
      <protection hidden="1"/>
    </xf>
    <xf numFmtId="0" fontId="94" fillId="10" borderId="0" xfId="9" applyFont="1" applyFill="1" applyAlignment="1" applyProtection="1">
      <alignment vertical="center"/>
      <protection hidden="1"/>
    </xf>
    <xf numFmtId="0" fontId="74" fillId="0" borderId="0" xfId="11" applyFont="1" applyAlignment="1" applyProtection="1">
      <alignment vertical="top"/>
      <protection hidden="1"/>
    </xf>
    <xf numFmtId="0" fontId="10" fillId="0" borderId="0" xfId="11" applyFont="1" applyAlignment="1" applyProtection="1">
      <alignment vertical="center"/>
      <protection hidden="1"/>
    </xf>
    <xf numFmtId="0" fontId="49" fillId="0" borderId="0" xfId="11" applyFont="1" applyAlignment="1" applyProtection="1">
      <alignment vertical="center"/>
      <protection hidden="1"/>
    </xf>
    <xf numFmtId="0" fontId="17" fillId="16" borderId="0" xfId="4" applyFont="1" applyFill="1" applyAlignment="1" applyProtection="1">
      <alignment horizontal="center"/>
      <protection hidden="1"/>
    </xf>
    <xf numFmtId="0" fontId="17" fillId="0" borderId="0" xfId="11" applyFont="1" applyAlignment="1" applyProtection="1">
      <alignment horizontal="right"/>
      <protection hidden="1"/>
    </xf>
    <xf numFmtId="0" fontId="17" fillId="0" borderId="0" xfId="11" applyFont="1" applyProtection="1">
      <protection hidden="1"/>
    </xf>
    <xf numFmtId="0" fontId="95" fillId="0" borderId="0" xfId="4" applyFont="1" applyAlignment="1" applyProtection="1">
      <alignment horizontal="center"/>
      <protection hidden="1"/>
    </xf>
    <xf numFmtId="3" fontId="17" fillId="0" borderId="0" xfId="4" applyNumberFormat="1" applyFont="1" applyProtection="1">
      <protection hidden="1"/>
    </xf>
    <xf numFmtId="0" fontId="22" fillId="0" borderId="0" xfId="4" applyFont="1" applyProtection="1">
      <protection hidden="1"/>
    </xf>
    <xf numFmtId="0" fontId="84" fillId="0" borderId="2" xfId="11" applyFont="1" applyBorder="1" applyAlignment="1" applyProtection="1">
      <alignment vertical="center"/>
      <protection hidden="1"/>
    </xf>
    <xf numFmtId="0" fontId="12" fillId="12" borderId="0" xfId="2" applyFont="1" applyFill="1" applyBorder="1" applyAlignment="1" applyProtection="1">
      <alignment horizontal="left" vertical="top"/>
    </xf>
    <xf numFmtId="0" fontId="17" fillId="0" borderId="0" xfId="4" applyFont="1" applyAlignment="1" applyProtection="1">
      <alignment horizontal="center" vertical="top"/>
      <protection hidden="1"/>
    </xf>
    <xf numFmtId="0" fontId="17" fillId="23" borderId="0" xfId="4" applyFont="1" applyFill="1" applyAlignment="1">
      <alignment horizontal="left"/>
    </xf>
    <xf numFmtId="2" fontId="17" fillId="23" borderId="0" xfId="4" applyNumberFormat="1" applyFont="1" applyFill="1" applyAlignment="1" applyProtection="1">
      <alignment horizontal="right"/>
      <protection hidden="1"/>
    </xf>
    <xf numFmtId="0" fontId="17" fillId="21" borderId="0" xfId="4" applyFont="1" applyFill="1" applyAlignment="1" applyProtection="1">
      <alignment horizontal="right"/>
      <protection hidden="1"/>
    </xf>
    <xf numFmtId="0" fontId="22" fillId="23" borderId="0" xfId="4" applyFont="1" applyFill="1" applyAlignment="1" applyProtection="1">
      <alignment horizontal="center"/>
      <protection locked="0" hidden="1"/>
    </xf>
    <xf numFmtId="0" fontId="17" fillId="23" borderId="0" xfId="4" applyFont="1" applyFill="1" applyAlignment="1" applyProtection="1">
      <alignment horizontal="center"/>
      <protection hidden="1"/>
    </xf>
    <xf numFmtId="0" fontId="17" fillId="21" borderId="0" xfId="4" applyFont="1" applyFill="1" applyProtection="1">
      <protection hidden="1"/>
    </xf>
    <xf numFmtId="170" fontId="17" fillId="23" borderId="0" xfId="4" applyNumberFormat="1" applyFont="1" applyFill="1" applyAlignment="1" applyProtection="1">
      <alignment horizontal="right"/>
      <protection hidden="1"/>
    </xf>
    <xf numFmtId="170" fontId="17" fillId="21" borderId="0" xfId="4" applyNumberFormat="1" applyFont="1" applyFill="1" applyProtection="1">
      <protection hidden="1"/>
    </xf>
    <xf numFmtId="169" fontId="22" fillId="23" borderId="3" xfId="4" applyNumberFormat="1" applyFont="1" applyFill="1" applyBorder="1" applyAlignment="1" applyProtection="1">
      <alignment horizontal="center" vertical="center"/>
      <protection hidden="1"/>
    </xf>
    <xf numFmtId="0" fontId="22" fillId="23" borderId="0" xfId="4" applyFont="1" applyFill="1" applyAlignment="1" applyProtection="1">
      <alignment horizontal="center"/>
      <protection hidden="1"/>
    </xf>
    <xf numFmtId="164" fontId="17" fillId="0" borderId="0" xfId="4" applyNumberFormat="1" applyFont="1" applyProtection="1">
      <protection hidden="1"/>
    </xf>
    <xf numFmtId="0" fontId="17" fillId="23" borderId="0" xfId="4" applyFont="1" applyFill="1" applyAlignment="1" applyProtection="1">
      <alignment horizontal="left"/>
      <protection hidden="1"/>
    </xf>
    <xf numFmtId="2" fontId="17" fillId="23" borderId="3" xfId="4" applyNumberFormat="1" applyFont="1" applyFill="1" applyBorder="1" applyAlignment="1">
      <alignment horizontal="center" vertical="center"/>
    </xf>
    <xf numFmtId="0" fontId="22" fillId="0" borderId="24" xfId="4" applyFont="1" applyBorder="1" applyProtection="1">
      <protection locked="0" hidden="1"/>
    </xf>
    <xf numFmtId="0" fontId="61" fillId="0" borderId="0" xfId="2" applyAlignment="1" applyProtection="1">
      <protection hidden="1"/>
    </xf>
    <xf numFmtId="0" fontId="17" fillId="23" borderId="0" xfId="4" applyFont="1" applyFill="1" applyAlignment="1" applyProtection="1">
      <alignment horizontal="right"/>
      <protection hidden="1"/>
    </xf>
    <xf numFmtId="1" fontId="17" fillId="0" borderId="0" xfId="4" applyNumberFormat="1" applyFont="1" applyProtection="1">
      <protection hidden="1"/>
    </xf>
    <xf numFmtId="0" fontId="61" fillId="0" borderId="0" xfId="2" applyAlignment="1" applyProtection="1">
      <alignment horizontal="right" vertical="center"/>
      <protection hidden="1"/>
    </xf>
    <xf numFmtId="0" fontId="73" fillId="0" borderId="0" xfId="11" applyFont="1" applyProtection="1">
      <protection hidden="1"/>
    </xf>
    <xf numFmtId="0" fontId="15" fillId="0" borderId="0" xfId="11" applyFont="1" applyProtection="1">
      <protection hidden="1"/>
    </xf>
    <xf numFmtId="0" fontId="17" fillId="0" borderId="0" xfId="11" applyFont="1" applyAlignment="1" applyProtection="1">
      <alignment horizontal="center"/>
      <protection hidden="1"/>
    </xf>
    <xf numFmtId="0" fontId="75" fillId="0" borderId="0" xfId="11" applyFont="1" applyAlignment="1" applyProtection="1">
      <alignment horizontal="center"/>
      <protection hidden="1"/>
    </xf>
    <xf numFmtId="0" fontId="22" fillId="0" borderId="0" xfId="11" applyFont="1" applyAlignment="1" applyProtection="1">
      <alignment horizontal="center"/>
      <protection hidden="1"/>
    </xf>
    <xf numFmtId="0" fontId="76" fillId="0" borderId="0" xfId="11" applyFont="1" applyAlignment="1" applyProtection="1">
      <alignment horizontal="right"/>
      <protection hidden="1"/>
    </xf>
    <xf numFmtId="0" fontId="15" fillId="0" borderId="0" xfId="11" applyFont="1" applyAlignment="1" applyProtection="1">
      <alignment horizontal="center"/>
      <protection hidden="1"/>
    </xf>
    <xf numFmtId="0" fontId="24" fillId="0" borderId="0" xfId="11" applyFont="1" applyAlignment="1" applyProtection="1">
      <alignment horizontal="right"/>
      <protection hidden="1"/>
    </xf>
    <xf numFmtId="0" fontId="24" fillId="0" borderId="0" xfId="11" applyFont="1" applyProtection="1">
      <protection hidden="1"/>
    </xf>
    <xf numFmtId="170" fontId="17" fillId="23" borderId="0" xfId="4" applyNumberFormat="1" applyFont="1" applyFill="1" applyProtection="1">
      <protection hidden="1"/>
    </xf>
    <xf numFmtId="0" fontId="22" fillId="5" borderId="0" xfId="4" applyFont="1" applyFill="1" applyAlignment="1" applyProtection="1">
      <alignment horizontal="center"/>
      <protection locked="0" hidden="1"/>
    </xf>
    <xf numFmtId="0" fontId="17" fillId="7" borderId="0" xfId="4" applyFont="1" applyFill="1" applyProtection="1">
      <protection hidden="1"/>
    </xf>
    <xf numFmtId="0" fontId="17" fillId="0" borderId="0" xfId="3" applyFont="1"/>
    <xf numFmtId="0" fontId="76" fillId="0" borderId="0" xfId="3" applyFont="1"/>
    <xf numFmtId="1" fontId="17" fillId="0" borderId="0" xfId="3" applyNumberFormat="1" applyFont="1" applyAlignment="1">
      <alignment horizontal="center"/>
    </xf>
    <xf numFmtId="0" fontId="17" fillId="0" borderId="0" xfId="3" applyFont="1" applyAlignment="1">
      <alignment horizontal="center"/>
    </xf>
    <xf numFmtId="0" fontId="89" fillId="0" borderId="0" xfId="3" applyFont="1"/>
    <xf numFmtId="0" fontId="89" fillId="0" borderId="0" xfId="3" applyFont="1" applyAlignment="1">
      <alignment horizontal="center"/>
    </xf>
    <xf numFmtId="0" fontId="76" fillId="0" borderId="0" xfId="3" applyFont="1" applyAlignment="1">
      <alignment horizontal="right"/>
    </xf>
    <xf numFmtId="0" fontId="17" fillId="0" borderId="0" xfId="3" applyFont="1" applyAlignment="1">
      <alignment horizontal="right"/>
    </xf>
    <xf numFmtId="0" fontId="22" fillId="0" borderId="0" xfId="3" applyFont="1" applyAlignment="1">
      <alignment horizontal="center"/>
    </xf>
    <xf numFmtId="0" fontId="73" fillId="0" borderId="0" xfId="3" applyFont="1" applyAlignment="1">
      <alignment horizontal="center"/>
    </xf>
    <xf numFmtId="1" fontId="38" fillId="0" borderId="0" xfId="3" applyNumberFormat="1" applyFont="1" applyAlignment="1">
      <alignment horizontal="center"/>
    </xf>
    <xf numFmtId="0" fontId="38" fillId="0" borderId="0" xfId="3" applyFont="1" applyAlignment="1">
      <alignment horizontal="center"/>
    </xf>
    <xf numFmtId="0" fontId="38" fillId="0" borderId="0" xfId="3" applyFont="1"/>
    <xf numFmtId="170" fontId="17" fillId="0" borderId="0" xfId="3" applyNumberFormat="1" applyFont="1" applyAlignment="1">
      <alignment horizontal="center"/>
    </xf>
    <xf numFmtId="2" fontId="17" fillId="0" borderId="0" xfId="3" applyNumberFormat="1" applyFont="1" applyAlignment="1">
      <alignment horizontal="center"/>
    </xf>
    <xf numFmtId="170" fontId="38" fillId="0" borderId="0" xfId="3" applyNumberFormat="1" applyFont="1" applyAlignment="1">
      <alignment horizontal="center"/>
    </xf>
    <xf numFmtId="0" fontId="22" fillId="26" borderId="0" xfId="4" applyFont="1" applyFill="1" applyAlignment="1" applyProtection="1">
      <alignment horizontal="center"/>
      <protection locked="0" hidden="1"/>
    </xf>
    <xf numFmtId="0" fontId="34" fillId="26" borderId="0" xfId="3" applyFont="1" applyFill="1" applyAlignment="1" applyProtection="1">
      <alignment horizontal="center"/>
      <protection locked="0" hidden="1"/>
    </xf>
    <xf numFmtId="0" fontId="38" fillId="26" borderId="0" xfId="4" applyFont="1" applyFill="1" applyAlignment="1" applyProtection="1">
      <alignment horizontal="center"/>
      <protection hidden="1"/>
    </xf>
    <xf numFmtId="0" fontId="17" fillId="26" borderId="0" xfId="4" applyFont="1" applyFill="1" applyProtection="1">
      <protection hidden="1"/>
    </xf>
    <xf numFmtId="0" fontId="94" fillId="10" borderId="0" xfId="11" applyFont="1" applyFill="1" applyProtection="1">
      <protection hidden="1"/>
    </xf>
    <xf numFmtId="0" fontId="62" fillId="14" borderId="0" xfId="3" applyFill="1" applyProtection="1">
      <protection hidden="1"/>
    </xf>
    <xf numFmtId="0" fontId="13" fillId="14" borderId="0" xfId="3" applyFont="1" applyFill="1" applyProtection="1">
      <protection hidden="1"/>
    </xf>
    <xf numFmtId="0" fontId="13" fillId="16" borderId="0" xfId="3" applyFont="1" applyFill="1" applyAlignment="1" applyProtection="1">
      <alignment vertical="center"/>
      <protection hidden="1"/>
    </xf>
    <xf numFmtId="0" fontId="9" fillId="16" borderId="0" xfId="3" applyFont="1" applyFill="1" applyAlignment="1" applyProtection="1">
      <alignment vertical="center"/>
      <protection hidden="1"/>
    </xf>
    <xf numFmtId="0" fontId="70" fillId="0" borderId="23" xfId="2" applyFont="1" applyFill="1" applyBorder="1" applyAlignment="1" applyProtection="1">
      <protection hidden="1"/>
    </xf>
    <xf numFmtId="0" fontId="9" fillId="16" borderId="0" xfId="3" applyFont="1" applyFill="1" applyProtection="1">
      <protection hidden="1"/>
    </xf>
    <xf numFmtId="0" fontId="14" fillId="0" borderId="0" xfId="10" applyFont="1" applyProtection="1">
      <protection hidden="1"/>
    </xf>
    <xf numFmtId="0" fontId="56" fillId="0" borderId="0" xfId="2" applyFont="1" applyFill="1" applyBorder="1" applyAlignment="1" applyProtection="1">
      <protection hidden="1"/>
    </xf>
    <xf numFmtId="0" fontId="56" fillId="12" borderId="15" xfId="2" applyFont="1" applyFill="1" applyBorder="1" applyAlignment="1" applyProtection="1">
      <alignment vertical="center"/>
      <protection hidden="1"/>
    </xf>
    <xf numFmtId="0" fontId="14" fillId="0" borderId="3" xfId="10" applyFont="1" applyBorder="1" applyAlignment="1" applyProtection="1">
      <alignment horizontal="center"/>
      <protection hidden="1"/>
    </xf>
    <xf numFmtId="0" fontId="10" fillId="0" borderId="3" xfId="10" applyFont="1" applyBorder="1" applyAlignment="1" applyProtection="1">
      <alignment horizontal="center"/>
      <protection hidden="1"/>
    </xf>
    <xf numFmtId="0" fontId="14" fillId="0" borderId="0" xfId="10" applyFont="1" applyAlignment="1" applyProtection="1">
      <alignment horizontal="center"/>
      <protection hidden="1"/>
    </xf>
    <xf numFmtId="0" fontId="10" fillId="0" borderId="0" xfId="10" applyFont="1" applyAlignment="1" applyProtection="1">
      <alignment horizontal="center"/>
      <protection hidden="1"/>
    </xf>
    <xf numFmtId="0" fontId="12" fillId="0" borderId="0" xfId="10" applyFont="1" applyProtection="1">
      <protection hidden="1"/>
    </xf>
    <xf numFmtId="0" fontId="12" fillId="0" borderId="0" xfId="10" applyFont="1" applyAlignment="1" applyProtection="1">
      <alignment horizontal="left"/>
      <protection hidden="1"/>
    </xf>
    <xf numFmtId="0" fontId="14" fillId="0" borderId="38" xfId="10" applyFont="1" applyBorder="1" applyProtection="1">
      <protection hidden="1"/>
    </xf>
    <xf numFmtId="0" fontId="32" fillId="0" borderId="38" xfId="10" applyFont="1" applyBorder="1" applyProtection="1">
      <protection hidden="1"/>
    </xf>
    <xf numFmtId="0" fontId="14" fillId="0" borderId="39" xfId="10" applyFont="1" applyBorder="1" applyProtection="1">
      <protection hidden="1"/>
    </xf>
    <xf numFmtId="0" fontId="31" fillId="0" borderId="0" xfId="10" applyFont="1" applyAlignment="1" applyProtection="1">
      <alignment horizontal="center"/>
      <protection hidden="1"/>
    </xf>
    <xf numFmtId="0" fontId="31" fillId="0" borderId="0" xfId="3" applyFont="1" applyProtection="1">
      <protection hidden="1"/>
    </xf>
    <xf numFmtId="2" fontId="17" fillId="0" borderId="24" xfId="4" applyNumberFormat="1" applyFont="1" applyBorder="1" applyAlignment="1" applyProtection="1">
      <alignment horizontal="center"/>
      <protection hidden="1"/>
    </xf>
    <xf numFmtId="0" fontId="14" fillId="0" borderId="0" xfId="11" applyFont="1" applyAlignment="1" applyProtection="1">
      <alignment horizontal="center"/>
      <protection locked="0" hidden="1"/>
    </xf>
    <xf numFmtId="0" fontId="14" fillId="0" borderId="0" xfId="11" applyFont="1" applyAlignment="1" applyProtection="1">
      <alignment vertical="top" wrapText="1"/>
      <protection hidden="1"/>
    </xf>
    <xf numFmtId="0" fontId="98" fillId="0" borderId="0" xfId="7" applyFont="1" applyFill="1" applyBorder="1" applyAlignment="1" applyProtection="1">
      <protection hidden="1"/>
    </xf>
    <xf numFmtId="0" fontId="90" fillId="0" borderId="0" xfId="2" applyFont="1" applyAlignment="1" applyProtection="1">
      <protection hidden="1"/>
    </xf>
    <xf numFmtId="3" fontId="14" fillId="0" borderId="4" xfId="4" applyNumberFormat="1" applyFont="1" applyBorder="1" applyAlignment="1" applyProtection="1">
      <alignment horizontal="center" vertical="center"/>
      <protection hidden="1"/>
    </xf>
    <xf numFmtId="0" fontId="14" fillId="0" borderId="0" xfId="11" applyFont="1" applyAlignment="1" applyProtection="1">
      <alignment horizontal="center" vertical="center"/>
      <protection locked="0" hidden="1"/>
    </xf>
    <xf numFmtId="0" fontId="45" fillId="0" borderId="0" xfId="4" applyFont="1" applyAlignment="1" applyProtection="1">
      <alignment vertical="center"/>
      <protection hidden="1"/>
    </xf>
    <xf numFmtId="0" fontId="14" fillId="0" borderId="0" xfId="4" applyFont="1" applyAlignment="1" applyProtection="1">
      <alignment horizontal="center" vertical="center"/>
      <protection locked="0" hidden="1"/>
    </xf>
    <xf numFmtId="0" fontId="32" fillId="0" borderId="0" xfId="4" applyFont="1" applyAlignment="1" applyProtection="1">
      <alignment vertical="center"/>
      <protection hidden="1"/>
    </xf>
    <xf numFmtId="0" fontId="14" fillId="25" borderId="20" xfId="4" applyFont="1" applyFill="1" applyBorder="1" applyAlignment="1" applyProtection="1">
      <alignment horizontal="center" vertical="center"/>
      <protection locked="0" hidden="1"/>
    </xf>
    <xf numFmtId="0" fontId="14" fillId="0" borderId="40" xfId="4" applyFont="1" applyBorder="1" applyAlignment="1" applyProtection="1">
      <alignment horizontal="right" vertical="center"/>
      <protection hidden="1"/>
    </xf>
    <xf numFmtId="0" fontId="17" fillId="15" borderId="9" xfId="4" applyFont="1" applyFill="1" applyBorder="1" applyAlignment="1" applyProtection="1">
      <alignment horizontal="center"/>
      <protection hidden="1"/>
    </xf>
    <xf numFmtId="0" fontId="17" fillId="15" borderId="3" xfId="4" applyFont="1" applyFill="1" applyBorder="1" applyAlignment="1" applyProtection="1">
      <alignment horizontal="center"/>
      <protection hidden="1"/>
    </xf>
    <xf numFmtId="0" fontId="99" fillId="0" borderId="0" xfId="3" applyFont="1" applyProtection="1">
      <protection hidden="1"/>
    </xf>
    <xf numFmtId="3" fontId="10" fillId="25" borderId="5" xfId="4" applyNumberFormat="1" applyFont="1" applyFill="1" applyBorder="1" applyAlignment="1" applyProtection="1">
      <alignment horizontal="center" vertical="center"/>
      <protection locked="0" hidden="1"/>
    </xf>
    <xf numFmtId="2" fontId="33" fillId="0" borderId="0" xfId="0" applyNumberFormat="1" applyFont="1" applyAlignment="1" applyProtection="1">
      <alignment horizontal="center"/>
      <protection hidden="1"/>
    </xf>
    <xf numFmtId="1" fontId="33" fillId="2" borderId="0" xfId="0" applyNumberFormat="1" applyFont="1" applyFill="1" applyAlignment="1" applyProtection="1">
      <alignment horizontal="center"/>
      <protection locked="0"/>
    </xf>
    <xf numFmtId="0" fontId="22" fillId="0" borderId="11" xfId="0" applyFont="1" applyBorder="1" applyAlignment="1" applyProtection="1">
      <alignment horizontal="center"/>
      <protection hidden="1"/>
    </xf>
    <xf numFmtId="1" fontId="17" fillId="0" borderId="4" xfId="0" applyNumberFormat="1" applyFont="1" applyBorder="1" applyAlignment="1" applyProtection="1">
      <alignment horizontal="center" vertical="center"/>
      <protection hidden="1"/>
    </xf>
    <xf numFmtId="0" fontId="17" fillId="26" borderId="1" xfId="0" applyFont="1" applyFill="1" applyBorder="1" applyProtection="1">
      <protection hidden="1"/>
    </xf>
    <xf numFmtId="0" fontId="18" fillId="27" borderId="1" xfId="0" applyFont="1" applyFill="1" applyBorder="1" applyAlignment="1" applyProtection="1">
      <alignment horizontal="left" vertical="center"/>
      <protection hidden="1"/>
    </xf>
    <xf numFmtId="0" fontId="19" fillId="26" borderId="1" xfId="0" applyFont="1" applyFill="1" applyBorder="1" applyProtection="1">
      <protection hidden="1"/>
    </xf>
    <xf numFmtId="2" fontId="20" fillId="26" borderId="1" xfId="0" applyNumberFormat="1" applyFont="1" applyFill="1" applyBorder="1" applyAlignment="1" applyProtection="1">
      <alignment horizontal="center"/>
      <protection hidden="1"/>
    </xf>
    <xf numFmtId="2" fontId="20" fillId="26" borderId="0" xfId="0" applyNumberFormat="1" applyFont="1" applyFill="1" applyAlignment="1" applyProtection="1">
      <alignment horizontal="center"/>
      <protection hidden="1"/>
    </xf>
    <xf numFmtId="0" fontId="42" fillId="27" borderId="1" xfId="0" applyFont="1" applyFill="1" applyBorder="1" applyAlignment="1" applyProtection="1">
      <alignment horizontal="center" vertical="center"/>
      <protection hidden="1"/>
    </xf>
    <xf numFmtId="0" fontId="0" fillId="26" borderId="0" xfId="0" applyFill="1"/>
    <xf numFmtId="0" fontId="17" fillId="26" borderId="9" xfId="0" applyFont="1" applyFill="1" applyBorder="1" applyProtection="1">
      <protection hidden="1"/>
    </xf>
    <xf numFmtId="0" fontId="18" fillId="27" borderId="3" xfId="0" applyFont="1" applyFill="1" applyBorder="1" applyAlignment="1" applyProtection="1">
      <alignment horizontal="left" vertical="center"/>
      <protection hidden="1"/>
    </xf>
    <xf numFmtId="0" fontId="42" fillId="27" borderId="3" xfId="0" applyFont="1" applyFill="1" applyBorder="1" applyAlignment="1" applyProtection="1">
      <alignment horizontal="center" vertical="center"/>
      <protection hidden="1"/>
    </xf>
    <xf numFmtId="0" fontId="19" fillId="26" borderId="3" xfId="0" applyFont="1" applyFill="1" applyBorder="1" applyProtection="1">
      <protection hidden="1"/>
    </xf>
    <xf numFmtId="2" fontId="20" fillId="26" borderId="3" xfId="0" applyNumberFormat="1" applyFont="1" applyFill="1" applyBorder="1" applyAlignment="1" applyProtection="1">
      <alignment horizontal="center"/>
      <protection hidden="1"/>
    </xf>
    <xf numFmtId="2" fontId="20" fillId="26" borderId="17" xfId="0" applyNumberFormat="1" applyFont="1" applyFill="1" applyBorder="1" applyAlignment="1" applyProtection="1">
      <alignment horizontal="center"/>
      <protection hidden="1"/>
    </xf>
    <xf numFmtId="1" fontId="17" fillId="26" borderId="4" xfId="0" applyNumberFormat="1" applyFont="1" applyFill="1" applyBorder="1" applyAlignment="1" applyProtection="1">
      <alignment horizontal="center" vertical="center"/>
      <protection hidden="1"/>
    </xf>
    <xf numFmtId="49" fontId="17" fillId="26" borderId="4" xfId="0" applyNumberFormat="1" applyFont="1" applyFill="1" applyBorder="1" applyAlignment="1" applyProtection="1">
      <alignment horizontal="center" vertical="center"/>
      <protection hidden="1"/>
    </xf>
    <xf numFmtId="2" fontId="62" fillId="0" borderId="0" xfId="3" applyNumberFormat="1" applyProtection="1">
      <protection hidden="1"/>
    </xf>
    <xf numFmtId="167" fontId="62" fillId="19" borderId="0" xfId="3" applyNumberFormat="1" applyFill="1" applyAlignment="1" applyProtection="1">
      <alignment horizontal="center"/>
      <protection hidden="1"/>
    </xf>
    <xf numFmtId="2" fontId="14" fillId="0" borderId="3" xfId="4" applyNumberFormat="1" applyFont="1" applyBorder="1" applyAlignment="1" applyProtection="1">
      <alignment horizontal="center"/>
      <protection hidden="1"/>
    </xf>
    <xf numFmtId="0" fontId="14" fillId="0" borderId="0" xfId="4" applyFont="1" applyAlignment="1" applyProtection="1">
      <alignment horizontal="left"/>
      <protection hidden="1"/>
    </xf>
    <xf numFmtId="0" fontId="90" fillId="0" borderId="0" xfId="2" applyFont="1" applyFill="1" applyBorder="1" applyAlignment="1" applyProtection="1">
      <alignment vertical="center"/>
      <protection hidden="1"/>
    </xf>
    <xf numFmtId="171" fontId="14" fillId="25" borderId="3" xfId="4" applyNumberFormat="1" applyFont="1" applyFill="1" applyBorder="1" applyAlignment="1" applyProtection="1">
      <alignment horizontal="center" vertical="center"/>
      <protection locked="0" hidden="1"/>
    </xf>
    <xf numFmtId="171" fontId="14" fillId="25" borderId="4" xfId="4" applyNumberFormat="1" applyFont="1" applyFill="1" applyBorder="1" applyAlignment="1" applyProtection="1">
      <alignment horizontal="center" vertical="center"/>
      <protection locked="0" hidden="1"/>
    </xf>
    <xf numFmtId="171" fontId="10" fillId="25" borderId="5" xfId="4" applyNumberFormat="1" applyFont="1" applyFill="1" applyBorder="1" applyAlignment="1" applyProtection="1">
      <alignment horizontal="center" vertical="center"/>
      <protection locked="0" hidden="1"/>
    </xf>
    <xf numFmtId="3" fontId="14" fillId="0" borderId="4" xfId="4" applyNumberFormat="1" applyFont="1" applyBorder="1" applyAlignment="1" applyProtection="1">
      <alignment horizontal="center"/>
      <protection hidden="1"/>
    </xf>
    <xf numFmtId="2" fontId="14" fillId="0" borderId="0" xfId="4" applyNumberFormat="1" applyFont="1" applyProtection="1">
      <protection hidden="1"/>
    </xf>
    <xf numFmtId="0" fontId="31" fillId="0" borderId="0" xfId="4" applyFont="1" applyAlignment="1" applyProtection="1">
      <alignment horizontal="right"/>
      <protection hidden="1"/>
    </xf>
    <xf numFmtId="0" fontId="31" fillId="0" borderId="0" xfId="11" applyFont="1" applyAlignment="1" applyProtection="1">
      <alignment horizontal="right"/>
      <protection hidden="1"/>
    </xf>
    <xf numFmtId="0" fontId="31" fillId="0" borderId="0" xfId="4" applyFont="1" applyAlignment="1" applyProtection="1">
      <alignment vertical="top" wrapText="1"/>
      <protection hidden="1"/>
    </xf>
    <xf numFmtId="171" fontId="14" fillId="0" borderId="4" xfId="4" applyNumberFormat="1" applyFont="1" applyBorder="1" applyAlignment="1" applyProtection="1">
      <alignment horizontal="center" vertical="center"/>
      <protection hidden="1"/>
    </xf>
    <xf numFmtId="0" fontId="15" fillId="0" borderId="0" xfId="11" applyFont="1" applyAlignment="1" applyProtection="1">
      <alignment horizontal="center" vertical="center"/>
      <protection locked="0" hidden="1"/>
    </xf>
    <xf numFmtId="0" fontId="14" fillId="0" borderId="0" xfId="9" applyFont="1" applyAlignment="1" applyProtection="1">
      <alignment horizontal="center"/>
      <protection locked="0" hidden="1"/>
    </xf>
    <xf numFmtId="0" fontId="14" fillId="0" borderId="0" xfId="9" applyFont="1" applyAlignment="1" applyProtection="1">
      <alignment vertical="top" wrapText="1"/>
      <protection hidden="1"/>
    </xf>
    <xf numFmtId="0" fontId="14" fillId="0" borderId="0" xfId="4" applyFont="1" applyAlignment="1" applyProtection="1">
      <alignment horizontal="right" vertical="center" indent="1"/>
      <protection hidden="1"/>
    </xf>
    <xf numFmtId="0" fontId="17" fillId="15" borderId="9" xfId="0" applyFont="1" applyFill="1" applyBorder="1" applyProtection="1">
      <protection hidden="1"/>
    </xf>
    <xf numFmtId="0" fontId="18" fillId="28" borderId="3" xfId="0" applyFont="1" applyFill="1" applyBorder="1" applyAlignment="1" applyProtection="1">
      <alignment horizontal="left" vertical="center"/>
      <protection hidden="1"/>
    </xf>
    <xf numFmtId="0" fontId="42" fillId="28" borderId="3" xfId="0" applyFont="1" applyFill="1" applyBorder="1" applyAlignment="1" applyProtection="1">
      <alignment horizontal="center" vertical="center"/>
      <protection hidden="1"/>
    </xf>
    <xf numFmtId="0" fontId="19" fillId="15" borderId="3" xfId="0" applyFont="1" applyFill="1" applyBorder="1" applyProtection="1">
      <protection hidden="1"/>
    </xf>
    <xf numFmtId="2" fontId="20" fillId="15" borderId="1" xfId="0" applyNumberFormat="1" applyFont="1" applyFill="1" applyBorder="1" applyAlignment="1" applyProtection="1">
      <alignment horizontal="center"/>
      <protection hidden="1"/>
    </xf>
    <xf numFmtId="2" fontId="20" fillId="15" borderId="3" xfId="0" applyNumberFormat="1" applyFont="1" applyFill="1" applyBorder="1" applyAlignment="1" applyProtection="1">
      <alignment horizontal="center"/>
      <protection hidden="1"/>
    </xf>
    <xf numFmtId="2" fontId="20" fillId="15" borderId="17" xfId="0" applyNumberFormat="1" applyFont="1" applyFill="1" applyBorder="1" applyAlignment="1" applyProtection="1">
      <alignment horizontal="center"/>
      <protection hidden="1"/>
    </xf>
    <xf numFmtId="1" fontId="17" fillId="15" borderId="4" xfId="0" applyNumberFormat="1" applyFont="1" applyFill="1" applyBorder="1" applyAlignment="1" applyProtection="1">
      <alignment horizontal="center" vertical="center"/>
      <protection hidden="1"/>
    </xf>
    <xf numFmtId="0" fontId="17" fillId="15" borderId="24" xfId="4" applyFont="1" applyFill="1" applyBorder="1" applyProtection="1">
      <protection hidden="1"/>
    </xf>
    <xf numFmtId="2" fontId="17" fillId="15" borderId="24" xfId="4" applyNumberFormat="1" applyFont="1" applyFill="1" applyBorder="1" applyAlignment="1" applyProtection="1">
      <alignment horizontal="center"/>
      <protection hidden="1"/>
    </xf>
    <xf numFmtId="0" fontId="100" fillId="24" borderId="0" xfId="3" applyFont="1" applyFill="1" applyAlignment="1" applyProtection="1">
      <alignment horizontal="center"/>
      <protection hidden="1"/>
    </xf>
    <xf numFmtId="0" fontId="101" fillId="24" borderId="2" xfId="3" applyFont="1" applyFill="1" applyBorder="1" applyAlignment="1" applyProtection="1">
      <alignment horizontal="center"/>
      <protection hidden="1"/>
    </xf>
    <xf numFmtId="0" fontId="15" fillId="0" borderId="0" xfId="3" applyFont="1" applyAlignment="1">
      <alignment horizontal="center"/>
    </xf>
    <xf numFmtId="0" fontId="102" fillId="0" borderId="0" xfId="3" applyFont="1" applyAlignment="1" applyProtection="1">
      <alignment textRotation="90"/>
      <protection hidden="1"/>
    </xf>
    <xf numFmtId="0" fontId="15" fillId="0" borderId="0" xfId="3" applyFont="1" applyAlignment="1" applyProtection="1">
      <alignment textRotation="90"/>
      <protection hidden="1"/>
    </xf>
    <xf numFmtId="0" fontId="102" fillId="12" borderId="0" xfId="3" applyFont="1" applyFill="1" applyAlignment="1" applyProtection="1">
      <alignment textRotation="90"/>
      <protection hidden="1"/>
    </xf>
    <xf numFmtId="0" fontId="102" fillId="12" borderId="0" xfId="3" applyFont="1" applyFill="1" applyAlignment="1" applyProtection="1">
      <alignment horizontal="center" textRotation="90"/>
      <protection hidden="1"/>
    </xf>
    <xf numFmtId="0" fontId="103" fillId="0" borderId="0" xfId="3" applyFont="1" applyAlignment="1">
      <alignment horizontal="center"/>
    </xf>
    <xf numFmtId="0" fontId="16" fillId="0" borderId="0" xfId="0" applyFont="1" applyAlignment="1" applyProtection="1">
      <alignment horizontal="center" textRotation="90"/>
      <protection hidden="1"/>
    </xf>
    <xf numFmtId="172" fontId="14" fillId="0" borderId="5" xfId="0" applyNumberFormat="1" applyFont="1" applyBorder="1" applyAlignment="1" applyProtection="1">
      <alignment horizontal="center" vertical="center"/>
      <protection hidden="1"/>
    </xf>
    <xf numFmtId="0" fontId="60" fillId="0" borderId="0" xfId="1"/>
    <xf numFmtId="0" fontId="62" fillId="0" borderId="0" xfId="3" applyAlignment="1" applyProtection="1">
      <alignment vertical="top" wrapText="1"/>
      <protection hidden="1"/>
    </xf>
    <xf numFmtId="2" fontId="17" fillId="0" borderId="9" xfId="0" applyNumberFormat="1" applyFont="1" applyBorder="1" applyProtection="1">
      <protection hidden="1"/>
    </xf>
    <xf numFmtId="0" fontId="17" fillId="13" borderId="9" xfId="0" applyFont="1" applyFill="1" applyBorder="1" applyProtection="1">
      <protection hidden="1"/>
    </xf>
    <xf numFmtId="0" fontId="18" fillId="29" borderId="3" xfId="0" applyFont="1" applyFill="1" applyBorder="1" applyAlignment="1" applyProtection="1">
      <alignment horizontal="left" vertical="center"/>
      <protection hidden="1"/>
    </xf>
    <xf numFmtId="2" fontId="20" fillId="13" borderId="1" xfId="0" applyNumberFormat="1" applyFont="1" applyFill="1" applyBorder="1" applyAlignment="1" applyProtection="1">
      <alignment horizontal="center"/>
      <protection hidden="1"/>
    </xf>
    <xf numFmtId="49" fontId="17" fillId="13" borderId="4" xfId="0" applyNumberFormat="1" applyFont="1" applyFill="1" applyBorder="1" applyAlignment="1" applyProtection="1">
      <alignment horizontal="center" vertical="center"/>
      <protection hidden="1"/>
    </xf>
    <xf numFmtId="2" fontId="17" fillId="13" borderId="9" xfId="0" applyNumberFormat="1" applyFont="1" applyFill="1" applyBorder="1" applyProtection="1">
      <protection hidden="1"/>
    </xf>
    <xf numFmtId="0" fontId="42" fillId="29" borderId="3" xfId="0" applyFont="1" applyFill="1" applyBorder="1" applyAlignment="1" applyProtection="1">
      <alignment horizontal="center" vertical="center"/>
      <protection hidden="1"/>
    </xf>
    <xf numFmtId="0" fontId="19" fillId="13" borderId="3" xfId="0" applyFont="1" applyFill="1" applyBorder="1" applyProtection="1">
      <protection hidden="1"/>
    </xf>
    <xf numFmtId="2" fontId="20" fillId="13" borderId="3" xfId="0" applyNumberFormat="1" applyFont="1" applyFill="1" applyBorder="1" applyAlignment="1" applyProtection="1">
      <alignment horizontal="center"/>
      <protection hidden="1"/>
    </xf>
    <xf numFmtId="2" fontId="20" fillId="13" borderId="17" xfId="0" applyNumberFormat="1" applyFont="1" applyFill="1" applyBorder="1" applyAlignment="1" applyProtection="1">
      <alignment horizontal="center"/>
      <protection hidden="1"/>
    </xf>
    <xf numFmtId="0" fontId="17" fillId="13" borderId="4" xfId="0" applyFont="1" applyFill="1" applyBorder="1" applyAlignment="1" applyProtection="1">
      <alignment horizontal="center" vertical="center"/>
      <protection hidden="1"/>
    </xf>
    <xf numFmtId="1" fontId="42" fillId="3" borderId="1" xfId="0" applyNumberFormat="1" applyFont="1" applyFill="1" applyBorder="1" applyAlignment="1" applyProtection="1">
      <alignment horizontal="center" vertical="center"/>
      <protection hidden="1"/>
    </xf>
    <xf numFmtId="1" fontId="17" fillId="13" borderId="4" xfId="0" applyNumberFormat="1" applyFont="1" applyFill="1" applyBorder="1" applyAlignment="1" applyProtection="1">
      <alignment horizontal="center" vertical="center"/>
      <protection hidden="1"/>
    </xf>
    <xf numFmtId="0" fontId="30" fillId="0" borderId="11" xfId="0" applyFont="1" applyBorder="1" applyAlignment="1">
      <alignment horizontal="center"/>
    </xf>
    <xf numFmtId="0" fontId="14" fillId="0" borderId="14" xfId="0" applyFont="1" applyBorder="1" applyAlignment="1">
      <alignment horizontal="center" vertical="center"/>
    </xf>
    <xf numFmtId="0" fontId="17" fillId="0" borderId="9" xfId="0" applyFont="1" applyBorder="1" applyAlignment="1" applyProtection="1">
      <alignment horizontal="center" wrapText="1"/>
      <protection hidden="1"/>
    </xf>
    <xf numFmtId="0" fontId="14" fillId="0" borderId="46" xfId="0" applyFont="1" applyBorder="1" applyAlignment="1">
      <alignment horizontal="center" vertical="center"/>
    </xf>
    <xf numFmtId="0" fontId="14" fillId="0" borderId="47" xfId="0" applyFont="1" applyBorder="1" applyAlignment="1">
      <alignment horizontal="center" vertical="center"/>
    </xf>
    <xf numFmtId="0" fontId="30" fillId="0" borderId="9" xfId="0" applyFont="1" applyBorder="1" applyAlignment="1">
      <alignment horizontal="center"/>
    </xf>
    <xf numFmtId="1" fontId="14" fillId="18" borderId="14" xfId="0" applyNumberFormat="1" applyFont="1" applyFill="1" applyBorder="1" applyAlignment="1">
      <alignment horizontal="center" vertical="center"/>
    </xf>
    <xf numFmtId="0" fontId="14" fillId="0" borderId="9" xfId="0" applyFont="1" applyBorder="1" applyAlignment="1">
      <alignment horizontal="center" vertical="center"/>
    </xf>
    <xf numFmtId="1" fontId="30" fillId="18" borderId="46" xfId="0" applyNumberFormat="1" applyFont="1" applyFill="1" applyBorder="1" applyAlignment="1">
      <alignment horizontal="center"/>
    </xf>
    <xf numFmtId="1" fontId="30" fillId="18" borderId="47" xfId="0" applyNumberFormat="1" applyFont="1" applyFill="1" applyBorder="1" applyAlignment="1">
      <alignment horizontal="center"/>
    </xf>
    <xf numFmtId="1" fontId="30" fillId="18" borderId="48" xfId="0" applyNumberFormat="1" applyFont="1" applyFill="1" applyBorder="1" applyAlignment="1">
      <alignment horizontal="center"/>
    </xf>
    <xf numFmtId="0" fontId="14" fillId="0" borderId="49" xfId="0" applyFont="1" applyBorder="1" applyAlignment="1">
      <alignment horizontal="center" vertical="center"/>
    </xf>
    <xf numFmtId="0" fontId="30" fillId="0" borderId="47" xfId="0" applyFont="1" applyBorder="1" applyAlignment="1">
      <alignment horizontal="center"/>
    </xf>
    <xf numFmtId="0" fontId="65" fillId="0" borderId="14" xfId="0" applyFont="1" applyBorder="1" applyAlignment="1">
      <alignment horizontal="center" vertical="center"/>
    </xf>
    <xf numFmtId="49" fontId="14" fillId="0" borderId="14" xfId="0" applyNumberFormat="1" applyFont="1" applyBorder="1" applyAlignment="1">
      <alignment horizontal="center" vertical="center"/>
    </xf>
    <xf numFmtId="0" fontId="17" fillId="0" borderId="0" xfId="0" applyFont="1" applyAlignment="1" applyProtection="1">
      <alignment horizontal="center" wrapText="1"/>
      <protection hidden="1"/>
    </xf>
    <xf numFmtId="0" fontId="14" fillId="0" borderId="0" xfId="0" applyFont="1" applyAlignment="1">
      <alignment horizontal="center" vertical="center"/>
    </xf>
    <xf numFmtId="0" fontId="30" fillId="0" borderId="0" xfId="0" applyFont="1" applyAlignment="1">
      <alignment horizontal="center"/>
    </xf>
    <xf numFmtId="0" fontId="63" fillId="0" borderId="0" xfId="0" applyFont="1" applyAlignment="1">
      <alignment horizontal="center" vertical="center"/>
    </xf>
    <xf numFmtId="0" fontId="64" fillId="0" borderId="0" xfId="0" applyFont="1" applyAlignment="1">
      <alignment horizontal="center"/>
    </xf>
    <xf numFmtId="1" fontId="30" fillId="0" borderId="0" xfId="0" applyNumberFormat="1" applyFont="1" applyAlignment="1">
      <alignment horizontal="center"/>
    </xf>
    <xf numFmtId="0" fontId="65" fillId="0" borderId="0" xfId="0" applyFont="1" applyAlignment="1">
      <alignment horizontal="center" vertical="center"/>
    </xf>
    <xf numFmtId="49" fontId="14" fillId="0" borderId="0" xfId="0" applyNumberFormat="1" applyFont="1" applyAlignment="1">
      <alignment horizontal="center" vertical="center"/>
    </xf>
    <xf numFmtId="1" fontId="30" fillId="0" borderId="14" xfId="0" applyNumberFormat="1" applyFont="1" applyBorder="1" applyAlignment="1">
      <alignment horizontal="center"/>
    </xf>
    <xf numFmtId="1" fontId="30" fillId="18" borderId="13" xfId="0" applyNumberFormat="1" applyFont="1" applyFill="1" applyBorder="1" applyAlignment="1">
      <alignment horizontal="center"/>
    </xf>
    <xf numFmtId="0" fontId="14" fillId="0" borderId="13" xfId="0" applyFont="1" applyBorder="1" applyAlignment="1">
      <alignment horizontal="center" vertical="center"/>
    </xf>
    <xf numFmtId="1" fontId="14" fillId="0" borderId="13" xfId="0" applyNumberFormat="1" applyFont="1" applyBorder="1" applyAlignment="1">
      <alignment horizontal="center" vertical="center"/>
    </xf>
    <xf numFmtId="1" fontId="30" fillId="18" borderId="50" xfId="0" applyNumberFormat="1" applyFont="1" applyFill="1" applyBorder="1" applyAlignment="1">
      <alignment horizontal="center"/>
    </xf>
    <xf numFmtId="0" fontId="0" fillId="19" borderId="0" xfId="0" applyFill="1"/>
    <xf numFmtId="2" fontId="0" fillId="0" borderId="0" xfId="0" applyNumberFormat="1"/>
    <xf numFmtId="0" fontId="47" fillId="0" borderId="0" xfId="3" applyFont="1" applyProtection="1">
      <protection hidden="1"/>
    </xf>
    <xf numFmtId="0" fontId="15" fillId="0" borderId="0" xfId="0" applyFont="1" applyAlignment="1" applyProtection="1">
      <alignment wrapText="1"/>
      <protection hidden="1"/>
    </xf>
    <xf numFmtId="0" fontId="9" fillId="0" borderId="0" xfId="0" applyFont="1" applyAlignment="1" applyProtection="1">
      <alignment horizontal="center"/>
      <protection hidden="1"/>
    </xf>
    <xf numFmtId="168" fontId="14" fillId="25" borderId="3" xfId="4" applyNumberFormat="1" applyFont="1" applyFill="1" applyBorder="1" applyAlignment="1" applyProtection="1">
      <alignment horizontal="center" vertical="center"/>
      <protection locked="0" hidden="1"/>
    </xf>
    <xf numFmtId="0" fontId="10" fillId="0" borderId="2" xfId="4" applyFont="1" applyBorder="1" applyProtection="1">
      <protection hidden="1"/>
    </xf>
    <xf numFmtId="0" fontId="14" fillId="0" borderId="2" xfId="4" applyFont="1" applyBorder="1" applyProtection="1">
      <protection hidden="1"/>
    </xf>
    <xf numFmtId="0" fontId="14" fillId="13" borderId="0" xfId="4" applyFont="1" applyFill="1" applyAlignment="1" applyProtection="1">
      <alignment horizontal="center"/>
      <protection hidden="1"/>
    </xf>
    <xf numFmtId="0" fontId="14" fillId="13" borderId="0" xfId="4" applyFont="1" applyFill="1" applyProtection="1">
      <protection hidden="1"/>
    </xf>
    <xf numFmtId="0" fontId="65" fillId="0" borderId="0" xfId="4" applyFont="1" applyProtection="1">
      <protection hidden="1"/>
    </xf>
    <xf numFmtId="0" fontId="65" fillId="0" borderId="0" xfId="4" applyFont="1" applyAlignment="1" applyProtection="1">
      <alignment horizontal="left"/>
      <protection hidden="1"/>
    </xf>
    <xf numFmtId="0" fontId="10" fillId="0" borderId="0" xfId="4" applyFont="1" applyAlignment="1" applyProtection="1">
      <alignment horizontal="center"/>
      <protection locked="0" hidden="1"/>
    </xf>
    <xf numFmtId="0" fontId="14" fillId="13" borderId="0" xfId="4" applyFont="1" applyFill="1" applyAlignment="1" applyProtection="1">
      <alignment horizontal="left"/>
      <protection hidden="1"/>
    </xf>
    <xf numFmtId="0" fontId="65" fillId="0" borderId="0" xfId="4" applyFont="1" applyAlignment="1" applyProtection="1">
      <alignment horizontal="right"/>
      <protection hidden="1"/>
    </xf>
    <xf numFmtId="0" fontId="14" fillId="0" borderId="0" xfId="4" applyFont="1" applyAlignment="1" applyProtection="1">
      <alignment horizontal="center"/>
      <protection locked="0" hidden="1"/>
    </xf>
    <xf numFmtId="0" fontId="65" fillId="0" borderId="0" xfId="4" applyFont="1" applyAlignment="1" applyProtection="1">
      <alignment horizontal="center"/>
      <protection hidden="1"/>
    </xf>
    <xf numFmtId="169" fontId="10" fillId="0" borderId="3" xfId="4" applyNumberFormat="1" applyFont="1" applyBorder="1" applyAlignment="1" applyProtection="1">
      <alignment horizontal="center" vertical="center"/>
      <protection hidden="1"/>
    </xf>
    <xf numFmtId="164" fontId="65" fillId="0" borderId="0" xfId="4" applyNumberFormat="1" applyFont="1" applyProtection="1">
      <protection hidden="1"/>
    </xf>
    <xf numFmtId="169" fontId="10" fillId="0" borderId="0" xfId="4" applyNumberFormat="1" applyFont="1" applyAlignment="1" applyProtection="1">
      <alignment horizontal="center" vertical="center"/>
      <protection hidden="1"/>
    </xf>
    <xf numFmtId="0" fontId="108" fillId="0" borderId="0" xfId="4" applyFont="1" applyAlignment="1" applyProtection="1">
      <alignment horizontal="center"/>
      <protection locked="0" hidden="1"/>
    </xf>
    <xf numFmtId="168" fontId="14" fillId="25" borderId="5" xfId="4" applyNumberFormat="1" applyFont="1" applyFill="1" applyBorder="1" applyAlignment="1" applyProtection="1">
      <alignment horizontal="center" vertical="center"/>
      <protection locked="0" hidden="1"/>
    </xf>
    <xf numFmtId="2" fontId="10" fillId="0" borderId="3" xfId="4" applyNumberFormat="1" applyFont="1" applyBorder="1" applyAlignment="1" applyProtection="1">
      <alignment horizontal="center" vertical="center"/>
      <protection hidden="1"/>
    </xf>
    <xf numFmtId="164" fontId="10" fillId="0" borderId="3" xfId="4" applyNumberFormat="1" applyFont="1" applyBorder="1" applyAlignment="1" applyProtection="1">
      <alignment horizontal="center" vertical="center"/>
      <protection hidden="1"/>
    </xf>
    <xf numFmtId="0" fontId="62" fillId="0" borderId="9" xfId="3" applyBorder="1" applyProtection="1">
      <protection hidden="1"/>
    </xf>
    <xf numFmtId="1" fontId="33" fillId="0" borderId="11" xfId="0" applyNumberFormat="1" applyFont="1" applyBorder="1" applyAlignment="1" applyProtection="1">
      <alignment horizontal="center"/>
      <protection hidden="1"/>
    </xf>
    <xf numFmtId="1" fontId="58" fillId="0" borderId="0" xfId="0" applyNumberFormat="1" applyFont="1" applyAlignment="1" applyProtection="1">
      <alignment horizontal="center"/>
      <protection hidden="1"/>
    </xf>
    <xf numFmtId="171" fontId="66" fillId="0" borderId="0" xfId="0" applyNumberFormat="1" applyFont="1" applyAlignment="1">
      <alignment horizontal="right"/>
    </xf>
    <xf numFmtId="171" fontId="99" fillId="0" borderId="0" xfId="0" applyNumberFormat="1" applyFont="1"/>
    <xf numFmtId="171" fontId="99" fillId="0" borderId="0" xfId="0" applyNumberFormat="1" applyFont="1" applyAlignment="1">
      <alignment horizontal="right"/>
    </xf>
    <xf numFmtId="0" fontId="15" fillId="0" borderId="3" xfId="0" applyFont="1" applyBorder="1" applyProtection="1">
      <protection hidden="1"/>
    </xf>
    <xf numFmtId="49" fontId="43" fillId="0" borderId="1" xfId="0" applyNumberFormat="1" applyFont="1" applyBorder="1" applyAlignment="1" applyProtection="1">
      <alignment horizontal="center" wrapText="1"/>
      <protection hidden="1"/>
    </xf>
    <xf numFmtId="0" fontId="47" fillId="0" borderId="2" xfId="3" applyFont="1" applyBorder="1" applyProtection="1">
      <protection hidden="1"/>
    </xf>
    <xf numFmtId="0" fontId="56" fillId="12" borderId="0" xfId="2" applyFont="1" applyFill="1" applyAlignment="1" applyProtection="1">
      <alignment vertical="center"/>
    </xf>
    <xf numFmtId="0" fontId="54" fillId="0" borderId="0" xfId="4" applyFont="1" applyProtection="1">
      <protection hidden="1"/>
    </xf>
    <xf numFmtId="0" fontId="54" fillId="0" borderId="0" xfId="4" applyFont="1" applyAlignment="1" applyProtection="1">
      <alignment horizontal="center"/>
      <protection hidden="1"/>
    </xf>
    <xf numFmtId="0" fontId="111" fillId="0" borderId="0" xfId="4" applyFont="1" applyProtection="1">
      <protection hidden="1"/>
    </xf>
    <xf numFmtId="0" fontId="112" fillId="0" borderId="0" xfId="4" applyFont="1" applyProtection="1">
      <protection hidden="1"/>
    </xf>
    <xf numFmtId="0" fontId="54" fillId="0" borderId="0" xfId="11" applyFont="1" applyProtection="1">
      <protection locked="0" hidden="1"/>
    </xf>
    <xf numFmtId="0" fontId="111" fillId="0" borderId="0" xfId="4" applyFont="1" applyAlignment="1" applyProtection="1">
      <alignment horizontal="right"/>
      <protection hidden="1"/>
    </xf>
    <xf numFmtId="0" fontId="113" fillId="0" borderId="24" xfId="4" applyFont="1" applyBorder="1" applyAlignment="1" applyProtection="1">
      <alignment horizontal="right"/>
      <protection hidden="1"/>
    </xf>
    <xf numFmtId="1" fontId="113" fillId="0" borderId="9" xfId="4" applyNumberFormat="1" applyFont="1" applyBorder="1" applyAlignment="1" applyProtection="1">
      <alignment horizontal="center"/>
      <protection hidden="1"/>
    </xf>
    <xf numFmtId="0" fontId="54" fillId="0" borderId="0" xfId="4" applyFont="1" applyAlignment="1" applyProtection="1">
      <alignment horizontal="right"/>
      <protection hidden="1"/>
    </xf>
    <xf numFmtId="0" fontId="54" fillId="0" borderId="0" xfId="11" applyFont="1" applyProtection="1">
      <protection hidden="1"/>
    </xf>
    <xf numFmtId="0" fontId="56" fillId="0" borderId="0" xfId="2" applyFont="1" applyFill="1" applyAlignment="1" applyProtection="1">
      <alignment vertical="center"/>
    </xf>
    <xf numFmtId="0" fontId="56" fillId="0" borderId="15" xfId="2" applyFont="1" applyFill="1" applyBorder="1" applyAlignment="1" applyProtection="1">
      <alignment vertical="center"/>
      <protection hidden="1"/>
    </xf>
    <xf numFmtId="0" fontId="32" fillId="0" borderId="0" xfId="3" applyFont="1" applyAlignment="1">
      <alignment horizontal="center"/>
    </xf>
    <xf numFmtId="0" fontId="14" fillId="5" borderId="0" xfId="1" applyFont="1" applyFill="1" applyAlignment="1" applyProtection="1">
      <alignment horizontal="center"/>
    </xf>
    <xf numFmtId="0" fontId="70" fillId="5" borderId="51" xfId="2" applyFont="1" applyFill="1" applyBorder="1" applyAlignment="1" applyProtection="1">
      <alignment horizontal="left" vertical="center"/>
      <protection hidden="1"/>
    </xf>
    <xf numFmtId="0" fontId="56" fillId="12" borderId="52" xfId="2" applyFont="1" applyFill="1" applyBorder="1" applyAlignment="1" applyProtection="1">
      <alignment vertical="center"/>
      <protection hidden="1"/>
    </xf>
    <xf numFmtId="0" fontId="56" fillId="12" borderId="53" xfId="2" applyFont="1" applyFill="1" applyBorder="1" applyAlignment="1" applyProtection="1">
      <alignment vertical="center"/>
      <protection hidden="1"/>
    </xf>
    <xf numFmtId="4" fontId="62" fillId="0" borderId="0" xfId="3" applyNumberFormat="1" applyProtection="1">
      <protection hidden="1"/>
    </xf>
    <xf numFmtId="0" fontId="70" fillId="5" borderId="0" xfId="2" applyFont="1" applyFill="1" applyAlignment="1" applyProtection="1">
      <alignment horizontal="center"/>
    </xf>
    <xf numFmtId="0" fontId="56" fillId="0" borderId="0" xfId="2" applyFont="1" applyFill="1" applyBorder="1" applyAlignment="1" applyProtection="1">
      <alignment horizontal="left"/>
    </xf>
    <xf numFmtId="0" fontId="56" fillId="22" borderId="0" xfId="2" applyFont="1" applyFill="1" applyBorder="1" applyAlignment="1" applyProtection="1">
      <alignment horizontal="left"/>
    </xf>
    <xf numFmtId="0" fontId="14" fillId="22" borderId="0" xfId="2" applyFont="1" applyFill="1" applyBorder="1" applyAlignment="1" applyProtection="1">
      <alignment horizontal="left" vertical="center"/>
    </xf>
    <xf numFmtId="0" fontId="56" fillId="12" borderId="0" xfId="2" applyFont="1" applyFill="1" applyBorder="1" applyAlignment="1" applyProtection="1">
      <alignment horizontal="left"/>
    </xf>
    <xf numFmtId="0" fontId="14" fillId="12" borderId="0" xfId="2" applyFont="1" applyFill="1" applyBorder="1" applyAlignment="1" applyProtection="1">
      <alignment horizontal="left" vertical="center"/>
    </xf>
    <xf numFmtId="0" fontId="10" fillId="0" borderId="2" xfId="9" applyFont="1" applyBorder="1" applyAlignment="1" applyProtection="1">
      <alignment vertical="center"/>
      <protection hidden="1"/>
    </xf>
    <xf numFmtId="49" fontId="9" fillId="0" borderId="0" xfId="0" applyNumberFormat="1" applyFont="1" applyProtection="1">
      <protection hidden="1"/>
    </xf>
    <xf numFmtId="0" fontId="76" fillId="0" borderId="0" xfId="4" applyFont="1" applyProtection="1">
      <protection hidden="1"/>
    </xf>
    <xf numFmtId="0" fontId="76" fillId="0" borderId="0" xfId="4" applyFont="1" applyAlignment="1" applyProtection="1">
      <alignment horizontal="center"/>
      <protection hidden="1"/>
    </xf>
    <xf numFmtId="0" fontId="76" fillId="0" borderId="0" xfId="4" applyFont="1" applyAlignment="1" applyProtection="1">
      <alignment horizontal="center" wrapText="1"/>
      <protection hidden="1"/>
    </xf>
    <xf numFmtId="171" fontId="14" fillId="25" borderId="20" xfId="4" applyNumberFormat="1" applyFont="1" applyFill="1" applyBorder="1" applyAlignment="1" applyProtection="1">
      <alignment horizontal="center" vertical="center"/>
      <protection locked="0" hidden="1"/>
    </xf>
    <xf numFmtId="0" fontId="14" fillId="5" borderId="0" xfId="1" applyFont="1" applyFill="1" applyBorder="1" applyAlignment="1" applyProtection="1">
      <alignment horizontal="left" vertical="center"/>
      <protection hidden="1"/>
    </xf>
    <xf numFmtId="14" fontId="9" fillId="0" borderId="0" xfId="0" applyNumberFormat="1" applyFont="1" applyAlignment="1" applyProtection="1">
      <alignment horizontal="right" vertical="center"/>
      <protection hidden="1"/>
    </xf>
    <xf numFmtId="0" fontId="62" fillId="0" borderId="2" xfId="3" applyBorder="1" applyAlignment="1">
      <alignment horizontal="right" indent="1"/>
    </xf>
    <xf numFmtId="4" fontId="62" fillId="0" borderId="3" xfId="3" applyNumberFormat="1" applyBorder="1" applyAlignment="1" applyProtection="1">
      <alignment horizontal="center"/>
      <protection hidden="1"/>
    </xf>
    <xf numFmtId="0" fontId="14" fillId="0" borderId="0" xfId="4" applyFont="1" applyAlignment="1" applyProtection="1">
      <alignment horizontal="right" vertical="top"/>
      <protection hidden="1"/>
    </xf>
    <xf numFmtId="164" fontId="14" fillId="25" borderId="3" xfId="4" applyNumberFormat="1" applyFont="1" applyFill="1" applyBorder="1" applyAlignment="1" applyProtection="1">
      <alignment horizontal="center" vertical="center"/>
      <protection locked="0" hidden="1"/>
    </xf>
    <xf numFmtId="164" fontId="62" fillId="0" borderId="3" xfId="3" applyNumberFormat="1" applyBorder="1" applyAlignment="1" applyProtection="1">
      <alignment horizontal="center"/>
      <protection hidden="1"/>
    </xf>
    <xf numFmtId="2" fontId="14" fillId="15" borderId="3" xfId="4" applyNumberFormat="1" applyFont="1" applyFill="1" applyBorder="1" applyAlignment="1" applyProtection="1">
      <alignment horizontal="center" vertical="center"/>
      <protection hidden="1"/>
    </xf>
    <xf numFmtId="0" fontId="70" fillId="0" borderId="0" xfId="2" applyFont="1" applyFill="1" applyBorder="1" applyAlignment="1" applyProtection="1">
      <alignment horizontal="left" vertical="center"/>
    </xf>
    <xf numFmtId="0" fontId="70" fillId="5" borderId="0" xfId="2" applyFont="1" applyFill="1" applyBorder="1" applyAlignment="1" applyProtection="1">
      <alignment horizontal="left" vertical="center" wrapText="1"/>
    </xf>
    <xf numFmtId="0" fontId="17" fillId="0" borderId="0" xfId="6" applyFont="1" applyAlignment="1" applyProtection="1">
      <alignment horizontal="center"/>
      <protection hidden="1"/>
    </xf>
    <xf numFmtId="0" fontId="14" fillId="0" borderId="0" xfId="4" applyFont="1" applyAlignment="1">
      <alignment vertical="top"/>
    </xf>
    <xf numFmtId="0" fontId="14" fillId="0" borderId="24" xfId="4" applyFont="1" applyBorder="1" applyAlignment="1" applyProtection="1">
      <alignment vertical="center"/>
      <protection hidden="1"/>
    </xf>
    <xf numFmtId="0" fontId="14" fillId="0" borderId="1" xfId="4" applyFont="1" applyBorder="1" applyAlignment="1" applyProtection="1">
      <alignment vertical="center"/>
      <protection hidden="1"/>
    </xf>
    <xf numFmtId="0" fontId="14" fillId="0" borderId="9" xfId="4" applyFont="1" applyBorder="1" applyAlignment="1" applyProtection="1">
      <alignment vertical="center"/>
      <protection hidden="1"/>
    </xf>
    <xf numFmtId="0" fontId="61" fillId="0" borderId="0" xfId="2" applyAlignment="1" applyProtection="1">
      <alignment vertical="center"/>
    </xf>
    <xf numFmtId="0" fontId="67" fillId="0" borderId="0" xfId="4" applyFont="1" applyAlignment="1" applyProtection="1">
      <alignment horizontal="left" vertical="center"/>
      <protection hidden="1"/>
    </xf>
    <xf numFmtId="0" fontId="67" fillId="0" borderId="34" xfId="4" applyFont="1" applyBorder="1" applyAlignment="1" applyProtection="1">
      <alignment vertical="center"/>
      <protection hidden="1"/>
    </xf>
    <xf numFmtId="0" fontId="67" fillId="0" borderId="0" xfId="4" applyFont="1" applyAlignment="1" applyProtection="1">
      <alignment vertical="center"/>
      <protection hidden="1"/>
    </xf>
    <xf numFmtId="0" fontId="62" fillId="0" borderId="3" xfId="3" applyBorder="1" applyAlignment="1" applyProtection="1">
      <alignment horizontal="center" vertical="center"/>
      <protection hidden="1"/>
    </xf>
    <xf numFmtId="169" fontId="22" fillId="23" borderId="0" xfId="4" applyNumberFormat="1" applyFont="1" applyFill="1" applyAlignment="1" applyProtection="1">
      <alignment horizontal="center" vertical="center"/>
      <protection hidden="1"/>
    </xf>
    <xf numFmtId="3" fontId="62" fillId="0" borderId="3" xfId="3" applyNumberFormat="1" applyBorder="1" applyAlignment="1" applyProtection="1">
      <alignment horizontal="center"/>
      <protection hidden="1"/>
    </xf>
    <xf numFmtId="164" fontId="14" fillId="0" borderId="3" xfId="4" applyNumberFormat="1" applyFont="1" applyBorder="1" applyAlignment="1" applyProtection="1">
      <alignment horizontal="center" vertical="center"/>
      <protection hidden="1"/>
    </xf>
    <xf numFmtId="0" fontId="17" fillId="23" borderId="0" xfId="4" applyFont="1" applyFill="1" applyAlignment="1" applyProtection="1">
      <alignment horizontal="center" vertical="center"/>
      <protection hidden="1"/>
    </xf>
    <xf numFmtId="2" fontId="22" fillId="0" borderId="0" xfId="4" applyNumberFormat="1" applyFont="1" applyAlignment="1" applyProtection="1">
      <alignment horizontal="center" vertical="center"/>
      <protection hidden="1"/>
    </xf>
    <xf numFmtId="2" fontId="10" fillId="0" borderId="0" xfId="4" applyNumberFormat="1" applyFont="1" applyAlignment="1" applyProtection="1">
      <alignment horizontal="center" vertical="center"/>
      <protection hidden="1"/>
    </xf>
    <xf numFmtId="0" fontId="38" fillId="23" borderId="0" xfId="4" applyFont="1" applyFill="1" applyAlignment="1" applyProtection="1">
      <alignment horizontal="center"/>
      <protection hidden="1"/>
    </xf>
    <xf numFmtId="3" fontId="17" fillId="0" borderId="0" xfId="4" applyNumberFormat="1" applyFont="1" applyAlignment="1" applyProtection="1">
      <alignment horizontal="right"/>
      <protection hidden="1"/>
    </xf>
    <xf numFmtId="3" fontId="14" fillId="0" borderId="0" xfId="4" applyNumberFormat="1" applyFont="1" applyAlignment="1" applyProtection="1">
      <alignment horizontal="right"/>
      <protection hidden="1"/>
    </xf>
    <xf numFmtId="0" fontId="10" fillId="0" borderId="0" xfId="4" applyFont="1" applyProtection="1">
      <protection hidden="1"/>
    </xf>
    <xf numFmtId="0" fontId="14" fillId="0" borderId="0" xfId="11" applyFont="1" applyProtection="1">
      <protection hidden="1"/>
    </xf>
    <xf numFmtId="0" fontId="10" fillId="0" borderId="0" xfId="4" applyFont="1" applyAlignment="1" applyProtection="1">
      <alignment vertical="center"/>
      <protection hidden="1"/>
    </xf>
    <xf numFmtId="0" fontId="3" fillId="0" borderId="0" xfId="3" applyFont="1"/>
    <xf numFmtId="0" fontId="14" fillId="5" borderId="0" xfId="2" applyFont="1" applyFill="1" applyBorder="1" applyAlignment="1" applyProtection="1">
      <alignment horizontal="left" vertical="center" wrapText="1"/>
    </xf>
    <xf numFmtId="0" fontId="10" fillId="0" borderId="2" xfId="11" applyFont="1" applyBorder="1" applyAlignment="1" applyProtection="1">
      <alignment vertical="center"/>
      <protection hidden="1"/>
    </xf>
    <xf numFmtId="0" fontId="15" fillId="0" borderId="3" xfId="0" applyFont="1" applyBorder="1" applyAlignment="1" applyProtection="1">
      <alignment horizontal="right"/>
      <protection hidden="1"/>
    </xf>
    <xf numFmtId="2" fontId="16" fillId="0" borderId="0" xfId="0" applyNumberFormat="1" applyFont="1" applyAlignment="1" applyProtection="1">
      <alignment horizontal="center" wrapText="1"/>
      <protection hidden="1"/>
    </xf>
    <xf numFmtId="0" fontId="47" fillId="0" borderId="0" xfId="3" applyFont="1" applyAlignment="1" applyProtection="1">
      <alignment horizontal="right"/>
      <protection hidden="1"/>
    </xf>
    <xf numFmtId="0" fontId="50" fillId="0" borderId="0" xfId="0" applyFont="1" applyAlignment="1" applyProtection="1">
      <alignment horizontal="right"/>
      <protection hidden="1"/>
    </xf>
    <xf numFmtId="1" fontId="33" fillId="0" borderId="0" xfId="0" applyNumberFormat="1" applyFont="1" applyAlignment="1" applyProtection="1">
      <alignment horizontal="center"/>
      <protection hidden="1"/>
    </xf>
    <xf numFmtId="1" fontId="33" fillId="0" borderId="11" xfId="0" applyNumberFormat="1" applyFont="1" applyBorder="1" applyAlignment="1" applyProtection="1">
      <alignment horizontal="left"/>
      <protection hidden="1"/>
    </xf>
    <xf numFmtId="3" fontId="14" fillId="18" borderId="3" xfId="4" applyNumberFormat="1" applyFont="1" applyFill="1" applyBorder="1" applyAlignment="1" applyProtection="1">
      <alignment horizontal="center" vertical="center"/>
      <protection locked="0" hidden="1"/>
    </xf>
    <xf numFmtId="4" fontId="14" fillId="18" borderId="3" xfId="4" applyNumberFormat="1" applyFont="1" applyFill="1" applyBorder="1" applyAlignment="1" applyProtection="1">
      <alignment horizontal="center" vertical="center"/>
      <protection locked="0" hidden="1"/>
    </xf>
    <xf numFmtId="0" fontId="49" fillId="0" borderId="0" xfId="9" applyFont="1" applyAlignment="1" applyProtection="1">
      <alignment vertical="center"/>
      <protection hidden="1"/>
    </xf>
    <xf numFmtId="0" fontId="90" fillId="0" borderId="0" xfId="2" applyFont="1" applyAlignment="1" applyProtection="1">
      <alignment horizontal="center"/>
    </xf>
    <xf numFmtId="0" fontId="2" fillId="0" borderId="0" xfId="3" applyFont="1"/>
    <xf numFmtId="0" fontId="2" fillId="5" borderId="0" xfId="3" applyFont="1" applyFill="1"/>
    <xf numFmtId="0" fontId="14" fillId="0" borderId="0" xfId="4" applyFont="1" applyAlignment="1" applyProtection="1">
      <alignment wrapText="1"/>
      <protection hidden="1"/>
    </xf>
    <xf numFmtId="2" fontId="14" fillId="20" borderId="18" xfId="4" applyNumberFormat="1" applyFont="1" applyFill="1" applyBorder="1" applyAlignment="1" applyProtection="1">
      <alignment horizontal="left" vertical="center"/>
      <protection locked="0" hidden="1"/>
    </xf>
    <xf numFmtId="2" fontId="14" fillId="20" borderId="19" xfId="4" applyNumberFormat="1" applyFont="1" applyFill="1" applyBorder="1" applyAlignment="1" applyProtection="1">
      <alignment horizontal="left" vertical="center"/>
      <protection locked="0" hidden="1"/>
    </xf>
    <xf numFmtId="0" fontId="72" fillId="0" borderId="0" xfId="2" applyFont="1" applyFill="1" applyAlignment="1" applyProtection="1">
      <alignment horizontal="center"/>
    </xf>
    <xf numFmtId="0" fontId="17" fillId="0" borderId="0" xfId="4" applyFont="1" applyAlignment="1">
      <alignment horizontal="center"/>
    </xf>
    <xf numFmtId="0" fontId="17" fillId="0" borderId="0" xfId="4" applyFont="1" applyAlignment="1">
      <alignment vertical="top"/>
    </xf>
    <xf numFmtId="0" fontId="92" fillId="0" borderId="0" xfId="2" applyFont="1" applyFill="1" applyAlignment="1" applyProtection="1">
      <alignment horizontal="center" vertical="center"/>
    </xf>
    <xf numFmtId="0" fontId="119" fillId="0" borderId="0" xfId="3" applyFont="1" applyProtection="1">
      <protection hidden="1"/>
    </xf>
    <xf numFmtId="0" fontId="120" fillId="0" borderId="0" xfId="3" applyFont="1" applyProtection="1">
      <protection hidden="1"/>
    </xf>
    <xf numFmtId="0" fontId="62" fillId="0" borderId="13" xfId="3" applyBorder="1" applyProtection="1">
      <protection hidden="1"/>
    </xf>
    <xf numFmtId="0" fontId="62" fillId="0" borderId="0" xfId="3" applyAlignment="1" applyProtection="1">
      <alignment horizontal="right"/>
      <protection hidden="1"/>
    </xf>
    <xf numFmtId="0" fontId="14" fillId="0" borderId="0" xfId="4" applyFont="1" applyAlignment="1" applyProtection="1">
      <alignment horizontal="left" vertical="top" wrapText="1"/>
      <protection hidden="1"/>
    </xf>
    <xf numFmtId="0" fontId="14" fillId="5" borderId="0" xfId="2" applyFont="1" applyFill="1" applyBorder="1" applyAlignment="1" applyProtection="1">
      <alignment horizontal="left" vertical="center" wrapText="1"/>
      <protection hidden="1"/>
    </xf>
    <xf numFmtId="0" fontId="106" fillId="0" borderId="0" xfId="1" applyFont="1" applyAlignment="1" applyProtection="1">
      <alignment horizontal="right" vertical="center"/>
      <protection hidden="1"/>
    </xf>
    <xf numFmtId="0" fontId="52" fillId="0" borderId="0" xfId="3" applyFont="1" applyProtection="1">
      <protection hidden="1"/>
    </xf>
    <xf numFmtId="0" fontId="70" fillId="0" borderId="0" xfId="2" applyFont="1" applyFill="1" applyAlignment="1" applyProtection="1">
      <alignment vertical="center"/>
      <protection hidden="1"/>
    </xf>
    <xf numFmtId="0" fontId="52" fillId="0" borderId="2" xfId="3" applyFont="1" applyBorder="1" applyProtection="1">
      <protection hidden="1"/>
    </xf>
    <xf numFmtId="0" fontId="99" fillId="0" borderId="0" xfId="3" applyFont="1" applyAlignment="1" applyProtection="1">
      <alignment vertical="center"/>
      <protection hidden="1"/>
    </xf>
    <xf numFmtId="0" fontId="110" fillId="0" borderId="0" xfId="3" applyFont="1" applyProtection="1">
      <protection hidden="1"/>
    </xf>
    <xf numFmtId="0" fontId="99" fillId="0" borderId="0" xfId="3" applyFont="1" applyAlignment="1" applyProtection="1">
      <alignment vertical="top"/>
      <protection hidden="1"/>
    </xf>
    <xf numFmtId="0" fontId="72" fillId="0" borderId="0" xfId="2" applyFont="1" applyFill="1" applyBorder="1" applyAlignment="1" applyProtection="1">
      <protection hidden="1"/>
    </xf>
    <xf numFmtId="0" fontId="11" fillId="0" borderId="0" xfId="3" applyFont="1" applyAlignment="1" applyProtection="1">
      <alignment horizontal="center"/>
      <protection hidden="1"/>
    </xf>
    <xf numFmtId="0" fontId="11" fillId="0" borderId="33" xfId="3" applyFont="1" applyBorder="1" applyAlignment="1" applyProtection="1">
      <alignment horizontal="center"/>
      <protection hidden="1"/>
    </xf>
    <xf numFmtId="0" fontId="11" fillId="0" borderId="14" xfId="3" applyFont="1" applyBorder="1" applyAlignment="1" applyProtection="1">
      <alignment horizontal="center"/>
      <protection hidden="1"/>
    </xf>
    <xf numFmtId="0" fontId="11" fillId="0" borderId="34" xfId="3" applyFont="1" applyBorder="1" applyAlignment="1" applyProtection="1">
      <alignment horizontal="center"/>
      <protection hidden="1"/>
    </xf>
    <xf numFmtId="0" fontId="11" fillId="0" borderId="13" xfId="3" applyFont="1" applyBorder="1" applyAlignment="1" applyProtection="1">
      <alignment horizontal="center"/>
      <protection hidden="1"/>
    </xf>
    <xf numFmtId="0" fontId="56" fillId="0" borderId="0" xfId="2" applyFont="1" applyFill="1" applyBorder="1" applyAlignment="1" applyProtection="1">
      <alignment horizontal="left" vertical="center"/>
      <protection hidden="1"/>
    </xf>
    <xf numFmtId="0" fontId="11" fillId="0" borderId="32" xfId="3" applyFont="1" applyBorder="1" applyAlignment="1" applyProtection="1">
      <alignment horizontal="center"/>
      <protection hidden="1"/>
    </xf>
    <xf numFmtId="0" fontId="11" fillId="0" borderId="25" xfId="3" applyFont="1" applyBorder="1" applyAlignment="1" applyProtection="1">
      <alignment horizontal="center"/>
      <protection hidden="1"/>
    </xf>
    <xf numFmtId="0" fontId="35" fillId="0" borderId="0" xfId="2" applyFont="1" applyFill="1" applyBorder="1" applyAlignment="1" applyProtection="1">
      <alignment horizontal="left" vertical="center"/>
      <protection hidden="1"/>
    </xf>
    <xf numFmtId="0" fontId="62" fillId="26" borderId="0" xfId="3" applyFill="1" applyProtection="1">
      <protection hidden="1"/>
    </xf>
    <xf numFmtId="0" fontId="14" fillId="0" borderId="0" xfId="3" applyFont="1" applyAlignment="1" applyProtection="1">
      <alignment vertical="top"/>
      <protection hidden="1"/>
    </xf>
    <xf numFmtId="0" fontId="62" fillId="26" borderId="0" xfId="3" applyFill="1" applyAlignment="1" applyProtection="1">
      <alignment horizontal="center"/>
      <protection hidden="1"/>
    </xf>
    <xf numFmtId="0" fontId="97" fillId="13" borderId="2" xfId="1" applyFont="1" applyFill="1" applyBorder="1" applyAlignment="1" applyProtection="1">
      <alignment horizontal="right" vertical="center"/>
      <protection hidden="1"/>
    </xf>
    <xf numFmtId="0" fontId="62" fillId="13" borderId="0" xfId="3" applyFill="1" applyProtection="1">
      <protection hidden="1"/>
    </xf>
    <xf numFmtId="0" fontId="39" fillId="13" borderId="0" xfId="1" applyFont="1" applyFill="1" applyBorder="1" applyAlignment="1" applyProtection="1">
      <alignment horizontal="right" vertical="center"/>
      <protection hidden="1"/>
    </xf>
    <xf numFmtId="0" fontId="31" fillId="0" borderId="0" xfId="3" applyFont="1" applyAlignment="1" applyProtection="1">
      <alignment horizontal="left" vertical="top" wrapText="1"/>
      <protection hidden="1"/>
    </xf>
    <xf numFmtId="0" fontId="62" fillId="0" borderId="0" xfId="3" applyAlignment="1" applyProtection="1">
      <alignment horizontal="right" vertical="center"/>
      <protection hidden="1"/>
    </xf>
    <xf numFmtId="0" fontId="62" fillId="0" borderId="0" xfId="3" applyAlignment="1" applyProtection="1">
      <alignment vertical="center"/>
      <protection hidden="1"/>
    </xf>
    <xf numFmtId="0" fontId="62" fillId="0" borderId="0" xfId="3" applyAlignment="1" applyProtection="1">
      <alignment horizontal="center" vertical="center"/>
      <protection hidden="1"/>
    </xf>
    <xf numFmtId="0" fontId="52" fillId="0" borderId="0" xfId="3" applyFont="1" applyAlignment="1" applyProtection="1">
      <alignment horizontal="right"/>
      <protection hidden="1"/>
    </xf>
    <xf numFmtId="0" fontId="48" fillId="0" borderId="0" xfId="3" applyFont="1" applyAlignment="1" applyProtection="1">
      <alignment horizontal="right"/>
      <protection hidden="1"/>
    </xf>
    <xf numFmtId="0" fontId="11" fillId="0" borderId="0" xfId="3" applyFont="1" applyAlignment="1" applyProtection="1">
      <alignment horizontal="right"/>
      <protection hidden="1"/>
    </xf>
    <xf numFmtId="0" fontId="17" fillId="0" borderId="3" xfId="4" applyFont="1" applyBorder="1" applyAlignment="1" applyProtection="1">
      <alignment horizontal="center" vertical="center"/>
      <protection hidden="1"/>
    </xf>
    <xf numFmtId="0" fontId="34" fillId="0" borderId="0" xfId="3" applyFont="1" applyAlignment="1" applyProtection="1">
      <alignment horizontal="right"/>
      <protection hidden="1"/>
    </xf>
    <xf numFmtId="0" fontId="68" fillId="0" borderId="0" xfId="3" applyFont="1" applyAlignment="1" applyProtection="1">
      <alignment horizontal="right"/>
      <protection hidden="1"/>
    </xf>
    <xf numFmtId="0" fontId="72" fillId="0" borderId="0" xfId="2" applyFont="1" applyFill="1" applyAlignment="1" applyProtection="1">
      <alignment horizontal="center" vertical="center"/>
      <protection hidden="1"/>
    </xf>
    <xf numFmtId="0" fontId="14" fillId="5" borderId="0" xfId="1" applyFont="1" applyFill="1" applyAlignment="1" applyProtection="1">
      <alignment horizontal="center" vertical="center"/>
      <protection hidden="1"/>
    </xf>
    <xf numFmtId="0" fontId="1" fillId="0" borderId="0" xfId="3" applyFont="1" applyProtection="1">
      <protection hidden="1"/>
    </xf>
    <xf numFmtId="0" fontId="1" fillId="0" borderId="0" xfId="3" applyFont="1" applyAlignment="1" applyProtection="1">
      <alignment vertical="center"/>
      <protection hidden="1"/>
    </xf>
    <xf numFmtId="0" fontId="48" fillId="0" borderId="0" xfId="3" applyFont="1" applyProtection="1">
      <protection hidden="1"/>
    </xf>
    <xf numFmtId="0" fontId="70" fillId="0" borderId="0" xfId="2" applyFont="1" applyFill="1" applyAlignment="1" applyProtection="1">
      <alignment horizontal="center" vertical="center"/>
      <protection hidden="1"/>
    </xf>
    <xf numFmtId="0" fontId="70" fillId="0" borderId="0" xfId="2" applyFont="1" applyFill="1" applyBorder="1" applyAlignment="1" applyProtection="1">
      <protection hidden="1"/>
    </xf>
    <xf numFmtId="0" fontId="56" fillId="12" borderId="0" xfId="2" applyFont="1" applyFill="1" applyAlignment="1" applyProtection="1">
      <alignment vertical="center"/>
      <protection hidden="1"/>
    </xf>
    <xf numFmtId="0" fontId="70" fillId="0" borderId="0" xfId="2" applyFont="1" applyFill="1" applyBorder="1" applyAlignment="1" applyProtection="1">
      <alignment horizontal="left"/>
      <protection hidden="1"/>
    </xf>
    <xf numFmtId="0" fontId="9" fillId="0" borderId="0" xfId="3" applyFont="1" applyAlignment="1" applyProtection="1">
      <alignment vertical="center"/>
      <protection hidden="1"/>
    </xf>
    <xf numFmtId="0" fontId="70" fillId="0" borderId="0" xfId="2" applyFont="1" applyFill="1" applyBorder="1" applyAlignment="1" applyProtection="1">
      <alignment horizontal="center"/>
      <protection hidden="1"/>
    </xf>
    <xf numFmtId="0" fontId="70" fillId="5" borderId="0" xfId="2" applyFont="1" applyFill="1" applyBorder="1" applyAlignment="1" applyProtection="1">
      <alignment horizontal="left" vertical="center"/>
      <protection hidden="1"/>
    </xf>
    <xf numFmtId="0" fontId="70" fillId="0" borderId="0" xfId="2" applyFont="1" applyFill="1" applyAlignment="1" applyProtection="1">
      <alignment horizontal="center"/>
      <protection hidden="1"/>
    </xf>
    <xf numFmtId="0" fontId="116" fillId="0" borderId="0" xfId="3" applyFont="1" applyProtection="1">
      <protection hidden="1"/>
    </xf>
    <xf numFmtId="0" fontId="70" fillId="0" borderId="0" xfId="2" applyFont="1" applyFill="1" applyAlignment="1" applyProtection="1">
      <protection hidden="1"/>
    </xf>
    <xf numFmtId="0" fontId="72" fillId="0" borderId="23" xfId="8" applyFont="1" applyFill="1" applyBorder="1" applyAlignment="1" applyProtection="1">
      <protection hidden="1"/>
    </xf>
    <xf numFmtId="0" fontId="70" fillId="0" borderId="0" xfId="8" applyFont="1" applyFill="1" applyAlignment="1" applyProtection="1">
      <protection hidden="1"/>
    </xf>
    <xf numFmtId="0" fontId="60" fillId="0" borderId="0" xfId="1" applyProtection="1">
      <protection hidden="1"/>
    </xf>
    <xf numFmtId="0" fontId="56" fillId="0" borderId="0" xfId="2" applyFont="1" applyFill="1" applyAlignment="1" applyProtection="1">
      <alignment vertical="center"/>
      <protection hidden="1"/>
    </xf>
    <xf numFmtId="0" fontId="17" fillId="0" borderId="0" xfId="4" applyFont="1" applyAlignment="1" applyProtection="1">
      <alignment wrapText="1"/>
      <protection hidden="1"/>
    </xf>
    <xf numFmtId="0" fontId="53" fillId="0" borderId="41" xfId="3" applyFont="1" applyBorder="1" applyAlignment="1" applyProtection="1">
      <alignment horizontal="center" vertical="center"/>
      <protection hidden="1"/>
    </xf>
    <xf numFmtId="0" fontId="17" fillId="4" borderId="3" xfId="4" applyFont="1" applyFill="1" applyBorder="1" applyAlignment="1" applyProtection="1">
      <alignment horizontal="center" vertical="center"/>
      <protection hidden="1"/>
    </xf>
    <xf numFmtId="0" fontId="38" fillId="0" borderId="24" xfId="4" applyFont="1" applyBorder="1" applyAlignment="1" applyProtection="1">
      <alignment horizontal="right"/>
      <protection hidden="1"/>
    </xf>
    <xf numFmtId="2" fontId="17" fillId="0" borderId="9" xfId="4" applyNumberFormat="1" applyFont="1" applyBorder="1" applyAlignment="1" applyProtection="1">
      <alignment horizontal="center"/>
      <protection hidden="1"/>
    </xf>
    <xf numFmtId="0" fontId="70" fillId="0" borderId="0" xfId="2" applyFont="1" applyFill="1" applyBorder="1" applyAlignment="1" applyProtection="1">
      <alignment horizontal="left" vertical="center"/>
      <protection hidden="1"/>
    </xf>
    <xf numFmtId="0" fontId="72" fillId="0" borderId="0" xfId="2" applyFont="1" applyFill="1" applyBorder="1" applyAlignment="1" applyProtection="1">
      <alignment vertical="center"/>
      <protection hidden="1"/>
    </xf>
    <xf numFmtId="0" fontId="114" fillId="0" borderId="0" xfId="11" applyFont="1" applyProtection="1">
      <protection hidden="1"/>
    </xf>
    <xf numFmtId="0" fontId="56" fillId="0" borderId="0" xfId="2" applyFont="1" applyFill="1" applyBorder="1" applyAlignment="1" applyProtection="1">
      <alignment horizontal="left"/>
      <protection hidden="1"/>
    </xf>
    <xf numFmtId="0" fontId="56" fillId="22" borderId="0" xfId="2" applyFont="1" applyFill="1" applyBorder="1" applyAlignment="1" applyProtection="1">
      <alignment horizontal="left"/>
      <protection hidden="1"/>
    </xf>
    <xf numFmtId="0" fontId="14" fillId="22" borderId="0" xfId="2" applyFont="1" applyFill="1" applyBorder="1" applyAlignment="1" applyProtection="1">
      <alignment horizontal="left" vertical="center"/>
      <protection hidden="1"/>
    </xf>
    <xf numFmtId="0" fontId="12" fillId="22" borderId="0" xfId="2" applyFont="1" applyFill="1" applyBorder="1" applyAlignment="1" applyProtection="1">
      <alignment horizontal="right" vertical="top"/>
      <protection hidden="1"/>
    </xf>
    <xf numFmtId="0" fontId="56" fillId="12" borderId="0" xfId="2" applyFont="1" applyFill="1" applyBorder="1" applyAlignment="1" applyProtection="1">
      <alignment horizontal="left"/>
      <protection hidden="1"/>
    </xf>
    <xf numFmtId="0" fontId="14" fillId="12" borderId="0" xfId="2" applyFont="1" applyFill="1" applyBorder="1" applyAlignment="1" applyProtection="1">
      <alignment horizontal="left" vertical="center"/>
      <protection hidden="1"/>
    </xf>
    <xf numFmtId="0" fontId="12" fillId="12" borderId="0" xfId="2" applyFont="1" applyFill="1" applyBorder="1" applyAlignment="1" applyProtection="1">
      <alignment horizontal="left" vertical="top"/>
      <protection hidden="1"/>
    </xf>
    <xf numFmtId="0" fontId="70" fillId="5" borderId="0" xfId="2" applyFont="1" applyFill="1" applyAlignment="1" applyProtection="1">
      <alignment horizontal="center"/>
      <protection hidden="1"/>
    </xf>
    <xf numFmtId="0" fontId="61" fillId="0" borderId="0" xfId="2" applyBorder="1" applyAlignment="1" applyProtection="1">
      <protection hidden="1"/>
    </xf>
    <xf numFmtId="0" fontId="61" fillId="0" borderId="0" xfId="2" applyAlignment="1" applyProtection="1">
      <alignment vertical="center"/>
      <protection hidden="1"/>
    </xf>
    <xf numFmtId="0" fontId="14" fillId="0" borderId="0" xfId="2" applyFont="1" applyAlignment="1" applyProtection="1">
      <alignment horizontal="right" vertical="top"/>
      <protection hidden="1"/>
    </xf>
    <xf numFmtId="0" fontId="17" fillId="0" borderId="0" xfId="4" applyFont="1" applyAlignment="1" applyProtection="1">
      <alignment vertical="top"/>
      <protection hidden="1"/>
    </xf>
    <xf numFmtId="0" fontId="72" fillId="0" borderId="0" xfId="2" applyFont="1" applyFill="1" applyAlignment="1" applyProtection="1">
      <alignment horizontal="center"/>
      <protection hidden="1"/>
    </xf>
    <xf numFmtId="0" fontId="70" fillId="5" borderId="0" xfId="2" applyFont="1" applyFill="1" applyBorder="1" applyAlignment="1" applyProtection="1">
      <alignment horizontal="left" vertical="center" wrapText="1"/>
      <protection hidden="1"/>
    </xf>
    <xf numFmtId="0" fontId="70" fillId="0" borderId="0" xfId="2" applyFont="1" applyFill="1" applyBorder="1" applyAlignment="1" applyProtection="1">
      <alignment horizontal="left" vertical="center" wrapText="1"/>
      <protection hidden="1"/>
    </xf>
    <xf numFmtId="0" fontId="72" fillId="0" borderId="0" xfId="2" applyFont="1" applyFill="1" applyBorder="1" applyAlignment="1" applyProtection="1">
      <alignment horizontal="center" vertical="center"/>
      <protection hidden="1"/>
    </xf>
    <xf numFmtId="2" fontId="17" fillId="23" borderId="3" xfId="4" applyNumberFormat="1" applyFont="1" applyFill="1" applyBorder="1" applyAlignment="1" applyProtection="1">
      <alignment horizontal="center" vertical="center"/>
      <protection hidden="1"/>
    </xf>
    <xf numFmtId="0" fontId="17" fillId="0" borderId="0" xfId="4" applyFont="1" applyAlignment="1" applyProtection="1">
      <alignment horizontal="left" vertical="top"/>
      <protection hidden="1"/>
    </xf>
    <xf numFmtId="0" fontId="70" fillId="0" borderId="0" xfId="2" applyFont="1" applyFill="1" applyBorder="1" applyAlignment="1" applyProtection="1">
      <alignment vertical="center" wrapText="1"/>
      <protection hidden="1"/>
    </xf>
    <xf numFmtId="0" fontId="33" fillId="0" borderId="0" xfId="11" applyFont="1" applyAlignment="1" applyProtection="1">
      <alignment horizontal="center"/>
      <protection hidden="1"/>
    </xf>
    <xf numFmtId="0" fontId="35" fillId="0" borderId="0" xfId="2" applyFont="1" applyFill="1" applyAlignment="1" applyProtection="1">
      <protection hidden="1"/>
    </xf>
    <xf numFmtId="0" fontId="76" fillId="0" borderId="0" xfId="4" applyFont="1" applyAlignment="1" applyProtection="1">
      <alignment vertical="center"/>
      <protection hidden="1"/>
    </xf>
    <xf numFmtId="0" fontId="76" fillId="0" borderId="0" xfId="11" applyFont="1" applyAlignment="1" applyProtection="1">
      <alignment horizontal="right" vertical="center"/>
      <protection hidden="1"/>
    </xf>
    <xf numFmtId="0" fontId="17" fillId="0" borderId="0" xfId="11" applyFont="1" applyAlignment="1" applyProtection="1">
      <alignment vertical="center"/>
      <protection hidden="1"/>
    </xf>
    <xf numFmtId="0" fontId="14" fillId="0" borderId="0" xfId="2" applyFont="1" applyFill="1" applyBorder="1" applyAlignment="1" applyProtection="1">
      <alignment horizontal="left" vertical="center"/>
      <protection hidden="1"/>
    </xf>
    <xf numFmtId="0" fontId="14" fillId="0" borderId="0" xfId="3" applyFont="1" applyProtection="1">
      <protection hidden="1"/>
    </xf>
    <xf numFmtId="0" fontId="72" fillId="0" borderId="23" xfId="2" applyFont="1" applyFill="1" applyBorder="1" applyAlignment="1" applyProtection="1">
      <alignment horizontal="left" vertical="center" indent="1"/>
      <protection hidden="1"/>
    </xf>
    <xf numFmtId="0" fontId="62" fillId="0" borderId="0" xfId="3" applyAlignment="1" applyProtection="1">
      <alignment horizontal="left" vertical="center" indent="1"/>
      <protection hidden="1"/>
    </xf>
    <xf numFmtId="0" fontId="35" fillId="0" borderId="0" xfId="2" applyFont="1" applyFill="1" applyAlignment="1" applyProtection="1">
      <alignment horizontal="left" vertical="center" indent="1"/>
      <protection hidden="1"/>
    </xf>
    <xf numFmtId="0" fontId="76" fillId="0" borderId="0" xfId="6" applyFont="1" applyAlignment="1" applyProtection="1">
      <alignment horizontal="right" vertical="center"/>
      <protection hidden="1"/>
    </xf>
    <xf numFmtId="0" fontId="17" fillId="0" borderId="0" xfId="6" applyFont="1" applyAlignment="1" applyProtection="1">
      <alignment vertical="center"/>
      <protection hidden="1"/>
    </xf>
    <xf numFmtId="0" fontId="5" fillId="0" borderId="0" xfId="6" applyProtection="1">
      <protection hidden="1"/>
    </xf>
    <xf numFmtId="0" fontId="10" fillId="0" borderId="0" xfId="4" applyFont="1" applyAlignment="1" applyProtection="1">
      <alignment horizontal="left"/>
      <protection hidden="1"/>
    </xf>
    <xf numFmtId="0" fontId="92" fillId="5" borderId="0" xfId="2" applyFont="1" applyFill="1" applyAlignment="1" applyProtection="1">
      <alignment horizontal="center"/>
      <protection hidden="1"/>
    </xf>
    <xf numFmtId="0" fontId="70" fillId="0" borderId="23" xfId="2" applyFont="1" applyFill="1" applyBorder="1" applyAlignment="1" applyProtection="1">
      <alignment horizontal="left" vertical="center" indent="1"/>
      <protection hidden="1"/>
    </xf>
    <xf numFmtId="0" fontId="56" fillId="0" borderId="0" xfId="2" applyFont="1" applyFill="1" applyAlignment="1" applyProtection="1">
      <alignment horizontal="left" vertical="center" indent="1"/>
      <protection hidden="1"/>
    </xf>
    <xf numFmtId="0" fontId="14" fillId="0" borderId="3" xfId="4" applyFont="1" applyBorder="1" applyAlignment="1" applyProtection="1">
      <alignment horizontal="center" vertical="center"/>
      <protection hidden="1"/>
    </xf>
    <xf numFmtId="0" fontId="70" fillId="0" borderId="15" xfId="2" applyFont="1" applyFill="1" applyBorder="1" applyAlignment="1" applyProtection="1">
      <alignment horizontal="left" vertical="center"/>
      <protection hidden="1"/>
    </xf>
    <xf numFmtId="0" fontId="22" fillId="0" borderId="0" xfId="6" applyFont="1" applyProtection="1">
      <protection hidden="1"/>
    </xf>
    <xf numFmtId="0" fontId="27" fillId="0" borderId="0" xfId="6" applyFont="1" applyProtection="1">
      <protection hidden="1"/>
    </xf>
    <xf numFmtId="0" fontId="10" fillId="0" borderId="0" xfId="6" applyFont="1" applyProtection="1">
      <protection hidden="1"/>
    </xf>
    <xf numFmtId="0" fontId="56" fillId="0" borderId="0" xfId="2" applyFont="1" applyFill="1" applyAlignment="1" applyProtection="1">
      <protection hidden="1"/>
    </xf>
    <xf numFmtId="0" fontId="68" fillId="0" borderId="0" xfId="11" applyFont="1" applyAlignment="1" applyProtection="1">
      <alignment horizontal="center"/>
      <protection hidden="1"/>
    </xf>
    <xf numFmtId="0" fontId="70" fillId="5" borderId="0" xfId="2" applyFont="1" applyFill="1" applyAlignment="1" applyProtection="1">
      <alignment horizontal="center" vertical="center"/>
      <protection hidden="1"/>
    </xf>
    <xf numFmtId="0" fontId="85" fillId="0" borderId="4" xfId="6" applyFont="1" applyBorder="1" applyAlignment="1" applyProtection="1">
      <alignment vertical="center"/>
      <protection hidden="1"/>
    </xf>
    <xf numFmtId="0" fontId="38" fillId="0" borderId="4" xfId="6" applyFont="1" applyBorder="1" applyAlignment="1" applyProtection="1">
      <alignment vertical="center"/>
      <protection hidden="1"/>
    </xf>
    <xf numFmtId="0" fontId="76" fillId="0" borderId="2" xfId="6" applyFont="1" applyBorder="1" applyAlignment="1" applyProtection="1">
      <alignment horizontal="right" vertical="center"/>
      <protection hidden="1"/>
    </xf>
    <xf numFmtId="0" fontId="76" fillId="0" borderId="20" xfId="6" applyFont="1" applyBorder="1" applyAlignment="1" applyProtection="1">
      <alignment horizontal="right" vertical="center"/>
      <protection hidden="1"/>
    </xf>
    <xf numFmtId="0" fontId="14" fillId="4" borderId="3" xfId="4" applyFont="1" applyFill="1" applyBorder="1" applyAlignment="1" applyProtection="1">
      <alignment horizontal="center"/>
      <protection hidden="1"/>
    </xf>
    <xf numFmtId="0" fontId="5" fillId="0" borderId="0" xfId="6" applyAlignment="1" applyProtection="1">
      <alignment vertical="center"/>
      <protection hidden="1"/>
    </xf>
    <xf numFmtId="0" fontId="14" fillId="0" borderId="0" xfId="4" applyFont="1" applyAlignment="1" applyProtection="1">
      <alignment horizontal="left" vertical="center" indent="1"/>
      <protection hidden="1"/>
    </xf>
    <xf numFmtId="0" fontId="12" fillId="22" borderId="0" xfId="2" applyFont="1" applyFill="1" applyBorder="1" applyAlignment="1" applyProtection="1">
      <alignment vertical="top"/>
      <protection hidden="1"/>
    </xf>
    <xf numFmtId="0" fontId="85" fillId="0" borderId="4" xfId="11" applyFont="1" applyBorder="1" applyAlignment="1" applyProtection="1">
      <alignment vertical="center"/>
      <protection hidden="1"/>
    </xf>
    <xf numFmtId="0" fontId="38" fillId="0" borderId="4" xfId="11" applyFont="1" applyBorder="1" applyAlignment="1" applyProtection="1">
      <alignment vertical="center"/>
      <protection hidden="1"/>
    </xf>
    <xf numFmtId="0" fontId="76" fillId="0" borderId="0" xfId="4" applyFont="1" applyAlignment="1" applyProtection="1">
      <alignment horizontal="center" vertical="center"/>
      <protection hidden="1"/>
    </xf>
    <xf numFmtId="0" fontId="76" fillId="0" borderId="2" xfId="11" applyFont="1" applyBorder="1" applyAlignment="1" applyProtection="1">
      <alignment horizontal="right" vertical="center"/>
      <protection hidden="1"/>
    </xf>
    <xf numFmtId="0" fontId="76" fillId="0" borderId="20" xfId="11" applyFont="1" applyBorder="1" applyAlignment="1" applyProtection="1">
      <alignment horizontal="right" vertical="center"/>
      <protection hidden="1"/>
    </xf>
    <xf numFmtId="0" fontId="4" fillId="0" borderId="0" xfId="11" applyAlignment="1" applyProtection="1">
      <alignment vertical="center"/>
      <protection hidden="1"/>
    </xf>
    <xf numFmtId="0" fontId="14" fillId="4" borderId="3" xfId="4" applyFont="1" applyFill="1" applyBorder="1" applyAlignment="1" applyProtection="1">
      <alignment horizontal="center" vertical="center"/>
      <protection hidden="1"/>
    </xf>
    <xf numFmtId="0" fontId="17" fillId="23" borderId="0" xfId="4" applyFont="1" applyFill="1" applyAlignment="1" applyProtection="1">
      <alignment vertical="center"/>
      <protection hidden="1"/>
    </xf>
    <xf numFmtId="0" fontId="17" fillId="23" borderId="0" xfId="4" applyFont="1" applyFill="1" applyAlignment="1" applyProtection="1">
      <alignment horizontal="right" vertical="center"/>
      <protection hidden="1"/>
    </xf>
    <xf numFmtId="0" fontId="17" fillId="23" borderId="24" xfId="4" applyFont="1" applyFill="1" applyBorder="1" applyAlignment="1" applyProtection="1">
      <alignment vertical="center"/>
      <protection hidden="1"/>
    </xf>
    <xf numFmtId="2" fontId="17" fillId="0" borderId="25" xfId="4" applyNumberFormat="1" applyFont="1" applyBorder="1" applyAlignment="1" applyProtection="1">
      <alignment horizontal="center"/>
      <protection hidden="1"/>
    </xf>
    <xf numFmtId="0" fontId="22" fillId="0" borderId="0" xfId="4" applyFont="1" applyAlignment="1" applyProtection="1">
      <alignment horizontal="left"/>
      <protection hidden="1"/>
    </xf>
    <xf numFmtId="0" fontId="35" fillId="0" borderId="0" xfId="8" applyFont="1" applyFill="1" applyBorder="1" applyAlignment="1" applyProtection="1">
      <alignment vertical="center"/>
      <protection hidden="1"/>
    </xf>
    <xf numFmtId="0" fontId="70" fillId="0" borderId="23" xfId="8" applyFont="1" applyFill="1" applyBorder="1" applyAlignment="1" applyProtection="1">
      <protection hidden="1"/>
    </xf>
    <xf numFmtId="0" fontId="56" fillId="0" borderId="0" xfId="8" applyFont="1" applyFill="1" applyAlignment="1" applyProtection="1">
      <protection hidden="1"/>
    </xf>
    <xf numFmtId="0" fontId="85" fillId="0" borderId="4" xfId="9" applyFont="1" applyBorder="1" applyAlignment="1" applyProtection="1">
      <alignment vertical="center"/>
      <protection hidden="1"/>
    </xf>
    <xf numFmtId="0" fontId="38" fillId="0" borderId="4" xfId="9" applyFont="1" applyBorder="1" applyAlignment="1" applyProtection="1">
      <alignment vertical="center"/>
      <protection hidden="1"/>
    </xf>
    <xf numFmtId="0" fontId="76" fillId="0" borderId="2" xfId="9" applyFont="1" applyBorder="1" applyAlignment="1" applyProtection="1">
      <alignment horizontal="right" vertical="center"/>
      <protection hidden="1"/>
    </xf>
    <xf numFmtId="0" fontId="76" fillId="0" borderId="20" xfId="9" applyFont="1" applyBorder="1" applyAlignment="1" applyProtection="1">
      <alignment horizontal="right" vertical="center"/>
      <protection hidden="1"/>
    </xf>
    <xf numFmtId="0" fontId="76" fillId="0" borderId="0" xfId="9" applyFont="1" applyAlignment="1" applyProtection="1">
      <alignment horizontal="right" vertical="center"/>
      <protection hidden="1"/>
    </xf>
    <xf numFmtId="0" fontId="17" fillId="0" borderId="0" xfId="9" applyFont="1" applyAlignment="1" applyProtection="1">
      <alignment vertical="center"/>
      <protection hidden="1"/>
    </xf>
    <xf numFmtId="0" fontId="6" fillId="0" borderId="0" xfId="9" applyAlignment="1" applyProtection="1">
      <alignment vertical="center"/>
      <protection hidden="1"/>
    </xf>
    <xf numFmtId="0" fontId="17" fillId="0" borderId="0" xfId="9" applyFont="1" applyAlignment="1" applyProtection="1">
      <alignment horizontal="center" vertical="center"/>
      <protection hidden="1"/>
    </xf>
    <xf numFmtId="0" fontId="14" fillId="0" borderId="4" xfId="4" applyFont="1" applyBorder="1" applyAlignment="1" applyProtection="1">
      <alignment horizontal="center" vertical="center" wrapText="1"/>
      <protection hidden="1"/>
    </xf>
    <xf numFmtId="0" fontId="14" fillId="0" borderId="20" xfId="4" applyFont="1" applyBorder="1" applyAlignment="1" applyProtection="1">
      <alignment horizontal="center" vertical="center" wrapText="1"/>
      <protection hidden="1"/>
    </xf>
    <xf numFmtId="0" fontId="14" fillId="0" borderId="0" xfId="4" applyFont="1" applyAlignment="1" applyProtection="1">
      <alignment horizontal="left" vertical="center" wrapText="1"/>
      <protection hidden="1"/>
    </xf>
    <xf numFmtId="0" fontId="72" fillId="0" borderId="0" xfId="8" applyFont="1" applyFill="1" applyBorder="1" applyAlignment="1" applyProtection="1">
      <alignment vertical="center"/>
      <protection hidden="1"/>
    </xf>
    <xf numFmtId="0" fontId="72" fillId="0" borderId="0" xfId="8" applyFont="1" applyFill="1" applyBorder="1" applyAlignment="1" applyProtection="1">
      <alignment horizontal="center" vertical="center"/>
      <protection hidden="1"/>
    </xf>
    <xf numFmtId="0" fontId="56" fillId="0" borderId="0" xfId="8" applyFont="1" applyFill="1" applyBorder="1" applyAlignment="1" applyProtection="1">
      <alignment horizontal="left"/>
      <protection hidden="1"/>
    </xf>
    <xf numFmtId="0" fontId="56" fillId="22" borderId="0" xfId="8" applyFont="1" applyFill="1" applyBorder="1" applyAlignment="1" applyProtection="1">
      <alignment horizontal="left"/>
      <protection hidden="1"/>
    </xf>
    <xf numFmtId="0" fontId="12" fillId="22" borderId="0" xfId="8" applyFont="1" applyFill="1" applyBorder="1" applyAlignment="1" applyProtection="1">
      <alignment vertical="top"/>
      <protection hidden="1"/>
    </xf>
    <xf numFmtId="0" fontId="12" fillId="22" borderId="0" xfId="8" applyFont="1" applyFill="1" applyBorder="1" applyAlignment="1" applyProtection="1">
      <alignment horizontal="right" vertical="top"/>
      <protection hidden="1"/>
    </xf>
    <xf numFmtId="0" fontId="14" fillId="5" borderId="0" xfId="2" applyFont="1" applyFill="1" applyAlignment="1" applyProtection="1">
      <alignment horizontal="center" vertical="center" wrapText="1"/>
      <protection hidden="1"/>
    </xf>
    <xf numFmtId="0" fontId="70" fillId="0" borderId="23" xfId="8" applyFont="1" applyFill="1" applyBorder="1" applyAlignment="1" applyProtection="1">
      <alignment horizontal="left" vertical="center" indent="1"/>
      <protection hidden="1"/>
    </xf>
    <xf numFmtId="0" fontId="90" fillId="0" borderId="0" xfId="1" applyFont="1" applyBorder="1" applyAlignment="1" applyProtection="1">
      <alignment horizontal="right" vertical="center"/>
      <protection hidden="1"/>
    </xf>
    <xf numFmtId="0" fontId="14" fillId="5" borderId="0" xfId="2" applyFont="1" applyFill="1" applyBorder="1" applyAlignment="1" applyProtection="1">
      <alignment horizontal="left" vertical="center"/>
      <protection hidden="1"/>
    </xf>
    <xf numFmtId="0" fontId="56" fillId="0" borderId="0" xfId="8" applyFont="1" applyFill="1" applyAlignment="1" applyProtection="1">
      <alignment horizontal="left" vertical="center" indent="1"/>
      <protection hidden="1"/>
    </xf>
    <xf numFmtId="0" fontId="14" fillId="0" borderId="0" xfId="3" applyFont="1" applyAlignment="1" applyProtection="1">
      <alignment horizontal="left" vertical="center" indent="1"/>
      <protection hidden="1"/>
    </xf>
    <xf numFmtId="0" fontId="14" fillId="0" borderId="0" xfId="2" applyFont="1" applyFill="1" applyBorder="1" applyAlignment="1" applyProtection="1">
      <alignment horizontal="left" vertical="center" indent="1"/>
      <protection hidden="1"/>
    </xf>
    <xf numFmtId="0" fontId="92" fillId="0" borderId="0" xfId="2" applyFont="1" applyFill="1" applyAlignment="1" applyProtection="1">
      <alignment horizontal="center" vertical="center"/>
      <protection hidden="1"/>
    </xf>
    <xf numFmtId="0" fontId="14" fillId="0" borderId="0" xfId="4" applyFont="1" applyAlignment="1" applyProtection="1">
      <alignment vertical="center" wrapText="1"/>
      <protection hidden="1"/>
    </xf>
    <xf numFmtId="0" fontId="14" fillId="0" borderId="0" xfId="4" applyFont="1" applyAlignment="1" applyProtection="1">
      <alignment horizontal="center" vertical="center" wrapText="1"/>
      <protection hidden="1"/>
    </xf>
    <xf numFmtId="0" fontId="70" fillId="0" borderId="0" xfId="2" applyFont="1" applyFill="1" applyBorder="1" applyAlignment="1" applyProtection="1">
      <alignment horizontal="center" vertical="center"/>
      <protection hidden="1"/>
    </xf>
    <xf numFmtId="0" fontId="14" fillId="5" borderId="0" xfId="2" applyFont="1" applyFill="1" applyAlignment="1" applyProtection="1">
      <alignment horizontal="center" vertical="center"/>
      <protection hidden="1"/>
    </xf>
    <xf numFmtId="0" fontId="53" fillId="5" borderId="0" xfId="2" applyFont="1" applyFill="1" applyBorder="1" applyAlignment="1" applyProtection="1">
      <alignment horizontal="left" vertical="center" wrapText="1"/>
      <protection hidden="1"/>
    </xf>
    <xf numFmtId="0" fontId="1" fillId="0" borderId="0" xfId="3" applyFont="1" applyAlignment="1" applyProtection="1">
      <alignment horizontal="right" vertical="center" indent="1"/>
      <protection hidden="1"/>
    </xf>
    <xf numFmtId="164" fontId="1" fillId="0" borderId="3" xfId="3" applyNumberFormat="1" applyFont="1" applyBorder="1" applyAlignment="1" applyProtection="1">
      <alignment horizontal="center" vertical="center"/>
      <protection hidden="1"/>
    </xf>
    <xf numFmtId="0" fontId="1" fillId="0" borderId="0" xfId="3" applyFont="1" applyAlignment="1" applyProtection="1">
      <alignment vertical="top" wrapText="1"/>
      <protection hidden="1"/>
    </xf>
    <xf numFmtId="49" fontId="1" fillId="0" borderId="0" xfId="3" applyNumberFormat="1" applyFont="1" applyProtection="1">
      <protection hidden="1"/>
    </xf>
    <xf numFmtId="0" fontId="1" fillId="0" borderId="0" xfId="3" applyFont="1" applyAlignment="1" applyProtection="1">
      <alignment horizontal="left"/>
      <protection hidden="1"/>
    </xf>
    <xf numFmtId="0" fontId="1" fillId="0" borderId="0" xfId="3" applyFont="1" applyAlignment="1" applyProtection="1">
      <alignment horizontal="right" vertical="center"/>
      <protection hidden="1"/>
    </xf>
    <xf numFmtId="0" fontId="1" fillId="0" borderId="0" xfId="3" applyFont="1" applyAlignment="1">
      <alignment vertical="center"/>
    </xf>
    <xf numFmtId="0" fontId="1" fillId="0" borderId="0" xfId="3" applyFont="1" applyAlignment="1">
      <alignment horizontal="left" vertical="center" wrapText="1"/>
    </xf>
    <xf numFmtId="0" fontId="1" fillId="0" borderId="33" xfId="3" applyFont="1" applyBorder="1" applyProtection="1">
      <protection hidden="1"/>
    </xf>
    <xf numFmtId="0" fontId="1" fillId="0" borderId="14" xfId="3" applyFont="1" applyBorder="1" applyProtection="1">
      <protection hidden="1"/>
    </xf>
    <xf numFmtId="0" fontId="1" fillId="0" borderId="34" xfId="3" applyFont="1" applyBorder="1" applyProtection="1">
      <protection hidden="1"/>
    </xf>
    <xf numFmtId="0" fontId="1" fillId="0" borderId="13" xfId="3" applyFont="1" applyBorder="1" applyProtection="1">
      <protection hidden="1"/>
    </xf>
    <xf numFmtId="0" fontId="1" fillId="0" borderId="32" xfId="3" applyFont="1" applyBorder="1" applyProtection="1">
      <protection hidden="1"/>
    </xf>
    <xf numFmtId="0" fontId="1" fillId="0" borderId="25" xfId="3" applyFont="1" applyBorder="1" applyProtection="1">
      <protection hidden="1"/>
    </xf>
    <xf numFmtId="164" fontId="1" fillId="0" borderId="0" xfId="3" applyNumberFormat="1" applyFont="1" applyAlignment="1" applyProtection="1">
      <alignment horizontal="center" vertical="center"/>
      <protection hidden="1"/>
    </xf>
    <xf numFmtId="0" fontId="1" fillId="0" borderId="0" xfId="3" applyFont="1" applyAlignment="1" applyProtection="1">
      <alignment vertical="top"/>
      <protection hidden="1"/>
    </xf>
    <xf numFmtId="0" fontId="1" fillId="13" borderId="2" xfId="3" applyFont="1" applyFill="1" applyBorder="1" applyAlignment="1" applyProtection="1">
      <alignment horizontal="left" vertical="center"/>
      <protection hidden="1"/>
    </xf>
    <xf numFmtId="0" fontId="1" fillId="13" borderId="2" xfId="3" applyFont="1" applyFill="1" applyBorder="1" applyProtection="1">
      <protection hidden="1"/>
    </xf>
    <xf numFmtId="0" fontId="1" fillId="13" borderId="0" xfId="3" applyFont="1" applyFill="1" applyAlignment="1" applyProtection="1">
      <alignment horizontal="right" vertical="center"/>
      <protection hidden="1"/>
    </xf>
    <xf numFmtId="3" fontId="1" fillId="0" borderId="20" xfId="3" applyNumberFormat="1" applyFont="1" applyBorder="1" applyAlignment="1" applyProtection="1">
      <alignment horizontal="center" vertical="center"/>
      <protection hidden="1"/>
    </xf>
    <xf numFmtId="0" fontId="1" fillId="13" borderId="0" xfId="3" applyFont="1" applyFill="1" applyProtection="1">
      <protection hidden="1"/>
    </xf>
    <xf numFmtId="3" fontId="1" fillId="0" borderId="3" xfId="3" applyNumberFormat="1" applyFont="1" applyBorder="1" applyAlignment="1" applyProtection="1">
      <alignment horizontal="center" vertical="center"/>
      <protection hidden="1"/>
    </xf>
    <xf numFmtId="0" fontId="1" fillId="13" borderId="0" xfId="3" applyFont="1" applyFill="1" applyAlignment="1" applyProtection="1">
      <alignment horizontal="right" vertical="center" indent="1"/>
      <protection hidden="1"/>
    </xf>
    <xf numFmtId="0" fontId="1" fillId="0" borderId="2" xfId="3" applyFont="1" applyBorder="1" applyProtection="1">
      <protection hidden="1"/>
    </xf>
    <xf numFmtId="0" fontId="1" fillId="0" borderId="0" xfId="3" applyFont="1" applyAlignment="1" applyProtection="1">
      <alignment horizontal="right"/>
      <protection hidden="1"/>
    </xf>
    <xf numFmtId="0" fontId="1" fillId="0" borderId="0" xfId="3" applyFont="1" applyAlignment="1" applyProtection="1">
      <alignment horizontal="center"/>
      <protection hidden="1"/>
    </xf>
    <xf numFmtId="0" fontId="1" fillId="0" borderId="3" xfId="3" applyFont="1" applyBorder="1" applyAlignment="1" applyProtection="1">
      <alignment horizontal="center" vertical="center"/>
      <protection hidden="1"/>
    </xf>
    <xf numFmtId="0" fontId="1" fillId="0" borderId="0" xfId="0" applyFont="1" applyAlignment="1" applyProtection="1">
      <alignment horizontal="right" vertical="center"/>
      <protection hidden="1"/>
    </xf>
    <xf numFmtId="0" fontId="1" fillId="0" borderId="0" xfId="0" applyFont="1" applyProtection="1">
      <protection hidden="1"/>
    </xf>
    <xf numFmtId="0" fontId="1" fillId="0" borderId="0" xfId="0" applyFont="1" applyAlignment="1" applyProtection="1">
      <alignment horizontal="right"/>
      <protection hidden="1"/>
    </xf>
    <xf numFmtId="2" fontId="1" fillId="0" borderId="3" xfId="0" applyNumberFormat="1" applyFont="1" applyBorder="1" applyAlignment="1" applyProtection="1">
      <alignment horizontal="center" vertical="center"/>
      <protection hidden="1"/>
    </xf>
    <xf numFmtId="2" fontId="1" fillId="0" borderId="0" xfId="0" applyNumberFormat="1" applyFont="1" applyAlignment="1" applyProtection="1">
      <alignment horizontal="center" vertical="center"/>
      <protection hidden="1"/>
    </xf>
    <xf numFmtId="0" fontId="1" fillId="0" borderId="25" xfId="3" applyFont="1" applyBorder="1" applyAlignment="1" applyProtection="1">
      <alignment horizontal="left"/>
      <protection hidden="1"/>
    </xf>
    <xf numFmtId="0" fontId="1" fillId="0" borderId="0" xfId="3" applyFont="1"/>
    <xf numFmtId="0" fontId="1" fillId="0" borderId="3" xfId="3" applyFont="1" applyBorder="1" applyProtection="1">
      <protection hidden="1"/>
    </xf>
    <xf numFmtId="0" fontId="1" fillId="0" borderId="0" xfId="3" applyFont="1" applyAlignment="1" applyProtection="1">
      <alignment horizontal="center" vertical="center"/>
      <protection hidden="1"/>
    </xf>
    <xf numFmtId="0" fontId="1" fillId="0" borderId="0" xfId="3" applyFont="1" applyAlignment="1">
      <alignment horizontal="left"/>
    </xf>
    <xf numFmtId="0" fontId="1" fillId="0" borderId="3" xfId="3" applyFont="1" applyBorder="1" applyAlignment="1" applyProtection="1">
      <alignment horizontal="center"/>
      <protection hidden="1"/>
    </xf>
    <xf numFmtId="0" fontId="1" fillId="0" borderId="1" xfId="3" applyFont="1" applyBorder="1" applyAlignment="1" applyProtection="1">
      <alignment horizontal="right"/>
      <protection hidden="1"/>
    </xf>
    <xf numFmtId="4" fontId="1" fillId="0" borderId="3" xfId="3" applyNumberFormat="1" applyFont="1" applyBorder="1" applyAlignment="1" applyProtection="1">
      <alignment horizontal="center"/>
      <protection hidden="1"/>
    </xf>
    <xf numFmtId="0" fontId="1" fillId="0" borderId="0" xfId="3" applyFont="1" applyAlignment="1" applyProtection="1">
      <alignment horizontal="left" vertical="center" indent="1"/>
      <protection hidden="1"/>
    </xf>
    <xf numFmtId="3" fontId="1" fillId="0" borderId="3" xfId="3" applyNumberFormat="1" applyFont="1" applyBorder="1" applyAlignment="1" applyProtection="1">
      <alignment horizontal="center"/>
      <protection hidden="1"/>
    </xf>
    <xf numFmtId="2" fontId="1" fillId="0" borderId="3" xfId="3" applyNumberFormat="1" applyFont="1" applyBorder="1" applyAlignment="1" applyProtection="1">
      <alignment horizontal="center"/>
      <protection hidden="1"/>
    </xf>
    <xf numFmtId="0" fontId="1" fillId="0" borderId="0" xfId="3" applyFont="1" applyAlignment="1" applyProtection="1">
      <alignment horizontal="left" indent="1"/>
      <protection hidden="1"/>
    </xf>
    <xf numFmtId="4" fontId="1" fillId="0" borderId="3" xfId="3" applyNumberFormat="1" applyFont="1" applyBorder="1" applyAlignment="1" applyProtection="1">
      <alignment horizontal="center" vertical="center"/>
      <protection hidden="1"/>
    </xf>
    <xf numFmtId="0" fontId="1" fillId="0" borderId="17" xfId="3" applyFont="1" applyBorder="1" applyProtection="1">
      <protection hidden="1"/>
    </xf>
    <xf numFmtId="0" fontId="1" fillId="0" borderId="32" xfId="3" applyFont="1" applyBorder="1" applyAlignment="1" applyProtection="1">
      <alignment horizontal="left" vertical="center"/>
      <protection hidden="1"/>
    </xf>
    <xf numFmtId="0" fontId="1" fillId="0" borderId="2" xfId="3" applyFont="1" applyBorder="1" applyAlignment="1" applyProtection="1">
      <alignment horizontal="center"/>
      <protection hidden="1"/>
    </xf>
    <xf numFmtId="0" fontId="1" fillId="0" borderId="2" xfId="3" applyFont="1" applyBorder="1" applyAlignment="1" applyProtection="1">
      <alignment horizontal="left" vertical="center"/>
      <protection hidden="1"/>
    </xf>
    <xf numFmtId="0" fontId="1" fillId="0" borderId="2" xfId="3" applyFont="1" applyBorder="1" applyAlignment="1" applyProtection="1">
      <alignment horizontal="right" vertical="center"/>
      <protection hidden="1"/>
    </xf>
    <xf numFmtId="0" fontId="1" fillId="0" borderId="1" xfId="3" applyFont="1" applyBorder="1" applyAlignment="1" applyProtection="1">
      <alignment horizontal="left"/>
      <protection hidden="1"/>
    </xf>
    <xf numFmtId="0" fontId="1" fillId="0" borderId="24" xfId="3" applyFont="1" applyBorder="1" applyProtection="1">
      <protection hidden="1"/>
    </xf>
    <xf numFmtId="0" fontId="1" fillId="0" borderId="1" xfId="3" applyFont="1" applyBorder="1" applyProtection="1">
      <protection hidden="1"/>
    </xf>
    <xf numFmtId="0" fontId="1" fillId="0" borderId="9" xfId="3" applyFont="1" applyBorder="1" applyProtection="1">
      <protection hidden="1"/>
    </xf>
    <xf numFmtId="0" fontId="1" fillId="0" borderId="24" xfId="3" applyFont="1" applyBorder="1" applyAlignment="1" applyProtection="1">
      <alignment horizontal="left" vertical="center"/>
      <protection hidden="1"/>
    </xf>
    <xf numFmtId="0" fontId="1" fillId="0" borderId="1" xfId="3" applyFont="1" applyBorder="1" applyAlignment="1" applyProtection="1">
      <alignment horizontal="left" vertical="center"/>
      <protection hidden="1"/>
    </xf>
    <xf numFmtId="0" fontId="1" fillId="0" borderId="1" xfId="3" applyFont="1" applyBorder="1" applyAlignment="1" applyProtection="1">
      <alignment horizontal="center"/>
      <protection hidden="1"/>
    </xf>
    <xf numFmtId="0" fontId="1" fillId="0" borderId="36" xfId="3" applyFont="1" applyBorder="1" applyAlignment="1" applyProtection="1">
      <alignment horizontal="center"/>
      <protection hidden="1"/>
    </xf>
    <xf numFmtId="0" fontId="1" fillId="0" borderId="36" xfId="3" applyFont="1" applyBorder="1" applyAlignment="1" applyProtection="1">
      <alignment horizontal="center" wrapText="1"/>
      <protection hidden="1"/>
    </xf>
    <xf numFmtId="0" fontId="1" fillId="0" borderId="20" xfId="3" applyFont="1" applyBorder="1" applyAlignment="1" applyProtection="1">
      <alignment horizontal="center"/>
      <protection hidden="1"/>
    </xf>
    <xf numFmtId="4" fontId="1" fillId="0" borderId="20" xfId="3" applyNumberFormat="1" applyFont="1" applyBorder="1" applyAlignment="1" applyProtection="1">
      <alignment horizontal="center"/>
      <protection hidden="1"/>
    </xf>
    <xf numFmtId="0" fontId="1" fillId="0" borderId="9" xfId="3" applyFont="1" applyBorder="1" applyAlignment="1" applyProtection="1">
      <alignment horizontal="center"/>
      <protection hidden="1"/>
    </xf>
    <xf numFmtId="4" fontId="1" fillId="0" borderId="0" xfId="3" applyNumberFormat="1" applyFont="1" applyProtection="1">
      <protection hidden="1"/>
    </xf>
    <xf numFmtId="4" fontId="1" fillId="0" borderId="32" xfId="3" applyNumberFormat="1" applyFont="1" applyBorder="1" applyAlignment="1" applyProtection="1">
      <alignment horizontal="left"/>
      <protection hidden="1"/>
    </xf>
    <xf numFmtId="4" fontId="1" fillId="0" borderId="24" xfId="3" applyNumberFormat="1" applyFont="1" applyBorder="1" applyAlignment="1" applyProtection="1">
      <alignment horizontal="left"/>
      <protection hidden="1"/>
    </xf>
    <xf numFmtId="0" fontId="1" fillId="16" borderId="0" xfId="3" applyFont="1" applyFill="1" applyProtection="1">
      <protection hidden="1"/>
    </xf>
    <xf numFmtId="4" fontId="1" fillId="0" borderId="0" xfId="3" applyNumberFormat="1" applyFont="1" applyAlignment="1" applyProtection="1">
      <alignment vertical="center"/>
      <protection hidden="1"/>
    </xf>
    <xf numFmtId="0" fontId="1" fillId="0" borderId="51" xfId="3" applyFont="1" applyBorder="1" applyProtection="1">
      <protection hidden="1"/>
    </xf>
    <xf numFmtId="0" fontId="1" fillId="0" borderId="0" xfId="3" applyFont="1" applyAlignment="1">
      <alignment horizontal="center"/>
    </xf>
    <xf numFmtId="49" fontId="1" fillId="0" borderId="0" xfId="3" applyNumberFormat="1" applyFont="1"/>
    <xf numFmtId="1" fontId="1" fillId="0" borderId="0" xfId="3" applyNumberFormat="1" applyFont="1"/>
    <xf numFmtId="0" fontId="1" fillId="5" borderId="0" xfId="3" applyFont="1" applyFill="1"/>
    <xf numFmtId="0" fontId="1" fillId="0" borderId="0" xfId="3" applyFont="1" applyAlignment="1">
      <alignment wrapText="1"/>
    </xf>
    <xf numFmtId="0" fontId="1" fillId="0" borderId="0" xfId="3" applyFont="1" applyAlignment="1">
      <alignment vertical="top" wrapText="1"/>
    </xf>
    <xf numFmtId="0" fontId="1" fillId="0" borderId="0" xfId="3" applyFont="1" applyAlignment="1">
      <alignment horizontal="center" vertical="top"/>
    </xf>
    <xf numFmtId="0" fontId="1" fillId="0" borderId="17" xfId="3" applyFont="1" applyBorder="1" applyAlignment="1">
      <alignment horizontal="left" vertical="center"/>
    </xf>
    <xf numFmtId="0" fontId="1" fillId="0" borderId="2" xfId="3" applyFont="1" applyBorder="1" applyAlignment="1">
      <alignment horizontal="left" vertical="center"/>
    </xf>
    <xf numFmtId="4" fontId="1" fillId="0" borderId="0" xfId="0" applyNumberFormat="1" applyFont="1"/>
    <xf numFmtId="0" fontId="1" fillId="0" borderId="0" xfId="0" applyFont="1"/>
    <xf numFmtId="0" fontId="1" fillId="0" borderId="0" xfId="0" applyFont="1" applyAlignment="1" applyProtection="1">
      <alignment vertical="center"/>
      <protection hidden="1"/>
    </xf>
    <xf numFmtId="0" fontId="1" fillId="0" borderId="0" xfId="0" applyFont="1" applyAlignment="1" applyProtection="1">
      <alignment horizontal="center" vertical="center"/>
      <protection hidden="1"/>
    </xf>
    <xf numFmtId="0" fontId="14" fillId="0" borderId="11" xfId="0" applyFont="1" applyBorder="1" applyAlignment="1">
      <alignment horizontal="center" vertical="center"/>
    </xf>
    <xf numFmtId="0" fontId="70" fillId="0" borderId="0" xfId="2" applyFont="1" applyFill="1" applyBorder="1" applyAlignment="1" applyProtection="1">
      <alignment vertical="center"/>
      <protection hidden="1"/>
    </xf>
    <xf numFmtId="0" fontId="54" fillId="0" borderId="2" xfId="11" applyFont="1" applyBorder="1" applyAlignment="1" applyProtection="1">
      <alignment vertical="center"/>
      <protection hidden="1"/>
    </xf>
    <xf numFmtId="0" fontId="17" fillId="0" borderId="9" xfId="0" applyFont="1" applyBorder="1" applyAlignment="1" applyProtection="1">
      <alignment horizontal="center"/>
      <protection hidden="1"/>
    </xf>
    <xf numFmtId="0" fontId="17" fillId="0" borderId="0" xfId="3" applyFont="1" applyAlignment="1">
      <alignment vertical="center"/>
    </xf>
    <xf numFmtId="0" fontId="2" fillId="0" borderId="0" xfId="3" applyFont="1" applyAlignment="1">
      <alignment vertical="center"/>
    </xf>
    <xf numFmtId="0" fontId="123" fillId="0" borderId="0" xfId="4" applyFont="1" applyAlignment="1" applyProtection="1">
      <alignment horizontal="center"/>
      <protection hidden="1"/>
    </xf>
    <xf numFmtId="0" fontId="124" fillId="0" borderId="0" xfId="3" applyFont="1" applyProtection="1">
      <protection hidden="1"/>
    </xf>
    <xf numFmtId="0" fontId="14" fillId="0" borderId="47" xfId="0" applyFont="1" applyBorder="1" applyAlignment="1" applyProtection="1">
      <alignment horizontal="center" vertical="center"/>
      <protection hidden="1"/>
    </xf>
    <xf numFmtId="0" fontId="125" fillId="5" borderId="0" xfId="1" applyFont="1" applyFill="1" applyAlignment="1" applyProtection="1">
      <alignment horizontal="center" vertical="center"/>
      <protection hidden="1"/>
    </xf>
    <xf numFmtId="0" fontId="17" fillId="0" borderId="24" xfId="4" applyFont="1" applyBorder="1" applyAlignment="1" applyProtection="1">
      <alignment horizontal="center" vertical="center"/>
      <protection hidden="1"/>
    </xf>
    <xf numFmtId="0" fontId="56" fillId="12" borderId="0" xfId="2" applyFont="1" applyFill="1" applyBorder="1" applyAlignment="1" applyProtection="1">
      <alignment vertical="center"/>
      <protection hidden="1"/>
    </xf>
    <xf numFmtId="0" fontId="56" fillId="12" borderId="22" xfId="2" applyFont="1" applyFill="1" applyBorder="1" applyAlignment="1" applyProtection="1">
      <alignment vertical="center"/>
      <protection hidden="1"/>
    </xf>
    <xf numFmtId="0" fontId="60" fillId="12" borderId="0" xfId="1" applyFill="1" applyBorder="1" applyAlignment="1" applyProtection="1">
      <alignment vertical="center"/>
      <protection hidden="1"/>
    </xf>
    <xf numFmtId="0" fontId="122" fillId="0" borderId="0" xfId="1" applyFont="1" applyFill="1" applyAlignment="1" applyProtection="1">
      <alignment horizontal="center" vertical="center"/>
      <protection hidden="1"/>
    </xf>
    <xf numFmtId="0" fontId="10" fillId="0" borderId="3" xfId="10" applyFont="1" applyBorder="1" applyAlignment="1" applyProtection="1">
      <alignment horizontal="center" vertical="center"/>
      <protection hidden="1"/>
    </xf>
    <xf numFmtId="0" fontId="121" fillId="12" borderId="15" xfId="2" applyFont="1" applyFill="1" applyBorder="1" applyAlignment="1" applyProtection="1">
      <alignment vertical="center" wrapText="1"/>
      <protection hidden="1"/>
    </xf>
    <xf numFmtId="0" fontId="17" fillId="0" borderId="24" xfId="4" applyFont="1" applyBorder="1" applyAlignment="1" applyProtection="1">
      <alignment horizontal="left" vertical="center"/>
      <protection hidden="1"/>
    </xf>
    <xf numFmtId="0" fontId="56" fillId="0" borderId="0" xfId="2" applyFont="1" applyFill="1" applyBorder="1" applyAlignment="1" applyProtection="1">
      <alignment vertical="center"/>
      <protection hidden="1"/>
    </xf>
    <xf numFmtId="0" fontId="127" fillId="0" borderId="0" xfId="0" applyFont="1" applyAlignment="1">
      <alignment horizontal="left" vertical="center"/>
    </xf>
    <xf numFmtId="0" fontId="56" fillId="0" borderId="0" xfId="8" applyFont="1" applyFill="1" applyBorder="1" applyAlignment="1" applyProtection="1">
      <alignment vertical="center"/>
      <protection hidden="1"/>
    </xf>
    <xf numFmtId="0" fontId="128" fillId="0" borderId="0" xfId="4" applyFont="1" applyProtection="1">
      <protection hidden="1"/>
    </xf>
    <xf numFmtId="0" fontId="128" fillId="0" borderId="0" xfId="4" applyFont="1" applyAlignment="1" applyProtection="1">
      <alignment horizontal="center"/>
      <protection hidden="1"/>
    </xf>
    <xf numFmtId="0" fontId="129" fillId="0" borderId="0" xfId="3" applyFont="1" applyProtection="1">
      <protection hidden="1"/>
    </xf>
    <xf numFmtId="0" fontId="22" fillId="0" borderId="0" xfId="4" applyFont="1" applyAlignment="1" applyProtection="1">
      <alignment horizontal="left" indent="1"/>
      <protection locked="0" hidden="1"/>
    </xf>
    <xf numFmtId="0" fontId="17" fillId="0" borderId="24" xfId="4" applyFont="1" applyBorder="1" applyAlignment="1" applyProtection="1">
      <alignment vertical="center"/>
      <protection hidden="1"/>
    </xf>
    <xf numFmtId="2" fontId="17" fillId="0" borderId="24" xfId="4" applyNumberFormat="1" applyFont="1" applyBorder="1" applyAlignment="1" applyProtection="1">
      <alignment horizontal="center" vertical="center"/>
      <protection hidden="1"/>
    </xf>
    <xf numFmtId="168" fontId="17" fillId="0" borderId="3" xfId="4" applyNumberFormat="1" applyFont="1" applyBorder="1" applyAlignment="1" applyProtection="1">
      <alignment horizontal="center" vertical="center"/>
      <protection hidden="1"/>
    </xf>
    <xf numFmtId="0" fontId="17" fillId="15" borderId="9" xfId="4" applyFont="1" applyFill="1" applyBorder="1" applyAlignment="1" applyProtection="1">
      <alignment horizontal="center" vertical="center"/>
      <protection hidden="1"/>
    </xf>
    <xf numFmtId="0" fontId="80" fillId="0" borderId="3" xfId="4" applyFont="1" applyBorder="1" applyAlignment="1" applyProtection="1">
      <alignment horizontal="center" vertical="center"/>
      <protection hidden="1"/>
    </xf>
    <xf numFmtId="0" fontId="17" fillId="15" borderId="3" xfId="4" applyFont="1" applyFill="1" applyBorder="1" applyAlignment="1" applyProtection="1">
      <alignment horizontal="center" vertical="center"/>
      <protection hidden="1"/>
    </xf>
    <xf numFmtId="0" fontId="17" fillId="0" borderId="0" xfId="11" applyFont="1" applyAlignment="1" applyProtection="1">
      <alignment horizontal="left"/>
      <protection hidden="1"/>
    </xf>
    <xf numFmtId="0" fontId="131" fillId="0" borderId="0" xfId="11" applyFont="1" applyAlignment="1" applyProtection="1">
      <alignment horizontal="left"/>
      <protection hidden="1"/>
    </xf>
    <xf numFmtId="0" fontId="17" fillId="0" borderId="0" xfId="11" applyFont="1" applyAlignment="1" applyProtection="1">
      <alignment horizontal="center" vertical="center"/>
      <protection hidden="1"/>
    </xf>
    <xf numFmtId="2" fontId="17" fillId="0" borderId="24" xfId="4" applyNumberFormat="1" applyFont="1" applyBorder="1" applyAlignment="1" applyProtection="1">
      <alignment horizontal="right" vertical="center"/>
      <protection hidden="1"/>
    </xf>
    <xf numFmtId="168" fontId="17" fillId="0" borderId="3" xfId="4" applyNumberFormat="1" applyFont="1" applyBorder="1" applyAlignment="1" applyProtection="1">
      <alignment horizontal="right" vertical="center"/>
      <protection hidden="1"/>
    </xf>
    <xf numFmtId="0" fontId="80" fillId="0" borderId="3" xfId="4" applyFont="1" applyBorder="1" applyAlignment="1" applyProtection="1">
      <alignment horizontal="right" vertical="center"/>
      <protection hidden="1"/>
    </xf>
    <xf numFmtId="0" fontId="17" fillId="0" borderId="1" xfId="4" applyFont="1" applyBorder="1" applyAlignment="1" applyProtection="1">
      <alignment horizontal="center" vertical="center"/>
      <protection hidden="1"/>
    </xf>
    <xf numFmtId="0" fontId="17" fillId="0" borderId="9" xfId="4" applyFont="1" applyBorder="1" applyAlignment="1" applyProtection="1">
      <alignment horizontal="center" vertical="center"/>
      <protection hidden="1"/>
    </xf>
    <xf numFmtId="0" fontId="22" fillId="0" borderId="0" xfId="0" applyFont="1" applyAlignment="1">
      <alignment horizontal="center"/>
    </xf>
    <xf numFmtId="0" fontId="22" fillId="0" borderId="0" xfId="3" applyFont="1"/>
    <xf numFmtId="0" fontId="22" fillId="0" borderId="24" xfId="3" applyFont="1" applyBorder="1"/>
    <xf numFmtId="0" fontId="22" fillId="0" borderId="1" xfId="3" applyFont="1" applyBorder="1"/>
    <xf numFmtId="0" fontId="22" fillId="0" borderId="9" xfId="3" applyFont="1" applyBorder="1"/>
    <xf numFmtId="0" fontId="22" fillId="0" borderId="1" xfId="3" applyFont="1" applyBorder="1" applyAlignment="1">
      <alignment horizontal="left" indent="4"/>
    </xf>
    <xf numFmtId="2" fontId="17" fillId="0" borderId="0" xfId="4" applyNumberFormat="1" applyFont="1" applyAlignment="1" applyProtection="1">
      <alignment horizontal="center"/>
      <protection hidden="1"/>
    </xf>
    <xf numFmtId="168" fontId="17" fillId="0" borderId="0" xfId="4" applyNumberFormat="1" applyFont="1" applyAlignment="1" applyProtection="1">
      <alignment horizontal="center"/>
      <protection hidden="1"/>
    </xf>
    <xf numFmtId="2" fontId="17" fillId="0" borderId="0" xfId="4" applyNumberFormat="1" applyFont="1" applyAlignment="1" applyProtection="1">
      <alignment horizontal="center" vertical="center"/>
      <protection hidden="1"/>
    </xf>
    <xf numFmtId="0" fontId="27" fillId="0" borderId="0" xfId="11" applyFont="1" applyAlignment="1" applyProtection="1">
      <alignment horizontal="center"/>
      <protection hidden="1"/>
    </xf>
    <xf numFmtId="0" fontId="134" fillId="0" borderId="0" xfId="11" applyFont="1" applyAlignment="1" applyProtection="1">
      <alignment horizontal="center"/>
      <protection hidden="1"/>
    </xf>
    <xf numFmtId="0" fontId="38" fillId="0" borderId="0" xfId="11" applyFont="1" applyAlignment="1" applyProtection="1">
      <alignment horizontal="center"/>
      <protection hidden="1"/>
    </xf>
    <xf numFmtId="0" fontId="17" fillId="0" borderId="3" xfId="4" applyFont="1" applyBorder="1" applyAlignment="1" applyProtection="1">
      <alignment horizontal="left" vertical="center"/>
      <protection hidden="1"/>
    </xf>
    <xf numFmtId="0" fontId="134" fillId="0" borderId="0" xfId="3" applyFont="1" applyAlignment="1">
      <alignment horizontal="center"/>
    </xf>
    <xf numFmtId="0" fontId="22" fillId="0" borderId="0" xfId="11" applyFont="1" applyAlignment="1" applyProtection="1">
      <alignment horizontal="center"/>
      <protection locked="0" hidden="1"/>
    </xf>
    <xf numFmtId="0" fontId="22" fillId="0" borderId="0" xfId="11" applyFont="1" applyAlignment="1" applyProtection="1">
      <alignment horizontal="center" vertical="center"/>
      <protection hidden="1"/>
    </xf>
    <xf numFmtId="0" fontId="22" fillId="0" borderId="3" xfId="11" applyFont="1" applyBorder="1" applyAlignment="1" applyProtection="1">
      <alignment horizontal="center" vertical="center"/>
      <protection hidden="1"/>
    </xf>
    <xf numFmtId="0" fontId="17" fillId="0" borderId="3" xfId="11" applyFont="1" applyBorder="1" applyAlignment="1" applyProtection="1">
      <alignment horizontal="center" vertical="center"/>
      <protection hidden="1"/>
    </xf>
    <xf numFmtId="0" fontId="135" fillId="0" borderId="0" xfId="11" applyFont="1" applyAlignment="1" applyProtection="1">
      <alignment horizontal="center"/>
      <protection hidden="1"/>
    </xf>
    <xf numFmtId="0" fontId="135" fillId="0" borderId="0" xfId="4" applyFont="1" applyAlignment="1" applyProtection="1">
      <alignment horizontal="right" vertical="center"/>
      <protection hidden="1"/>
    </xf>
    <xf numFmtId="0" fontId="62" fillId="0" borderId="0" xfId="11" applyFont="1" applyAlignment="1" applyProtection="1">
      <alignment horizontal="center"/>
      <protection hidden="1"/>
    </xf>
    <xf numFmtId="171" fontId="62" fillId="0" borderId="0" xfId="4" applyNumberFormat="1" applyFont="1" applyAlignment="1" applyProtection="1">
      <alignment horizontal="center" vertical="center"/>
      <protection hidden="1"/>
    </xf>
    <xf numFmtId="0" fontId="22" fillId="0" borderId="9" xfId="4" applyFont="1" applyBorder="1" applyAlignment="1" applyProtection="1">
      <alignment horizontal="center" vertical="center"/>
      <protection locked="0" hidden="1"/>
    </xf>
    <xf numFmtId="0" fontId="131" fillId="0" borderId="0" xfId="11" applyFont="1" applyAlignment="1" applyProtection="1">
      <alignment horizontal="center" vertical="center"/>
      <protection hidden="1"/>
    </xf>
    <xf numFmtId="0" fontId="17" fillId="0" borderId="3" xfId="11" applyFont="1" applyBorder="1" applyAlignment="1" applyProtection="1">
      <alignment vertical="center"/>
      <protection hidden="1"/>
    </xf>
    <xf numFmtId="0" fontId="17" fillId="0" borderId="3" xfId="4" applyFont="1" applyBorder="1" applyAlignment="1" applyProtection="1">
      <alignment vertical="center"/>
      <protection hidden="1"/>
    </xf>
    <xf numFmtId="0" fontId="22" fillId="0" borderId="24" xfId="4" applyFont="1" applyBorder="1" applyAlignment="1" applyProtection="1">
      <alignment vertical="center"/>
      <protection hidden="1"/>
    </xf>
    <xf numFmtId="0" fontId="22" fillId="30" borderId="24" xfId="4" applyFont="1" applyFill="1" applyBorder="1" applyAlignment="1" applyProtection="1">
      <alignment horizontal="center"/>
      <protection locked="0" hidden="1"/>
    </xf>
    <xf numFmtId="171" fontId="13" fillId="0" borderId="0" xfId="0" applyNumberFormat="1" applyFont="1" applyAlignment="1" applyProtection="1">
      <alignment horizontal="right"/>
      <protection hidden="1"/>
    </xf>
    <xf numFmtId="171" fontId="62" fillId="0" borderId="0" xfId="3" applyNumberFormat="1" applyProtection="1">
      <protection hidden="1"/>
    </xf>
    <xf numFmtId="171" fontId="33" fillId="0" borderId="0" xfId="0" applyNumberFormat="1" applyFont="1" applyAlignment="1" applyProtection="1">
      <alignment horizontal="center"/>
      <protection hidden="1"/>
    </xf>
    <xf numFmtId="171" fontId="33" fillId="0" borderId="11" xfId="0" applyNumberFormat="1" applyFont="1" applyBorder="1" applyProtection="1">
      <protection hidden="1"/>
    </xf>
    <xf numFmtId="171" fontId="33" fillId="0" borderId="0" xfId="0" applyNumberFormat="1" applyFont="1" applyProtection="1">
      <protection hidden="1"/>
    </xf>
    <xf numFmtId="171" fontId="62" fillId="0" borderId="0" xfId="3" applyNumberFormat="1"/>
    <xf numFmtId="171" fontId="51" fillId="0" borderId="2" xfId="6" applyNumberFormat="1" applyFont="1" applyBorder="1" applyAlignment="1" applyProtection="1">
      <alignment vertical="center"/>
      <protection hidden="1"/>
    </xf>
    <xf numFmtId="171" fontId="1" fillId="0" borderId="0" xfId="3" applyNumberFormat="1" applyFont="1"/>
    <xf numFmtId="0" fontId="14" fillId="0" borderId="3" xfId="4" applyFont="1" applyBorder="1" applyAlignment="1" applyProtection="1">
      <alignment horizontal="center" vertical="center" wrapText="1"/>
      <protection hidden="1"/>
    </xf>
    <xf numFmtId="0" fontId="14" fillId="0" borderId="24" xfId="4" applyFont="1" applyBorder="1" applyAlignment="1" applyProtection="1">
      <alignment horizontal="center" vertical="center"/>
      <protection hidden="1"/>
    </xf>
    <xf numFmtId="0" fontId="14" fillId="0" borderId="33" xfId="4" applyFont="1" applyBorder="1" applyAlignment="1" applyProtection="1">
      <alignment horizontal="center" vertical="center" wrapText="1"/>
      <protection hidden="1"/>
    </xf>
    <xf numFmtId="0" fontId="27" fillId="0" borderId="0" xfId="4" applyFont="1" applyProtection="1">
      <protection hidden="1"/>
    </xf>
    <xf numFmtId="0" fontId="27" fillId="0" borderId="0" xfId="4" applyFont="1"/>
    <xf numFmtId="0" fontId="54" fillId="0" borderId="3" xfId="4" applyFont="1" applyBorder="1" applyAlignment="1" applyProtection="1">
      <alignment horizontal="center" vertical="center" wrapText="1"/>
      <protection hidden="1"/>
    </xf>
    <xf numFmtId="0" fontId="54" fillId="0" borderId="3" xfId="4" applyFont="1" applyBorder="1" applyAlignment="1" applyProtection="1">
      <alignment horizontal="center" vertical="center"/>
      <protection hidden="1"/>
    </xf>
    <xf numFmtId="0" fontId="54" fillId="4" borderId="3" xfId="4" applyFont="1" applyFill="1" applyBorder="1" applyAlignment="1" applyProtection="1">
      <alignment horizontal="center" vertical="center"/>
      <protection hidden="1"/>
    </xf>
    <xf numFmtId="0" fontId="114" fillId="0" borderId="0" xfId="4" applyFont="1" applyAlignment="1" applyProtection="1">
      <alignment vertical="center"/>
      <protection hidden="1"/>
    </xf>
    <xf numFmtId="0" fontId="17" fillId="0" borderId="3" xfId="4" applyFont="1" applyBorder="1" applyProtection="1">
      <protection hidden="1"/>
    </xf>
    <xf numFmtId="0" fontId="17" fillId="0" borderId="3" xfId="4" applyFont="1" applyBorder="1" applyAlignment="1" applyProtection="1">
      <alignment horizontal="left"/>
      <protection hidden="1"/>
    </xf>
    <xf numFmtId="0" fontId="54" fillId="26" borderId="0" xfId="4" applyFont="1" applyFill="1" applyAlignment="1" applyProtection="1">
      <alignment horizontal="center"/>
      <protection hidden="1"/>
    </xf>
    <xf numFmtId="0" fontId="133" fillId="0" borderId="0" xfId="3" applyFont="1" applyAlignment="1" applyProtection="1">
      <alignment horizontal="center"/>
      <protection locked="0" hidden="1"/>
    </xf>
    <xf numFmtId="0" fontId="112" fillId="0" borderId="0" xfId="4" applyFont="1" applyAlignment="1" applyProtection="1">
      <alignment vertical="center"/>
      <protection hidden="1"/>
    </xf>
    <xf numFmtId="0" fontId="1" fillId="0" borderId="0" xfId="3" applyFont="1" applyAlignment="1">
      <alignment vertical="center" wrapText="1"/>
    </xf>
    <xf numFmtId="0" fontId="17" fillId="0" borderId="0" xfId="11" applyFont="1" applyAlignment="1" applyProtection="1">
      <alignment horizontal="center"/>
      <protection locked="0" hidden="1"/>
    </xf>
    <xf numFmtId="0" fontId="125" fillId="0" borderId="41" xfId="3" applyFont="1" applyBorder="1" applyAlignment="1" applyProtection="1">
      <alignment horizontal="center" vertical="center"/>
      <protection hidden="1"/>
    </xf>
    <xf numFmtId="171" fontId="17" fillId="0" borderId="3" xfId="4" applyNumberFormat="1" applyFont="1" applyBorder="1" applyAlignment="1" applyProtection="1">
      <alignment horizontal="center"/>
      <protection hidden="1"/>
    </xf>
    <xf numFmtId="0" fontId="62" fillId="0" borderId="24" xfId="3" applyBorder="1" applyProtection="1">
      <protection hidden="1"/>
    </xf>
    <xf numFmtId="0" fontId="62" fillId="0" borderId="1" xfId="3" applyBorder="1" applyProtection="1">
      <protection hidden="1"/>
    </xf>
    <xf numFmtId="0" fontId="137" fillId="14" borderId="0" xfId="3" applyFont="1" applyFill="1" applyAlignment="1" applyProtection="1">
      <alignment vertical="center"/>
      <protection hidden="1"/>
    </xf>
    <xf numFmtId="0" fontId="39" fillId="13" borderId="2" xfId="1" applyFont="1" applyFill="1" applyBorder="1" applyAlignment="1" applyProtection="1">
      <alignment horizontal="right" vertical="center"/>
      <protection hidden="1"/>
    </xf>
    <xf numFmtId="0" fontId="14" fillId="0" borderId="0" xfId="11" applyFont="1" applyAlignment="1" applyProtection="1">
      <alignment vertical="center" wrapText="1"/>
      <protection hidden="1"/>
    </xf>
    <xf numFmtId="171" fontId="14" fillId="0" borderId="0" xfId="4" applyNumberFormat="1" applyFont="1" applyAlignment="1" applyProtection="1">
      <alignment horizontal="center" vertical="center"/>
      <protection locked="0" hidden="1"/>
    </xf>
    <xf numFmtId="0" fontId="14" fillId="19" borderId="7" xfId="0" applyFont="1" applyFill="1" applyBorder="1" applyAlignment="1" applyProtection="1">
      <alignment horizontal="center" vertical="center"/>
      <protection hidden="1"/>
    </xf>
    <xf numFmtId="0" fontId="0" fillId="0" borderId="3" xfId="0" applyBorder="1" applyAlignment="1">
      <alignment wrapText="1"/>
    </xf>
    <xf numFmtId="0" fontId="0" fillId="0" borderId="3" xfId="0" applyBorder="1" applyAlignment="1">
      <alignment horizontal="left" wrapText="1"/>
    </xf>
    <xf numFmtId="0" fontId="0" fillId="0" borderId="3" xfId="0" applyBorder="1"/>
    <xf numFmtId="0" fontId="138" fillId="0" borderId="0" xfId="0" applyFont="1"/>
    <xf numFmtId="0" fontId="60" fillId="0" borderId="8" xfId="1" applyBorder="1"/>
    <xf numFmtId="49" fontId="9" fillId="0" borderId="7" xfId="0" applyNumberFormat="1" applyFont="1" applyBorder="1"/>
    <xf numFmtId="0" fontId="70" fillId="5" borderId="0" xfId="2" applyFont="1" applyFill="1" applyAlignment="1" applyProtection="1">
      <alignment horizontal="center" vertical="center"/>
      <protection hidden="1"/>
    </xf>
    <xf numFmtId="0" fontId="62" fillId="0" borderId="0" xfId="3" applyAlignment="1" applyProtection="1">
      <alignment horizontal="center"/>
      <protection hidden="1"/>
    </xf>
    <xf numFmtId="49" fontId="90" fillId="25" borderId="24" xfId="1" applyNumberFormat="1" applyFont="1" applyFill="1" applyBorder="1" applyAlignment="1" applyProtection="1">
      <alignment horizontal="left" vertical="center"/>
      <protection locked="0" hidden="1"/>
    </xf>
    <xf numFmtId="49" fontId="1" fillId="25" borderId="1" xfId="3" applyNumberFormat="1" applyFont="1" applyFill="1" applyBorder="1" applyAlignment="1" applyProtection="1">
      <alignment horizontal="left" vertical="center"/>
      <protection locked="0" hidden="1"/>
    </xf>
    <xf numFmtId="49" fontId="1" fillId="25" borderId="9" xfId="3" applyNumberFormat="1" applyFont="1" applyFill="1" applyBorder="1" applyAlignment="1" applyProtection="1">
      <alignment horizontal="left" vertical="center"/>
      <protection locked="0" hidden="1"/>
    </xf>
    <xf numFmtId="49" fontId="1" fillId="25" borderId="32" xfId="3" applyNumberFormat="1" applyFont="1" applyFill="1" applyBorder="1" applyAlignment="1" applyProtection="1">
      <alignment horizontal="left" vertical="center"/>
      <protection locked="0" hidden="1"/>
    </xf>
    <xf numFmtId="49" fontId="1" fillId="25" borderId="25" xfId="3" applyNumberFormat="1" applyFont="1" applyFill="1" applyBorder="1" applyAlignment="1" applyProtection="1">
      <alignment horizontal="left" vertical="center"/>
      <protection locked="0" hidden="1"/>
    </xf>
    <xf numFmtId="49" fontId="1" fillId="25" borderId="26" xfId="3" applyNumberFormat="1" applyFont="1" applyFill="1" applyBorder="1" applyAlignment="1" applyProtection="1">
      <alignment horizontal="left" vertical="center"/>
      <protection locked="0" hidden="1"/>
    </xf>
    <xf numFmtId="49" fontId="1" fillId="25" borderId="27" xfId="3" applyNumberFormat="1" applyFont="1" applyFill="1" applyBorder="1" applyAlignment="1" applyProtection="1">
      <alignment horizontal="left" vertical="center"/>
      <protection locked="0" hidden="1"/>
    </xf>
    <xf numFmtId="49" fontId="1" fillId="25" borderId="28" xfId="3" applyNumberFormat="1" applyFont="1" applyFill="1" applyBorder="1" applyAlignment="1" applyProtection="1">
      <alignment horizontal="left" vertical="center"/>
      <protection locked="0" hidden="1"/>
    </xf>
    <xf numFmtId="49" fontId="1" fillId="25" borderId="29" xfId="3" applyNumberFormat="1" applyFont="1" applyFill="1" applyBorder="1" applyAlignment="1" applyProtection="1">
      <alignment horizontal="left" vertical="center"/>
      <protection locked="0" hidden="1"/>
    </xf>
    <xf numFmtId="49" fontId="1" fillId="25" borderId="30" xfId="3" applyNumberFormat="1" applyFont="1" applyFill="1" applyBorder="1" applyAlignment="1" applyProtection="1">
      <alignment horizontal="left" vertical="center"/>
      <protection locked="0" hidden="1"/>
    </xf>
    <xf numFmtId="49" fontId="1" fillId="25" borderId="31" xfId="3" applyNumberFormat="1" applyFont="1" applyFill="1" applyBorder="1" applyAlignment="1" applyProtection="1">
      <alignment horizontal="left" vertical="center"/>
      <protection locked="0" hidden="1"/>
    </xf>
    <xf numFmtId="49" fontId="1" fillId="25" borderId="2" xfId="3" applyNumberFormat="1" applyFont="1" applyFill="1" applyBorder="1" applyAlignment="1" applyProtection="1">
      <alignment horizontal="left" vertical="center"/>
      <protection locked="0" hidden="1"/>
    </xf>
    <xf numFmtId="49" fontId="1" fillId="25" borderId="33" xfId="3" applyNumberFormat="1" applyFont="1" applyFill="1" applyBorder="1" applyAlignment="1" applyProtection="1">
      <alignment horizontal="left" vertical="center"/>
      <protection locked="0" hidden="1"/>
    </xf>
    <xf numFmtId="49" fontId="1" fillId="25" borderId="14" xfId="3" applyNumberFormat="1" applyFont="1" applyFill="1" applyBorder="1" applyAlignment="1" applyProtection="1">
      <alignment horizontal="left" vertical="center"/>
      <protection locked="0" hidden="1"/>
    </xf>
    <xf numFmtId="0" fontId="14" fillId="5" borderId="0" xfId="1" applyFont="1" applyFill="1" applyAlignment="1" applyProtection="1">
      <alignment horizontal="center" vertical="center"/>
      <protection hidden="1"/>
    </xf>
    <xf numFmtId="0" fontId="62" fillId="0" borderId="0" xfId="3" applyAlignment="1">
      <alignment horizontal="center"/>
    </xf>
    <xf numFmtId="0" fontId="69" fillId="0" borderId="24" xfId="2" applyFont="1" applyBorder="1" applyAlignment="1" applyProtection="1">
      <alignment horizontal="center" vertical="center"/>
    </xf>
    <xf numFmtId="0" fontId="69" fillId="0" borderId="9" xfId="2" applyFont="1" applyBorder="1" applyAlignment="1" applyProtection="1">
      <alignment horizontal="center" vertical="center"/>
    </xf>
    <xf numFmtId="0" fontId="109" fillId="0" borderId="24" xfId="2" applyFont="1" applyBorder="1" applyAlignment="1" applyProtection="1">
      <alignment horizontal="center" vertical="center"/>
    </xf>
    <xf numFmtId="0" fontId="109" fillId="0" borderId="9" xfId="2" applyFont="1" applyBorder="1" applyAlignment="1" applyProtection="1">
      <alignment horizontal="center" vertical="center"/>
    </xf>
    <xf numFmtId="0" fontId="109" fillId="0" borderId="0" xfId="2" applyFont="1" applyBorder="1" applyAlignment="1" applyProtection="1">
      <alignment horizontal="center" vertical="center"/>
    </xf>
    <xf numFmtId="0" fontId="1" fillId="0" borderId="17" xfId="3" applyFont="1" applyBorder="1" applyAlignment="1">
      <alignment horizontal="left" vertical="center" wrapText="1"/>
    </xf>
    <xf numFmtId="0" fontId="1" fillId="0" borderId="0" xfId="3" applyFont="1" applyAlignment="1">
      <alignment horizontal="left" vertical="center" wrapText="1"/>
    </xf>
    <xf numFmtId="0" fontId="69" fillId="13" borderId="0" xfId="2" applyFont="1" applyFill="1" applyAlignment="1" applyProtection="1">
      <alignment horizontal="center" vertical="center"/>
    </xf>
    <xf numFmtId="0" fontId="118" fillId="12" borderId="56" xfId="1" applyFont="1" applyFill="1" applyBorder="1" applyAlignment="1" applyProtection="1">
      <alignment horizontal="center" vertical="center" wrapText="1"/>
      <protection hidden="1"/>
    </xf>
    <xf numFmtId="0" fontId="118" fillId="12" borderId="58" xfId="1" applyFont="1" applyFill="1" applyBorder="1" applyAlignment="1" applyProtection="1">
      <alignment horizontal="center" vertical="center" wrapText="1"/>
      <protection hidden="1"/>
    </xf>
    <xf numFmtId="0" fontId="118" fillId="12" borderId="57" xfId="1" applyFont="1" applyFill="1" applyBorder="1" applyAlignment="1" applyProtection="1">
      <alignment horizontal="center" vertical="center" wrapText="1"/>
      <protection hidden="1"/>
    </xf>
    <xf numFmtId="0" fontId="53" fillId="0" borderId="16" xfId="1" applyFont="1" applyBorder="1" applyAlignment="1" applyProtection="1">
      <alignment horizontal="left" vertical="top" wrapText="1"/>
      <protection hidden="1"/>
    </xf>
    <xf numFmtId="0" fontId="53" fillId="0" borderId="0" xfId="1" applyFont="1" applyBorder="1" applyAlignment="1" applyProtection="1">
      <alignment horizontal="left" vertical="top" wrapText="1"/>
      <protection hidden="1"/>
    </xf>
    <xf numFmtId="0" fontId="53" fillId="0" borderId="2" xfId="1" applyFont="1" applyBorder="1" applyAlignment="1" applyProtection="1">
      <alignment horizontal="left" vertical="top" wrapText="1"/>
      <protection hidden="1"/>
    </xf>
    <xf numFmtId="0" fontId="14" fillId="0" borderId="24" xfId="4" applyFont="1" applyBorder="1" applyAlignment="1" applyProtection="1">
      <alignment horizontal="right" vertical="center"/>
      <protection hidden="1"/>
    </xf>
    <xf numFmtId="0" fontId="14" fillId="0" borderId="1" xfId="4" applyFont="1" applyBorder="1" applyAlignment="1" applyProtection="1">
      <alignment horizontal="right" vertical="center"/>
      <protection hidden="1"/>
    </xf>
    <xf numFmtId="0" fontId="14" fillId="0" borderId="9" xfId="4" applyFont="1" applyBorder="1" applyAlignment="1" applyProtection="1">
      <alignment horizontal="right" vertical="center"/>
      <protection hidden="1"/>
    </xf>
    <xf numFmtId="0" fontId="50" fillId="0" borderId="0" xfId="3" applyFont="1" applyAlignment="1" applyProtection="1">
      <alignment horizontal="left" vertical="top" wrapText="1"/>
      <protection hidden="1"/>
    </xf>
    <xf numFmtId="49" fontId="1" fillId="25" borderId="24" xfId="3" applyNumberFormat="1" applyFont="1" applyFill="1" applyBorder="1" applyAlignment="1" applyProtection="1">
      <alignment horizontal="left" vertical="center"/>
      <protection locked="0" hidden="1"/>
    </xf>
    <xf numFmtId="0" fontId="1" fillId="0" borderId="0" xfId="3" applyFont="1" applyAlignment="1" applyProtection="1">
      <alignment horizontal="right" vertical="top"/>
      <protection hidden="1"/>
    </xf>
    <xf numFmtId="0" fontId="56" fillId="14" borderId="15" xfId="2" applyFont="1" applyFill="1" applyBorder="1" applyAlignment="1" applyProtection="1">
      <alignment horizontal="left" vertical="center" indent="1"/>
      <protection hidden="1"/>
    </xf>
    <xf numFmtId="0" fontId="56" fillId="12" borderId="15" xfId="2" applyFont="1" applyFill="1" applyBorder="1" applyAlignment="1" applyProtection="1">
      <alignment horizontal="left" vertical="center" wrapText="1"/>
      <protection hidden="1"/>
    </xf>
    <xf numFmtId="0" fontId="1" fillId="0" borderId="16" xfId="3" applyFont="1" applyBorder="1" applyAlignment="1" applyProtection="1">
      <alignment horizontal="left" vertical="top" wrapText="1"/>
      <protection hidden="1"/>
    </xf>
    <xf numFmtId="0" fontId="1" fillId="0" borderId="0" xfId="3" applyFont="1" applyAlignment="1" applyProtection="1">
      <alignment horizontal="left" vertical="top" wrapText="1"/>
      <protection hidden="1"/>
    </xf>
    <xf numFmtId="0" fontId="14" fillId="4" borderId="45" xfId="1" applyFont="1" applyFill="1" applyBorder="1" applyAlignment="1" applyProtection="1">
      <alignment horizontal="left" vertical="center" wrapText="1"/>
      <protection hidden="1"/>
    </xf>
    <xf numFmtId="0" fontId="61" fillId="0" borderId="24" xfId="2" applyBorder="1" applyAlignment="1" applyProtection="1">
      <alignment horizontal="center"/>
    </xf>
    <xf numFmtId="0" fontId="61" fillId="0" borderId="9" xfId="2" applyBorder="1" applyAlignment="1" applyProtection="1">
      <alignment horizontal="center"/>
    </xf>
    <xf numFmtId="0" fontId="93" fillId="10" borderId="21" xfId="2" applyFont="1" applyFill="1" applyBorder="1" applyAlignment="1" applyProtection="1">
      <alignment horizontal="center" vertical="center"/>
      <protection hidden="1"/>
    </xf>
    <xf numFmtId="0" fontId="93" fillId="10" borderId="0" xfId="2" applyFont="1" applyFill="1" applyBorder="1" applyAlignment="1" applyProtection="1">
      <alignment horizontal="center" vertical="center"/>
      <protection hidden="1"/>
    </xf>
    <xf numFmtId="0" fontId="31" fillId="0" borderId="0" xfId="3" applyFont="1" applyAlignment="1" applyProtection="1">
      <alignment horizontal="left" vertical="top" wrapText="1"/>
      <protection hidden="1"/>
    </xf>
    <xf numFmtId="0" fontId="1" fillId="0" borderId="0" xfId="3" applyFont="1" applyAlignment="1" applyProtection="1">
      <alignment horizontal="right" vertical="center"/>
      <protection hidden="1"/>
    </xf>
    <xf numFmtId="0" fontId="1" fillId="0" borderId="32" xfId="3" applyFont="1" applyBorder="1" applyAlignment="1" applyProtection="1">
      <alignment horizontal="left"/>
      <protection hidden="1"/>
    </xf>
    <xf numFmtId="0" fontId="1" fillId="0" borderId="25" xfId="3" applyFont="1" applyBorder="1" applyAlignment="1" applyProtection="1">
      <alignment horizontal="left"/>
      <protection hidden="1"/>
    </xf>
    <xf numFmtId="0" fontId="70" fillId="5" borderId="15" xfId="2" applyFont="1" applyFill="1" applyBorder="1" applyAlignment="1" applyProtection="1">
      <alignment horizontal="left" vertical="center"/>
      <protection hidden="1"/>
    </xf>
    <xf numFmtId="0" fontId="70" fillId="5" borderId="16" xfId="2" applyFont="1" applyFill="1" applyBorder="1" applyAlignment="1" applyProtection="1">
      <alignment horizontal="left" vertical="center"/>
      <protection hidden="1"/>
    </xf>
    <xf numFmtId="0" fontId="53" fillId="5" borderId="0" xfId="1" applyFont="1" applyFill="1" applyAlignment="1" applyProtection="1">
      <alignment horizontal="center" vertical="center"/>
      <protection hidden="1"/>
    </xf>
    <xf numFmtId="0" fontId="14" fillId="13" borderId="24" xfId="4" applyFont="1" applyFill="1" applyBorder="1" applyAlignment="1" applyProtection="1">
      <alignment horizontal="right" vertical="center"/>
      <protection hidden="1"/>
    </xf>
    <xf numFmtId="0" fontId="14" fillId="13" borderId="1" xfId="4" applyFont="1" applyFill="1" applyBorder="1" applyAlignment="1" applyProtection="1">
      <alignment horizontal="right" vertical="center"/>
      <protection hidden="1"/>
    </xf>
    <xf numFmtId="0" fontId="14" fillId="13" borderId="9" xfId="4" applyFont="1" applyFill="1" applyBorder="1" applyAlignment="1" applyProtection="1">
      <alignment horizontal="right" vertical="center"/>
      <protection hidden="1"/>
    </xf>
    <xf numFmtId="0" fontId="1" fillId="0" borderId="3" xfId="3" applyFont="1" applyBorder="1" applyAlignment="1" applyProtection="1">
      <alignment horizontal="right"/>
      <protection hidden="1"/>
    </xf>
    <xf numFmtId="0" fontId="1" fillId="0" borderId="3" xfId="3" applyFont="1" applyBorder="1" applyAlignment="1" applyProtection="1">
      <alignment horizontal="left"/>
      <protection hidden="1"/>
    </xf>
    <xf numFmtId="0" fontId="70" fillId="5" borderId="0" xfId="2" applyFont="1" applyFill="1" applyBorder="1" applyAlignment="1" applyProtection="1">
      <alignment horizontal="center" vertical="center"/>
      <protection hidden="1"/>
    </xf>
    <xf numFmtId="0" fontId="70" fillId="0" borderId="0" xfId="2" applyFont="1" applyFill="1" applyBorder="1" applyAlignment="1" applyProtection="1">
      <alignment horizontal="center"/>
      <protection hidden="1"/>
    </xf>
    <xf numFmtId="0" fontId="70" fillId="0" borderId="0" xfId="2" applyFont="1" applyFill="1" applyAlignment="1" applyProtection="1">
      <alignment horizontal="center"/>
      <protection hidden="1"/>
    </xf>
    <xf numFmtId="0" fontId="70" fillId="5" borderId="0" xfId="8" applyFont="1" applyFill="1" applyBorder="1" applyAlignment="1" applyProtection="1">
      <alignment horizontal="center" vertical="center"/>
      <protection hidden="1"/>
    </xf>
    <xf numFmtId="0" fontId="70" fillId="5" borderId="0" xfId="2" applyFont="1" applyFill="1" applyBorder="1" applyAlignment="1" applyProtection="1">
      <alignment horizontal="left" vertical="center"/>
      <protection hidden="1"/>
    </xf>
    <xf numFmtId="0" fontId="17" fillId="0" borderId="0" xfId="4" applyFont="1" applyAlignment="1" applyProtection="1">
      <alignment horizontal="left" vertical="top" wrapText="1"/>
      <protection hidden="1"/>
    </xf>
    <xf numFmtId="0" fontId="14" fillId="0" borderId="0" xfId="4" applyFont="1" applyAlignment="1" applyProtection="1">
      <alignment horizontal="left" vertical="top" wrapText="1"/>
      <protection hidden="1"/>
    </xf>
    <xf numFmtId="0" fontId="17" fillId="0" borderId="0" xfId="4" applyFont="1" applyAlignment="1" applyProtection="1">
      <alignment horizontal="center"/>
      <protection hidden="1"/>
    </xf>
    <xf numFmtId="0" fontId="17" fillId="0" borderId="3" xfId="4" applyFont="1" applyBorder="1" applyAlignment="1" applyProtection="1">
      <alignment horizontal="left" vertical="center" wrapText="1"/>
      <protection hidden="1"/>
    </xf>
    <xf numFmtId="0" fontId="67" fillId="0" borderId="0" xfId="4" applyFont="1" applyAlignment="1" applyProtection="1">
      <alignment horizontal="left" vertical="top" wrapText="1"/>
      <protection hidden="1"/>
    </xf>
    <xf numFmtId="0" fontId="122" fillId="12" borderId="0" xfId="1" applyFont="1" applyFill="1" applyBorder="1" applyAlignment="1" applyProtection="1">
      <alignment horizontal="center" vertical="center"/>
      <protection hidden="1"/>
    </xf>
    <xf numFmtId="0" fontId="17" fillId="0" borderId="24" xfId="4" applyFont="1" applyBorder="1" applyAlignment="1" applyProtection="1">
      <alignment horizontal="left" vertical="center"/>
      <protection hidden="1"/>
    </xf>
    <xf numFmtId="0" fontId="17" fillId="0" borderId="9" xfId="4" applyFont="1" applyBorder="1" applyAlignment="1" applyProtection="1">
      <alignment horizontal="left" vertical="center"/>
      <protection hidden="1"/>
    </xf>
    <xf numFmtId="0" fontId="14" fillId="0" borderId="24" xfId="4" applyFont="1" applyBorder="1" applyAlignment="1" applyProtection="1">
      <alignment horizontal="left" vertical="center"/>
      <protection hidden="1"/>
    </xf>
    <xf numFmtId="0" fontId="14" fillId="0" borderId="1" xfId="4" applyFont="1" applyBorder="1" applyAlignment="1" applyProtection="1">
      <alignment horizontal="left" vertical="center"/>
      <protection hidden="1"/>
    </xf>
    <xf numFmtId="0" fontId="14" fillId="15" borderId="1" xfId="4" applyFont="1" applyFill="1" applyBorder="1" applyAlignment="1" applyProtection="1">
      <alignment horizontal="right" vertical="center"/>
      <protection hidden="1"/>
    </xf>
    <xf numFmtId="0" fontId="14" fillId="15" borderId="9" xfId="4" applyFont="1" applyFill="1" applyBorder="1" applyAlignment="1" applyProtection="1">
      <alignment horizontal="right" vertical="center"/>
      <protection hidden="1"/>
    </xf>
    <xf numFmtId="0" fontId="14" fillId="15" borderId="3" xfId="4" applyFont="1" applyFill="1" applyBorder="1" applyAlignment="1" applyProtection="1">
      <alignment horizontal="center" vertical="center" wrapText="1"/>
      <protection hidden="1"/>
    </xf>
    <xf numFmtId="0" fontId="10" fillId="13" borderId="42" xfId="4" applyFont="1" applyFill="1" applyBorder="1" applyAlignment="1" applyProtection="1">
      <alignment horizontal="center" vertical="center"/>
      <protection hidden="1"/>
    </xf>
    <xf numFmtId="0" fontId="10" fillId="13" borderId="43" xfId="4" applyFont="1" applyFill="1" applyBorder="1" applyAlignment="1" applyProtection="1">
      <alignment horizontal="center" vertical="center"/>
      <protection hidden="1"/>
    </xf>
    <xf numFmtId="0" fontId="10" fillId="13" borderId="44" xfId="4" applyFont="1" applyFill="1" applyBorder="1" applyAlignment="1" applyProtection="1">
      <alignment horizontal="center" vertical="center"/>
      <protection hidden="1"/>
    </xf>
    <xf numFmtId="0" fontId="70" fillId="5" borderId="24" xfId="2" applyFont="1" applyFill="1" applyBorder="1" applyAlignment="1" applyProtection="1">
      <alignment horizontal="right" vertical="center"/>
      <protection hidden="1"/>
    </xf>
    <xf numFmtId="0" fontId="70" fillId="5" borderId="9" xfId="2" applyFont="1" applyFill="1" applyBorder="1" applyAlignment="1" applyProtection="1">
      <alignment horizontal="right" vertical="center"/>
      <protection hidden="1"/>
    </xf>
    <xf numFmtId="4" fontId="14" fillId="0" borderId="1" xfId="4" applyNumberFormat="1" applyFont="1" applyBorder="1" applyAlignment="1" applyProtection="1">
      <alignment horizontal="center" vertical="center"/>
      <protection hidden="1"/>
    </xf>
    <xf numFmtId="4" fontId="14" fillId="0" borderId="9" xfId="4" applyNumberFormat="1" applyFont="1" applyBorder="1" applyAlignment="1" applyProtection="1">
      <alignment horizontal="center" vertical="center"/>
      <protection hidden="1"/>
    </xf>
    <xf numFmtId="0" fontId="17" fillId="0" borderId="1" xfId="4" applyFont="1" applyBorder="1" applyAlignment="1" applyProtection="1">
      <alignment horizontal="center"/>
      <protection locked="0" hidden="1"/>
    </xf>
    <xf numFmtId="0" fontId="17" fillId="0" borderId="9" xfId="4" applyFont="1" applyBorder="1" applyAlignment="1" applyProtection="1">
      <alignment horizontal="center"/>
      <protection locked="0" hidden="1"/>
    </xf>
    <xf numFmtId="0" fontId="14" fillId="0" borderId="32" xfId="4" applyFont="1" applyBorder="1" applyAlignment="1" applyProtection="1">
      <alignment horizontal="right" vertical="center"/>
      <protection hidden="1"/>
    </xf>
    <xf numFmtId="0" fontId="14" fillId="0" borderId="2" xfId="4" applyFont="1" applyBorder="1" applyAlignment="1" applyProtection="1">
      <alignment horizontal="right" vertical="center"/>
      <protection hidden="1"/>
    </xf>
    <xf numFmtId="0" fontId="14" fillId="0" borderId="25" xfId="4" applyFont="1" applyBorder="1" applyAlignment="1" applyProtection="1">
      <alignment horizontal="right" vertical="center"/>
      <protection hidden="1"/>
    </xf>
    <xf numFmtId="0" fontId="12" fillId="22" borderId="0" xfId="2" applyFont="1" applyFill="1" applyBorder="1" applyAlignment="1" applyProtection="1">
      <alignment horizontal="left" vertical="top" wrapText="1"/>
      <protection hidden="1"/>
    </xf>
    <xf numFmtId="0" fontId="113" fillId="0" borderId="3" xfId="4" applyFont="1" applyBorder="1" applyAlignment="1" applyProtection="1">
      <alignment horizontal="right" vertical="center"/>
      <protection hidden="1"/>
    </xf>
    <xf numFmtId="0" fontId="54" fillId="0" borderId="24" xfId="11" applyFont="1" applyBorder="1" applyAlignment="1" applyProtection="1">
      <alignment horizontal="right"/>
      <protection hidden="1"/>
    </xf>
    <xf numFmtId="0" fontId="54" fillId="0" borderId="1" xfId="11" applyFont="1" applyBorder="1" applyAlignment="1" applyProtection="1">
      <alignment horizontal="right"/>
      <protection hidden="1"/>
    </xf>
    <xf numFmtId="0" fontId="54" fillId="0" borderId="9" xfId="11" applyFont="1" applyBorder="1" applyAlignment="1" applyProtection="1">
      <alignment horizontal="right"/>
      <protection hidden="1"/>
    </xf>
    <xf numFmtId="0" fontId="54" fillId="25" borderId="3" xfId="4" applyFont="1" applyFill="1" applyBorder="1" applyAlignment="1" applyProtection="1">
      <alignment horizontal="center"/>
      <protection locked="0" hidden="1"/>
    </xf>
    <xf numFmtId="0" fontId="54" fillId="0" borderId="3" xfId="4" applyFont="1" applyBorder="1" applyAlignment="1" applyProtection="1">
      <alignment horizontal="center"/>
      <protection hidden="1"/>
    </xf>
    <xf numFmtId="0" fontId="54" fillId="0" borderId="24" xfId="11" applyFont="1" applyBorder="1" applyAlignment="1" applyProtection="1">
      <alignment horizontal="left"/>
      <protection hidden="1"/>
    </xf>
    <xf numFmtId="0" fontId="54" fillId="0" borderId="1" xfId="11" applyFont="1" applyBorder="1" applyAlignment="1" applyProtection="1">
      <alignment horizontal="left"/>
      <protection hidden="1"/>
    </xf>
    <xf numFmtId="0" fontId="54" fillId="25" borderId="1" xfId="11" applyFont="1" applyFill="1" applyBorder="1" applyAlignment="1" applyProtection="1">
      <alignment horizontal="left"/>
      <protection hidden="1"/>
    </xf>
    <xf numFmtId="0" fontId="54" fillId="25" borderId="9" xfId="11" applyFont="1" applyFill="1" applyBorder="1" applyAlignment="1" applyProtection="1">
      <alignment horizontal="left"/>
      <protection hidden="1"/>
    </xf>
    <xf numFmtId="0" fontId="62" fillId="0" borderId="24" xfId="3" applyBorder="1" applyAlignment="1" applyProtection="1">
      <alignment horizontal="right"/>
      <protection hidden="1"/>
    </xf>
    <xf numFmtId="0" fontId="62" fillId="0" borderId="1" xfId="3" applyBorder="1" applyAlignment="1" applyProtection="1">
      <alignment horizontal="right"/>
      <protection hidden="1"/>
    </xf>
    <xf numFmtId="0" fontId="62" fillId="0" borderId="9" xfId="3" applyBorder="1" applyAlignment="1" applyProtection="1">
      <alignment horizontal="right"/>
      <protection hidden="1"/>
    </xf>
    <xf numFmtId="0" fontId="22" fillId="0" borderId="33" xfId="4" applyFont="1" applyBorder="1" applyAlignment="1" applyProtection="1">
      <alignment horizontal="center" vertical="center"/>
      <protection hidden="1"/>
    </xf>
    <xf numFmtId="0" fontId="22" fillId="0" borderId="17" xfId="4" applyFont="1" applyBorder="1" applyAlignment="1" applyProtection="1">
      <alignment horizontal="center" vertical="center"/>
      <protection hidden="1"/>
    </xf>
    <xf numFmtId="0" fontId="22" fillId="0" borderId="14" xfId="4" applyFont="1" applyBorder="1" applyAlignment="1" applyProtection="1">
      <alignment horizontal="center" vertical="center"/>
      <protection hidden="1"/>
    </xf>
    <xf numFmtId="0" fontId="115" fillId="5" borderId="0" xfId="2" applyFont="1" applyFill="1" applyAlignment="1" applyProtection="1">
      <alignment horizontal="center"/>
      <protection hidden="1"/>
    </xf>
    <xf numFmtId="0" fontId="54" fillId="25" borderId="24" xfId="4" applyFont="1" applyFill="1" applyBorder="1" applyAlignment="1" applyProtection="1">
      <alignment horizontal="center"/>
      <protection locked="0" hidden="1"/>
    </xf>
    <xf numFmtId="0" fontId="54" fillId="25" borderId="9" xfId="4" applyFont="1" applyFill="1" applyBorder="1" applyAlignment="1" applyProtection="1">
      <alignment horizontal="center"/>
      <protection locked="0" hidden="1"/>
    </xf>
    <xf numFmtId="0" fontId="72" fillId="5" borderId="0" xfId="2" applyFont="1" applyFill="1" applyAlignment="1" applyProtection="1">
      <alignment horizontal="center"/>
      <protection hidden="1"/>
    </xf>
    <xf numFmtId="0" fontId="54" fillId="0" borderId="0" xfId="4" applyFont="1" applyAlignment="1" applyProtection="1">
      <alignment horizontal="center" textRotation="90"/>
      <protection hidden="1"/>
    </xf>
    <xf numFmtId="0" fontId="54" fillId="21" borderId="3" xfId="4" applyFont="1" applyFill="1" applyBorder="1" applyAlignment="1" applyProtection="1">
      <alignment horizontal="center"/>
      <protection hidden="1"/>
    </xf>
    <xf numFmtId="0" fontId="54" fillId="0" borderId="24" xfId="4" applyFont="1" applyBorder="1" applyAlignment="1" applyProtection="1">
      <alignment horizontal="left" vertical="center"/>
      <protection hidden="1"/>
    </xf>
    <xf numFmtId="0" fontId="54" fillId="0" borderId="1" xfId="4" applyFont="1" applyBorder="1" applyAlignment="1" applyProtection="1">
      <alignment horizontal="left" vertical="center"/>
      <protection hidden="1"/>
    </xf>
    <xf numFmtId="0" fontId="54" fillId="0" borderId="9" xfId="4" applyFont="1" applyBorder="1" applyAlignment="1" applyProtection="1">
      <alignment horizontal="left" vertical="center"/>
      <protection hidden="1"/>
    </xf>
    <xf numFmtId="0" fontId="54" fillId="0" borderId="24" xfId="4" applyFont="1" applyBorder="1" applyAlignment="1" applyProtection="1">
      <alignment horizontal="center"/>
      <protection hidden="1"/>
    </xf>
    <xf numFmtId="0" fontId="54" fillId="0" borderId="1" xfId="4" applyFont="1" applyBorder="1" applyAlignment="1" applyProtection="1">
      <alignment horizontal="center"/>
      <protection hidden="1"/>
    </xf>
    <xf numFmtId="0" fontId="113" fillId="0" borderId="1" xfId="4" applyFont="1" applyBorder="1" applyAlignment="1" applyProtection="1">
      <alignment horizontal="center" vertical="center"/>
      <protection hidden="1"/>
    </xf>
    <xf numFmtId="0" fontId="113" fillId="0" borderId="9" xfId="4" applyFont="1" applyBorder="1" applyAlignment="1" applyProtection="1">
      <alignment horizontal="center" vertical="center"/>
      <protection hidden="1"/>
    </xf>
    <xf numFmtId="0" fontId="62" fillId="0" borderId="0" xfId="3" applyProtection="1">
      <protection hidden="1"/>
    </xf>
    <xf numFmtId="0" fontId="61" fillId="0" borderId="2" xfId="2" applyBorder="1" applyAlignment="1" applyProtection="1">
      <alignment horizontal="right" vertical="center"/>
      <protection hidden="1"/>
    </xf>
    <xf numFmtId="0" fontId="61" fillId="0" borderId="25" xfId="2" applyBorder="1" applyAlignment="1" applyProtection="1">
      <alignment horizontal="right" vertical="center"/>
      <protection hidden="1"/>
    </xf>
    <xf numFmtId="0" fontId="14" fillId="0" borderId="0" xfId="4" applyFont="1" applyAlignment="1" applyProtection="1">
      <alignment horizontal="left" vertical="center" wrapText="1"/>
      <protection hidden="1"/>
    </xf>
    <xf numFmtId="0" fontId="70" fillId="5" borderId="24" xfId="2" applyFont="1" applyFill="1" applyBorder="1" applyAlignment="1" applyProtection="1">
      <alignment horizontal="right" vertical="center"/>
    </xf>
    <xf numFmtId="0" fontId="70" fillId="5" borderId="9" xfId="2" applyFont="1" applyFill="1" applyBorder="1" applyAlignment="1" applyProtection="1">
      <alignment horizontal="right" vertical="center"/>
    </xf>
    <xf numFmtId="0" fontId="21" fillId="0" borderId="0" xfId="4" applyAlignment="1">
      <alignment horizontal="center"/>
    </xf>
    <xf numFmtId="0" fontId="1" fillId="0" borderId="0" xfId="3" applyFont="1" applyAlignment="1">
      <alignment horizontal="right" vertical="center"/>
    </xf>
    <xf numFmtId="0" fontId="14" fillId="15" borderId="3" xfId="4" applyFont="1" applyFill="1" applyBorder="1" applyAlignment="1">
      <alignment horizontal="center" vertical="center" wrapText="1"/>
    </xf>
    <xf numFmtId="0" fontId="104" fillId="15" borderId="1" xfId="4" applyFont="1" applyFill="1" applyBorder="1" applyAlignment="1" applyProtection="1">
      <alignment horizontal="right" vertical="center"/>
      <protection hidden="1"/>
    </xf>
    <xf numFmtId="0" fontId="104" fillId="15" borderId="9" xfId="4" applyFont="1" applyFill="1" applyBorder="1" applyAlignment="1" applyProtection="1">
      <alignment horizontal="right" vertical="center"/>
      <protection hidden="1"/>
    </xf>
    <xf numFmtId="0" fontId="67" fillId="0" borderId="0" xfId="4" applyFont="1" applyAlignment="1" applyProtection="1">
      <alignment horizontal="left" wrapText="1"/>
      <protection hidden="1"/>
    </xf>
    <xf numFmtId="0" fontId="61" fillId="0" borderId="24" xfId="2" applyBorder="1" applyAlignment="1" applyProtection="1">
      <alignment horizontal="right"/>
    </xf>
    <xf numFmtId="0" fontId="61" fillId="0" borderId="1" xfId="2" applyBorder="1" applyAlignment="1" applyProtection="1">
      <alignment horizontal="right"/>
    </xf>
    <xf numFmtId="0" fontId="61" fillId="0" borderId="9" xfId="2" applyBorder="1" applyAlignment="1" applyProtection="1">
      <alignment horizontal="right"/>
    </xf>
    <xf numFmtId="0" fontId="96" fillId="0" borderId="24" xfId="3" applyFont="1" applyBorder="1" applyAlignment="1">
      <alignment horizontal="right"/>
    </xf>
    <xf numFmtId="0" fontId="96" fillId="0" borderId="1" xfId="3" applyFont="1" applyBorder="1" applyAlignment="1">
      <alignment horizontal="right"/>
    </xf>
    <xf numFmtId="0" fontId="96" fillId="0" borderId="9" xfId="3" applyFont="1" applyBorder="1" applyAlignment="1">
      <alignment horizontal="right"/>
    </xf>
    <xf numFmtId="0" fontId="62" fillId="0" borderId="24" xfId="3" applyBorder="1" applyAlignment="1">
      <alignment horizontal="right"/>
    </xf>
    <xf numFmtId="0" fontId="62" fillId="0" borderId="1" xfId="3" applyBorder="1" applyAlignment="1">
      <alignment horizontal="right"/>
    </xf>
    <xf numFmtId="0" fontId="62" fillId="0" borderId="9" xfId="3" applyBorder="1" applyAlignment="1">
      <alignment horizontal="right"/>
    </xf>
    <xf numFmtId="0" fontId="70" fillId="5" borderId="0" xfId="2" applyFont="1" applyFill="1" applyAlignment="1" applyProtection="1">
      <alignment horizontal="center"/>
    </xf>
    <xf numFmtId="0" fontId="12" fillId="22" borderId="0" xfId="2" applyFont="1" applyFill="1" applyBorder="1" applyAlignment="1" applyProtection="1">
      <alignment horizontal="left" vertical="top" wrapText="1"/>
    </xf>
    <xf numFmtId="0" fontId="21" fillId="0" borderId="0" xfId="4" applyAlignment="1" applyProtection="1">
      <alignment horizontal="center"/>
      <protection hidden="1"/>
    </xf>
    <xf numFmtId="0" fontId="17" fillId="0" borderId="24" xfId="3" applyFont="1" applyBorder="1" applyAlignment="1" applyProtection="1">
      <alignment horizontal="right"/>
      <protection hidden="1"/>
    </xf>
    <xf numFmtId="0" fontId="17" fillId="0" borderId="1" xfId="3" applyFont="1" applyBorder="1" applyAlignment="1" applyProtection="1">
      <alignment horizontal="right"/>
      <protection hidden="1"/>
    </xf>
    <xf numFmtId="0" fontId="17" fillId="0" borderId="9" xfId="3" applyFont="1" applyBorder="1" applyAlignment="1" applyProtection="1">
      <alignment horizontal="right"/>
      <protection hidden="1"/>
    </xf>
    <xf numFmtId="0" fontId="61" fillId="0" borderId="24" xfId="2" applyBorder="1" applyAlignment="1" applyProtection="1">
      <alignment horizontal="right"/>
      <protection hidden="1"/>
    </xf>
    <xf numFmtId="0" fontId="61" fillId="0" borderId="1" xfId="2" applyBorder="1" applyAlignment="1" applyProtection="1">
      <alignment horizontal="right"/>
      <protection hidden="1"/>
    </xf>
    <xf numFmtId="0" fontId="61" fillId="0" borderId="9" xfId="2" applyBorder="1" applyAlignment="1" applyProtection="1">
      <alignment horizontal="right"/>
      <protection hidden="1"/>
    </xf>
    <xf numFmtId="0" fontId="70" fillId="5" borderId="0" xfId="2" applyFont="1" applyFill="1" applyAlignment="1" applyProtection="1">
      <alignment horizontal="center"/>
      <protection hidden="1"/>
    </xf>
    <xf numFmtId="0" fontId="17" fillId="0" borderId="1" xfId="4" applyFont="1" applyBorder="1" applyProtection="1">
      <protection locked="0" hidden="1"/>
    </xf>
    <xf numFmtId="0" fontId="62" fillId="0" borderId="9" xfId="3" applyBorder="1" applyProtection="1">
      <protection hidden="1"/>
    </xf>
    <xf numFmtId="0" fontId="96" fillId="0" borderId="24" xfId="3" applyFont="1" applyBorder="1" applyAlignment="1" applyProtection="1">
      <alignment horizontal="right"/>
      <protection hidden="1"/>
    </xf>
    <xf numFmtId="0" fontId="96" fillId="0" borderId="1" xfId="3" applyFont="1" applyBorder="1" applyAlignment="1" applyProtection="1">
      <alignment horizontal="right"/>
      <protection hidden="1"/>
    </xf>
    <xf numFmtId="0" fontId="96" fillId="0" borderId="9" xfId="3" applyFont="1" applyBorder="1" applyAlignment="1" applyProtection="1">
      <alignment horizontal="right"/>
      <protection hidden="1"/>
    </xf>
    <xf numFmtId="0" fontId="62" fillId="0" borderId="0" xfId="3" applyAlignment="1" applyProtection="1">
      <alignment vertical="center"/>
      <protection hidden="1"/>
    </xf>
    <xf numFmtId="0" fontId="62" fillId="0" borderId="0" xfId="3" applyAlignment="1" applyProtection="1">
      <alignment horizontal="right"/>
      <protection hidden="1"/>
    </xf>
    <xf numFmtId="0" fontId="15" fillId="0" borderId="24" xfId="11" applyFont="1" applyBorder="1" applyAlignment="1" applyProtection="1">
      <alignment horizontal="center"/>
      <protection hidden="1"/>
    </xf>
    <xf numFmtId="0" fontId="15" fillId="0" borderId="9" xfId="11" applyFont="1" applyBorder="1" applyAlignment="1" applyProtection="1">
      <alignment horizontal="center"/>
      <protection hidden="1"/>
    </xf>
    <xf numFmtId="0" fontId="90" fillId="0" borderId="24" xfId="2" applyFont="1" applyBorder="1" applyAlignment="1" applyProtection="1">
      <alignment horizontal="right"/>
      <protection hidden="1"/>
    </xf>
    <xf numFmtId="0" fontId="90" fillId="0" borderId="1" xfId="2" applyFont="1" applyBorder="1" applyAlignment="1" applyProtection="1">
      <alignment horizontal="right"/>
      <protection hidden="1"/>
    </xf>
    <xf numFmtId="0" fontId="90" fillId="0" borderId="9" xfId="2" applyFont="1" applyBorder="1" applyAlignment="1" applyProtection="1">
      <alignment horizontal="right"/>
      <protection hidden="1"/>
    </xf>
    <xf numFmtId="0" fontId="17" fillId="0" borderId="24" xfId="4" applyFont="1" applyBorder="1" applyAlignment="1" applyProtection="1">
      <alignment horizontal="center" vertical="center"/>
      <protection locked="0" hidden="1"/>
    </xf>
    <xf numFmtId="0" fontId="17" fillId="0" borderId="9" xfId="4" applyFont="1" applyBorder="1" applyAlignment="1" applyProtection="1">
      <alignment horizontal="center" vertical="center"/>
      <protection locked="0" hidden="1"/>
    </xf>
    <xf numFmtId="0" fontId="1" fillId="0" borderId="24" xfId="3" applyFont="1" applyBorder="1" applyAlignment="1" applyProtection="1">
      <alignment horizontal="right"/>
      <protection hidden="1"/>
    </xf>
    <xf numFmtId="0" fontId="1" fillId="0" borderId="1" xfId="3" applyFont="1" applyBorder="1" applyAlignment="1" applyProtection="1">
      <alignment horizontal="right"/>
      <protection hidden="1"/>
    </xf>
    <xf numFmtId="0" fontId="1" fillId="0" borderId="9" xfId="3" applyFont="1" applyBorder="1" applyAlignment="1" applyProtection="1">
      <alignment horizontal="right"/>
      <protection hidden="1"/>
    </xf>
    <xf numFmtId="0" fontId="54" fillId="4" borderId="4" xfId="4" applyFont="1" applyFill="1" applyBorder="1" applyAlignment="1" applyProtection="1">
      <alignment horizontal="center" vertical="center"/>
      <protection hidden="1"/>
    </xf>
    <xf numFmtId="0" fontId="54" fillId="4" borderId="20" xfId="4" applyFont="1" applyFill="1" applyBorder="1" applyAlignment="1" applyProtection="1">
      <alignment horizontal="center" vertical="center"/>
      <protection hidden="1"/>
    </xf>
    <xf numFmtId="0" fontId="10" fillId="0" borderId="33" xfId="4" applyFont="1" applyBorder="1" applyAlignment="1" applyProtection="1">
      <alignment horizontal="center" vertical="center"/>
      <protection hidden="1"/>
    </xf>
    <xf numFmtId="0" fontId="10" fillId="0" borderId="17" xfId="4" applyFont="1" applyBorder="1" applyAlignment="1" applyProtection="1">
      <alignment horizontal="center" vertical="center"/>
      <protection hidden="1"/>
    </xf>
    <xf numFmtId="0" fontId="10" fillId="0" borderId="14" xfId="4" applyFont="1" applyBorder="1" applyAlignment="1" applyProtection="1">
      <alignment horizontal="center" vertical="center"/>
      <protection hidden="1"/>
    </xf>
    <xf numFmtId="0" fontId="1" fillId="0" borderId="0" xfId="3" applyFont="1" applyProtection="1">
      <protection hidden="1"/>
    </xf>
    <xf numFmtId="0" fontId="17" fillId="0" borderId="0" xfId="4" applyFont="1" applyAlignment="1">
      <alignment horizontal="center"/>
    </xf>
    <xf numFmtId="0" fontId="65" fillId="15" borderId="1" xfId="4" applyFont="1" applyFill="1" applyBorder="1" applyAlignment="1" applyProtection="1">
      <alignment horizontal="right" vertical="center"/>
      <protection hidden="1"/>
    </xf>
    <xf numFmtId="0" fontId="65" fillId="15" borderId="9" xfId="4" applyFont="1" applyFill="1" applyBorder="1" applyAlignment="1" applyProtection="1">
      <alignment horizontal="right" vertical="center"/>
      <protection hidden="1"/>
    </xf>
    <xf numFmtId="0" fontId="14" fillId="0" borderId="24" xfId="4" applyFont="1" applyBorder="1" applyAlignment="1" applyProtection="1">
      <alignment horizontal="right" vertical="center" indent="1"/>
      <protection hidden="1"/>
    </xf>
    <xf numFmtId="0" fontId="14" fillId="0" borderId="1" xfId="4" applyFont="1" applyBorder="1" applyAlignment="1" applyProtection="1">
      <alignment horizontal="right" vertical="center" indent="1"/>
      <protection hidden="1"/>
    </xf>
    <xf numFmtId="0" fontId="14" fillId="0" borderId="24" xfId="4" applyFont="1" applyBorder="1" applyAlignment="1" applyProtection="1">
      <alignment horizontal="right"/>
      <protection hidden="1"/>
    </xf>
    <xf numFmtId="0" fontId="14" fillId="0" borderId="1" xfId="4" applyFont="1" applyBorder="1" applyAlignment="1" applyProtection="1">
      <alignment horizontal="right"/>
      <protection hidden="1"/>
    </xf>
    <xf numFmtId="0" fontId="14" fillId="0" borderId="9" xfId="4" applyFont="1" applyBorder="1" applyAlignment="1" applyProtection="1">
      <alignment horizontal="right"/>
      <protection hidden="1"/>
    </xf>
    <xf numFmtId="0" fontId="46" fillId="0" borderId="24" xfId="3" applyFont="1" applyBorder="1" applyAlignment="1" applyProtection="1">
      <alignment horizontal="right"/>
      <protection hidden="1"/>
    </xf>
    <xf numFmtId="0" fontId="46" fillId="0" borderId="1" xfId="3" applyFont="1" applyBorder="1" applyAlignment="1" applyProtection="1">
      <alignment horizontal="right"/>
      <protection hidden="1"/>
    </xf>
    <xf numFmtId="0" fontId="46" fillId="0" borderId="9" xfId="3" applyFont="1" applyBorder="1" applyAlignment="1" applyProtection="1">
      <alignment horizontal="right"/>
      <protection hidden="1"/>
    </xf>
    <xf numFmtId="0" fontId="39" fillId="0" borderId="24" xfId="2" applyFont="1" applyBorder="1" applyAlignment="1" applyProtection="1">
      <alignment horizontal="right"/>
      <protection hidden="1"/>
    </xf>
    <xf numFmtId="0" fontId="39" fillId="0" borderId="1" xfId="2" applyFont="1" applyBorder="1" applyAlignment="1" applyProtection="1">
      <alignment horizontal="right"/>
      <protection hidden="1"/>
    </xf>
    <xf numFmtId="0" fontId="39" fillId="0" borderId="9" xfId="2" applyFont="1" applyBorder="1" applyAlignment="1" applyProtection="1">
      <alignment horizontal="right"/>
      <protection hidden="1"/>
    </xf>
    <xf numFmtId="0" fontId="14" fillId="5" borderId="0" xfId="2" applyFont="1" applyFill="1" applyAlignment="1" applyProtection="1">
      <alignment horizontal="center"/>
      <protection hidden="1"/>
    </xf>
    <xf numFmtId="0" fontId="1" fillId="0" borderId="0" xfId="3" applyFont="1" applyAlignment="1" applyProtection="1">
      <alignment horizontal="right"/>
      <protection hidden="1"/>
    </xf>
    <xf numFmtId="0" fontId="1" fillId="25" borderId="0" xfId="3" applyFont="1" applyFill="1" applyAlignment="1" applyProtection="1">
      <alignment horizontal="right"/>
      <protection hidden="1"/>
    </xf>
    <xf numFmtId="0" fontId="14" fillId="0" borderId="3" xfId="4" applyFont="1" applyBorder="1" applyAlignment="1" applyProtection="1">
      <alignment horizontal="center" vertical="center"/>
      <protection hidden="1"/>
    </xf>
    <xf numFmtId="0" fontId="14" fillId="0" borderId="4" xfId="4" applyFont="1" applyBorder="1" applyAlignment="1" applyProtection="1">
      <alignment horizontal="center" vertical="center"/>
      <protection hidden="1"/>
    </xf>
    <xf numFmtId="0" fontId="17" fillId="0" borderId="24" xfId="11" applyFont="1" applyBorder="1" applyAlignment="1" applyProtection="1">
      <alignment horizontal="center"/>
      <protection locked="0" hidden="1"/>
    </xf>
    <xf numFmtId="0" fontId="17" fillId="0" borderId="1" xfId="11" applyFont="1" applyBorder="1" applyAlignment="1" applyProtection="1">
      <alignment horizontal="center"/>
      <protection locked="0" hidden="1"/>
    </xf>
    <xf numFmtId="0" fontId="55" fillId="0" borderId="24" xfId="3" applyFont="1" applyBorder="1" applyAlignment="1" applyProtection="1">
      <alignment horizontal="right"/>
      <protection hidden="1"/>
    </xf>
    <xf numFmtId="0" fontId="55" fillId="0" borderId="1" xfId="3" applyFont="1" applyBorder="1" applyAlignment="1" applyProtection="1">
      <alignment horizontal="right"/>
      <protection hidden="1"/>
    </xf>
    <xf numFmtId="0" fontId="55" fillId="0" borderId="9" xfId="3" applyFont="1" applyBorder="1" applyAlignment="1" applyProtection="1">
      <alignment horizontal="right"/>
      <protection hidden="1"/>
    </xf>
    <xf numFmtId="0" fontId="14" fillId="0" borderId="37" xfId="4" applyFont="1" applyBorder="1" applyAlignment="1" applyProtection="1">
      <alignment horizontal="right" vertical="center"/>
      <protection hidden="1"/>
    </xf>
    <xf numFmtId="0" fontId="14" fillId="0" borderId="0" xfId="4" applyFont="1" applyAlignment="1" applyProtection="1">
      <alignment horizontal="center" vertical="center"/>
      <protection hidden="1"/>
    </xf>
    <xf numFmtId="0" fontId="62" fillId="0" borderId="0" xfId="3" applyAlignment="1" applyProtection="1">
      <alignment horizontal="right" vertical="center"/>
      <protection hidden="1"/>
    </xf>
    <xf numFmtId="0" fontId="62" fillId="25" borderId="0" xfId="3" applyFill="1" applyAlignment="1" applyProtection="1">
      <alignment horizontal="right" vertical="center"/>
      <protection hidden="1"/>
    </xf>
    <xf numFmtId="0" fontId="62" fillId="25" borderId="0" xfId="3" applyFill="1" applyProtection="1">
      <protection hidden="1"/>
    </xf>
    <xf numFmtId="0" fontId="76" fillId="0" borderId="24" xfId="4" applyFont="1" applyBorder="1" applyAlignment="1" applyProtection="1">
      <alignment horizontal="center" vertical="center"/>
      <protection hidden="1"/>
    </xf>
    <xf numFmtId="0" fontId="76" fillId="0" borderId="9" xfId="4" applyFont="1" applyBorder="1" applyAlignment="1" applyProtection="1">
      <alignment horizontal="center" vertical="center"/>
      <protection hidden="1"/>
    </xf>
    <xf numFmtId="0" fontId="15" fillId="0" borderId="24" xfId="11" applyFont="1" applyBorder="1" applyAlignment="1" applyProtection="1">
      <alignment horizontal="center" vertical="center"/>
      <protection locked="0" hidden="1"/>
    </xf>
    <xf numFmtId="0" fontId="15" fillId="0" borderId="1" xfId="11" applyFont="1" applyBorder="1" applyAlignment="1" applyProtection="1">
      <alignment horizontal="center" vertical="center"/>
      <protection locked="0" hidden="1"/>
    </xf>
    <xf numFmtId="0" fontId="15" fillId="0" borderId="32" xfId="11" applyFont="1" applyBorder="1" applyAlignment="1" applyProtection="1">
      <alignment horizontal="center" vertical="center"/>
      <protection locked="0" hidden="1"/>
    </xf>
    <xf numFmtId="0" fontId="15" fillId="0" borderId="2" xfId="11" applyFont="1" applyBorder="1" applyAlignment="1" applyProtection="1">
      <alignment horizontal="center" vertical="center"/>
      <protection locked="0" hidden="1"/>
    </xf>
    <xf numFmtId="0" fontId="67" fillId="0" borderId="0" xfId="2" applyFont="1" applyBorder="1" applyAlignment="1" applyProtection="1">
      <alignment horizontal="left" vertical="top" wrapText="1"/>
      <protection hidden="1"/>
    </xf>
    <xf numFmtId="0" fontId="31" fillId="0" borderId="0" xfId="4" applyFont="1" applyAlignment="1" applyProtection="1">
      <alignment horizontal="left" vertical="top" wrapText="1"/>
      <protection hidden="1"/>
    </xf>
    <xf numFmtId="0" fontId="15" fillId="0" borderId="24" xfId="6" applyFont="1" applyBorder="1" applyAlignment="1" applyProtection="1">
      <alignment horizontal="center" vertical="center"/>
      <protection locked="0" hidden="1"/>
    </xf>
    <xf numFmtId="0" fontId="15" fillId="0" borderId="1" xfId="6" applyFont="1" applyBorder="1" applyAlignment="1" applyProtection="1">
      <alignment horizontal="center" vertical="center"/>
      <protection locked="0" hidden="1"/>
    </xf>
    <xf numFmtId="0" fontId="15" fillId="0" borderId="32" xfId="6" applyFont="1" applyBorder="1" applyAlignment="1" applyProtection="1">
      <alignment horizontal="center" vertical="center"/>
      <protection locked="0" hidden="1"/>
    </xf>
    <xf numFmtId="0" fontId="15" fillId="0" borderId="2" xfId="6" applyFont="1" applyBorder="1" applyAlignment="1" applyProtection="1">
      <alignment horizontal="center" vertical="center"/>
      <protection locked="0" hidden="1"/>
    </xf>
    <xf numFmtId="0" fontId="14" fillId="0" borderId="3" xfId="4" applyFont="1" applyBorder="1" applyAlignment="1" applyProtection="1">
      <alignment horizontal="center" vertical="center" wrapText="1"/>
      <protection hidden="1"/>
    </xf>
    <xf numFmtId="0" fontId="17" fillId="0" borderId="24" xfId="4" applyFont="1" applyBorder="1" applyAlignment="1" applyProtection="1">
      <alignment horizontal="center" vertical="center"/>
      <protection hidden="1"/>
    </xf>
    <xf numFmtId="0" fontId="17" fillId="0" borderId="1" xfId="4" applyFont="1" applyBorder="1" applyAlignment="1" applyProtection="1">
      <alignment horizontal="center" vertical="center"/>
      <protection hidden="1"/>
    </xf>
    <xf numFmtId="0" fontId="17" fillId="0" borderId="9" xfId="4" applyFont="1" applyBorder="1" applyAlignment="1" applyProtection="1">
      <alignment horizontal="center" vertical="center"/>
      <protection hidden="1"/>
    </xf>
    <xf numFmtId="0" fontId="14" fillId="0" borderId="3" xfId="4" applyFont="1" applyBorder="1" applyAlignment="1" applyProtection="1">
      <alignment horizontal="left" vertical="center"/>
      <protection hidden="1"/>
    </xf>
    <xf numFmtId="0" fontId="14" fillId="0" borderId="33" xfId="4" applyFont="1" applyBorder="1" applyAlignment="1" applyProtection="1">
      <alignment horizontal="left" vertical="center" wrapText="1"/>
      <protection hidden="1"/>
    </xf>
    <xf numFmtId="0" fontId="14" fillId="0" borderId="14" xfId="4" applyFont="1" applyBorder="1" applyAlignment="1" applyProtection="1">
      <alignment horizontal="left" vertical="center" wrapText="1"/>
      <protection hidden="1"/>
    </xf>
    <xf numFmtId="0" fontId="14" fillId="0" borderId="32" xfId="4" applyFont="1" applyBorder="1" applyAlignment="1" applyProtection="1">
      <alignment horizontal="left" vertical="center" wrapText="1"/>
      <protection hidden="1"/>
    </xf>
    <xf numFmtId="0" fontId="14" fillId="0" borderId="25" xfId="4" applyFont="1" applyBorder="1" applyAlignment="1" applyProtection="1">
      <alignment horizontal="left" vertical="center" wrapText="1"/>
      <protection hidden="1"/>
    </xf>
    <xf numFmtId="0" fontId="14" fillId="0" borderId="9" xfId="4" applyFont="1" applyBorder="1" applyAlignment="1" applyProtection="1">
      <alignment horizontal="left" vertical="center"/>
      <protection hidden="1"/>
    </xf>
    <xf numFmtId="0" fontId="14" fillId="0" borderId="0" xfId="4" applyFont="1" applyAlignment="1" applyProtection="1">
      <alignment horizontal="left" vertical="center"/>
      <protection hidden="1"/>
    </xf>
    <xf numFmtId="0" fontId="92" fillId="5" borderId="0" xfId="2" applyFont="1" applyFill="1" applyAlignment="1" applyProtection="1">
      <alignment horizontal="center"/>
      <protection hidden="1"/>
    </xf>
    <xf numFmtId="0" fontId="15" fillId="0" borderId="24" xfId="4" applyFont="1" applyBorder="1" applyAlignment="1" applyProtection="1">
      <alignment horizontal="center" vertical="center"/>
      <protection hidden="1"/>
    </xf>
    <xf numFmtId="0" fontId="15" fillId="0" borderId="1" xfId="4" applyFont="1" applyBorder="1" applyAlignment="1" applyProtection="1">
      <alignment horizontal="center" vertical="center"/>
      <protection hidden="1"/>
    </xf>
    <xf numFmtId="0" fontId="70" fillId="5" borderId="0" xfId="2" applyFont="1" applyFill="1" applyBorder="1" applyAlignment="1" applyProtection="1">
      <alignment horizontal="right" vertical="center"/>
      <protection hidden="1"/>
    </xf>
    <xf numFmtId="0" fontId="14" fillId="0" borderId="33" xfId="4" applyFont="1" applyBorder="1" applyAlignment="1" applyProtection="1">
      <alignment horizontal="center" vertical="center" wrapText="1"/>
      <protection hidden="1"/>
    </xf>
    <xf numFmtId="0" fontId="14" fillId="0" borderId="14" xfId="4" applyFont="1" applyBorder="1" applyAlignment="1" applyProtection="1">
      <alignment horizontal="center" vertical="center" wrapText="1"/>
      <protection hidden="1"/>
    </xf>
    <xf numFmtId="0" fontId="14" fillId="0" borderId="32" xfId="4" applyFont="1" applyBorder="1" applyAlignment="1" applyProtection="1">
      <alignment horizontal="center" vertical="center" wrapText="1"/>
      <protection hidden="1"/>
    </xf>
    <xf numFmtId="0" fontId="14" fillId="0" borderId="25" xfId="4" applyFont="1" applyBorder="1" applyAlignment="1" applyProtection="1">
      <alignment horizontal="center" vertical="center" wrapText="1"/>
      <protection hidden="1"/>
    </xf>
    <xf numFmtId="0" fontId="14" fillId="0" borderId="24" xfId="4" applyFont="1" applyBorder="1" applyAlignment="1" applyProtection="1">
      <alignment horizontal="center" vertical="center"/>
      <protection hidden="1"/>
    </xf>
    <xf numFmtId="0" fontId="14" fillId="0" borderId="9" xfId="4" applyFont="1" applyBorder="1" applyAlignment="1" applyProtection="1">
      <alignment horizontal="center" vertical="center"/>
      <protection hidden="1"/>
    </xf>
    <xf numFmtId="0" fontId="15" fillId="0" borderId="24" xfId="9" applyFont="1" applyBorder="1" applyAlignment="1" applyProtection="1">
      <alignment horizontal="center" vertical="center"/>
      <protection locked="0" hidden="1"/>
    </xf>
    <xf numFmtId="0" fontId="15" fillId="0" borderId="1" xfId="9" applyFont="1" applyBorder="1" applyAlignment="1" applyProtection="1">
      <alignment horizontal="center" vertical="center"/>
      <protection locked="0" hidden="1"/>
    </xf>
    <xf numFmtId="0" fontId="14" fillId="15" borderId="24" xfId="4" applyFont="1" applyFill="1" applyBorder="1" applyAlignment="1" applyProtection="1">
      <alignment horizontal="right" vertical="center"/>
      <protection hidden="1"/>
    </xf>
    <xf numFmtId="0" fontId="76" fillId="0" borderId="0" xfId="4" applyFont="1" applyAlignment="1" applyProtection="1">
      <alignment horizontal="center" wrapText="1"/>
      <protection hidden="1"/>
    </xf>
    <xf numFmtId="0" fontId="109" fillId="0" borderId="24" xfId="8" applyFont="1" applyBorder="1" applyAlignment="1" applyProtection="1">
      <alignment horizontal="right"/>
      <protection hidden="1"/>
    </xf>
    <xf numFmtId="0" fontId="109" fillId="0" borderId="1" xfId="8" applyFont="1" applyBorder="1" applyAlignment="1" applyProtection="1">
      <alignment horizontal="right"/>
      <protection hidden="1"/>
    </xf>
    <xf numFmtId="0" fontId="109" fillId="0" borderId="9" xfId="8" applyFont="1" applyBorder="1" applyAlignment="1" applyProtection="1">
      <alignment horizontal="right"/>
      <protection hidden="1"/>
    </xf>
    <xf numFmtId="0" fontId="12" fillId="22" borderId="0" xfId="8" applyFont="1" applyFill="1" applyBorder="1" applyAlignment="1" applyProtection="1">
      <alignment horizontal="left" vertical="top" wrapText="1"/>
      <protection hidden="1"/>
    </xf>
    <xf numFmtId="0" fontId="65" fillId="15" borderId="24" xfId="4" applyFont="1" applyFill="1" applyBorder="1" applyAlignment="1" applyProtection="1">
      <alignment horizontal="right" vertical="center"/>
      <protection hidden="1"/>
    </xf>
    <xf numFmtId="0" fontId="90" fillId="0" borderId="24" xfId="2" applyFont="1" applyBorder="1" applyAlignment="1" applyProtection="1">
      <alignment horizontal="right" vertical="center"/>
      <protection hidden="1"/>
    </xf>
    <xf numFmtId="0" fontId="90" fillId="0" borderId="1" xfId="2" applyFont="1" applyBorder="1" applyAlignment="1" applyProtection="1">
      <alignment horizontal="right" vertical="center"/>
      <protection hidden="1"/>
    </xf>
    <xf numFmtId="0" fontId="90" fillId="0" borderId="9" xfId="2" applyFont="1" applyBorder="1" applyAlignment="1" applyProtection="1">
      <alignment horizontal="right" vertical="center"/>
      <protection hidden="1"/>
    </xf>
    <xf numFmtId="0" fontId="1" fillId="0" borderId="24" xfId="3" applyFont="1" applyBorder="1" applyAlignment="1" applyProtection="1">
      <alignment horizontal="right" vertical="center"/>
      <protection hidden="1"/>
    </xf>
    <xf numFmtId="0" fontId="1" fillId="0" borderId="1" xfId="3" applyFont="1" applyBorder="1" applyAlignment="1" applyProtection="1">
      <alignment horizontal="right" vertical="center"/>
      <protection hidden="1"/>
    </xf>
    <xf numFmtId="0" fontId="1" fillId="0" borderId="9" xfId="3" applyFont="1" applyBorder="1" applyAlignment="1" applyProtection="1">
      <alignment horizontal="right" vertical="center"/>
      <protection hidden="1"/>
    </xf>
    <xf numFmtId="0" fontId="14" fillId="0" borderId="24" xfId="4" applyFont="1" applyBorder="1" applyAlignment="1" applyProtection="1">
      <alignment horizontal="center"/>
      <protection hidden="1"/>
    </xf>
    <xf numFmtId="0" fontId="14" fillId="0" borderId="9" xfId="4" applyFont="1" applyBorder="1" applyAlignment="1" applyProtection="1">
      <alignment horizontal="center"/>
      <protection hidden="1"/>
    </xf>
    <xf numFmtId="0" fontId="14" fillId="0" borderId="3" xfId="4" applyFont="1" applyBorder="1" applyAlignment="1" applyProtection="1">
      <alignment horizontal="center" wrapText="1"/>
      <protection hidden="1"/>
    </xf>
    <xf numFmtId="0" fontId="14" fillId="0" borderId="33" xfId="4" applyFont="1" applyBorder="1" applyAlignment="1" applyProtection="1">
      <alignment horizontal="center" wrapText="1"/>
      <protection hidden="1"/>
    </xf>
    <xf numFmtId="0" fontId="14" fillId="0" borderId="14" xfId="4" applyFont="1" applyBorder="1" applyAlignment="1" applyProtection="1">
      <alignment horizontal="center" wrapText="1"/>
      <protection hidden="1"/>
    </xf>
    <xf numFmtId="0" fontId="14" fillId="0" borderId="32" xfId="4" applyFont="1" applyBorder="1" applyAlignment="1" applyProtection="1">
      <alignment horizontal="center" wrapText="1"/>
      <protection hidden="1"/>
    </xf>
    <xf numFmtId="0" fontId="14" fillId="0" borderId="25" xfId="4" applyFont="1" applyBorder="1" applyAlignment="1" applyProtection="1">
      <alignment horizontal="center" wrapText="1"/>
      <protection hidden="1"/>
    </xf>
    <xf numFmtId="0" fontId="11" fillId="0" borderId="33" xfId="3" applyFont="1" applyBorder="1" applyAlignment="1" applyProtection="1">
      <alignment horizontal="left" vertical="center"/>
      <protection hidden="1"/>
    </xf>
    <xf numFmtId="0" fontId="11" fillId="0" borderId="17" xfId="3" applyFont="1" applyBorder="1" applyAlignment="1" applyProtection="1">
      <alignment horizontal="left" vertical="center"/>
      <protection hidden="1"/>
    </xf>
    <xf numFmtId="0" fontId="11" fillId="0" borderId="14" xfId="3" applyFont="1" applyBorder="1" applyAlignment="1" applyProtection="1">
      <alignment horizontal="left" vertical="center"/>
      <protection hidden="1"/>
    </xf>
    <xf numFmtId="0" fontId="1" fillId="0" borderId="35" xfId="3" applyFont="1" applyBorder="1" applyAlignment="1" applyProtection="1">
      <alignment horizontal="left"/>
      <protection hidden="1"/>
    </xf>
    <xf numFmtId="0" fontId="1" fillId="0" borderId="54" xfId="3" applyFont="1" applyBorder="1" applyAlignment="1" applyProtection="1">
      <alignment horizontal="left"/>
      <protection hidden="1"/>
    </xf>
    <xf numFmtId="0" fontId="1" fillId="0" borderId="55" xfId="3" applyFont="1" applyBorder="1" applyAlignment="1" applyProtection="1">
      <alignment horizontal="left"/>
      <protection hidden="1"/>
    </xf>
    <xf numFmtId="0" fontId="1" fillId="0" borderId="1" xfId="3" applyFont="1" applyBorder="1" applyAlignment="1" applyProtection="1">
      <alignment horizontal="left"/>
      <protection hidden="1"/>
    </xf>
    <xf numFmtId="0" fontId="1" fillId="0" borderId="17" xfId="3" applyFont="1" applyBorder="1" applyAlignment="1" applyProtection="1">
      <alignment vertical="top" wrapText="1"/>
      <protection hidden="1"/>
    </xf>
    <xf numFmtId="0" fontId="1" fillId="0" borderId="0" xfId="3" applyFont="1" applyAlignment="1" applyProtection="1">
      <alignment vertical="top" wrapText="1"/>
      <protection hidden="1"/>
    </xf>
    <xf numFmtId="0" fontId="11" fillId="0" borderId="24" xfId="3" applyFont="1" applyBorder="1" applyAlignment="1" applyProtection="1">
      <alignment horizontal="left" vertical="center"/>
      <protection hidden="1"/>
    </xf>
    <xf numFmtId="0" fontId="11" fillId="0" borderId="1" xfId="3" applyFont="1" applyBorder="1" applyAlignment="1" applyProtection="1">
      <alignment horizontal="left" vertical="center"/>
      <protection hidden="1"/>
    </xf>
    <xf numFmtId="0" fontId="11" fillId="0" borderId="9" xfId="3" applyFont="1" applyBorder="1" applyAlignment="1" applyProtection="1">
      <alignment horizontal="left" vertical="center"/>
      <protection hidden="1"/>
    </xf>
    <xf numFmtId="0" fontId="1" fillId="0" borderId="33" xfId="3" applyFont="1" applyBorder="1" applyAlignment="1" applyProtection="1">
      <alignment horizontal="left"/>
      <protection hidden="1"/>
    </xf>
    <xf numFmtId="0" fontId="1" fillId="0" borderId="17" xfId="3" applyFont="1" applyBorder="1" applyAlignment="1" applyProtection="1">
      <alignment horizontal="left"/>
      <protection hidden="1"/>
    </xf>
    <xf numFmtId="0" fontId="1" fillId="0" borderId="14" xfId="3" applyFont="1" applyBorder="1" applyAlignment="1" applyProtection="1">
      <alignment horizontal="left"/>
      <protection hidden="1"/>
    </xf>
    <xf numFmtId="0" fontId="1" fillId="0" borderId="2" xfId="3" applyFont="1" applyBorder="1" applyAlignment="1" applyProtection="1">
      <alignment horizontal="left"/>
      <protection hidden="1"/>
    </xf>
    <xf numFmtId="0" fontId="1" fillId="0" borderId="3" xfId="3" applyFont="1" applyBorder="1" applyAlignment="1" applyProtection="1">
      <alignment horizontal="center"/>
      <protection hidden="1"/>
    </xf>
    <xf numFmtId="0" fontId="1" fillId="0" borderId="3" xfId="3" applyFont="1" applyBorder="1" applyAlignment="1" applyProtection="1">
      <alignment horizontal="center" wrapText="1"/>
      <protection hidden="1"/>
    </xf>
    <xf numFmtId="0" fontId="56" fillId="17" borderId="33" xfId="2" applyFont="1" applyFill="1" applyBorder="1" applyAlignment="1" applyProtection="1">
      <alignment horizontal="left" vertical="center" indent="1"/>
      <protection hidden="1"/>
    </xf>
    <xf numFmtId="0" fontId="56" fillId="17" borderId="17" xfId="2" applyFont="1" applyFill="1" applyBorder="1" applyAlignment="1" applyProtection="1">
      <alignment horizontal="left" vertical="center" indent="1"/>
      <protection hidden="1"/>
    </xf>
    <xf numFmtId="0" fontId="56" fillId="17" borderId="14" xfId="2" applyFont="1" applyFill="1" applyBorder="1" applyAlignment="1" applyProtection="1">
      <alignment horizontal="left" vertical="center" indent="1"/>
      <protection hidden="1"/>
    </xf>
    <xf numFmtId="0" fontId="87" fillId="10" borderId="0" xfId="10" applyFont="1" applyFill="1" applyAlignment="1" applyProtection="1">
      <alignment horizontal="center" vertical="center" wrapText="1"/>
      <protection hidden="1"/>
    </xf>
    <xf numFmtId="0" fontId="56" fillId="17" borderId="24" xfId="2" applyFont="1" applyFill="1" applyBorder="1" applyAlignment="1" applyProtection="1">
      <alignment horizontal="left" vertical="center" indent="1"/>
      <protection hidden="1"/>
    </xf>
    <xf numFmtId="0" fontId="56" fillId="17" borderId="1" xfId="2" applyFont="1" applyFill="1" applyBorder="1" applyAlignment="1" applyProtection="1">
      <alignment horizontal="left" vertical="center" indent="1"/>
      <protection hidden="1"/>
    </xf>
    <xf numFmtId="0" fontId="56" fillId="17" borderId="9" xfId="2" applyFont="1" applyFill="1" applyBorder="1" applyAlignment="1" applyProtection="1">
      <alignment horizontal="left" vertical="center" indent="1"/>
      <protection hidden="1"/>
    </xf>
    <xf numFmtId="0" fontId="56" fillId="17" borderId="32" xfId="2" applyFont="1" applyFill="1" applyBorder="1" applyAlignment="1" applyProtection="1">
      <alignment horizontal="left" vertical="center" indent="1"/>
      <protection hidden="1"/>
    </xf>
    <xf numFmtId="0" fontId="56" fillId="17" borderId="2" xfId="2" applyFont="1" applyFill="1" applyBorder="1" applyAlignment="1" applyProtection="1">
      <alignment horizontal="left" vertical="center" indent="1"/>
      <protection hidden="1"/>
    </xf>
    <xf numFmtId="0" fontId="56" fillId="17" borderId="25" xfId="2" applyFont="1" applyFill="1" applyBorder="1" applyAlignment="1" applyProtection="1">
      <alignment horizontal="left" vertical="center" indent="1"/>
      <protection hidden="1"/>
    </xf>
    <xf numFmtId="0" fontId="56" fillId="12" borderId="0" xfId="2" applyFont="1" applyFill="1" applyAlignment="1" applyProtection="1">
      <alignment horizontal="center" vertical="center"/>
    </xf>
    <xf numFmtId="0" fontId="14" fillId="0" borderId="24" xfId="10" applyFont="1" applyBorder="1" applyAlignment="1" applyProtection="1">
      <alignment horizontal="center" vertical="center"/>
      <protection hidden="1"/>
    </xf>
    <xf numFmtId="0" fontId="14" fillId="0" borderId="1" xfId="10" applyFont="1" applyBorder="1" applyAlignment="1" applyProtection="1">
      <alignment horizontal="center" vertical="center"/>
      <protection hidden="1"/>
    </xf>
    <xf numFmtId="0" fontId="14" fillId="0" borderId="9" xfId="10" applyFont="1" applyBorder="1" applyAlignment="1" applyProtection="1">
      <alignment horizontal="center" vertical="center"/>
      <protection hidden="1"/>
    </xf>
    <xf numFmtId="3" fontId="136" fillId="0" borderId="1" xfId="10" applyNumberFormat="1" applyFont="1" applyBorder="1" applyAlignment="1" applyProtection="1">
      <alignment horizontal="center" vertical="center"/>
      <protection hidden="1"/>
    </xf>
    <xf numFmtId="3" fontId="136" fillId="0" borderId="9" xfId="10" applyNumberFormat="1" applyFont="1" applyBorder="1" applyAlignment="1" applyProtection="1">
      <alignment horizontal="center" vertical="center"/>
      <protection hidden="1"/>
    </xf>
    <xf numFmtId="3" fontId="14" fillId="0" borderId="1" xfId="10" applyNumberFormat="1" applyFont="1" applyBorder="1" applyAlignment="1" applyProtection="1">
      <alignment horizontal="center" vertical="center"/>
      <protection hidden="1"/>
    </xf>
    <xf numFmtId="3" fontId="14" fillId="0" borderId="9" xfId="10" applyNumberFormat="1" applyFont="1" applyBorder="1" applyAlignment="1" applyProtection="1">
      <alignment horizontal="center" vertical="center"/>
      <protection hidden="1"/>
    </xf>
    <xf numFmtId="3" fontId="136" fillId="31" borderId="1" xfId="10" applyNumberFormat="1" applyFont="1" applyFill="1" applyBorder="1" applyAlignment="1" applyProtection="1">
      <alignment horizontal="center" vertical="center"/>
      <protection hidden="1"/>
    </xf>
    <xf numFmtId="3" fontId="136" fillId="31" borderId="9" xfId="10" applyNumberFormat="1" applyFont="1" applyFill="1" applyBorder="1" applyAlignment="1" applyProtection="1">
      <alignment horizontal="center" vertical="center"/>
      <protection hidden="1"/>
    </xf>
    <xf numFmtId="0" fontId="14" fillId="5" borderId="0" xfId="1" applyFont="1" applyFill="1" applyAlignment="1" applyProtection="1">
      <alignment horizontal="center"/>
    </xf>
    <xf numFmtId="4" fontId="15" fillId="0" borderId="0" xfId="3" applyNumberFormat="1" applyFont="1" applyAlignment="1" applyProtection="1">
      <alignment horizontal="center"/>
      <protection hidden="1"/>
    </xf>
    <xf numFmtId="0" fontId="15" fillId="0" borderId="0" xfId="3" applyFont="1" applyAlignment="1" applyProtection="1">
      <alignment horizontal="center"/>
      <protection hidden="1"/>
    </xf>
    <xf numFmtId="4" fontId="15" fillId="0" borderId="0" xfId="3" applyNumberFormat="1" applyFont="1" applyAlignment="1">
      <alignment horizontal="center" vertical="center" textRotation="90"/>
    </xf>
    <xf numFmtId="0" fontId="15" fillId="0" borderId="0" xfId="3" applyFont="1" applyAlignment="1">
      <alignment horizontal="center" vertical="center" textRotation="90"/>
    </xf>
    <xf numFmtId="4" fontId="126" fillId="0" borderId="0" xfId="3" applyNumberFormat="1" applyFont="1" applyAlignment="1" applyProtection="1">
      <alignment horizontal="center"/>
      <protection hidden="1"/>
    </xf>
    <xf numFmtId="0" fontId="126" fillId="0" borderId="0" xfId="3" applyFont="1" applyAlignment="1" applyProtection="1">
      <alignment horizontal="center"/>
      <protection hidden="1"/>
    </xf>
    <xf numFmtId="0" fontId="102" fillId="24" borderId="0" xfId="3" applyFont="1" applyFill="1" applyAlignment="1" applyProtection="1">
      <alignment horizontal="center" textRotation="90"/>
      <protection hidden="1"/>
    </xf>
    <xf numFmtId="0" fontId="10" fillId="2" borderId="0" xfId="0" applyFont="1" applyFill="1" applyAlignment="1" applyProtection="1">
      <alignment horizontal="center" vertical="center"/>
      <protection locked="0"/>
    </xf>
    <xf numFmtId="0" fontId="10" fillId="2" borderId="2" xfId="0" applyFont="1" applyFill="1" applyBorder="1" applyAlignment="1" applyProtection="1">
      <alignment horizontal="center" vertical="center"/>
      <protection locked="0"/>
    </xf>
    <xf numFmtId="165" fontId="10" fillId="0" borderId="11" xfId="0" applyNumberFormat="1" applyFont="1" applyBorder="1" applyAlignment="1" applyProtection="1">
      <alignment horizontal="right"/>
      <protection hidden="1"/>
    </xf>
    <xf numFmtId="0" fontId="33" fillId="0" borderId="11" xfId="0" applyFont="1" applyBorder="1" applyAlignment="1" applyProtection="1">
      <alignment horizontal="center" vertical="top"/>
      <protection locked="0" hidden="1"/>
    </xf>
    <xf numFmtId="0" fontId="9" fillId="13" borderId="0" xfId="0" applyFont="1" applyFill="1" applyAlignment="1" applyProtection="1">
      <alignment horizontal="center" vertical="center"/>
      <protection hidden="1"/>
    </xf>
    <xf numFmtId="0" fontId="1" fillId="0" borderId="0" xfId="3" applyFont="1" applyAlignment="1">
      <alignment horizontal="center" vertical="center" wrapText="1"/>
    </xf>
    <xf numFmtId="0" fontId="7" fillId="8" borderId="0" xfId="0" applyFont="1" applyFill="1" applyAlignment="1">
      <alignment horizontal="right"/>
    </xf>
    <xf numFmtId="0" fontId="8" fillId="4" borderId="0" xfId="0" applyFont="1" applyFill="1" applyAlignment="1">
      <alignment horizontal="left"/>
    </xf>
    <xf numFmtId="0" fontId="7" fillId="9" borderId="0" xfId="0" applyFont="1" applyFill="1" applyAlignment="1">
      <alignment horizontal="right"/>
    </xf>
    <xf numFmtId="0" fontId="7" fillId="10" borderId="0" xfId="0" applyFont="1" applyFill="1" applyAlignment="1">
      <alignment horizontal="right"/>
    </xf>
    <xf numFmtId="0" fontId="7" fillId="11" borderId="0" xfId="0" applyFont="1" applyFill="1" applyAlignment="1">
      <alignment horizontal="right"/>
    </xf>
    <xf numFmtId="0" fontId="7" fillId="6" borderId="0" xfId="0" applyFont="1" applyFill="1" applyAlignment="1">
      <alignment horizontal="right"/>
    </xf>
    <xf numFmtId="0" fontId="15" fillId="0" borderId="3" xfId="0" applyFont="1" applyBorder="1" applyAlignment="1" applyProtection="1">
      <alignment horizontal="center" wrapText="1"/>
      <protection hidden="1"/>
    </xf>
    <xf numFmtId="2" fontId="15" fillId="0" borderId="3" xfId="0" applyNumberFormat="1" applyFont="1" applyBorder="1" applyAlignment="1" applyProtection="1">
      <alignment horizontal="center" wrapText="1"/>
      <protection hidden="1"/>
    </xf>
    <xf numFmtId="0" fontId="22" fillId="0" borderId="0" xfId="0" applyFont="1" applyAlignment="1">
      <alignment horizontal="center"/>
    </xf>
    <xf numFmtId="0" fontId="105" fillId="13" borderId="0" xfId="1" applyFont="1" applyFill="1" applyAlignment="1">
      <alignment horizontal="center"/>
    </xf>
    <xf numFmtId="0" fontId="1" fillId="0" borderId="0" xfId="0" applyFont="1" applyAlignment="1" applyProtection="1">
      <alignment horizontal="center" vertical="center" textRotation="90" wrapText="1"/>
      <protection hidden="1"/>
    </xf>
    <xf numFmtId="0" fontId="9" fillId="0" borderId="11" xfId="0" applyFont="1" applyBorder="1" applyProtection="1">
      <protection locked="0" hidden="1"/>
    </xf>
    <xf numFmtId="0" fontId="9" fillId="0" borderId="19" xfId="0" applyFont="1" applyBorder="1" applyProtection="1">
      <protection locked="0" hidden="1"/>
    </xf>
    <xf numFmtId="49" fontId="9" fillId="0" borderId="10" xfId="0" applyNumberFormat="1" applyFont="1" applyBorder="1" applyProtection="1">
      <protection locked="0" hidden="1"/>
    </xf>
    <xf numFmtId="49" fontId="17" fillId="0" borderId="0" xfId="3" applyNumberFormat="1" applyFont="1" applyProtection="1">
      <protection locked="0" hidden="1"/>
    </xf>
    <xf numFmtId="0" fontId="17" fillId="0" borderId="0" xfId="3" applyFont="1" applyAlignment="1" applyProtection="1">
      <alignment horizontal="center"/>
      <protection locked="0" hidden="1"/>
    </xf>
    <xf numFmtId="49" fontId="9" fillId="0" borderId="11" xfId="0" applyNumberFormat="1" applyFont="1" applyBorder="1" applyAlignment="1" applyProtection="1">
      <alignment horizontal="left"/>
      <protection locked="0" hidden="1"/>
    </xf>
    <xf numFmtId="49" fontId="9" fillId="0" borderId="19" xfId="0" applyNumberFormat="1" applyFont="1" applyBorder="1" applyAlignment="1" applyProtection="1">
      <alignment horizontal="left"/>
      <protection locked="0" hidden="1"/>
    </xf>
  </cellXfs>
  <cellStyles count="16">
    <cellStyle name="Hyperlink_AventPlan_2501" xfId="8" xr:uid="{D3E2061F-5979-48CB-9461-2B7479830C3C}"/>
    <cellStyle name="Hypertextový odkaz" xfId="1" builtinId="8"/>
    <cellStyle name="Hypertextový odkaz 2" xfId="2" xr:uid="{00000000-0005-0000-0000-000001000000}"/>
    <cellStyle name="Hypertextový odkaz 2 2" xfId="7" xr:uid="{DB3FCA23-FA92-469E-8E2C-A43E498065A8}"/>
    <cellStyle name="Normální" xfId="0" builtinId="0"/>
    <cellStyle name="Normální 2" xfId="3" xr:uid="{00000000-0005-0000-0000-000004000000}"/>
    <cellStyle name="normální 2 2" xfId="4" xr:uid="{00000000-0005-0000-0000-000005000000}"/>
    <cellStyle name="normální 2 3" xfId="5" xr:uid="{00000000-0005-0000-0000-000006000000}"/>
    <cellStyle name="normální 2 4" xfId="6" xr:uid="{BB443A3E-1D40-482B-B03D-C7EE73647039}"/>
    <cellStyle name="normální 2 5" xfId="11" xr:uid="{75DBCAA9-4D4D-4B55-AF78-E35836BE58B5}"/>
    <cellStyle name="normální 2_AventPlan_250" xfId="12" xr:uid="{C33386FB-1784-4052-B9E0-E90321F44E22}"/>
    <cellStyle name="normální 2_AventPlan_2501" xfId="9" xr:uid="{149E6B02-5A3E-4156-AFB1-0D3500120C4D}"/>
    <cellStyle name="normální 3" xfId="10" xr:uid="{F801C139-3F4D-4544-9C5E-ABEFDBBEEF7F}"/>
    <cellStyle name="Normální 4" xfId="15" xr:uid="{5F3EDB7C-B61A-45E4-B8F9-92C2B27A98C5}"/>
    <cellStyle name="Normální 8" xfId="13" xr:uid="{77E56449-605B-4A29-989D-46E569389B23}"/>
    <cellStyle name="Normální 9" xfId="14" xr:uid="{BE0F50A5-2AA4-4EC9-941B-2650379850C4}"/>
  </cellStyles>
  <dxfs count="375">
    <dxf>
      <font>
        <color theme="0"/>
      </font>
      <fill>
        <patternFill>
          <bgColor rgb="FF00B050"/>
        </patternFill>
      </fill>
    </dxf>
    <dxf>
      <font>
        <color theme="0"/>
      </font>
      <fill>
        <patternFill>
          <bgColor rgb="FF00B050"/>
        </patternFill>
      </fill>
    </dxf>
    <dxf>
      <font>
        <color theme="0"/>
      </font>
      <fill>
        <patternFill>
          <bgColor rgb="FF00B050"/>
        </patternFill>
      </fill>
    </dxf>
    <dxf>
      <font>
        <color theme="0"/>
      </font>
      <fill>
        <patternFill>
          <bgColor rgb="FF00B050"/>
        </patternFill>
      </fill>
    </dxf>
    <dxf>
      <font>
        <b/>
        <i val="0"/>
        <strike val="0"/>
      </font>
      <fill>
        <patternFill>
          <bgColor rgb="FF00B050"/>
        </patternFill>
      </fill>
    </dxf>
    <dxf>
      <font>
        <color theme="0"/>
      </font>
      <fill>
        <patternFill>
          <bgColor rgb="FF00B050"/>
        </patternFill>
      </fill>
    </dxf>
    <dxf>
      <font>
        <color theme="0"/>
      </font>
      <fill>
        <patternFill>
          <bgColor rgb="FF00B050"/>
        </patternFill>
      </fill>
    </dxf>
    <dxf>
      <font>
        <color theme="0"/>
      </font>
      <fill>
        <patternFill>
          <bgColor rgb="FF00B050"/>
        </patternFill>
      </fill>
    </dxf>
    <dxf>
      <font>
        <color theme="0"/>
      </font>
      <fill>
        <patternFill>
          <bgColor rgb="FF00B050"/>
        </patternFill>
      </fill>
    </dxf>
    <dxf>
      <font>
        <color theme="0"/>
      </font>
      <fill>
        <patternFill>
          <bgColor rgb="FF00B050"/>
        </patternFill>
      </fill>
    </dxf>
    <dxf>
      <font>
        <color theme="0"/>
      </font>
      <fill>
        <patternFill>
          <bgColor rgb="FF00B050"/>
        </patternFill>
      </fill>
    </dxf>
    <dxf>
      <font>
        <b/>
        <i val="0"/>
        <strike val="0"/>
      </font>
      <fill>
        <patternFill>
          <bgColor rgb="FF00B050"/>
        </patternFill>
      </fill>
    </dxf>
    <dxf>
      <font>
        <b/>
        <i val="0"/>
        <strike val="0"/>
      </font>
      <fill>
        <patternFill>
          <bgColor rgb="FF00B050"/>
        </patternFill>
      </fill>
    </dxf>
    <dxf>
      <font>
        <b/>
        <i val="0"/>
        <strike val="0"/>
      </font>
      <fill>
        <patternFill>
          <bgColor rgb="FF00B050"/>
        </patternFill>
      </fill>
    </dxf>
    <dxf>
      <font>
        <color theme="0"/>
      </font>
      <fill>
        <patternFill>
          <bgColor rgb="FF00B050"/>
        </patternFill>
      </fill>
    </dxf>
    <dxf>
      <font>
        <color theme="0"/>
      </font>
      <fill>
        <patternFill>
          <bgColor rgb="FF00B050"/>
        </patternFill>
      </fill>
    </dxf>
    <dxf>
      <font>
        <color theme="0"/>
      </font>
      <fill>
        <patternFill>
          <bgColor rgb="FF00B050"/>
        </patternFill>
      </fill>
    </dxf>
    <dxf>
      <font>
        <color theme="0"/>
      </font>
      <fill>
        <patternFill>
          <bgColor rgb="FF00B050"/>
        </patternFill>
      </fill>
    </dxf>
    <dxf>
      <font>
        <color theme="0"/>
      </font>
      <fill>
        <patternFill>
          <bgColor rgb="FF00B050"/>
        </patternFill>
      </fill>
    </dxf>
    <dxf>
      <font>
        <color theme="0"/>
      </font>
      <fill>
        <patternFill>
          <bgColor rgb="FF00B050"/>
        </patternFill>
      </fill>
    </dxf>
    <dxf>
      <font>
        <color theme="0"/>
      </font>
      <fill>
        <patternFill>
          <bgColor rgb="FF00B050"/>
        </patternFill>
      </fill>
    </dxf>
    <dxf>
      <font>
        <color theme="0"/>
      </font>
      <fill>
        <patternFill>
          <bgColor rgb="FF00B050"/>
        </patternFill>
      </fill>
    </dxf>
    <dxf>
      <font>
        <color theme="0"/>
      </font>
      <fill>
        <patternFill>
          <bgColor rgb="FF00B050"/>
        </patternFill>
      </fill>
    </dxf>
    <dxf>
      <font>
        <color theme="0"/>
      </font>
      <fill>
        <patternFill>
          <bgColor rgb="FF00B050"/>
        </patternFill>
      </fill>
    </dxf>
    <dxf>
      <font>
        <color theme="0"/>
      </font>
      <fill>
        <patternFill>
          <bgColor rgb="FF00B050"/>
        </patternFill>
      </fill>
    </dxf>
    <dxf>
      <font>
        <color theme="0"/>
      </font>
      <fill>
        <patternFill>
          <bgColor rgb="FF00B050"/>
        </patternFill>
      </fill>
    </dxf>
    <dxf>
      <font>
        <color theme="0"/>
      </font>
      <fill>
        <patternFill>
          <bgColor rgb="FF00B050"/>
        </patternFill>
      </fill>
    </dxf>
    <dxf>
      <font>
        <color theme="0"/>
      </font>
      <fill>
        <patternFill>
          <bgColor rgb="FF00B050"/>
        </patternFill>
      </fill>
    </dxf>
    <dxf>
      <font>
        <color theme="0"/>
      </font>
      <fill>
        <patternFill>
          <bgColor rgb="FF00B050"/>
        </patternFill>
      </fill>
    </dxf>
    <dxf>
      <font>
        <color theme="0"/>
      </font>
      <fill>
        <patternFill>
          <bgColor rgb="FF00B050"/>
        </patternFill>
      </fill>
    </dxf>
    <dxf>
      <font>
        <color theme="0"/>
      </font>
      <fill>
        <patternFill>
          <bgColor rgb="FF00B050"/>
        </patternFill>
      </fill>
    </dxf>
    <dxf>
      <font>
        <color theme="0"/>
      </font>
      <fill>
        <patternFill>
          <bgColor rgb="FF00B050"/>
        </patternFill>
      </fill>
    </dxf>
    <dxf>
      <font>
        <color theme="0"/>
      </font>
      <fill>
        <patternFill>
          <bgColor rgb="FF00B050"/>
        </patternFill>
      </fill>
    </dxf>
    <dxf>
      <font>
        <color theme="0"/>
      </font>
      <fill>
        <patternFill>
          <bgColor rgb="FF00B050"/>
        </patternFill>
      </fill>
    </dxf>
    <dxf>
      <font>
        <color theme="0"/>
      </font>
      <fill>
        <patternFill>
          <bgColor rgb="FF00B050"/>
        </patternFill>
      </fill>
    </dxf>
    <dxf>
      <font>
        <color theme="0"/>
      </font>
      <fill>
        <patternFill>
          <bgColor rgb="FF00B050"/>
        </patternFill>
      </fill>
    </dxf>
    <dxf>
      <font>
        <color theme="0"/>
      </font>
      <fill>
        <patternFill>
          <bgColor rgb="FF00B050"/>
        </patternFill>
      </fill>
    </dxf>
    <dxf>
      <font>
        <b/>
        <i val="0"/>
        <strike val="0"/>
      </font>
      <fill>
        <patternFill>
          <bgColor rgb="FFFFFF00"/>
        </patternFill>
      </fill>
    </dxf>
    <dxf>
      <font>
        <strike val="0"/>
        <color rgb="FFFF0000"/>
      </font>
    </dxf>
    <dxf>
      <font>
        <color rgb="FFFF0000"/>
      </font>
    </dxf>
    <dxf>
      <font>
        <strike val="0"/>
        <color rgb="FFFF0000"/>
      </font>
    </dxf>
    <dxf>
      <font>
        <b/>
        <i val="0"/>
        <strike val="0"/>
      </font>
      <fill>
        <patternFill>
          <bgColor rgb="FFFFFF00"/>
        </patternFill>
      </fill>
    </dxf>
    <dxf>
      <font>
        <color rgb="FFFF0000"/>
      </font>
    </dxf>
    <dxf>
      <font>
        <color rgb="FFFF0000"/>
      </font>
    </dxf>
    <dxf>
      <fill>
        <patternFill>
          <bgColor indexed="53"/>
        </patternFill>
      </fill>
    </dxf>
    <dxf>
      <fill>
        <patternFill>
          <bgColor indexed="53"/>
        </patternFill>
      </fill>
    </dxf>
    <dxf>
      <font>
        <b/>
        <i val="0"/>
        <strike val="0"/>
      </font>
      <fill>
        <patternFill>
          <bgColor rgb="FFFFFF00"/>
        </patternFill>
      </fill>
    </dxf>
    <dxf>
      <font>
        <strike val="0"/>
        <color rgb="FFFF0000"/>
      </font>
    </dxf>
    <dxf>
      <font>
        <color rgb="FFFF0000"/>
      </font>
    </dxf>
    <dxf>
      <font>
        <strike val="0"/>
        <color rgb="FFFF0000"/>
      </font>
    </dxf>
    <dxf>
      <font>
        <b/>
        <i val="0"/>
        <strike val="0"/>
      </font>
      <fill>
        <patternFill>
          <bgColor rgb="FFFFFF00"/>
        </patternFill>
      </fill>
    </dxf>
    <dxf>
      <font>
        <color rgb="FFFF0000"/>
      </font>
    </dxf>
    <dxf>
      <font>
        <color rgb="FFFF0000"/>
      </font>
    </dxf>
    <dxf>
      <fill>
        <patternFill>
          <bgColor indexed="53"/>
        </patternFill>
      </fill>
    </dxf>
    <dxf>
      <fill>
        <patternFill>
          <bgColor indexed="53"/>
        </patternFill>
      </fill>
    </dxf>
    <dxf>
      <font>
        <b/>
        <i val="0"/>
        <strike val="0"/>
      </font>
      <fill>
        <patternFill>
          <bgColor rgb="FFFFFF00"/>
        </patternFill>
      </fill>
    </dxf>
    <dxf>
      <font>
        <strike val="0"/>
        <color rgb="FFFF0000"/>
      </font>
    </dxf>
    <dxf>
      <font>
        <color rgb="FFFF0000"/>
      </font>
    </dxf>
    <dxf>
      <font>
        <strike val="0"/>
        <color rgb="FFFF0000"/>
      </font>
    </dxf>
    <dxf>
      <font>
        <b/>
        <i val="0"/>
        <strike val="0"/>
      </font>
      <fill>
        <patternFill>
          <bgColor rgb="FFFFFF00"/>
        </patternFill>
      </fill>
    </dxf>
    <dxf>
      <font>
        <color rgb="FFFF0000"/>
      </font>
    </dxf>
    <dxf>
      <font>
        <color rgb="FFFF0000"/>
      </font>
    </dxf>
    <dxf>
      <fill>
        <patternFill>
          <bgColor indexed="53"/>
        </patternFill>
      </fill>
    </dxf>
    <dxf>
      <fill>
        <patternFill>
          <bgColor indexed="53"/>
        </patternFill>
      </fill>
    </dxf>
    <dxf>
      <font>
        <strike val="0"/>
        <color rgb="FFFF0000"/>
      </font>
    </dxf>
    <dxf>
      <font>
        <color rgb="FFFF0000"/>
      </font>
    </dxf>
    <dxf>
      <font>
        <color rgb="FFFF0000"/>
      </font>
    </dxf>
    <dxf>
      <font>
        <strike val="0"/>
        <color rgb="FFFF0000"/>
      </font>
    </dxf>
    <dxf>
      <font>
        <strike val="0"/>
        <color rgb="FFFF0000"/>
      </font>
    </dxf>
    <dxf>
      <font>
        <color rgb="FFFF0000"/>
      </font>
    </dxf>
    <dxf>
      <font>
        <color rgb="FFFF0000"/>
      </font>
    </dxf>
    <dxf>
      <font>
        <strike val="0"/>
        <color rgb="FFFF0000"/>
      </font>
    </dxf>
    <dxf>
      <fill>
        <patternFill>
          <bgColor rgb="FFFFFF00"/>
        </patternFill>
      </fill>
    </dxf>
    <dxf>
      <font>
        <b val="0"/>
        <i val="0"/>
        <strike val="0"/>
      </font>
      <fill>
        <patternFill>
          <bgColor rgb="FFFFFF00"/>
        </patternFill>
      </fill>
    </dxf>
    <dxf>
      <fill>
        <patternFill>
          <bgColor indexed="53"/>
        </patternFill>
      </fill>
    </dxf>
    <dxf>
      <fill>
        <patternFill>
          <bgColor indexed="53"/>
        </patternFill>
      </fill>
    </dxf>
    <dxf>
      <font>
        <strike val="0"/>
        <color rgb="FFFF0000"/>
      </font>
    </dxf>
    <dxf>
      <font>
        <color rgb="FFFF0000"/>
      </font>
    </dxf>
    <dxf>
      <font>
        <strike val="0"/>
        <color rgb="FFFF0000"/>
      </font>
    </dxf>
    <dxf>
      <font>
        <color rgb="FFFF0000"/>
      </font>
    </dxf>
    <dxf>
      <font>
        <color rgb="FFFF0000"/>
      </font>
    </dxf>
    <dxf>
      <font>
        <color rgb="FFFF0000"/>
      </font>
    </dxf>
    <dxf>
      <font>
        <strike val="0"/>
        <color rgb="FFFF0000"/>
      </font>
    </dxf>
    <dxf>
      <font>
        <color rgb="FFFF0000"/>
      </font>
    </dxf>
    <dxf>
      <font>
        <strike val="0"/>
        <color rgb="FFFF0000"/>
      </font>
    </dxf>
    <dxf>
      <font>
        <color rgb="FFFF0000"/>
      </font>
    </dxf>
    <dxf>
      <fill>
        <patternFill>
          <bgColor rgb="FFFFFF00"/>
        </patternFill>
      </fill>
    </dxf>
    <dxf>
      <font>
        <b val="0"/>
        <i val="0"/>
        <strike val="0"/>
      </font>
      <fill>
        <patternFill>
          <bgColor rgb="FFFFFF00"/>
        </patternFill>
      </fill>
    </dxf>
    <dxf>
      <fill>
        <patternFill>
          <bgColor indexed="53"/>
        </patternFill>
      </fill>
    </dxf>
    <dxf>
      <fill>
        <patternFill>
          <bgColor indexed="53"/>
        </patternFill>
      </fill>
    </dxf>
    <dxf>
      <font>
        <color rgb="FFFF0000"/>
      </font>
    </dxf>
    <dxf>
      <font>
        <strike val="0"/>
        <color rgb="FFFF0000"/>
      </font>
    </dxf>
    <dxf>
      <font>
        <strike val="0"/>
        <color rgb="FFFF0000"/>
      </font>
    </dxf>
    <dxf>
      <font>
        <color rgb="FFFF0000"/>
      </font>
    </dxf>
    <dxf>
      <font>
        <strike val="0"/>
        <color rgb="FFFF0000"/>
      </font>
    </dxf>
    <dxf>
      <font>
        <color rgb="FFFF0000"/>
      </font>
    </dxf>
    <dxf>
      <font>
        <color rgb="FFFF0000"/>
      </font>
    </dxf>
    <dxf>
      <font>
        <strike val="0"/>
        <color rgb="FFFF0000"/>
      </font>
    </dxf>
    <dxf>
      <font>
        <color rgb="FFFF0000"/>
      </font>
    </dxf>
    <dxf>
      <font>
        <color rgb="FFFF0000"/>
      </font>
    </dxf>
    <dxf>
      <fill>
        <patternFill>
          <bgColor rgb="FFFFFF00"/>
        </patternFill>
      </fill>
    </dxf>
    <dxf>
      <font>
        <b val="0"/>
        <i val="0"/>
        <strike val="0"/>
      </font>
      <fill>
        <patternFill>
          <bgColor rgb="FFFFFF00"/>
        </patternFill>
      </fill>
    </dxf>
    <dxf>
      <fill>
        <patternFill>
          <bgColor indexed="53"/>
        </patternFill>
      </fill>
    </dxf>
    <dxf>
      <fill>
        <patternFill>
          <bgColor indexed="53"/>
        </patternFill>
      </fill>
    </dxf>
    <dxf>
      <font>
        <strike val="0"/>
        <color rgb="FFFF0000"/>
      </font>
    </dxf>
    <dxf>
      <font>
        <color rgb="FFFF0000"/>
      </font>
    </dxf>
    <dxf>
      <font>
        <strike val="0"/>
        <color rgb="FFFF0000"/>
      </font>
    </dxf>
    <dxf>
      <font>
        <color rgb="FFFF0000"/>
      </font>
    </dxf>
    <dxf>
      <font>
        <color rgb="FFFF0000"/>
      </font>
    </dxf>
    <dxf>
      <font>
        <strike val="0"/>
        <color rgb="FFFF0000"/>
      </font>
    </dxf>
    <dxf>
      <fill>
        <patternFill>
          <bgColor rgb="FFFFFF00"/>
        </patternFill>
      </fill>
    </dxf>
    <dxf>
      <font>
        <b val="0"/>
        <i val="0"/>
        <strike val="0"/>
      </font>
      <fill>
        <patternFill>
          <bgColor rgb="FFFFFF00"/>
        </patternFill>
      </fill>
    </dxf>
    <dxf>
      <fill>
        <patternFill>
          <bgColor indexed="53"/>
        </patternFill>
      </fill>
    </dxf>
    <dxf>
      <fill>
        <patternFill>
          <bgColor indexed="53"/>
        </patternFill>
      </fill>
    </dxf>
    <dxf>
      <font>
        <strike val="0"/>
        <color rgb="FFFF0000"/>
      </font>
    </dxf>
    <dxf>
      <font>
        <color rgb="FFFF0000"/>
      </font>
    </dxf>
    <dxf>
      <font>
        <color rgb="FFFF0000"/>
      </font>
    </dxf>
    <dxf>
      <font>
        <strike val="0"/>
        <color rgb="FFFF0000"/>
      </font>
    </dxf>
    <dxf>
      <font>
        <strike val="0"/>
        <color rgb="FFFF0000"/>
      </font>
    </dxf>
    <dxf>
      <fill>
        <patternFill>
          <bgColor rgb="FFFFFF00"/>
        </patternFill>
      </fill>
    </dxf>
    <dxf>
      <font>
        <color rgb="FFFF0000"/>
      </font>
    </dxf>
    <dxf>
      <font>
        <strike val="0"/>
        <color rgb="FFFF0000"/>
      </font>
    </dxf>
    <dxf>
      <font>
        <b val="0"/>
        <i val="0"/>
        <strike val="0"/>
      </font>
      <fill>
        <patternFill>
          <bgColor rgb="FFFFFF00"/>
        </patternFill>
      </fill>
    </dxf>
    <dxf>
      <font>
        <color rgb="FFFF0000"/>
      </font>
    </dxf>
    <dxf>
      <fill>
        <patternFill>
          <bgColor indexed="53"/>
        </patternFill>
      </fill>
    </dxf>
    <dxf>
      <fill>
        <patternFill>
          <bgColor indexed="53"/>
        </patternFill>
      </fill>
    </dxf>
    <dxf>
      <font>
        <strike val="0"/>
        <color rgb="FFFF0000"/>
      </font>
    </dxf>
    <dxf>
      <fill>
        <patternFill>
          <bgColor rgb="FFFFFF00"/>
        </patternFill>
      </fill>
    </dxf>
    <dxf>
      <font>
        <color rgb="FFFF0000"/>
      </font>
    </dxf>
    <dxf>
      <font>
        <strike val="0"/>
        <color rgb="FFFF0000"/>
      </font>
    </dxf>
    <dxf>
      <font>
        <b val="0"/>
        <i val="0"/>
        <strike val="0"/>
      </font>
      <fill>
        <patternFill>
          <bgColor rgb="FFFFFF00"/>
        </patternFill>
      </fill>
    </dxf>
    <dxf>
      <font>
        <color rgb="FFFF0000"/>
      </font>
    </dxf>
    <dxf>
      <font>
        <color rgb="FFFF0000"/>
      </font>
    </dxf>
    <dxf>
      <font>
        <strike val="0"/>
        <color rgb="FFFF0000"/>
      </font>
    </dxf>
    <dxf>
      <fill>
        <patternFill>
          <bgColor rgb="FFFFFF00"/>
        </patternFill>
      </fill>
    </dxf>
    <dxf>
      <font>
        <color rgb="FFFF0000"/>
      </font>
    </dxf>
    <dxf>
      <font>
        <strike val="0"/>
        <color rgb="FFFF0000"/>
      </font>
    </dxf>
    <dxf>
      <font>
        <b val="0"/>
        <i val="0"/>
        <strike val="0"/>
      </font>
      <fill>
        <patternFill>
          <bgColor rgb="FFFFFF00"/>
        </patternFill>
      </fill>
    </dxf>
    <dxf>
      <font>
        <color rgb="FFFF0000"/>
      </font>
    </dxf>
    <dxf>
      <font>
        <color rgb="FFFF0000"/>
      </font>
    </dxf>
    <dxf>
      <font>
        <strike val="0"/>
        <color rgb="FFFF0000"/>
      </font>
    </dxf>
    <dxf>
      <font>
        <color rgb="FFFF0000"/>
      </font>
    </dxf>
    <dxf>
      <font>
        <strike val="0"/>
        <color rgb="FFFF0000"/>
      </font>
    </dxf>
    <dxf>
      <fill>
        <patternFill>
          <bgColor rgb="FFFFFF00"/>
        </patternFill>
      </fill>
    </dxf>
    <dxf>
      <font>
        <color rgb="FFFF0000"/>
      </font>
    </dxf>
    <dxf>
      <font>
        <strike val="0"/>
        <color rgb="FFFF0000"/>
      </font>
    </dxf>
    <dxf>
      <font>
        <b val="0"/>
        <i val="0"/>
        <strike val="0"/>
      </font>
      <fill>
        <patternFill>
          <bgColor rgb="FFFFFF00"/>
        </patternFill>
      </fill>
    </dxf>
    <dxf>
      <font>
        <color rgb="FFFF0000"/>
      </font>
    </dxf>
    <dxf>
      <fill>
        <patternFill>
          <bgColor indexed="53"/>
        </patternFill>
      </fill>
    </dxf>
    <dxf>
      <fill>
        <patternFill>
          <bgColor indexed="53"/>
        </patternFill>
      </fill>
    </dxf>
    <dxf>
      <font>
        <color rgb="FFFF0000"/>
      </font>
    </dxf>
    <dxf>
      <font>
        <strike val="0"/>
        <color rgb="FFFF0000"/>
      </font>
    </dxf>
    <dxf>
      <font>
        <strike val="0"/>
        <color rgb="FFFF0000"/>
      </font>
    </dxf>
    <dxf>
      <font>
        <b/>
        <i val="0"/>
      </font>
      <fill>
        <patternFill>
          <bgColor rgb="FFFFFF00"/>
        </patternFill>
      </fill>
    </dxf>
    <dxf>
      <font>
        <color rgb="FFFF0000"/>
      </font>
    </dxf>
    <dxf>
      <font>
        <strike val="0"/>
        <color rgb="FFFF0000"/>
      </font>
    </dxf>
    <dxf>
      <font>
        <b/>
        <i val="0"/>
        <strike val="0"/>
      </font>
      <fill>
        <patternFill>
          <bgColor rgb="FFFFFF00"/>
        </patternFill>
      </fill>
    </dxf>
    <dxf>
      <font>
        <color rgb="FFFF0000"/>
      </font>
    </dxf>
    <dxf>
      <font>
        <color rgb="FFFF0000"/>
      </font>
    </dxf>
    <dxf>
      <fill>
        <patternFill>
          <bgColor indexed="53"/>
        </patternFill>
      </fill>
    </dxf>
    <dxf>
      <fill>
        <patternFill>
          <bgColor indexed="53"/>
        </patternFill>
      </fill>
    </dxf>
    <dxf>
      <font>
        <strike val="0"/>
        <color rgb="FFFF0000"/>
      </font>
    </dxf>
    <dxf>
      <font>
        <color rgb="FFFF0000"/>
      </font>
    </dxf>
    <dxf>
      <font>
        <color rgb="FFFF0000"/>
      </font>
    </dxf>
    <dxf>
      <font>
        <color rgb="FFFF0000"/>
      </font>
    </dxf>
    <dxf>
      <font>
        <strike val="0"/>
        <color rgb="FFFF0000"/>
      </font>
    </dxf>
    <dxf>
      <font>
        <b/>
        <i val="0"/>
      </font>
      <fill>
        <patternFill>
          <bgColor rgb="FFFFFF00"/>
        </patternFill>
      </fill>
    </dxf>
    <dxf>
      <font>
        <b/>
        <i val="0"/>
        <strike val="0"/>
      </font>
      <fill>
        <patternFill>
          <bgColor rgb="FFFFFF00"/>
        </patternFill>
      </fill>
    </dxf>
    <dxf>
      <font>
        <strike val="0"/>
        <color rgb="FFFF0000"/>
      </font>
    </dxf>
    <dxf>
      <font>
        <b/>
        <i val="0"/>
      </font>
      <fill>
        <patternFill>
          <bgColor rgb="FFFFFF00"/>
        </patternFill>
      </fill>
    </dxf>
    <dxf>
      <font>
        <color rgb="FFFF0000"/>
      </font>
    </dxf>
    <dxf>
      <font>
        <strike val="0"/>
        <color rgb="FFFF0000"/>
      </font>
    </dxf>
    <dxf>
      <font>
        <b/>
        <i val="0"/>
        <strike val="0"/>
      </font>
      <fill>
        <patternFill>
          <bgColor rgb="FFFFFF00"/>
        </patternFill>
      </fill>
    </dxf>
    <dxf>
      <font>
        <color rgb="FFFF0000"/>
      </font>
    </dxf>
    <dxf>
      <font>
        <color rgb="FFFF0000"/>
      </font>
    </dxf>
    <dxf>
      <font>
        <color rgb="FFFF0000"/>
      </font>
    </dxf>
    <dxf>
      <font>
        <strike val="0"/>
        <color rgb="FFFF0000"/>
      </font>
    </dxf>
    <dxf>
      <font>
        <strike val="0"/>
        <color rgb="FFFF0000"/>
      </font>
    </dxf>
    <dxf>
      <fill>
        <patternFill>
          <bgColor rgb="FFFFFF00"/>
        </patternFill>
      </fill>
    </dxf>
    <dxf>
      <font>
        <color rgb="FFFF0000"/>
      </font>
    </dxf>
    <dxf>
      <font>
        <strike val="0"/>
        <color rgb="FFFF0000"/>
      </font>
    </dxf>
    <dxf>
      <font>
        <b/>
        <i val="0"/>
        <strike val="0"/>
      </font>
      <fill>
        <patternFill>
          <bgColor rgb="FFFFFF00"/>
        </patternFill>
      </fill>
    </dxf>
    <dxf>
      <font>
        <color rgb="FFFF0000"/>
      </font>
    </dxf>
    <dxf>
      <font>
        <color rgb="FFFF0000"/>
      </font>
    </dxf>
    <dxf>
      <fill>
        <patternFill>
          <bgColor indexed="53"/>
        </patternFill>
      </fill>
    </dxf>
    <dxf>
      <fill>
        <patternFill>
          <bgColor indexed="53"/>
        </patternFill>
      </fill>
    </dxf>
    <dxf>
      <font>
        <strike val="0"/>
        <color rgb="FFFF0000"/>
      </font>
    </dxf>
    <dxf>
      <font>
        <color rgb="FFFF0000"/>
      </font>
    </dxf>
    <dxf>
      <font>
        <strike val="0"/>
        <color rgb="FFFF0000"/>
      </font>
    </dxf>
    <dxf>
      <font>
        <color rgb="FFFF0000"/>
      </font>
    </dxf>
    <dxf>
      <font>
        <color rgb="FFFF0000"/>
      </font>
    </dxf>
    <dxf>
      <font>
        <strike val="0"/>
        <color rgb="FFFF0000"/>
      </font>
    </dxf>
    <dxf>
      <font>
        <color rgb="FFFF0000"/>
      </font>
    </dxf>
    <dxf>
      <font>
        <strike val="0"/>
        <color rgb="FFFF0000"/>
      </font>
    </dxf>
    <dxf>
      <font>
        <b val="0"/>
        <i val="0"/>
        <strike val="0"/>
      </font>
      <fill>
        <patternFill>
          <bgColor rgb="FFFFFF00"/>
        </patternFill>
      </fill>
    </dxf>
    <dxf>
      <font>
        <b val="0"/>
        <i val="0"/>
        <strike val="0"/>
      </font>
      <fill>
        <patternFill>
          <bgColor rgb="FFFFFF00"/>
        </patternFill>
      </fill>
    </dxf>
    <dxf>
      <font>
        <b val="0"/>
        <i val="0"/>
        <strike val="0"/>
      </font>
      <fill>
        <patternFill>
          <bgColor rgb="FFFFFF00"/>
        </patternFill>
      </fill>
    </dxf>
    <dxf>
      <font>
        <b val="0"/>
        <i val="0"/>
        <strike val="0"/>
      </font>
      <fill>
        <patternFill>
          <bgColor rgb="FFFFFF00"/>
        </patternFill>
      </fill>
    </dxf>
    <dxf>
      <font>
        <strike val="0"/>
        <color rgb="FFFF0000"/>
      </font>
    </dxf>
    <dxf>
      <font>
        <color rgb="FFFF0000"/>
      </font>
    </dxf>
    <dxf>
      <font>
        <strike val="0"/>
        <color rgb="FFFF0000"/>
      </font>
    </dxf>
    <dxf>
      <font>
        <color rgb="FFFF0000"/>
      </font>
    </dxf>
    <dxf>
      <font>
        <color rgb="FFFF0000"/>
      </font>
    </dxf>
    <dxf>
      <font>
        <strike val="0"/>
        <color rgb="FFFF0000"/>
      </font>
    </dxf>
    <dxf>
      <font>
        <color rgb="FFFF0000"/>
      </font>
    </dxf>
    <dxf>
      <font>
        <strike val="0"/>
        <color rgb="FFFF0000"/>
      </font>
    </dxf>
    <dxf>
      <font>
        <b val="0"/>
        <i val="0"/>
        <strike val="0"/>
      </font>
      <fill>
        <patternFill>
          <bgColor rgb="FFFFFF00"/>
        </patternFill>
      </fill>
    </dxf>
    <dxf>
      <font>
        <b val="0"/>
        <i val="0"/>
        <strike val="0"/>
      </font>
      <fill>
        <patternFill>
          <bgColor rgb="FFFFFF00"/>
        </patternFill>
      </fill>
    </dxf>
    <dxf>
      <font>
        <strike val="0"/>
        <color rgb="FFFF0000"/>
      </font>
    </dxf>
    <dxf>
      <font>
        <color rgb="FFFF0000"/>
      </font>
    </dxf>
    <dxf>
      <font>
        <strike val="0"/>
        <color rgb="FFFF0000"/>
      </font>
    </dxf>
    <dxf>
      <font>
        <color rgb="FFFF0000"/>
      </font>
    </dxf>
    <dxf>
      <font>
        <color rgb="FFFF0000"/>
      </font>
    </dxf>
    <dxf>
      <font>
        <strike val="0"/>
        <color rgb="FFFF0000"/>
      </font>
    </dxf>
    <dxf>
      <font>
        <color rgb="FFFF0000"/>
      </font>
    </dxf>
    <dxf>
      <font>
        <strike val="0"/>
        <color rgb="FFFF0000"/>
      </font>
    </dxf>
    <dxf>
      <font>
        <b val="0"/>
        <i val="0"/>
        <strike val="0"/>
      </font>
      <fill>
        <patternFill>
          <bgColor rgb="FFFFFF00"/>
        </patternFill>
      </fill>
    </dxf>
    <dxf>
      <font>
        <strike val="0"/>
        <color rgb="FFFF0000"/>
      </font>
    </dxf>
    <dxf>
      <font>
        <color rgb="FFFF0000"/>
      </font>
    </dxf>
    <dxf>
      <font>
        <strike val="0"/>
        <color rgb="FFFF0000"/>
      </font>
    </dxf>
    <dxf>
      <font>
        <color rgb="FFFF0000"/>
      </font>
    </dxf>
    <dxf>
      <font>
        <color rgb="FFFF0000"/>
      </font>
    </dxf>
    <dxf>
      <font>
        <strike val="0"/>
        <color rgb="FFFF0000"/>
      </font>
    </dxf>
    <dxf>
      <font>
        <color rgb="FFFF0000"/>
      </font>
    </dxf>
    <dxf>
      <font>
        <strike val="0"/>
        <color rgb="FFFF0000"/>
      </font>
    </dxf>
    <dxf>
      <font>
        <b val="0"/>
        <i val="0"/>
        <strike val="0"/>
      </font>
      <fill>
        <patternFill>
          <bgColor rgb="FFFFFF00"/>
        </patternFill>
      </fill>
    </dxf>
    <dxf>
      <font>
        <b val="0"/>
        <i val="0"/>
        <strike val="0"/>
      </font>
      <fill>
        <patternFill>
          <bgColor rgb="FFFFFF00"/>
        </patternFill>
      </fill>
    </dxf>
    <dxf>
      <font>
        <b val="0"/>
        <i val="0"/>
        <strike val="0"/>
      </font>
      <fill>
        <patternFill>
          <bgColor rgb="FFFFFF00"/>
        </patternFill>
      </fill>
    </dxf>
    <dxf>
      <font>
        <color rgb="FFFF0000"/>
      </font>
    </dxf>
    <dxf>
      <font>
        <strike val="0"/>
        <color rgb="FFFF0000"/>
      </font>
    </dxf>
    <dxf>
      <font>
        <strike val="0"/>
        <color rgb="FFFF0000"/>
      </font>
    </dxf>
    <dxf>
      <font>
        <color rgb="FFFF0000"/>
      </font>
    </dxf>
    <dxf>
      <font>
        <color rgb="FFFF0000"/>
      </font>
    </dxf>
    <dxf>
      <font>
        <strike val="0"/>
        <color rgb="FFFF0000"/>
      </font>
    </dxf>
    <dxf>
      <font>
        <color rgb="FFFF0000"/>
      </font>
    </dxf>
    <dxf>
      <font>
        <strike val="0"/>
        <color rgb="FFFF0000"/>
      </font>
    </dxf>
    <dxf>
      <font>
        <b val="0"/>
        <i val="0"/>
        <strike val="0"/>
      </font>
      <fill>
        <patternFill>
          <bgColor rgb="FFFFFF00"/>
        </patternFill>
      </fill>
    </dxf>
    <dxf>
      <font>
        <b val="0"/>
        <i val="0"/>
        <strike val="0"/>
      </font>
      <fill>
        <patternFill>
          <bgColor rgb="FFFFFF00"/>
        </patternFill>
      </fill>
    </dxf>
    <dxf>
      <font>
        <color rgb="FFFF0000"/>
      </font>
    </dxf>
    <dxf>
      <font>
        <strike val="0"/>
        <color rgb="FFFF0000"/>
      </font>
    </dxf>
    <dxf>
      <font>
        <color rgb="FFFF0000"/>
      </font>
    </dxf>
    <dxf>
      <font>
        <strike val="0"/>
        <color rgb="FFFF0000"/>
      </font>
    </dxf>
    <dxf>
      <font>
        <strike val="0"/>
        <color rgb="FFFF0000"/>
      </font>
    </dxf>
    <dxf>
      <font>
        <color rgb="FFFF0000"/>
      </font>
    </dxf>
    <dxf>
      <font>
        <color rgb="FFFF0000"/>
      </font>
    </dxf>
    <dxf>
      <font>
        <strike val="0"/>
        <color rgb="FFFF0000"/>
      </font>
    </dxf>
    <dxf>
      <font>
        <b val="0"/>
        <i val="0"/>
        <strike val="0"/>
      </font>
      <fill>
        <patternFill>
          <bgColor rgb="FFFFFF00"/>
        </patternFill>
      </fill>
    </dxf>
    <dxf>
      <font>
        <b val="0"/>
        <i val="0"/>
        <strike val="0"/>
      </font>
      <fill>
        <patternFill>
          <bgColor rgb="FFFFFF00"/>
        </patternFill>
      </fill>
    </dxf>
    <dxf>
      <font>
        <color rgb="FFFF0000"/>
      </font>
    </dxf>
    <dxf>
      <font>
        <strike val="0"/>
        <color rgb="FFFF0000"/>
      </font>
    </dxf>
    <dxf>
      <font>
        <color rgb="FFFF0000"/>
      </font>
    </dxf>
    <dxf>
      <font>
        <strike val="0"/>
        <color rgb="FFFF0000"/>
      </font>
    </dxf>
    <dxf>
      <font>
        <strike val="0"/>
        <color rgb="FFFF0000"/>
      </font>
    </dxf>
    <dxf>
      <font>
        <color rgb="FFFF0000"/>
      </font>
    </dxf>
    <dxf>
      <font>
        <color rgb="FFFF0000"/>
      </font>
    </dxf>
    <dxf>
      <font>
        <strike val="0"/>
        <color rgb="FFFF0000"/>
      </font>
    </dxf>
    <dxf>
      <font>
        <color rgb="FFFF0000"/>
      </font>
    </dxf>
    <dxf>
      <font>
        <strike val="0"/>
        <color rgb="FFFF0000"/>
      </font>
    </dxf>
    <dxf>
      <font>
        <b val="0"/>
        <i val="0"/>
        <strike val="0"/>
      </font>
      <fill>
        <patternFill>
          <bgColor rgb="FFFFFF00"/>
        </patternFill>
      </fill>
    </dxf>
    <dxf>
      <font>
        <strike val="0"/>
        <color rgb="FFFF0000"/>
      </font>
    </dxf>
    <dxf>
      <font>
        <color rgb="FFFF0000"/>
      </font>
    </dxf>
    <dxf>
      <font>
        <color rgb="FFFF0000"/>
      </font>
    </dxf>
    <dxf>
      <font>
        <strike val="0"/>
        <color rgb="FFFF0000"/>
      </font>
    </dxf>
    <dxf>
      <font>
        <color rgb="FFFF0000"/>
      </font>
    </dxf>
    <dxf>
      <font>
        <strike val="0"/>
        <color rgb="FFFF0000"/>
      </font>
    </dxf>
    <dxf>
      <font>
        <b val="0"/>
        <i val="0"/>
        <strike val="0"/>
      </font>
      <fill>
        <patternFill>
          <bgColor rgb="FFFFFF00"/>
        </patternFill>
      </fill>
    </dxf>
    <dxf>
      <font>
        <strike val="0"/>
        <color rgb="FFFF0000"/>
      </font>
    </dxf>
    <dxf>
      <font>
        <color rgb="FFFF0000"/>
      </font>
    </dxf>
    <dxf>
      <font>
        <color rgb="FFFF0000"/>
      </font>
    </dxf>
    <dxf>
      <font>
        <strike val="0"/>
        <color rgb="FFFF0000"/>
      </font>
    </dxf>
    <dxf>
      <font>
        <strike val="0"/>
        <color rgb="FFFF0000"/>
      </font>
    </dxf>
    <dxf>
      <font>
        <color rgb="FFFF0000"/>
      </font>
    </dxf>
    <dxf>
      <font>
        <color rgb="FFFF0000"/>
      </font>
    </dxf>
    <dxf>
      <font>
        <strike val="0"/>
        <color rgb="FFFF0000"/>
      </font>
    </dxf>
    <dxf>
      <font>
        <strike val="0"/>
        <color rgb="FFFF0000"/>
      </font>
    </dxf>
    <dxf>
      <font>
        <color rgb="FFFF0000"/>
      </font>
    </dxf>
    <dxf>
      <font>
        <color rgb="FFFF0000"/>
      </font>
    </dxf>
    <dxf>
      <font>
        <strike val="0"/>
        <color rgb="FFFF0000"/>
      </font>
    </dxf>
    <dxf>
      <font>
        <b val="0"/>
        <i val="0"/>
        <strike val="0"/>
      </font>
      <fill>
        <patternFill>
          <bgColor rgb="FFFFFF00"/>
        </patternFill>
      </fill>
    </dxf>
    <dxf>
      <font>
        <b val="0"/>
        <i val="0"/>
        <strike val="0"/>
      </font>
      <fill>
        <patternFill>
          <bgColor rgb="FFFFFF00"/>
        </patternFill>
      </fill>
    </dxf>
    <dxf>
      <font>
        <b val="0"/>
        <i val="0"/>
        <strike val="0"/>
      </font>
      <fill>
        <patternFill>
          <bgColor rgb="FFFFFF00"/>
        </patternFill>
      </fill>
    </dxf>
    <dxf>
      <font>
        <strike val="0"/>
        <color rgb="FFFF0000"/>
      </font>
    </dxf>
    <dxf>
      <font>
        <color rgb="FFFF0000"/>
      </font>
    </dxf>
    <dxf>
      <font>
        <color rgb="FFFF0000"/>
      </font>
    </dxf>
    <dxf>
      <font>
        <strike val="0"/>
        <color rgb="FFFF0000"/>
      </font>
    </dxf>
    <dxf>
      <font>
        <strike val="0"/>
        <color rgb="FFFF0000"/>
      </font>
    </dxf>
    <dxf>
      <font>
        <color rgb="FFFF0000"/>
      </font>
    </dxf>
    <dxf>
      <font>
        <color rgb="FFFF0000"/>
      </font>
    </dxf>
    <dxf>
      <font>
        <strike val="0"/>
        <color rgb="FFFF0000"/>
      </font>
    </dxf>
    <dxf>
      <font>
        <strike val="0"/>
        <color rgb="FFFF0000"/>
      </font>
    </dxf>
    <dxf>
      <font>
        <color rgb="FFFF0000"/>
      </font>
    </dxf>
    <dxf>
      <font>
        <color rgb="FFFF0000"/>
      </font>
    </dxf>
    <dxf>
      <font>
        <strike val="0"/>
        <color rgb="FFFF0000"/>
      </font>
    </dxf>
    <dxf>
      <font>
        <b val="0"/>
        <i val="0"/>
        <strike val="0"/>
      </font>
      <fill>
        <patternFill>
          <bgColor rgb="FFFFFF00"/>
        </patternFill>
      </fill>
    </dxf>
    <dxf>
      <font>
        <b val="0"/>
        <i val="0"/>
        <strike val="0"/>
      </font>
      <fill>
        <patternFill>
          <bgColor rgb="FFFFFF00"/>
        </patternFill>
      </fill>
    </dxf>
    <dxf>
      <font>
        <b val="0"/>
        <i val="0"/>
        <strike val="0"/>
      </font>
      <fill>
        <patternFill>
          <bgColor rgb="FFFFFF00"/>
        </patternFill>
      </fill>
    </dxf>
    <dxf>
      <font>
        <strike val="0"/>
        <color rgb="FFFF0000"/>
      </font>
    </dxf>
    <dxf>
      <font>
        <color rgb="FFFF0000"/>
      </font>
    </dxf>
    <dxf>
      <font>
        <color rgb="FFFF0000"/>
      </font>
    </dxf>
    <dxf>
      <font>
        <strike val="0"/>
        <color rgb="FFFF0000"/>
      </font>
    </dxf>
    <dxf>
      <font>
        <strike val="0"/>
        <color rgb="FFFF0000"/>
      </font>
    </dxf>
    <dxf>
      <font>
        <color rgb="FFFF0000"/>
      </font>
    </dxf>
    <dxf>
      <font>
        <color rgb="FFFF0000"/>
      </font>
    </dxf>
    <dxf>
      <font>
        <strike val="0"/>
        <color rgb="FFFF0000"/>
      </font>
    </dxf>
    <dxf>
      <font>
        <strike val="0"/>
        <color rgb="FFFF0000"/>
      </font>
    </dxf>
    <dxf>
      <font>
        <color rgb="FFFF0000"/>
      </font>
    </dxf>
    <dxf>
      <font>
        <color rgb="FFFF0000"/>
      </font>
    </dxf>
    <dxf>
      <font>
        <strike val="0"/>
        <color rgb="FFFF0000"/>
      </font>
    </dxf>
    <dxf>
      <font>
        <b val="0"/>
        <i val="0"/>
        <strike val="0"/>
      </font>
      <fill>
        <patternFill>
          <bgColor rgb="FFFFFF00"/>
        </patternFill>
      </fill>
    </dxf>
    <dxf>
      <font>
        <b val="0"/>
        <i val="0"/>
        <strike val="0"/>
      </font>
      <fill>
        <patternFill>
          <bgColor rgb="FFFFFF00"/>
        </patternFill>
      </fill>
    </dxf>
    <dxf>
      <font>
        <b val="0"/>
        <i val="0"/>
        <strike val="0"/>
      </font>
      <fill>
        <patternFill>
          <bgColor rgb="FFFFFF00"/>
        </patternFill>
      </fill>
    </dxf>
    <dxf>
      <font>
        <color rgb="FFFF0000"/>
      </font>
    </dxf>
    <dxf>
      <font>
        <strike val="0"/>
        <color rgb="FFFF0000"/>
      </font>
    </dxf>
    <dxf>
      <font>
        <color rgb="FFFF0000"/>
      </font>
    </dxf>
    <dxf>
      <font>
        <color rgb="FFFF0000"/>
      </font>
    </dxf>
    <dxf>
      <font>
        <strike val="0"/>
        <color rgb="FFFF0000"/>
      </font>
    </dxf>
    <dxf>
      <font>
        <color rgb="FFFF0000"/>
      </font>
    </dxf>
    <dxf>
      <font>
        <strike val="0"/>
        <color rgb="FFFF0000"/>
      </font>
    </dxf>
    <dxf>
      <font>
        <color rgb="FFFF0000"/>
      </font>
    </dxf>
    <dxf>
      <font>
        <strike val="0"/>
        <color rgb="FFFF0000"/>
      </font>
    </dxf>
    <dxf>
      <font>
        <color rgb="FFFF0000"/>
      </font>
    </dxf>
    <dxf>
      <font>
        <strike val="0"/>
        <color rgb="FFFF0000"/>
      </font>
    </dxf>
    <dxf>
      <font>
        <b val="0"/>
        <i val="0"/>
        <strike val="0"/>
      </font>
      <fill>
        <patternFill>
          <bgColor rgb="FFFFFF00"/>
        </patternFill>
      </fill>
    </dxf>
    <dxf>
      <font>
        <b val="0"/>
        <i val="0"/>
        <strike val="0"/>
      </font>
      <fill>
        <patternFill>
          <bgColor rgb="FFFFFF00"/>
        </patternFill>
      </fill>
    </dxf>
    <dxf>
      <font>
        <b val="0"/>
        <i val="0"/>
        <strike val="0"/>
      </font>
      <fill>
        <patternFill>
          <bgColor rgb="FFFFFF00"/>
        </patternFill>
      </fill>
    </dxf>
    <dxf>
      <font>
        <strike val="0"/>
        <color rgb="FFFF0000"/>
      </font>
    </dxf>
    <dxf>
      <font>
        <color rgb="FFFF0000"/>
      </font>
    </dxf>
    <dxf>
      <font>
        <color rgb="FFFF0000"/>
      </font>
    </dxf>
    <dxf>
      <font>
        <strike val="0"/>
        <color rgb="FFFF0000"/>
      </font>
    </dxf>
    <dxf>
      <font>
        <strike val="0"/>
        <color rgb="FFFF0000"/>
      </font>
    </dxf>
    <dxf>
      <font>
        <color rgb="FFFF0000"/>
      </font>
    </dxf>
    <dxf>
      <font>
        <color rgb="FFFF0000"/>
      </font>
    </dxf>
    <dxf>
      <font>
        <strike val="0"/>
        <color rgb="FFFF0000"/>
      </font>
    </dxf>
    <dxf>
      <font>
        <strike val="0"/>
        <color rgb="FFFF0000"/>
      </font>
    </dxf>
    <dxf>
      <font>
        <color rgb="FFFF0000"/>
      </font>
    </dxf>
    <dxf>
      <font>
        <color rgb="FFFF0000"/>
      </font>
    </dxf>
    <dxf>
      <font>
        <strike val="0"/>
        <color rgb="FFFF0000"/>
      </font>
    </dxf>
    <dxf>
      <font>
        <b val="0"/>
        <i val="0"/>
        <strike val="0"/>
      </font>
      <fill>
        <patternFill>
          <bgColor rgb="FFFFFF00"/>
        </patternFill>
      </fill>
    </dxf>
    <dxf>
      <font>
        <b val="0"/>
        <i val="0"/>
        <strike val="0"/>
      </font>
      <fill>
        <patternFill>
          <bgColor rgb="FFFFFF00"/>
        </patternFill>
      </fill>
    </dxf>
    <dxf>
      <font>
        <b val="0"/>
        <i val="0"/>
        <strike val="0"/>
      </font>
      <fill>
        <patternFill>
          <bgColor rgb="FFFFFF00"/>
        </patternFill>
      </fill>
    </dxf>
    <dxf>
      <font>
        <strike val="0"/>
        <color rgb="FFFF0000"/>
      </font>
    </dxf>
    <dxf>
      <font>
        <color rgb="FFFF0000"/>
      </font>
    </dxf>
    <dxf>
      <font>
        <strike val="0"/>
        <color rgb="FFFF0000"/>
      </font>
    </dxf>
    <dxf>
      <font>
        <color rgb="FFFF0000"/>
      </font>
    </dxf>
    <dxf>
      <font>
        <color rgb="FFFF0000"/>
      </font>
    </dxf>
    <dxf>
      <font>
        <strike val="0"/>
        <color rgb="FFFF0000"/>
      </font>
    </dxf>
    <dxf>
      <font>
        <color rgb="FFFF0000"/>
      </font>
    </dxf>
    <dxf>
      <font>
        <strike val="0"/>
        <color rgb="FFFF0000"/>
      </font>
    </dxf>
    <dxf>
      <font>
        <b val="0"/>
        <i val="0"/>
        <strike val="0"/>
      </font>
      <fill>
        <patternFill>
          <bgColor rgb="FFFFFF00"/>
        </patternFill>
      </fill>
    </dxf>
    <dxf>
      <font>
        <b val="0"/>
        <i val="0"/>
        <strike val="0"/>
      </font>
      <fill>
        <patternFill>
          <bgColor rgb="FFFFFF00"/>
        </patternFill>
      </fill>
    </dxf>
    <dxf>
      <font>
        <b val="0"/>
        <i val="0"/>
        <strike val="0"/>
      </font>
      <fill>
        <patternFill>
          <bgColor rgb="FFFFFF00"/>
        </patternFill>
      </fill>
    </dxf>
    <dxf>
      <font>
        <color rgb="FFFF0000"/>
      </font>
    </dxf>
    <dxf>
      <font>
        <strike val="0"/>
        <color rgb="FFFF0000"/>
      </font>
    </dxf>
    <dxf>
      <font>
        <strike val="0"/>
        <color rgb="FFFF0000"/>
      </font>
    </dxf>
    <dxf>
      <font>
        <color rgb="FFFF0000"/>
      </font>
    </dxf>
    <dxf>
      <font>
        <strike val="0"/>
        <color rgb="FFFF0000"/>
      </font>
    </dxf>
    <dxf>
      <font>
        <color rgb="FFFF0000"/>
      </font>
    </dxf>
    <dxf>
      <font>
        <color rgb="FFFF0000"/>
      </font>
    </dxf>
    <dxf>
      <font>
        <strike val="0"/>
        <color rgb="FFFF0000"/>
      </font>
    </dxf>
    <dxf>
      <font>
        <color rgb="FFFF0000"/>
      </font>
    </dxf>
    <dxf>
      <font>
        <strike val="0"/>
        <color rgb="FFFF0000"/>
      </font>
    </dxf>
    <dxf>
      <font>
        <color rgb="FFFF0000"/>
      </font>
    </dxf>
    <dxf>
      <font>
        <strike val="0"/>
        <color rgb="FFFF0000"/>
      </font>
    </dxf>
    <dxf>
      <font>
        <b val="0"/>
        <i val="0"/>
        <strike val="0"/>
      </font>
      <fill>
        <patternFill>
          <bgColor rgb="FFFFFF00"/>
        </patternFill>
      </fill>
    </dxf>
    <dxf>
      <font>
        <strike val="0"/>
        <color rgb="FFFF0000"/>
      </font>
    </dxf>
    <dxf>
      <font>
        <color rgb="FFFF0000"/>
      </font>
    </dxf>
    <dxf>
      <font>
        <color rgb="FFFF0000"/>
      </font>
    </dxf>
    <dxf>
      <font>
        <strike val="0"/>
        <color rgb="FFFF0000"/>
      </font>
    </dxf>
    <dxf>
      <font>
        <color rgb="FFFF0000"/>
      </font>
    </dxf>
    <dxf>
      <font>
        <strike val="0"/>
        <color rgb="FFFF0000"/>
      </font>
    </dxf>
    <dxf>
      <font>
        <color rgb="FFFF0000"/>
      </font>
    </dxf>
    <dxf>
      <font>
        <strike val="0"/>
        <color rgb="FFFF0000"/>
      </font>
    </dxf>
    <dxf>
      <fill>
        <patternFill>
          <bgColor rgb="FFFFFF00"/>
        </patternFill>
      </fill>
    </dxf>
    <dxf>
      <font>
        <b val="0"/>
        <i val="0"/>
        <strike val="0"/>
      </font>
      <fill>
        <patternFill>
          <bgColor rgb="FFFFFF00"/>
        </patternFill>
      </fill>
    </dxf>
    <dxf>
      <font>
        <b val="0"/>
        <i val="0"/>
        <strike val="0"/>
      </font>
      <fill>
        <patternFill>
          <bgColor rgb="FFFFFF0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EAEAEA"/>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671F"/>
      <color rgb="FFFF8200"/>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haredStrings" Target="sharedStrings.xml"/><Relationship Id="rId55" Type="http://schemas.microsoft.com/office/2006/relationships/vbaProject" Target="vbaProject.bin"/><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s>
</file>

<file path=xl/ctrlProps/ctrlProp1.xml><?xml version="1.0" encoding="utf-8"?>
<formControlPr xmlns="http://schemas.microsoft.com/office/spreadsheetml/2009/9/main" objectType="Drop" dropLines="3" dropStyle="combo" dx="31" fmlaLink="$Q$16" fmlaRange="$Q$19:$Q$21" noThreeD="1" sel="1" val="0"/>
</file>

<file path=xl/ctrlProps/ctrlProp10.xml><?xml version="1.0" encoding="utf-8"?>
<formControlPr xmlns="http://schemas.microsoft.com/office/spreadsheetml/2009/9/main" objectType="Drop" dropLines="2" dropStyle="combo" dx="31" fmlaLink="$P$26" fmlaRange="$P$28:$P$29" noThreeD="1" sel="1" val="0"/>
</file>

<file path=xl/ctrlProps/ctrlProp100.xml><?xml version="1.0" encoding="utf-8"?>
<formControlPr xmlns="http://schemas.microsoft.com/office/spreadsheetml/2009/9/main" objectType="Drop" dropStyle="combo" dx="31" fmlaLink="$S$2" fmlaRange="$S$4:$S$6" noThreeD="1" sel="3" val="0"/>
</file>

<file path=xl/ctrlProps/ctrlProp101.xml><?xml version="1.0" encoding="utf-8"?>
<formControlPr xmlns="http://schemas.microsoft.com/office/spreadsheetml/2009/9/main" objectType="Drop" dropLines="2" dropStyle="combo" dx="31" fmlaLink="$R$14" fmlaRange="$Q$47:$Q$48" noThreeD="1" sel="2" val="0"/>
</file>

<file path=xl/ctrlProps/ctrlProp102.xml><?xml version="1.0" encoding="utf-8"?>
<formControlPr xmlns="http://schemas.microsoft.com/office/spreadsheetml/2009/9/main" objectType="Drop" dropLines="2" dropStyle="combo" dx="31" fmlaLink="$R$24" fmlaRange="$Q$47:$Q$48" noThreeD="1" sel="1" val="0"/>
</file>

<file path=xl/ctrlProps/ctrlProp103.xml><?xml version="1.0" encoding="utf-8"?>
<formControlPr xmlns="http://schemas.microsoft.com/office/spreadsheetml/2009/9/main" objectType="Drop" dropStyle="combo" dx="31" fmlaLink="$Z$71" fmlaRange="$Z$72:$Z$79" noThreeD="1" sel="3" val="0"/>
</file>

<file path=xl/ctrlProps/ctrlProp104.xml><?xml version="1.0" encoding="utf-8"?>
<formControlPr xmlns="http://schemas.microsoft.com/office/spreadsheetml/2009/9/main" objectType="Drop" dropStyle="combo" dx="31" fmlaLink="$S$2" fmlaRange="$S$4:$S$6" noThreeD="1" sel="3" val="0"/>
</file>

<file path=xl/ctrlProps/ctrlProp105.xml><?xml version="1.0" encoding="utf-8"?>
<formControlPr xmlns="http://schemas.microsoft.com/office/spreadsheetml/2009/9/main" objectType="CheckBox" fmlaLink="$V$10" lockText="1"/>
</file>

<file path=xl/ctrlProps/ctrlProp106.xml><?xml version="1.0" encoding="utf-8"?>
<formControlPr xmlns="http://schemas.microsoft.com/office/spreadsheetml/2009/9/main" objectType="CheckBox" fmlaLink="$V$21" lockText="1"/>
</file>

<file path=xl/ctrlProps/ctrlProp107.xml><?xml version="1.0" encoding="utf-8"?>
<formControlPr xmlns="http://schemas.microsoft.com/office/spreadsheetml/2009/9/main" objectType="Drop" dropLines="3" dropStyle="combo" dx="31" fmlaLink="$U$16" fmlaRange="$V$46:$V$48" noThreeD="1" sel="1" val="0"/>
</file>

<file path=xl/ctrlProps/ctrlProp108.xml><?xml version="1.0" encoding="utf-8"?>
<formControlPr xmlns="http://schemas.microsoft.com/office/spreadsheetml/2009/9/main" objectType="Drop" dropLines="3" dropStyle="combo" dx="31" fmlaLink="$U$27" fmlaRange="$V$46:$V$48" noThreeD="1" sel="1" val="0"/>
</file>

<file path=xl/ctrlProps/ctrlProp109.xml><?xml version="1.0" encoding="utf-8"?>
<formControlPr xmlns="http://schemas.microsoft.com/office/spreadsheetml/2009/9/main" objectType="Drop" dropStyle="combo" dx="31" fmlaLink="$Z$77" fmlaRange="$Z$78:$Z$80" noThreeD="1" sel="1" val="0"/>
</file>

<file path=xl/ctrlProps/ctrlProp11.xml><?xml version="1.0" encoding="utf-8"?>
<formControlPr xmlns="http://schemas.microsoft.com/office/spreadsheetml/2009/9/main" objectType="Drop" dropStyle="combo" dx="31" fmlaLink="$N$26" fmlaRange="$N$28:$N$29" noThreeD="1" sel="2" val="0"/>
</file>

<file path=xl/ctrlProps/ctrlProp110.xml><?xml version="1.0" encoding="utf-8"?>
<formControlPr xmlns="http://schemas.microsoft.com/office/spreadsheetml/2009/9/main" objectType="Drop" dropStyle="combo" dx="31" fmlaLink="$S$2" fmlaRange="$S$4:$S$6" noThreeD="1" sel="3" val="0"/>
</file>

<file path=xl/ctrlProps/ctrlProp111.xml><?xml version="1.0" encoding="utf-8"?>
<formControlPr xmlns="http://schemas.microsoft.com/office/spreadsheetml/2009/9/main" objectType="Drop" dropLines="3" dropStyle="combo" dx="31" fmlaLink="$U$16" fmlaRange="$V$46:$V$48" noThreeD="1" sel="1" val="0"/>
</file>

<file path=xl/ctrlProps/ctrlProp112.xml><?xml version="1.0" encoding="utf-8"?>
<formControlPr xmlns="http://schemas.microsoft.com/office/spreadsheetml/2009/9/main" objectType="Drop" dropLines="3" dropStyle="combo" dx="31" fmlaLink="$U$27" fmlaRange="$V$46:$V$48" noThreeD="1" sel="1" val="0"/>
</file>

<file path=xl/ctrlProps/ctrlProp113.xml><?xml version="1.0" encoding="utf-8"?>
<formControlPr xmlns="http://schemas.microsoft.com/office/spreadsheetml/2009/9/main" objectType="Radio" checked="Checked" firstButton="1" fmlaLink="$O$4" lockText="1" noThreeD="1"/>
</file>

<file path=xl/ctrlProps/ctrlProp114.xml><?xml version="1.0" encoding="utf-8"?>
<formControlPr xmlns="http://schemas.microsoft.com/office/spreadsheetml/2009/9/main" objectType="Radio" lockText="1" noThreeD="1"/>
</file>

<file path=xl/ctrlProps/ctrlProp115.xml><?xml version="1.0" encoding="utf-8"?>
<formControlPr xmlns="http://schemas.microsoft.com/office/spreadsheetml/2009/9/main" objectType="Drop" dropLines="3" dropStyle="combo" dx="31" fmlaLink="$AF$76" fmlaRange="$AF$95:$AF$97" noThreeD="1" sel="1" val="0"/>
</file>

<file path=xl/ctrlProps/ctrlProp116.xml><?xml version="1.0" encoding="utf-8"?>
<formControlPr xmlns="http://schemas.microsoft.com/office/spreadsheetml/2009/9/main" objectType="Drop" dropStyle="combo" dx="31" fmlaLink="$S$2" fmlaRange="$S$4:$S$6" noThreeD="1" sel="3" val="0"/>
</file>

<file path=xl/ctrlProps/ctrlProp117.xml><?xml version="1.0" encoding="utf-8"?>
<formControlPr xmlns="http://schemas.microsoft.com/office/spreadsheetml/2009/9/main" objectType="Drop" dropLines="3" dropStyle="combo" dx="31" fmlaLink="$U$16" fmlaRange="$V$46:$V$48" noThreeD="1" sel="1" val="0"/>
</file>

<file path=xl/ctrlProps/ctrlProp118.xml><?xml version="1.0" encoding="utf-8"?>
<formControlPr xmlns="http://schemas.microsoft.com/office/spreadsheetml/2009/9/main" objectType="Drop" dropLines="3" dropStyle="combo" dx="31" fmlaLink="$U$27" fmlaRange="$V$46:$V$48" noThreeD="1" sel="1" val="0"/>
</file>

<file path=xl/ctrlProps/ctrlProp119.xml><?xml version="1.0" encoding="utf-8"?>
<formControlPr xmlns="http://schemas.microsoft.com/office/spreadsheetml/2009/9/main" objectType="Radio" checked="Checked" firstButton="1" fmlaLink="$O$4" lockText="1" noThreeD="1"/>
</file>

<file path=xl/ctrlProps/ctrlProp12.xml><?xml version="1.0" encoding="utf-8"?>
<formControlPr xmlns="http://schemas.microsoft.com/office/spreadsheetml/2009/9/main" objectType="Drop" dropLines="2" dropStyle="combo" dx="31" fmlaLink="$P$26" fmlaRange="$P$28:$P$29" noThreeD="1" sel="1" val="0"/>
</file>

<file path=xl/ctrlProps/ctrlProp120.xml><?xml version="1.0" encoding="utf-8"?>
<formControlPr xmlns="http://schemas.microsoft.com/office/spreadsheetml/2009/9/main" objectType="Radio" lockText="1" noThreeD="1"/>
</file>

<file path=xl/ctrlProps/ctrlProp121.xml><?xml version="1.0" encoding="utf-8"?>
<formControlPr xmlns="http://schemas.microsoft.com/office/spreadsheetml/2009/9/main" objectType="Drop" dropLines="3" dropStyle="combo" dx="31" fmlaLink="$AF$76" fmlaRange="$AF$95:$AF$97" noThreeD="1" sel="1" val="0"/>
</file>

<file path=xl/ctrlProps/ctrlProp122.xml><?xml version="1.0" encoding="utf-8"?>
<formControlPr xmlns="http://schemas.microsoft.com/office/spreadsheetml/2009/9/main" objectType="Drop" dropStyle="combo" dx="31" fmlaLink="$S$2" fmlaRange="$S$4:$S$6" noThreeD="1" sel="3" val="0"/>
</file>

<file path=xl/ctrlProps/ctrlProp123.xml><?xml version="1.0" encoding="utf-8"?>
<formControlPr xmlns="http://schemas.microsoft.com/office/spreadsheetml/2009/9/main" objectType="CheckBox" fmlaLink="$V$10" lockText="1"/>
</file>

<file path=xl/ctrlProps/ctrlProp124.xml><?xml version="1.0" encoding="utf-8"?>
<formControlPr xmlns="http://schemas.microsoft.com/office/spreadsheetml/2009/9/main" objectType="CheckBox" fmlaLink="$V$21" lockText="1"/>
</file>

<file path=xl/ctrlProps/ctrlProp125.xml><?xml version="1.0" encoding="utf-8"?>
<formControlPr xmlns="http://schemas.microsoft.com/office/spreadsheetml/2009/9/main" objectType="Drop" dropLines="3" dropStyle="combo" dx="31" fmlaLink="$U$16" fmlaRange="$V$46:$V$48" noThreeD="1" sel="1" val="0"/>
</file>

<file path=xl/ctrlProps/ctrlProp126.xml><?xml version="1.0" encoding="utf-8"?>
<formControlPr xmlns="http://schemas.microsoft.com/office/spreadsheetml/2009/9/main" objectType="Drop" dropLines="3" dropStyle="combo" dx="31" fmlaLink="$U$27" fmlaRange="$V$46:$V$48" noThreeD="1" sel="1" val="0"/>
</file>

<file path=xl/ctrlProps/ctrlProp127.xml><?xml version="1.0" encoding="utf-8"?>
<formControlPr xmlns="http://schemas.microsoft.com/office/spreadsheetml/2009/9/main" objectType="Drop" dropStyle="combo" dx="31" fmlaLink="$Z$71" fmlaRange="$Z$72:$Z$79" noThreeD="1" sel="3" val="0"/>
</file>

<file path=xl/ctrlProps/ctrlProp128.xml><?xml version="1.0" encoding="utf-8"?>
<formControlPr xmlns="http://schemas.microsoft.com/office/spreadsheetml/2009/9/main" objectType="Drop" dropStyle="combo" dx="31" fmlaLink="$S$2" fmlaRange="$S$4:$S$6" noThreeD="1" sel="3" val="0"/>
</file>

<file path=xl/ctrlProps/ctrlProp129.xml><?xml version="1.0" encoding="utf-8"?>
<formControlPr xmlns="http://schemas.microsoft.com/office/spreadsheetml/2009/9/main" objectType="CheckBox" fmlaLink="$V$10" lockText="1"/>
</file>

<file path=xl/ctrlProps/ctrlProp13.xml><?xml version="1.0" encoding="utf-8"?>
<formControlPr xmlns="http://schemas.microsoft.com/office/spreadsheetml/2009/9/main" objectType="Drop" dropStyle="combo" dx="31" fmlaLink="$N$26" fmlaRange="$N$28:$N$29" noThreeD="1" sel="1" val="0"/>
</file>

<file path=xl/ctrlProps/ctrlProp130.xml><?xml version="1.0" encoding="utf-8"?>
<formControlPr xmlns="http://schemas.microsoft.com/office/spreadsheetml/2009/9/main" objectType="CheckBox" fmlaLink="$V$21" lockText="1"/>
</file>

<file path=xl/ctrlProps/ctrlProp131.xml><?xml version="1.0" encoding="utf-8"?>
<formControlPr xmlns="http://schemas.microsoft.com/office/spreadsheetml/2009/9/main" objectType="Drop" dropLines="3" dropStyle="combo" dx="31" fmlaLink="$U$16" fmlaRange="$V$46:$V$47" noThreeD="1" sel="1" val="0"/>
</file>

<file path=xl/ctrlProps/ctrlProp132.xml><?xml version="1.0" encoding="utf-8"?>
<formControlPr xmlns="http://schemas.microsoft.com/office/spreadsheetml/2009/9/main" objectType="Drop" dropLines="2" dropStyle="combo" dx="31" fmlaLink="$U$27" fmlaRange="$V$46:$V$47" noThreeD="1" sel="1" val="0"/>
</file>

<file path=xl/ctrlProps/ctrlProp133.xml><?xml version="1.0" encoding="utf-8"?>
<formControlPr xmlns="http://schemas.microsoft.com/office/spreadsheetml/2009/9/main" objectType="Drop" dropStyle="combo" dx="31" fmlaLink="$Z$68" fmlaRange="$Z$69:$Z$71" noThreeD="1" sel="1" val="0"/>
</file>

<file path=xl/ctrlProps/ctrlProp134.xml><?xml version="1.0" encoding="utf-8"?>
<formControlPr xmlns="http://schemas.microsoft.com/office/spreadsheetml/2009/9/main" objectType="Drop" dropStyle="combo" dx="31" fmlaLink="$S$2" fmlaRange="$S$4:$S$6" noThreeD="1" sel="3" val="0"/>
</file>

<file path=xl/ctrlProps/ctrlProp135.xml><?xml version="1.0" encoding="utf-8"?>
<formControlPr xmlns="http://schemas.microsoft.com/office/spreadsheetml/2009/9/main" objectType="Drop" dropLines="3" dropStyle="combo" dx="31" fmlaLink="$U$16" fmlaRange="$V$46:$V$47" noThreeD="1" sel="1" val="0"/>
</file>

<file path=xl/ctrlProps/ctrlProp136.xml><?xml version="1.0" encoding="utf-8"?>
<formControlPr xmlns="http://schemas.microsoft.com/office/spreadsheetml/2009/9/main" objectType="Drop" dropLines="2" dropStyle="combo" dx="31" fmlaLink="$U$27" fmlaRange="$V$46:$V$47" noThreeD="1" sel="1" val="0"/>
</file>

<file path=xl/ctrlProps/ctrlProp137.xml><?xml version="1.0" encoding="utf-8"?>
<formControlPr xmlns="http://schemas.microsoft.com/office/spreadsheetml/2009/9/main" objectType="Radio" checked="Checked" firstButton="1" fmlaLink="$O$4" lockText="1" noThreeD="1"/>
</file>

<file path=xl/ctrlProps/ctrlProp138.xml><?xml version="1.0" encoding="utf-8"?>
<formControlPr xmlns="http://schemas.microsoft.com/office/spreadsheetml/2009/9/main" objectType="Radio" lockText="1" noThreeD="1"/>
</file>

<file path=xl/ctrlProps/ctrlProp139.xml><?xml version="1.0" encoding="utf-8"?>
<formControlPr xmlns="http://schemas.microsoft.com/office/spreadsheetml/2009/9/main" objectType="Drop" dropLines="3" dropStyle="combo" dx="31" fmlaLink="$AF$67" fmlaRange="$AF$88:$AF$90" noThreeD="1" sel="3" val="0"/>
</file>

<file path=xl/ctrlProps/ctrlProp14.xml><?xml version="1.0" encoding="utf-8"?>
<formControlPr xmlns="http://schemas.microsoft.com/office/spreadsheetml/2009/9/main" objectType="Drop" dropStyle="combo" dx="31" fmlaLink="$N$26" fmlaRange="$N$28:$N$29" noThreeD="1" sel="1" val="0"/>
</file>

<file path=xl/ctrlProps/ctrlProp140.xml><?xml version="1.0" encoding="utf-8"?>
<formControlPr xmlns="http://schemas.microsoft.com/office/spreadsheetml/2009/9/main" objectType="Drop" dropStyle="combo" dx="31" fmlaLink="$S$2" fmlaRange="$S$4:$S$6" noThreeD="1" sel="3" val="0"/>
</file>

<file path=xl/ctrlProps/ctrlProp141.xml><?xml version="1.0" encoding="utf-8"?>
<formControlPr xmlns="http://schemas.microsoft.com/office/spreadsheetml/2009/9/main" objectType="Drop" dropLines="3" dropStyle="combo" dx="31" fmlaLink="$U$16" fmlaRange="$V$46:$V$47" noThreeD="1" sel="1" val="0"/>
</file>

<file path=xl/ctrlProps/ctrlProp142.xml><?xml version="1.0" encoding="utf-8"?>
<formControlPr xmlns="http://schemas.microsoft.com/office/spreadsheetml/2009/9/main" objectType="Drop" dropLines="2" dropStyle="combo" dx="31" fmlaLink="$U$27" fmlaRange="$V$46:$V$47" noThreeD="1" sel="1" val="0"/>
</file>

<file path=xl/ctrlProps/ctrlProp143.xml><?xml version="1.0" encoding="utf-8"?>
<formControlPr xmlns="http://schemas.microsoft.com/office/spreadsheetml/2009/9/main" objectType="Radio" checked="Checked" firstButton="1" fmlaLink="$O$4" lockText="1" noThreeD="1"/>
</file>

<file path=xl/ctrlProps/ctrlProp144.xml><?xml version="1.0" encoding="utf-8"?>
<formControlPr xmlns="http://schemas.microsoft.com/office/spreadsheetml/2009/9/main" objectType="Radio" lockText="1" noThreeD="1"/>
</file>

<file path=xl/ctrlProps/ctrlProp145.xml><?xml version="1.0" encoding="utf-8"?>
<formControlPr xmlns="http://schemas.microsoft.com/office/spreadsheetml/2009/9/main" objectType="Drop" dropLines="3" dropStyle="combo" dx="31" fmlaLink="$AF$67" fmlaRange="$AF$88:$AF$90" noThreeD="1" sel="1" val="0"/>
</file>

<file path=xl/ctrlProps/ctrlProp146.xml><?xml version="1.0" encoding="utf-8"?>
<formControlPr xmlns="http://schemas.microsoft.com/office/spreadsheetml/2009/9/main" objectType="Drop" dropStyle="combo" dx="31" fmlaLink="$S$2" fmlaRange="$S$4:$S$6" noThreeD="1" sel="3" val="0"/>
</file>

<file path=xl/ctrlProps/ctrlProp147.xml><?xml version="1.0" encoding="utf-8"?>
<formControlPr xmlns="http://schemas.microsoft.com/office/spreadsheetml/2009/9/main" objectType="CheckBox" fmlaLink="$V$10" lockText="1"/>
</file>

<file path=xl/ctrlProps/ctrlProp148.xml><?xml version="1.0" encoding="utf-8"?>
<formControlPr xmlns="http://schemas.microsoft.com/office/spreadsheetml/2009/9/main" objectType="CheckBox" fmlaLink="$V$21" lockText="1"/>
</file>

<file path=xl/ctrlProps/ctrlProp149.xml><?xml version="1.0" encoding="utf-8"?>
<formControlPr xmlns="http://schemas.microsoft.com/office/spreadsheetml/2009/9/main" objectType="Drop" dropLines="3" dropStyle="combo" dx="31" fmlaLink="$U$16" fmlaRange="$V$46:$V$47" noThreeD="1" sel="1" val="0"/>
</file>

<file path=xl/ctrlProps/ctrlProp15.xml><?xml version="1.0" encoding="utf-8"?>
<formControlPr xmlns="http://schemas.microsoft.com/office/spreadsheetml/2009/9/main" objectType="Drop" dropStyle="combo" dx="31" fmlaLink="$O$26" fmlaRange="$O$28:$O$29" noThreeD="1" sel="1" val="0"/>
</file>

<file path=xl/ctrlProps/ctrlProp150.xml><?xml version="1.0" encoding="utf-8"?>
<formControlPr xmlns="http://schemas.microsoft.com/office/spreadsheetml/2009/9/main" objectType="Drop" dropLines="2" dropStyle="combo" dx="31" fmlaLink="$U$27" fmlaRange="$V$46:$V$47" noThreeD="1" sel="1" val="0"/>
</file>

<file path=xl/ctrlProps/ctrlProp151.xml><?xml version="1.0" encoding="utf-8"?>
<formControlPr xmlns="http://schemas.microsoft.com/office/spreadsheetml/2009/9/main" objectType="CheckBox" fmlaLink="$V$10" lockText="1"/>
</file>

<file path=xl/ctrlProps/ctrlProp152.xml><?xml version="1.0" encoding="utf-8"?>
<formControlPr xmlns="http://schemas.microsoft.com/office/spreadsheetml/2009/9/main" objectType="CheckBox" fmlaLink="$V$21" lockText="1"/>
</file>

<file path=xl/ctrlProps/ctrlProp153.xml><?xml version="1.0" encoding="utf-8"?>
<formControlPr xmlns="http://schemas.microsoft.com/office/spreadsheetml/2009/9/main" objectType="Drop" dropStyle="combo" dx="31" fmlaLink="$Z$63" fmlaRange="$Z$64:$Z$71" noThreeD="1" sel="3" val="0"/>
</file>

<file path=xl/ctrlProps/ctrlProp154.xml><?xml version="1.0" encoding="utf-8"?>
<formControlPr xmlns="http://schemas.microsoft.com/office/spreadsheetml/2009/9/main" objectType="Drop" dropStyle="combo" dx="31" fmlaLink="$S$2" fmlaRange="$S$4:$S$6" noThreeD="1" sel="3" val="0"/>
</file>

<file path=xl/ctrlProps/ctrlProp155.xml><?xml version="1.0" encoding="utf-8"?>
<formControlPr xmlns="http://schemas.microsoft.com/office/spreadsheetml/2009/9/main" objectType="CheckBox" fmlaLink="$V$10" lockText="1"/>
</file>

<file path=xl/ctrlProps/ctrlProp156.xml><?xml version="1.0" encoding="utf-8"?>
<formControlPr xmlns="http://schemas.microsoft.com/office/spreadsheetml/2009/9/main" objectType="CheckBox" fmlaLink="$V$21" lockText="1"/>
</file>

<file path=xl/ctrlProps/ctrlProp157.xml><?xml version="1.0" encoding="utf-8"?>
<formControlPr xmlns="http://schemas.microsoft.com/office/spreadsheetml/2009/9/main" objectType="Drop" dropLines="3" dropStyle="combo" dx="31" fmlaLink="$U$16" fmlaRange="$V$51:$V$52" noThreeD="1" sel="1" val="0"/>
</file>

<file path=xl/ctrlProps/ctrlProp158.xml><?xml version="1.0" encoding="utf-8"?>
<formControlPr xmlns="http://schemas.microsoft.com/office/spreadsheetml/2009/9/main" objectType="Drop" dropLines="2" dropStyle="combo" dx="31" fmlaLink="$U$27" fmlaRange="$V$51:$V$52" noThreeD="1" sel="1" val="0"/>
</file>

<file path=xl/ctrlProps/ctrlProp159.xml><?xml version="1.0" encoding="utf-8"?>
<formControlPr xmlns="http://schemas.microsoft.com/office/spreadsheetml/2009/9/main" objectType="Drop" dropStyle="combo" dx="31" fmlaLink="$AA$72" fmlaRange="$AA$73:$AA$75" noThreeD="1" sel="1" val="0"/>
</file>

<file path=xl/ctrlProps/ctrlProp16.xml><?xml version="1.0" encoding="utf-8"?>
<formControlPr xmlns="http://schemas.microsoft.com/office/spreadsheetml/2009/9/main" objectType="Drop" dropStyle="combo" dx="31" fmlaLink="$P$26" fmlaRange="$P$28:$P$29" noThreeD="1" sel="1" val="0"/>
</file>

<file path=xl/ctrlProps/ctrlProp160.xml><?xml version="1.0" encoding="utf-8"?>
<formControlPr xmlns="http://schemas.microsoft.com/office/spreadsheetml/2009/9/main" objectType="Drop" dropStyle="combo" dx="31" fmlaLink="$S$2" fmlaRange="$S$4:$S$6" noThreeD="1" sel="3" val="0"/>
</file>

<file path=xl/ctrlProps/ctrlProp161.xml><?xml version="1.0" encoding="utf-8"?>
<formControlPr xmlns="http://schemas.microsoft.com/office/spreadsheetml/2009/9/main" objectType="CheckBox" fmlaLink="$V$10" lockText="1"/>
</file>

<file path=xl/ctrlProps/ctrlProp162.xml><?xml version="1.0" encoding="utf-8"?>
<formControlPr xmlns="http://schemas.microsoft.com/office/spreadsheetml/2009/9/main" objectType="CheckBox" fmlaLink="$V$21" lockText="1"/>
</file>

<file path=xl/ctrlProps/ctrlProp163.xml><?xml version="1.0" encoding="utf-8"?>
<formControlPr xmlns="http://schemas.microsoft.com/office/spreadsheetml/2009/9/main" objectType="Drop" dropLines="3" dropStyle="combo" dx="31" fmlaLink="$U$16" fmlaRange="$V$51:$V$52" noThreeD="1" sel="1" val="0"/>
</file>

<file path=xl/ctrlProps/ctrlProp164.xml><?xml version="1.0" encoding="utf-8"?>
<formControlPr xmlns="http://schemas.microsoft.com/office/spreadsheetml/2009/9/main" objectType="Drop" dropLines="2" dropStyle="combo" dx="31" fmlaLink="$U$27" fmlaRange="$V$51:$V$52" noThreeD="1" sel="1" val="0"/>
</file>

<file path=xl/ctrlProps/ctrlProp165.xml><?xml version="1.0" encoding="utf-8"?>
<formControlPr xmlns="http://schemas.microsoft.com/office/spreadsheetml/2009/9/main" objectType="Radio" checked="Checked" firstButton="1" fmlaLink="$O$4" lockText="1" noThreeD="1"/>
</file>

<file path=xl/ctrlProps/ctrlProp166.xml><?xml version="1.0" encoding="utf-8"?>
<formControlPr xmlns="http://schemas.microsoft.com/office/spreadsheetml/2009/9/main" objectType="Radio" lockText="1" noThreeD="1"/>
</file>

<file path=xl/ctrlProps/ctrlProp167.xml><?xml version="1.0" encoding="utf-8"?>
<formControlPr xmlns="http://schemas.microsoft.com/office/spreadsheetml/2009/9/main" objectType="Drop" dropStyle="combo" dx="31" fmlaLink="$AG$71" fmlaRange="$AG$92:$AG$94" noThreeD="1" sel="1" val="0"/>
</file>

<file path=xl/ctrlProps/ctrlProp168.xml><?xml version="1.0" encoding="utf-8"?>
<formControlPr xmlns="http://schemas.microsoft.com/office/spreadsheetml/2009/9/main" objectType="Drop" dropStyle="combo" dx="31" fmlaLink="$S$2" fmlaRange="$S$4:$S$6" noThreeD="1" sel="3" val="0"/>
</file>

<file path=xl/ctrlProps/ctrlProp169.xml><?xml version="1.0" encoding="utf-8"?>
<formControlPr xmlns="http://schemas.microsoft.com/office/spreadsheetml/2009/9/main" objectType="CheckBox" fmlaLink="$V$10" lockText="1"/>
</file>

<file path=xl/ctrlProps/ctrlProp17.xml><?xml version="1.0" encoding="utf-8"?>
<formControlPr xmlns="http://schemas.microsoft.com/office/spreadsheetml/2009/9/main" objectType="Drop" dropStyle="combo" dx="31" fmlaLink="$Q$26" fmlaRange="$Q$28:$Q$29" noThreeD="1" sel="1" val="0"/>
</file>

<file path=xl/ctrlProps/ctrlProp170.xml><?xml version="1.0" encoding="utf-8"?>
<formControlPr xmlns="http://schemas.microsoft.com/office/spreadsheetml/2009/9/main" objectType="CheckBox" fmlaLink="$V$21" lockText="1"/>
</file>

<file path=xl/ctrlProps/ctrlProp171.xml><?xml version="1.0" encoding="utf-8"?>
<formControlPr xmlns="http://schemas.microsoft.com/office/spreadsheetml/2009/9/main" objectType="Drop" dropLines="3" dropStyle="combo" dx="31" fmlaLink="$U$16" fmlaRange="$V$51:$V$52" noThreeD="1" sel="1" val="0"/>
</file>

<file path=xl/ctrlProps/ctrlProp172.xml><?xml version="1.0" encoding="utf-8"?>
<formControlPr xmlns="http://schemas.microsoft.com/office/spreadsheetml/2009/9/main" objectType="Drop" dropLines="2" dropStyle="combo" dx="31" fmlaLink="$U$27" fmlaRange="$V$51:$V$52" noThreeD="1" sel="1" val="0"/>
</file>

<file path=xl/ctrlProps/ctrlProp173.xml><?xml version="1.0" encoding="utf-8"?>
<formControlPr xmlns="http://schemas.microsoft.com/office/spreadsheetml/2009/9/main" objectType="Radio" checked="Checked" firstButton="1" fmlaLink="$O$4" lockText="1" noThreeD="1"/>
</file>

<file path=xl/ctrlProps/ctrlProp174.xml><?xml version="1.0" encoding="utf-8"?>
<formControlPr xmlns="http://schemas.microsoft.com/office/spreadsheetml/2009/9/main" objectType="Radio" lockText="1" noThreeD="1"/>
</file>

<file path=xl/ctrlProps/ctrlProp175.xml><?xml version="1.0" encoding="utf-8"?>
<formControlPr xmlns="http://schemas.microsoft.com/office/spreadsheetml/2009/9/main" objectType="Drop" dropStyle="combo" dx="31" fmlaLink="$AG$71" fmlaRange="$AG$92:$AG$94" noThreeD="1" sel="1" val="0"/>
</file>

<file path=xl/ctrlProps/ctrlProp176.xml><?xml version="1.0" encoding="utf-8"?>
<formControlPr xmlns="http://schemas.microsoft.com/office/spreadsheetml/2009/9/main" objectType="Drop" dropStyle="combo" dx="31" fmlaLink="$S$2" fmlaRange="$S$4:$S$6" noThreeD="1" sel="3" val="0"/>
</file>

<file path=xl/ctrlProps/ctrlProp177.xml><?xml version="1.0" encoding="utf-8"?>
<formControlPr xmlns="http://schemas.microsoft.com/office/spreadsheetml/2009/9/main" objectType="CheckBox" fmlaLink="$V$10" lockText="1"/>
</file>

<file path=xl/ctrlProps/ctrlProp178.xml><?xml version="1.0" encoding="utf-8"?>
<formControlPr xmlns="http://schemas.microsoft.com/office/spreadsheetml/2009/9/main" objectType="CheckBox" fmlaLink="$V$21" lockText="1"/>
</file>

<file path=xl/ctrlProps/ctrlProp179.xml><?xml version="1.0" encoding="utf-8"?>
<formControlPr xmlns="http://schemas.microsoft.com/office/spreadsheetml/2009/9/main" objectType="Drop" dropLines="3" dropStyle="combo" dx="31" fmlaLink="$U$16" fmlaRange="$V$51:$V$52" noThreeD="1" sel="1" val="0"/>
</file>

<file path=xl/ctrlProps/ctrlProp18.xml><?xml version="1.0" encoding="utf-8"?>
<formControlPr xmlns="http://schemas.microsoft.com/office/spreadsheetml/2009/9/main" objectType="Drop" dropStyle="combo" dx="31" fmlaLink="$N$26" fmlaRange="$N$28:$N$29" noThreeD="1" sel="1" val="0"/>
</file>

<file path=xl/ctrlProps/ctrlProp180.xml><?xml version="1.0" encoding="utf-8"?>
<formControlPr xmlns="http://schemas.microsoft.com/office/spreadsheetml/2009/9/main" objectType="Drop" dropLines="2" dropStyle="combo" dx="31" fmlaLink="$U$27" fmlaRange="$V$51:$V$52" noThreeD="1" sel="1" val="0"/>
</file>

<file path=xl/ctrlProps/ctrlProp181.xml><?xml version="1.0" encoding="utf-8"?>
<formControlPr xmlns="http://schemas.microsoft.com/office/spreadsheetml/2009/9/main" objectType="Drop" dropStyle="combo" dx="31" fmlaLink="$AA$65" fmlaRange="$AA$66:$AA$73" noThreeD="1" sel="3" val="0"/>
</file>

<file path=xl/ctrlProps/ctrlProp182.xml><?xml version="1.0" encoding="utf-8"?>
<formControlPr xmlns="http://schemas.microsoft.com/office/spreadsheetml/2009/9/main" objectType="Drop" dropStyle="combo" dx="31" fmlaLink="$S$2" fmlaRange="$S$4:$S$6" noThreeD="1" sel="3" val="0"/>
</file>

<file path=xl/ctrlProps/ctrlProp183.xml><?xml version="1.0" encoding="utf-8"?>
<formControlPr xmlns="http://schemas.microsoft.com/office/spreadsheetml/2009/9/main" objectType="CheckBox" fmlaLink="$V$10" lockText="1"/>
</file>

<file path=xl/ctrlProps/ctrlProp184.xml><?xml version="1.0" encoding="utf-8"?>
<formControlPr xmlns="http://schemas.microsoft.com/office/spreadsheetml/2009/9/main" objectType="CheckBox" fmlaLink="$V$21" lockText="1"/>
</file>

<file path=xl/ctrlProps/ctrlProp185.xml><?xml version="1.0" encoding="utf-8"?>
<formControlPr xmlns="http://schemas.microsoft.com/office/spreadsheetml/2009/9/main" objectType="Drop" dropLines="3" dropStyle="combo" dx="31" fmlaLink="$U$16" fmlaRange="$V$46:$V$47" noThreeD="1" sel="1" val="0"/>
</file>

<file path=xl/ctrlProps/ctrlProp186.xml><?xml version="1.0" encoding="utf-8"?>
<formControlPr xmlns="http://schemas.microsoft.com/office/spreadsheetml/2009/9/main" objectType="Drop" dropLines="3" dropStyle="combo" dx="31" fmlaLink="$U$27" fmlaRange="$V$46:$V$47" noThreeD="1" sel="1" val="0"/>
</file>

<file path=xl/ctrlProps/ctrlProp187.xml><?xml version="1.0" encoding="utf-8"?>
<formControlPr xmlns="http://schemas.microsoft.com/office/spreadsheetml/2009/9/main" objectType="Drop" dropStyle="combo" dx="31" fmlaLink="$Z$77" fmlaRange="$Z$78:$Z$80" noThreeD="1" sel="1" val="0"/>
</file>

<file path=xl/ctrlProps/ctrlProp188.xml><?xml version="1.0" encoding="utf-8"?>
<formControlPr xmlns="http://schemas.microsoft.com/office/spreadsheetml/2009/9/main" objectType="Drop" dropStyle="combo" dx="31" fmlaLink="$S$2" fmlaRange="$S$4:$S$6" noThreeD="1" sel="3" val="0"/>
</file>

<file path=xl/ctrlProps/ctrlProp189.xml><?xml version="1.0" encoding="utf-8"?>
<formControlPr xmlns="http://schemas.microsoft.com/office/spreadsheetml/2009/9/main" objectType="Drop" dropLines="3" dropStyle="combo" dx="31" fmlaLink="$U$16" fmlaRange="$V$46:$V$47" noThreeD="1" sel="1" val="0"/>
</file>

<file path=xl/ctrlProps/ctrlProp19.xml><?xml version="1.0" encoding="utf-8"?>
<formControlPr xmlns="http://schemas.microsoft.com/office/spreadsheetml/2009/9/main" objectType="Drop" dropStyle="combo" dx="31" fmlaLink="$S$2" fmlaRange="$S$4:$S$6" noThreeD="1" sel="3" val="0"/>
</file>

<file path=xl/ctrlProps/ctrlProp190.xml><?xml version="1.0" encoding="utf-8"?>
<formControlPr xmlns="http://schemas.microsoft.com/office/spreadsheetml/2009/9/main" objectType="Drop" dropLines="3" dropStyle="combo" dx="31" fmlaLink="$U$27" fmlaRange="$V$46:$V$47" noThreeD="1" sel="1" val="0"/>
</file>

<file path=xl/ctrlProps/ctrlProp191.xml><?xml version="1.0" encoding="utf-8"?>
<formControlPr xmlns="http://schemas.microsoft.com/office/spreadsheetml/2009/9/main" objectType="Drop" dropLines="3" dropStyle="combo" dx="31" fmlaLink="$AG$76" fmlaRange="$AF$95:$AF$97" noThreeD="1" sel="1" val="0"/>
</file>

<file path=xl/ctrlProps/ctrlProp192.xml><?xml version="1.0" encoding="utf-8"?>
<formControlPr xmlns="http://schemas.microsoft.com/office/spreadsheetml/2009/9/main" objectType="Radio" checked="Checked" firstButton="1" fmlaLink="$O$4" lockText="1" noThreeD="1"/>
</file>

<file path=xl/ctrlProps/ctrlProp193.xml><?xml version="1.0" encoding="utf-8"?>
<formControlPr xmlns="http://schemas.microsoft.com/office/spreadsheetml/2009/9/main" objectType="Radio" lockText="1" noThreeD="1"/>
</file>

<file path=xl/ctrlProps/ctrlProp194.xml><?xml version="1.0" encoding="utf-8"?>
<formControlPr xmlns="http://schemas.microsoft.com/office/spreadsheetml/2009/9/main" objectType="Drop" dropStyle="combo" dx="31" fmlaLink="$S$2" fmlaRange="$S$4:$S$6" noThreeD="1" sel="3" val="0"/>
</file>

<file path=xl/ctrlProps/ctrlProp195.xml><?xml version="1.0" encoding="utf-8"?>
<formControlPr xmlns="http://schemas.microsoft.com/office/spreadsheetml/2009/9/main" objectType="Drop" dropLines="3" dropStyle="combo" dx="31" fmlaLink="$U$16" fmlaRange="$V$46:$V$47" noThreeD="1" sel="1" val="0"/>
</file>

<file path=xl/ctrlProps/ctrlProp196.xml><?xml version="1.0" encoding="utf-8"?>
<formControlPr xmlns="http://schemas.microsoft.com/office/spreadsheetml/2009/9/main" objectType="Drop" dropLines="3" dropStyle="combo" dx="31" fmlaLink="$U$27" fmlaRange="$V$46:$V$47" noThreeD="1" sel="1" val="0"/>
</file>

<file path=xl/ctrlProps/ctrlProp197.xml><?xml version="1.0" encoding="utf-8"?>
<formControlPr xmlns="http://schemas.microsoft.com/office/spreadsheetml/2009/9/main" objectType="Drop" dropLines="3" dropStyle="combo" dx="31" fmlaLink="$AG$76" fmlaRange="$AF$95:$AF$97" noThreeD="1" sel="1" val="0"/>
</file>

<file path=xl/ctrlProps/ctrlProp198.xml><?xml version="1.0" encoding="utf-8"?>
<formControlPr xmlns="http://schemas.microsoft.com/office/spreadsheetml/2009/9/main" objectType="Radio" checked="Checked" firstButton="1" fmlaLink="$O$4" lockText="1" noThreeD="1"/>
</file>

<file path=xl/ctrlProps/ctrlProp19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Drop" dropLines="3" dropStyle="combo" dx="31" fmlaLink="$U$28" fmlaRange="$U$31:$U$33" noThreeD="1" sel="1" val="0"/>
</file>

<file path=xl/ctrlProps/ctrlProp20.xml><?xml version="1.0" encoding="utf-8"?>
<formControlPr xmlns="http://schemas.microsoft.com/office/spreadsheetml/2009/9/main" objectType="Drop" dropLines="2" dropStyle="combo" dx="31" fmlaLink="$S$9" fmlaRange="$W$50:$W$51" noThreeD="1" sel="1" val="0"/>
</file>

<file path=xl/ctrlProps/ctrlProp21.xml><?xml version="1.0" encoding="utf-8"?>
<formControlPr xmlns="http://schemas.microsoft.com/office/spreadsheetml/2009/9/main" objectType="Drop" dropLines="2" dropStyle="combo" dx="31" fmlaLink="$S$20" fmlaRange="$W$50:$W$51" noThreeD="1" sel="1" val="0"/>
</file>

<file path=xl/ctrlProps/ctrlProp22.xml><?xml version="1.0" encoding="utf-8"?>
<formControlPr xmlns="http://schemas.microsoft.com/office/spreadsheetml/2009/9/main" objectType="Drop" dropStyle="combo" dx="31" fmlaLink="$Z$78" fmlaRange="$Z$79:$Z$81" noThreeD="1" sel="1" val="0"/>
</file>

<file path=xl/ctrlProps/ctrlProp23.xml><?xml version="1.0" encoding="utf-8"?>
<formControlPr xmlns="http://schemas.microsoft.com/office/spreadsheetml/2009/9/main" objectType="Drop" dropStyle="combo" dx="31" fmlaLink="$S$2" fmlaRange="$S$4:$S$6" noThreeD="1" sel="3" val="0"/>
</file>

<file path=xl/ctrlProps/ctrlProp24.xml><?xml version="1.0" encoding="utf-8"?>
<formControlPr xmlns="http://schemas.microsoft.com/office/spreadsheetml/2009/9/main" objectType="Drop" dropLines="2" dropStyle="combo" dx="31" fmlaLink="$S$9" fmlaRange="$W$50:$W$51" noThreeD="1" sel="1" val="0"/>
</file>

<file path=xl/ctrlProps/ctrlProp25.xml><?xml version="1.0" encoding="utf-8"?>
<formControlPr xmlns="http://schemas.microsoft.com/office/spreadsheetml/2009/9/main" objectType="Drop" dropLines="2" dropStyle="combo" dx="31" fmlaLink="$S$20" fmlaRange="$W$50:$W$51" noThreeD="1" sel="1" val="0"/>
</file>

<file path=xl/ctrlProps/ctrlProp26.xml><?xml version="1.0" encoding="utf-8"?>
<formControlPr xmlns="http://schemas.microsoft.com/office/spreadsheetml/2009/9/main" objectType="Radio" checked="Checked" firstButton="1" fmlaLink="$O$4" lockText="1" noThreeD="1"/>
</file>

<file path=xl/ctrlProps/ctrlProp27.xml><?xml version="1.0" encoding="utf-8"?>
<formControlPr xmlns="http://schemas.microsoft.com/office/spreadsheetml/2009/9/main" objectType="Radio" lockText="1" noThreeD="1"/>
</file>

<file path=xl/ctrlProps/ctrlProp28.xml><?xml version="1.0" encoding="utf-8"?>
<formControlPr xmlns="http://schemas.microsoft.com/office/spreadsheetml/2009/9/main" objectType="Drop" dropLines="3" dropStyle="combo" dx="31" fmlaLink="$AF$77" fmlaRange="$AF$94:$AF$96" noThreeD="1" sel="1" val="0"/>
</file>

<file path=xl/ctrlProps/ctrlProp29.xml><?xml version="1.0" encoding="utf-8"?>
<formControlPr xmlns="http://schemas.microsoft.com/office/spreadsheetml/2009/9/main" objectType="Drop" dropStyle="combo" dx="31" fmlaLink="$S$2" fmlaRange="$S$4:$S$6" noThreeD="1" sel="3" val="0"/>
</file>

<file path=xl/ctrlProps/ctrlProp3.xml><?xml version="1.0" encoding="utf-8"?>
<formControlPr xmlns="http://schemas.microsoft.com/office/spreadsheetml/2009/9/main" objectType="Drop" dropStyle="combo" dx="31" fmlaLink="$L$33" fmlaRange="$L$35:$L$36" noThreeD="1" sel="1" val="0"/>
</file>

<file path=xl/ctrlProps/ctrlProp30.xml><?xml version="1.0" encoding="utf-8"?>
<formControlPr xmlns="http://schemas.microsoft.com/office/spreadsheetml/2009/9/main" objectType="Radio" checked="Checked" firstButton="1" fmlaLink="$O$4" lockText="1" noThreeD="1"/>
</file>

<file path=xl/ctrlProps/ctrlProp31.xml><?xml version="1.0" encoding="utf-8"?>
<formControlPr xmlns="http://schemas.microsoft.com/office/spreadsheetml/2009/9/main" objectType="Radio" lockText="1" noThreeD="1"/>
</file>

<file path=xl/ctrlProps/ctrlProp32.xml><?xml version="1.0" encoding="utf-8"?>
<formControlPr xmlns="http://schemas.microsoft.com/office/spreadsheetml/2009/9/main" objectType="Drop" dropLines="2" dropStyle="combo" dx="31" fmlaLink="$S$9" fmlaRange="$W$50:$W$51" noThreeD="1" sel="1" val="0"/>
</file>

<file path=xl/ctrlProps/ctrlProp33.xml><?xml version="1.0" encoding="utf-8"?>
<formControlPr xmlns="http://schemas.microsoft.com/office/spreadsheetml/2009/9/main" objectType="Drop" dropLines="2" dropStyle="combo" dx="31" fmlaLink="$S$20" fmlaRange="$W$50:$W$51" noThreeD="1" sel="1" val="0"/>
</file>

<file path=xl/ctrlProps/ctrlProp34.xml><?xml version="1.0" encoding="utf-8"?>
<formControlPr xmlns="http://schemas.microsoft.com/office/spreadsheetml/2009/9/main" objectType="Drop" dropStyle="combo" dx="31" fmlaLink="$Z$78" fmlaRange="$Z$79:$Z$81" noThreeD="1" sel="1" val="0"/>
</file>

<file path=xl/ctrlProps/ctrlProp35.xml><?xml version="1.0" encoding="utf-8"?>
<formControlPr xmlns="http://schemas.microsoft.com/office/spreadsheetml/2009/9/main" objectType="Drop" dropLines="3" dropStyle="combo" dx="31" fmlaLink="$AF$77" fmlaRange="$AF$94:$AF$96" noThreeD="1" sel="1" val="0"/>
</file>

<file path=xl/ctrlProps/ctrlProp36.xml><?xml version="1.0" encoding="utf-8"?>
<formControlPr xmlns="http://schemas.microsoft.com/office/spreadsheetml/2009/9/main" objectType="Drop" dropStyle="combo" dx="31" fmlaLink="$S$2" fmlaRange="$S$4:$S$6" noThreeD="1" sel="3" val="0"/>
</file>

<file path=xl/ctrlProps/ctrlProp37.xml><?xml version="1.0" encoding="utf-8"?>
<formControlPr xmlns="http://schemas.microsoft.com/office/spreadsheetml/2009/9/main" objectType="Radio" checked="Checked" firstButton="1" fmlaLink="$O$4" lockText="1" noThreeD="1"/>
</file>

<file path=xl/ctrlProps/ctrlProp38.xml><?xml version="1.0" encoding="utf-8"?>
<formControlPr xmlns="http://schemas.microsoft.com/office/spreadsheetml/2009/9/main" objectType="Radio" lockText="1" noThreeD="1"/>
</file>

<file path=xl/ctrlProps/ctrlProp39.xml><?xml version="1.0" encoding="utf-8"?>
<formControlPr xmlns="http://schemas.microsoft.com/office/spreadsheetml/2009/9/main" objectType="Drop" dropLines="2" dropStyle="combo" dx="31" fmlaLink="$S$9" fmlaRange="$W$50:$W$51" noThreeD="1" sel="1" val="0"/>
</file>

<file path=xl/ctrlProps/ctrlProp4.xml><?xml version="1.0" encoding="utf-8"?>
<formControlPr xmlns="http://schemas.microsoft.com/office/spreadsheetml/2009/9/main" objectType="Drop" dropStyle="combo" dx="31" fmlaLink="$N$33" fmlaRange="$N$35:$N$36" noThreeD="1" sel="1" val="0"/>
</file>

<file path=xl/ctrlProps/ctrlProp40.xml><?xml version="1.0" encoding="utf-8"?>
<formControlPr xmlns="http://schemas.microsoft.com/office/spreadsheetml/2009/9/main" objectType="Drop" dropLines="2" dropStyle="combo" dx="31" fmlaLink="$S$20" fmlaRange="$W$50:$W$51" noThreeD="1" sel="1" val="0"/>
</file>

<file path=xl/ctrlProps/ctrlProp41.xml><?xml version="1.0" encoding="utf-8"?>
<formControlPr xmlns="http://schemas.microsoft.com/office/spreadsheetml/2009/9/main" objectType="Drop" dropLines="3" dropStyle="combo" dx="31" fmlaLink="$AF$77" fmlaRange="$AF$94:$AF$96" noThreeD="1" sel="1" val="0"/>
</file>

<file path=xl/ctrlProps/ctrlProp42.xml><?xml version="1.0" encoding="utf-8"?>
<formControlPr xmlns="http://schemas.microsoft.com/office/spreadsheetml/2009/9/main" objectType="Drop" dropStyle="combo" dx="31" fmlaLink="$Z$78" fmlaRange="$Z$79:$Z$81" noThreeD="1" sel="1" val="0"/>
</file>

<file path=xl/ctrlProps/ctrlProp43.xml><?xml version="1.0" encoding="utf-8"?>
<formControlPr xmlns="http://schemas.microsoft.com/office/spreadsheetml/2009/9/main" objectType="Drop" dropStyle="combo" dx="31" fmlaLink="$S$2" fmlaRange="$S$4:$S$6" noThreeD="1" sel="3" val="0"/>
</file>

<file path=xl/ctrlProps/ctrlProp44.xml><?xml version="1.0" encoding="utf-8"?>
<formControlPr xmlns="http://schemas.microsoft.com/office/spreadsheetml/2009/9/main" objectType="Radio" checked="Checked" firstButton="1" fmlaLink="$O$4" lockText="1" noThreeD="1"/>
</file>

<file path=xl/ctrlProps/ctrlProp45.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Drop" dropLines="2" dropStyle="combo" dx="31" fmlaLink="$S$20" fmlaRange="$W$50:$W$51" noThreeD="1" sel="1" val="0"/>
</file>

<file path=xl/ctrlProps/ctrlProp47.xml><?xml version="1.0" encoding="utf-8"?>
<formControlPr xmlns="http://schemas.microsoft.com/office/spreadsheetml/2009/9/main" objectType="Drop" dropLines="2" dropStyle="combo" dx="31" fmlaLink="$S$9" fmlaRange="$W$50:$W$51" noThreeD="1" sel="1" val="0"/>
</file>

<file path=xl/ctrlProps/ctrlProp48.xml><?xml version="1.0" encoding="utf-8"?>
<formControlPr xmlns="http://schemas.microsoft.com/office/spreadsheetml/2009/9/main" objectType="Drop" dropLines="3" dropStyle="combo" dx="31" fmlaLink="$AF$77" fmlaRange="$AF$94:$AF$96" noThreeD="1" sel="1" val="0"/>
</file>

<file path=xl/ctrlProps/ctrlProp49.xml><?xml version="1.0" encoding="utf-8"?>
<formControlPr xmlns="http://schemas.microsoft.com/office/spreadsheetml/2009/9/main" objectType="Drop" dropStyle="combo" dx="31" fmlaLink="$S$2" fmlaRange="$S$4:$S$6" noThreeD="1" sel="3" val="0"/>
</file>

<file path=xl/ctrlProps/ctrlProp5.xml><?xml version="1.0" encoding="utf-8"?>
<formControlPr xmlns="http://schemas.microsoft.com/office/spreadsheetml/2009/9/main" objectType="Drop" dropStyle="combo" dx="31" fmlaLink="$P$33" fmlaRange="$P$35:$P$36" noThreeD="1" sel="1" val="0"/>
</file>

<file path=xl/ctrlProps/ctrlProp50.xml><?xml version="1.0" encoding="utf-8"?>
<formControlPr xmlns="http://schemas.microsoft.com/office/spreadsheetml/2009/9/main" objectType="Radio" checked="Checked" firstButton="1" fmlaLink="$O$4" lockText="1"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Drop" dropLines="2" dropStyle="combo" dx="31" fmlaLink="$S$9" fmlaRange="$W$50:$W$51" noThreeD="1" sel="1" val="0"/>
</file>

<file path=xl/ctrlProps/ctrlProp53.xml><?xml version="1.0" encoding="utf-8"?>
<formControlPr xmlns="http://schemas.microsoft.com/office/spreadsheetml/2009/9/main" objectType="Drop" dropLines="2" dropStyle="combo" dx="31" fmlaLink="$S$20" fmlaRange="$W$50:$W$51" noThreeD="1" sel="1" val="0"/>
</file>

<file path=xl/ctrlProps/ctrlProp54.xml><?xml version="1.0" encoding="utf-8"?>
<formControlPr xmlns="http://schemas.microsoft.com/office/spreadsheetml/2009/9/main" objectType="Drop" dropStyle="combo" dx="31" fmlaLink="$Z$78" fmlaRange="$Z$79:$Z$81" noThreeD="1" sel="1" val="0"/>
</file>

<file path=xl/ctrlProps/ctrlProp55.xml><?xml version="1.0" encoding="utf-8"?>
<formControlPr xmlns="http://schemas.microsoft.com/office/spreadsheetml/2009/9/main" objectType="Drop" dropLines="3" dropStyle="combo" dx="31" fmlaLink="$AF$77" fmlaRange="$AF$94:$AF$96" noThreeD="1" sel="1" val="0"/>
</file>

<file path=xl/ctrlProps/ctrlProp56.xml><?xml version="1.0" encoding="utf-8"?>
<formControlPr xmlns="http://schemas.microsoft.com/office/spreadsheetml/2009/9/main" objectType="Drop" dropStyle="combo" dx="31" fmlaLink="$S$2" fmlaRange="$S$4:$S$6" noThreeD="1" sel="3" val="0"/>
</file>

<file path=xl/ctrlProps/ctrlProp57.xml><?xml version="1.0" encoding="utf-8"?>
<formControlPr xmlns="http://schemas.microsoft.com/office/spreadsheetml/2009/9/main" objectType="Radio" checked="Checked" firstButton="1" fmlaLink="$O$4" lockText="1" noThreeD="1"/>
</file>

<file path=xl/ctrlProps/ctrlProp58.xml><?xml version="1.0" encoding="utf-8"?>
<formControlPr xmlns="http://schemas.microsoft.com/office/spreadsheetml/2009/9/main" objectType="Radio" lockText="1" noThreeD="1"/>
</file>

<file path=xl/ctrlProps/ctrlProp59.xml><?xml version="1.0" encoding="utf-8"?>
<formControlPr xmlns="http://schemas.microsoft.com/office/spreadsheetml/2009/9/main" objectType="Drop" dropLines="2" dropStyle="combo" dx="31" fmlaLink="$S$9" fmlaRange="$W$50:$W$51" noThreeD="1" sel="1" val="0"/>
</file>

<file path=xl/ctrlProps/ctrlProp6.xml><?xml version="1.0" encoding="utf-8"?>
<formControlPr xmlns="http://schemas.microsoft.com/office/spreadsheetml/2009/9/main" objectType="Drop" dropLines="2" dropStyle="combo" dx="31" fmlaLink="$R$33" fmlaRange="$R$35:$R$36" noThreeD="1" sel="1" val="0"/>
</file>

<file path=xl/ctrlProps/ctrlProp60.xml><?xml version="1.0" encoding="utf-8"?>
<formControlPr xmlns="http://schemas.microsoft.com/office/spreadsheetml/2009/9/main" objectType="Drop" dropLines="2" dropStyle="combo" dx="31" fmlaLink="$S$20" fmlaRange="$W$50:$W$51" noThreeD="1" sel="1" val="0"/>
</file>

<file path=xl/ctrlProps/ctrlProp61.xml><?xml version="1.0" encoding="utf-8"?>
<formControlPr xmlns="http://schemas.microsoft.com/office/spreadsheetml/2009/9/main" objectType="Drop" dropLines="3" dropStyle="combo" dx="31" fmlaLink="$AF$77" fmlaRange="$AF$94:$AF$96" noThreeD="1" sel="1" val="0"/>
</file>

<file path=xl/ctrlProps/ctrlProp62.xml><?xml version="1.0" encoding="utf-8"?>
<formControlPr xmlns="http://schemas.microsoft.com/office/spreadsheetml/2009/9/main" objectType="Drop" dropStyle="combo" dx="31" fmlaLink="$Z$78" fmlaRange="$Z$79:$Z$81" noThreeD="1" sel="1" val="0"/>
</file>

<file path=xl/ctrlProps/ctrlProp63.xml><?xml version="1.0" encoding="utf-8"?>
<formControlPr xmlns="http://schemas.microsoft.com/office/spreadsheetml/2009/9/main" objectType="Drop" dropStyle="combo" dx="31" fmlaLink="$AK$2" fmlaRange="$AK$4:$AK$6" noThreeD="1" sel="3" val="0"/>
</file>

<file path=xl/ctrlProps/ctrlProp64.xml><?xml version="1.0" encoding="utf-8"?>
<formControlPr xmlns="http://schemas.microsoft.com/office/spreadsheetml/2009/9/main" objectType="Drop" dropLines="2" dropStyle="combo" dx="31" fmlaLink="$Q$16" fmlaRange="$Q$48:$Q$49" noThreeD="1" sel="1" val="0"/>
</file>

<file path=xl/ctrlProps/ctrlProp65.xml><?xml version="1.0" encoding="utf-8"?>
<formControlPr xmlns="http://schemas.microsoft.com/office/spreadsheetml/2009/9/main" objectType="Drop" dropLines="2" dropStyle="combo" dx="31" fmlaLink="$Q$27" fmlaRange="$Q$48:$Q$49" noThreeD="1" sel="1" val="0"/>
</file>

<file path=xl/ctrlProps/ctrlProp66.xml><?xml version="1.0" encoding="utf-8"?>
<formControlPr xmlns="http://schemas.microsoft.com/office/spreadsheetml/2009/9/main" objectType="Drop" dropStyle="combo" dx="31" fmlaLink="$Z$87" fmlaRange="$Z$88:$Z$90" noThreeD="1" sel="2" val="0"/>
</file>

<file path=xl/ctrlProps/ctrlProp67.xml><?xml version="1.0" encoding="utf-8"?>
<formControlPr xmlns="http://schemas.microsoft.com/office/spreadsheetml/2009/9/main" objectType="Drop" dropStyle="combo" dx="31" fmlaLink="$AK$2" fmlaRange="$AK$4:$AK$6" noThreeD="1" sel="3" val="0"/>
</file>

<file path=xl/ctrlProps/ctrlProp68.xml><?xml version="1.0" encoding="utf-8"?>
<formControlPr xmlns="http://schemas.microsoft.com/office/spreadsheetml/2009/9/main" objectType="Radio" checked="Checked" firstButton="1" fmlaLink="$V$4" lockText="1" noThreeD="1"/>
</file>

<file path=xl/ctrlProps/ctrlProp69.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Drop" dropStyle="combo" dx="31" fmlaLink="$N$26" fmlaRange="$N$28:$N$29" noThreeD="1" sel="2" val="0"/>
</file>

<file path=xl/ctrlProps/ctrlProp70.xml><?xml version="1.0" encoding="utf-8"?>
<formControlPr xmlns="http://schemas.microsoft.com/office/spreadsheetml/2009/9/main" objectType="Drop" dropLines="2" dropStyle="combo" dx="31" fmlaLink="$Q$16" fmlaRange="$Q$48:$Q$49" noThreeD="1" sel="1" val="0"/>
</file>

<file path=xl/ctrlProps/ctrlProp71.xml><?xml version="1.0" encoding="utf-8"?>
<formControlPr xmlns="http://schemas.microsoft.com/office/spreadsheetml/2009/9/main" objectType="Drop" dropLines="2" dropStyle="combo" dx="31" fmlaLink="$Q$27" fmlaRange="$Q$48:$Q$49" noThreeD="1" sel="1" val="0"/>
</file>

<file path=xl/ctrlProps/ctrlProp72.xml><?xml version="1.0" encoding="utf-8"?>
<formControlPr xmlns="http://schemas.microsoft.com/office/spreadsheetml/2009/9/main" objectType="Drop" dropLines="3" dropStyle="combo" dx="31" fmlaLink="$AF$87" fmlaRange="$AF$105:$AF$107" noThreeD="1" sel="1" val="0"/>
</file>

<file path=xl/ctrlProps/ctrlProp73.xml><?xml version="1.0" encoding="utf-8"?>
<formControlPr xmlns="http://schemas.microsoft.com/office/spreadsheetml/2009/9/main" objectType="Drop" dropStyle="combo" dx="31" fmlaLink="$AK$2" fmlaRange="$AK$4:$AK$6" noThreeD="1" sel="3" val="0"/>
</file>

<file path=xl/ctrlProps/ctrlProp74.xml><?xml version="1.0" encoding="utf-8"?>
<formControlPr xmlns="http://schemas.microsoft.com/office/spreadsheetml/2009/9/main" objectType="Radio" checked="Checked" firstButton="1" fmlaLink="$V$4" lockText="1" noThreeD="1"/>
</file>

<file path=xl/ctrlProps/ctrlProp75.xml><?xml version="1.0" encoding="utf-8"?>
<formControlPr xmlns="http://schemas.microsoft.com/office/spreadsheetml/2009/9/main" objectType="Radio" lockText="1" noThreeD="1"/>
</file>

<file path=xl/ctrlProps/ctrlProp76.xml><?xml version="1.0" encoding="utf-8"?>
<formControlPr xmlns="http://schemas.microsoft.com/office/spreadsheetml/2009/9/main" objectType="Drop" dropLines="2" dropStyle="combo" dx="31" fmlaLink="$Q$16" fmlaRange="$Q$48:$Q$49" noThreeD="1" sel="1" val="0"/>
</file>

<file path=xl/ctrlProps/ctrlProp77.xml><?xml version="1.0" encoding="utf-8"?>
<formControlPr xmlns="http://schemas.microsoft.com/office/spreadsheetml/2009/9/main" objectType="Drop" dropLines="2" dropStyle="combo" dx="31" fmlaLink="$Q$27" fmlaRange="$Q$48:$Q$49" noThreeD="1" sel="1" val="0"/>
</file>

<file path=xl/ctrlProps/ctrlProp78.xml><?xml version="1.0" encoding="utf-8"?>
<formControlPr xmlns="http://schemas.microsoft.com/office/spreadsheetml/2009/9/main" objectType="Drop" dropLines="3" dropStyle="combo" dx="31" fmlaLink="$AF$87" fmlaRange="$AF$105:$AF$107" noThreeD="1" sel="1" val="0"/>
</file>

<file path=xl/ctrlProps/ctrlProp79.xml><?xml version="1.0" encoding="utf-8"?>
<formControlPr xmlns="http://schemas.microsoft.com/office/spreadsheetml/2009/9/main" objectType="Drop" dropLines="3" dropStyle="combo" dx="31" fmlaLink="$AF$87" fmlaRange="$AF$105:$AF$107" noThreeD="1" sel="1" val="0"/>
</file>

<file path=xl/ctrlProps/ctrlProp8.xml><?xml version="1.0" encoding="utf-8"?>
<formControlPr xmlns="http://schemas.microsoft.com/office/spreadsheetml/2009/9/main" objectType="Drop" dropLines="2" dropStyle="combo" dx="31" fmlaLink="$P$26" fmlaRange="$P$28:$P$29" noThreeD="1" sel="1" val="0"/>
</file>

<file path=xl/ctrlProps/ctrlProp80.xml><?xml version="1.0" encoding="utf-8"?>
<formControlPr xmlns="http://schemas.microsoft.com/office/spreadsheetml/2009/9/main" objectType="Drop" dropStyle="combo" dx="31" fmlaLink="$AK$2" fmlaRange="$AK$4:$AK$6" noThreeD="1" sel="3" val="0"/>
</file>

<file path=xl/ctrlProps/ctrlProp81.xml><?xml version="1.0" encoding="utf-8"?>
<formControlPr xmlns="http://schemas.microsoft.com/office/spreadsheetml/2009/9/main" objectType="Drop" dropLines="2" dropStyle="combo" dx="31" fmlaLink="$Q$16" fmlaRange="$Q$48:$Q$49" noThreeD="1" sel="1" val="0"/>
</file>

<file path=xl/ctrlProps/ctrlProp82.xml><?xml version="1.0" encoding="utf-8"?>
<formControlPr xmlns="http://schemas.microsoft.com/office/spreadsheetml/2009/9/main" objectType="Drop" dropLines="2" dropStyle="combo" dx="31" fmlaLink="$Q$27" fmlaRange="$Q$48:$Q$49" noThreeD="1" sel="1" val="0"/>
</file>

<file path=xl/ctrlProps/ctrlProp83.xml><?xml version="1.0" encoding="utf-8"?>
<formControlPr xmlns="http://schemas.microsoft.com/office/spreadsheetml/2009/9/main" objectType="Drop" dropStyle="combo" dx="31" fmlaLink="$Z$82" fmlaRange="$Z$83:$Z$90" noThreeD="1" sel="3" val="0"/>
</file>

<file path=xl/ctrlProps/ctrlProp84.xml><?xml version="1.0" encoding="utf-8"?>
<formControlPr xmlns="http://schemas.microsoft.com/office/spreadsheetml/2009/9/main" objectType="Drop" dropStyle="combo" dx="31" fmlaLink="$S$2" fmlaRange="$S$4:$S$6" noThreeD="1" sel="1" val="0"/>
</file>

<file path=xl/ctrlProps/ctrlProp85.xml><?xml version="1.0" encoding="utf-8"?>
<formControlPr xmlns="http://schemas.microsoft.com/office/spreadsheetml/2009/9/main" objectType="Drop" dropLines="2" dropStyle="combo" dx="31" fmlaLink="$R$14" fmlaRange="$Q$47:$Q$48" noThreeD="1" sel="1" val="0"/>
</file>

<file path=xl/ctrlProps/ctrlProp86.xml><?xml version="1.0" encoding="utf-8"?>
<formControlPr xmlns="http://schemas.microsoft.com/office/spreadsheetml/2009/9/main" objectType="Drop" dropLines="2" dropStyle="combo" dx="31" fmlaLink="$R$25" fmlaRange="$Q$47:$Q$48" noThreeD="1" sel="1" val="0"/>
</file>

<file path=xl/ctrlProps/ctrlProp87.xml><?xml version="1.0" encoding="utf-8"?>
<formControlPr xmlns="http://schemas.microsoft.com/office/spreadsheetml/2009/9/main" objectType="Drop" dropStyle="combo" dx="31" fmlaLink="$Z$77" fmlaRange="$Z$78:$Z$80" noThreeD="1" sel="1" val="0"/>
</file>

<file path=xl/ctrlProps/ctrlProp88.xml><?xml version="1.0" encoding="utf-8"?>
<formControlPr xmlns="http://schemas.microsoft.com/office/spreadsheetml/2009/9/main" objectType="Drop" dropStyle="combo" dx="31" fmlaLink="$S$2" fmlaRange="$S$4:$S$6" noThreeD="1" sel="3" val="0"/>
</file>

<file path=xl/ctrlProps/ctrlProp89.xml><?xml version="1.0" encoding="utf-8"?>
<formControlPr xmlns="http://schemas.microsoft.com/office/spreadsheetml/2009/9/main" objectType="Radio" checked="Checked" firstButton="1" fmlaLink="$O$4" lockText="1" noThreeD="1"/>
</file>

<file path=xl/ctrlProps/ctrlProp9.xml><?xml version="1.0" encoding="utf-8"?>
<formControlPr xmlns="http://schemas.microsoft.com/office/spreadsheetml/2009/9/main" objectType="Drop" dropStyle="combo" dx="31" fmlaLink="$N$26" fmlaRange="$N$28:$N$29" noThreeD="1" sel="2" val="0"/>
</file>

<file path=xl/ctrlProps/ctrlProp90.xml><?xml version="1.0" encoding="utf-8"?>
<formControlPr xmlns="http://schemas.microsoft.com/office/spreadsheetml/2009/9/main" objectType="Radio" lockText="1" noThreeD="1"/>
</file>

<file path=xl/ctrlProps/ctrlProp91.xml><?xml version="1.0" encoding="utf-8"?>
<formControlPr xmlns="http://schemas.microsoft.com/office/spreadsheetml/2009/9/main" objectType="Drop" dropLines="2" dropStyle="combo" dx="31" fmlaLink="$R$14" fmlaRange="$Q$47:$Q$48" noThreeD="1" sel="1" val="0"/>
</file>

<file path=xl/ctrlProps/ctrlProp92.xml><?xml version="1.0" encoding="utf-8"?>
<formControlPr xmlns="http://schemas.microsoft.com/office/spreadsheetml/2009/9/main" objectType="Drop" dropLines="2" dropStyle="combo" dx="31" fmlaLink="$R$25" fmlaRange="$Q$47:$Q$48" noThreeD="1" sel="1" val="0"/>
</file>

<file path=xl/ctrlProps/ctrlProp93.xml><?xml version="1.0" encoding="utf-8"?>
<formControlPr xmlns="http://schemas.microsoft.com/office/spreadsheetml/2009/9/main" objectType="Drop" dropLines="3" dropStyle="combo" dx="31" fmlaLink="$AF$76" fmlaRange="$AF$95:$AF$97" noThreeD="1" sel="1" val="0"/>
</file>

<file path=xl/ctrlProps/ctrlProp94.xml><?xml version="1.0" encoding="utf-8"?>
<formControlPr xmlns="http://schemas.microsoft.com/office/spreadsheetml/2009/9/main" objectType="Drop" dropStyle="combo" dx="31" fmlaLink="$S$2" fmlaRange="$S$4:$S$6" noThreeD="1" sel="3" val="0"/>
</file>

<file path=xl/ctrlProps/ctrlProp95.xml><?xml version="1.0" encoding="utf-8"?>
<formControlPr xmlns="http://schemas.microsoft.com/office/spreadsheetml/2009/9/main" objectType="Radio" checked="Checked" firstButton="1" fmlaLink="$O$4" lockText="1" noThreeD="1"/>
</file>

<file path=xl/ctrlProps/ctrlProp96.xml><?xml version="1.0" encoding="utf-8"?>
<formControlPr xmlns="http://schemas.microsoft.com/office/spreadsheetml/2009/9/main" objectType="Radio" lockText="1" noThreeD="1"/>
</file>

<file path=xl/ctrlProps/ctrlProp97.xml><?xml version="1.0" encoding="utf-8"?>
<formControlPr xmlns="http://schemas.microsoft.com/office/spreadsheetml/2009/9/main" objectType="Drop" dropLines="2" dropStyle="combo" dx="31" fmlaLink="$R$14" fmlaRange="$Q$47:$Q$48" noThreeD="1" sel="1" val="0"/>
</file>

<file path=xl/ctrlProps/ctrlProp98.xml><?xml version="1.0" encoding="utf-8"?>
<formControlPr xmlns="http://schemas.microsoft.com/office/spreadsheetml/2009/9/main" objectType="Drop" dropLines="2" dropStyle="combo" dx="31" fmlaLink="$R$24" fmlaRange="$Q$47:$Q$48" noThreeD="1" sel="1" val="0"/>
</file>

<file path=xl/ctrlProps/ctrlProp99.xml><?xml version="1.0" encoding="utf-8"?>
<formControlPr xmlns="http://schemas.microsoft.com/office/spreadsheetml/2009/9/main" objectType="Drop" dropLines="3" dropStyle="combo" dx="31" fmlaLink="$AF$76" fmlaRange="$AF$95:$AF$96" noThreeD="1" sel="1" val="0"/>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jpe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9" Type="http://schemas.openxmlformats.org/officeDocument/2006/relationships/image" Target="../media/image9.png"/></Relationships>
</file>

<file path=xl/drawings/_rels/drawing10.xml.rels><?xml version="1.0" encoding="UTF-8" standalone="yes"?>
<Relationships xmlns="http://schemas.openxmlformats.org/package/2006/relationships"><Relationship Id="rId3" Type="http://schemas.openxmlformats.org/officeDocument/2006/relationships/image" Target="../media/image35.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36.png"/><Relationship Id="rId5" Type="http://schemas.openxmlformats.org/officeDocument/2006/relationships/image" Target="../media/image1.png"/><Relationship Id="rId4" Type="http://schemas.openxmlformats.org/officeDocument/2006/relationships/image" Target="../media/image5.png"/></Relationships>
</file>

<file path=xl/drawings/_rels/drawing11.xml.rels><?xml version="1.0" encoding="UTF-8" standalone="yes"?>
<Relationships xmlns="http://schemas.openxmlformats.org/package/2006/relationships"><Relationship Id="rId8" Type="http://schemas.openxmlformats.org/officeDocument/2006/relationships/image" Target="../media/image39.png"/><Relationship Id="rId3" Type="http://schemas.openxmlformats.org/officeDocument/2006/relationships/image" Target="../media/image1.png"/><Relationship Id="rId7" Type="http://schemas.openxmlformats.org/officeDocument/2006/relationships/image" Target="../media/image4.png"/><Relationship Id="rId2" Type="http://schemas.openxmlformats.org/officeDocument/2006/relationships/image" Target="../media/image38.png"/><Relationship Id="rId1" Type="http://schemas.openxmlformats.org/officeDocument/2006/relationships/image" Target="../media/image37.jpeg"/><Relationship Id="rId6" Type="http://schemas.openxmlformats.org/officeDocument/2006/relationships/image" Target="../media/image20.png"/><Relationship Id="rId5" Type="http://schemas.openxmlformats.org/officeDocument/2006/relationships/image" Target="../media/image17.png"/><Relationship Id="rId4" Type="http://schemas.openxmlformats.org/officeDocument/2006/relationships/image" Target="../media/image5.png"/><Relationship Id="rId9" Type="http://schemas.openxmlformats.org/officeDocument/2006/relationships/image" Target="../media/image3.png"/></Relationships>
</file>

<file path=xl/drawings/_rels/drawing12.xml.rels><?xml version="1.0" encoding="UTF-8" standalone="yes"?>
<Relationships xmlns="http://schemas.openxmlformats.org/package/2006/relationships"><Relationship Id="rId8" Type="http://schemas.openxmlformats.org/officeDocument/2006/relationships/image" Target="../media/image20.png"/><Relationship Id="rId3" Type="http://schemas.openxmlformats.org/officeDocument/2006/relationships/image" Target="../media/image40.png"/><Relationship Id="rId7" Type="http://schemas.openxmlformats.org/officeDocument/2006/relationships/image" Target="../media/image39.png"/><Relationship Id="rId2" Type="http://schemas.openxmlformats.org/officeDocument/2006/relationships/image" Target="../media/image4.png"/><Relationship Id="rId1" Type="http://schemas.openxmlformats.org/officeDocument/2006/relationships/image" Target="../media/image37.jpeg"/><Relationship Id="rId6" Type="http://schemas.openxmlformats.org/officeDocument/2006/relationships/image" Target="../media/image17.png"/><Relationship Id="rId5" Type="http://schemas.openxmlformats.org/officeDocument/2006/relationships/image" Target="../media/image5.png"/><Relationship Id="rId4" Type="http://schemas.openxmlformats.org/officeDocument/2006/relationships/image" Target="../media/image1.png"/><Relationship Id="rId9" Type="http://schemas.openxmlformats.org/officeDocument/2006/relationships/image" Target="../media/image3.png"/></Relationships>
</file>

<file path=xl/drawings/_rels/drawing13.xml.rels><?xml version="1.0" encoding="UTF-8" standalone="yes"?>
<Relationships xmlns="http://schemas.openxmlformats.org/package/2006/relationships"><Relationship Id="rId8" Type="http://schemas.openxmlformats.org/officeDocument/2006/relationships/image" Target="../media/image20.png"/><Relationship Id="rId3" Type="http://schemas.openxmlformats.org/officeDocument/2006/relationships/image" Target="../media/image41.png"/><Relationship Id="rId7" Type="http://schemas.openxmlformats.org/officeDocument/2006/relationships/image" Target="../media/image39.png"/><Relationship Id="rId2" Type="http://schemas.openxmlformats.org/officeDocument/2006/relationships/image" Target="../media/image4.png"/><Relationship Id="rId1" Type="http://schemas.openxmlformats.org/officeDocument/2006/relationships/image" Target="../media/image37.jpeg"/><Relationship Id="rId6" Type="http://schemas.openxmlformats.org/officeDocument/2006/relationships/image" Target="../media/image17.png"/><Relationship Id="rId5" Type="http://schemas.openxmlformats.org/officeDocument/2006/relationships/image" Target="../media/image5.png"/><Relationship Id="rId4" Type="http://schemas.openxmlformats.org/officeDocument/2006/relationships/image" Target="../media/image1.png"/><Relationship Id="rId9" Type="http://schemas.openxmlformats.org/officeDocument/2006/relationships/image" Target="../media/image3.png"/></Relationships>
</file>

<file path=xl/drawings/_rels/drawing14.xml.rels><?xml version="1.0" encoding="UTF-8" standalone="yes"?>
<Relationships xmlns="http://schemas.openxmlformats.org/package/2006/relationships"><Relationship Id="rId8" Type="http://schemas.openxmlformats.org/officeDocument/2006/relationships/image" Target="../media/image3.png"/><Relationship Id="rId3" Type="http://schemas.openxmlformats.org/officeDocument/2006/relationships/image" Target="../media/image42.png"/><Relationship Id="rId7" Type="http://schemas.openxmlformats.org/officeDocument/2006/relationships/image" Target="../media/image19.png"/><Relationship Id="rId2" Type="http://schemas.openxmlformats.org/officeDocument/2006/relationships/image" Target="../media/image4.png"/><Relationship Id="rId1" Type="http://schemas.openxmlformats.org/officeDocument/2006/relationships/image" Target="../media/image37.jpeg"/><Relationship Id="rId6" Type="http://schemas.openxmlformats.org/officeDocument/2006/relationships/image" Target="../media/image18.png"/><Relationship Id="rId5" Type="http://schemas.openxmlformats.org/officeDocument/2006/relationships/image" Target="../media/image5.png"/><Relationship Id="rId4" Type="http://schemas.openxmlformats.org/officeDocument/2006/relationships/image" Target="../media/image1.png"/></Relationships>
</file>

<file path=xl/drawings/_rels/drawing15.xml.rels><?xml version="1.0" encoding="UTF-8" standalone="yes"?>
<Relationships xmlns="http://schemas.openxmlformats.org/package/2006/relationships"><Relationship Id="rId8" Type="http://schemas.openxmlformats.org/officeDocument/2006/relationships/image" Target="../media/image3.png"/><Relationship Id="rId3" Type="http://schemas.openxmlformats.org/officeDocument/2006/relationships/image" Target="../media/image1.png"/><Relationship Id="rId7" Type="http://schemas.openxmlformats.org/officeDocument/2006/relationships/image" Target="../media/image19.png"/><Relationship Id="rId2" Type="http://schemas.openxmlformats.org/officeDocument/2006/relationships/image" Target="../media/image43.png"/><Relationship Id="rId1" Type="http://schemas.openxmlformats.org/officeDocument/2006/relationships/image" Target="../media/image37.jpeg"/><Relationship Id="rId6" Type="http://schemas.openxmlformats.org/officeDocument/2006/relationships/image" Target="../media/image18.png"/><Relationship Id="rId5" Type="http://schemas.openxmlformats.org/officeDocument/2006/relationships/image" Target="../media/image4.png"/><Relationship Id="rId4" Type="http://schemas.openxmlformats.org/officeDocument/2006/relationships/image" Target="../media/image5.png"/></Relationships>
</file>

<file path=xl/drawings/_rels/drawing16.xml.rels><?xml version="1.0" encoding="UTF-8" standalone="yes"?>
<Relationships xmlns="http://schemas.openxmlformats.org/package/2006/relationships"><Relationship Id="rId8" Type="http://schemas.openxmlformats.org/officeDocument/2006/relationships/image" Target="../media/image3.png"/><Relationship Id="rId3" Type="http://schemas.openxmlformats.org/officeDocument/2006/relationships/image" Target="../media/image44.png"/><Relationship Id="rId7" Type="http://schemas.openxmlformats.org/officeDocument/2006/relationships/image" Target="../media/image19.png"/><Relationship Id="rId2" Type="http://schemas.openxmlformats.org/officeDocument/2006/relationships/image" Target="../media/image4.png"/><Relationship Id="rId1" Type="http://schemas.openxmlformats.org/officeDocument/2006/relationships/image" Target="../media/image37.jpeg"/><Relationship Id="rId6" Type="http://schemas.openxmlformats.org/officeDocument/2006/relationships/image" Target="../media/image18.png"/><Relationship Id="rId5" Type="http://schemas.openxmlformats.org/officeDocument/2006/relationships/image" Target="../media/image5.png"/><Relationship Id="rId4" Type="http://schemas.openxmlformats.org/officeDocument/2006/relationships/image" Target="../media/image1.png"/></Relationships>
</file>

<file path=xl/drawings/_rels/drawing17.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1.png"/><Relationship Id="rId1" Type="http://schemas.openxmlformats.org/officeDocument/2006/relationships/image" Target="../media/image45.png"/><Relationship Id="rId4" Type="http://schemas.openxmlformats.org/officeDocument/2006/relationships/image" Target="../media/image3.png"/></Relationships>
</file>

<file path=xl/drawings/_rels/drawing18.xml.rels><?xml version="1.0" encoding="UTF-8" standalone="yes"?>
<Relationships xmlns="http://schemas.openxmlformats.org/package/2006/relationships"><Relationship Id="rId8" Type="http://schemas.openxmlformats.org/officeDocument/2006/relationships/image" Target="../media/image3.png"/><Relationship Id="rId3" Type="http://schemas.openxmlformats.org/officeDocument/2006/relationships/image" Target="../media/image5.png"/><Relationship Id="rId7" Type="http://schemas.openxmlformats.org/officeDocument/2006/relationships/image" Target="../media/image20.png"/><Relationship Id="rId2" Type="http://schemas.openxmlformats.org/officeDocument/2006/relationships/image" Target="../media/image1.png"/><Relationship Id="rId1" Type="http://schemas.openxmlformats.org/officeDocument/2006/relationships/image" Target="../media/image46.png"/><Relationship Id="rId6" Type="http://schemas.openxmlformats.org/officeDocument/2006/relationships/image" Target="../media/image39.png"/><Relationship Id="rId5" Type="http://schemas.openxmlformats.org/officeDocument/2006/relationships/image" Target="../media/image17.png"/><Relationship Id="rId4" Type="http://schemas.openxmlformats.org/officeDocument/2006/relationships/image" Target="../media/image4.png"/></Relationships>
</file>

<file path=xl/drawings/_rels/drawing19.xml.rels><?xml version="1.0" encoding="UTF-8" standalone="yes"?>
<Relationships xmlns="http://schemas.openxmlformats.org/package/2006/relationships"><Relationship Id="rId3" Type="http://schemas.openxmlformats.org/officeDocument/2006/relationships/image" Target="../media/image5.png"/><Relationship Id="rId7" Type="http://schemas.openxmlformats.org/officeDocument/2006/relationships/image" Target="../media/image3.png"/><Relationship Id="rId2" Type="http://schemas.openxmlformats.org/officeDocument/2006/relationships/image" Target="../media/image1.png"/><Relationship Id="rId1" Type="http://schemas.openxmlformats.org/officeDocument/2006/relationships/image" Target="../media/image47.png"/><Relationship Id="rId6" Type="http://schemas.openxmlformats.org/officeDocument/2006/relationships/image" Target="../media/image19.png"/><Relationship Id="rId5" Type="http://schemas.openxmlformats.org/officeDocument/2006/relationships/image" Target="../media/image18.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8" Type="http://schemas.openxmlformats.org/officeDocument/2006/relationships/image" Target="../media/image12.png"/><Relationship Id="rId13" Type="http://schemas.openxmlformats.org/officeDocument/2006/relationships/hyperlink" Target="#HS!A1"/><Relationship Id="rId18" Type="http://schemas.openxmlformats.org/officeDocument/2006/relationships/image" Target="../media/image3.png"/><Relationship Id="rId3" Type="http://schemas.openxmlformats.org/officeDocument/2006/relationships/image" Target="../media/image2.png"/><Relationship Id="rId21" Type="http://schemas.openxmlformats.org/officeDocument/2006/relationships/image" Target="../media/image18.png"/><Relationship Id="rId7" Type="http://schemas.openxmlformats.org/officeDocument/2006/relationships/hyperlink" Target="#HKS!A1"/><Relationship Id="rId12" Type="http://schemas.openxmlformats.org/officeDocument/2006/relationships/image" Target="../media/image14.png"/><Relationship Id="rId17" Type="http://schemas.openxmlformats.org/officeDocument/2006/relationships/image" Target="../media/image6.png"/><Relationship Id="rId2" Type="http://schemas.openxmlformats.org/officeDocument/2006/relationships/image" Target="../media/image4.png"/><Relationship Id="rId16" Type="http://schemas.openxmlformats.org/officeDocument/2006/relationships/image" Target="../media/image16.png"/><Relationship Id="rId20" Type="http://schemas.openxmlformats.org/officeDocument/2006/relationships/image" Target="../media/image17.png"/><Relationship Id="rId1" Type="http://schemas.openxmlformats.org/officeDocument/2006/relationships/image" Target="../media/image10.png"/><Relationship Id="rId6" Type="http://schemas.openxmlformats.org/officeDocument/2006/relationships/image" Target="../media/image11.png"/><Relationship Id="rId11" Type="http://schemas.openxmlformats.org/officeDocument/2006/relationships/hyperlink" Target="#HL!A1"/><Relationship Id="rId24" Type="http://schemas.openxmlformats.org/officeDocument/2006/relationships/hyperlink" Target="#HKi!A1"/><Relationship Id="rId5" Type="http://schemas.openxmlformats.org/officeDocument/2006/relationships/hyperlink" Target="#HK!A1"/><Relationship Id="rId15" Type="http://schemas.openxmlformats.org/officeDocument/2006/relationships/hyperlink" Target="#HF!A1"/><Relationship Id="rId23" Type="http://schemas.openxmlformats.org/officeDocument/2006/relationships/image" Target="../media/image20.png"/><Relationship Id="rId10" Type="http://schemas.openxmlformats.org/officeDocument/2006/relationships/image" Target="../media/image13.png"/><Relationship Id="rId19" Type="http://schemas.openxmlformats.org/officeDocument/2006/relationships/image" Target="../media/image5.png"/><Relationship Id="rId4" Type="http://schemas.openxmlformats.org/officeDocument/2006/relationships/image" Target="../media/image1.png"/><Relationship Id="rId9" Type="http://schemas.openxmlformats.org/officeDocument/2006/relationships/hyperlink" Target="#HKXS!A1"/><Relationship Id="rId14" Type="http://schemas.openxmlformats.org/officeDocument/2006/relationships/image" Target="../media/image15.png"/><Relationship Id="rId22" Type="http://schemas.openxmlformats.org/officeDocument/2006/relationships/image" Target="../media/image19.png"/></Relationships>
</file>

<file path=xl/drawings/_rels/drawing20.xml.rels><?xml version="1.0" encoding="UTF-8" standalone="yes"?>
<Relationships xmlns="http://schemas.openxmlformats.org/package/2006/relationships"><Relationship Id="rId3" Type="http://schemas.openxmlformats.org/officeDocument/2006/relationships/image" Target="../media/image31.png"/><Relationship Id="rId2" Type="http://schemas.openxmlformats.org/officeDocument/2006/relationships/image" Target="../media/image5.png"/><Relationship Id="rId1" Type="http://schemas.openxmlformats.org/officeDocument/2006/relationships/image" Target="../media/image1.png"/><Relationship Id="rId4" Type="http://schemas.openxmlformats.org/officeDocument/2006/relationships/image" Target="../media/image3.png"/></Relationships>
</file>

<file path=xl/drawings/_rels/drawing2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1.png"/><Relationship Id="rId1" Type="http://schemas.openxmlformats.org/officeDocument/2006/relationships/image" Target="../media/image45.png"/><Relationship Id="rId5" Type="http://schemas.openxmlformats.org/officeDocument/2006/relationships/image" Target="../media/image48.png"/><Relationship Id="rId4" Type="http://schemas.openxmlformats.org/officeDocument/2006/relationships/image" Target="../media/image3.png"/></Relationships>
</file>

<file path=xl/drawings/_rels/drawing22.xml.rels><?xml version="1.0" encoding="UTF-8" standalone="yes"?>
<Relationships xmlns="http://schemas.openxmlformats.org/package/2006/relationships"><Relationship Id="rId8" Type="http://schemas.openxmlformats.org/officeDocument/2006/relationships/image" Target="../media/image3.png"/><Relationship Id="rId3" Type="http://schemas.openxmlformats.org/officeDocument/2006/relationships/image" Target="../media/image5.png"/><Relationship Id="rId7" Type="http://schemas.openxmlformats.org/officeDocument/2006/relationships/image" Target="../media/image20.png"/><Relationship Id="rId2" Type="http://schemas.openxmlformats.org/officeDocument/2006/relationships/image" Target="../media/image1.png"/><Relationship Id="rId1" Type="http://schemas.openxmlformats.org/officeDocument/2006/relationships/image" Target="../media/image46.png"/><Relationship Id="rId6" Type="http://schemas.openxmlformats.org/officeDocument/2006/relationships/image" Target="../media/image39.png"/><Relationship Id="rId5" Type="http://schemas.openxmlformats.org/officeDocument/2006/relationships/image" Target="../media/image17.png"/><Relationship Id="rId4" Type="http://schemas.openxmlformats.org/officeDocument/2006/relationships/image" Target="../media/image4.png"/><Relationship Id="rId9" Type="http://schemas.openxmlformats.org/officeDocument/2006/relationships/image" Target="../media/image48.png"/></Relationships>
</file>

<file path=xl/drawings/_rels/drawing23.xml.rels><?xml version="1.0" encoding="UTF-8" standalone="yes"?>
<Relationships xmlns="http://schemas.openxmlformats.org/package/2006/relationships"><Relationship Id="rId8" Type="http://schemas.openxmlformats.org/officeDocument/2006/relationships/image" Target="../media/image48.png"/><Relationship Id="rId3" Type="http://schemas.openxmlformats.org/officeDocument/2006/relationships/image" Target="../media/image5.png"/><Relationship Id="rId7" Type="http://schemas.openxmlformats.org/officeDocument/2006/relationships/image" Target="../media/image3.png"/><Relationship Id="rId2" Type="http://schemas.openxmlformats.org/officeDocument/2006/relationships/image" Target="../media/image1.png"/><Relationship Id="rId1" Type="http://schemas.openxmlformats.org/officeDocument/2006/relationships/image" Target="../media/image47.png"/><Relationship Id="rId6" Type="http://schemas.openxmlformats.org/officeDocument/2006/relationships/image" Target="../media/image19.png"/><Relationship Id="rId5" Type="http://schemas.openxmlformats.org/officeDocument/2006/relationships/image" Target="../media/image18.png"/><Relationship Id="rId4" Type="http://schemas.openxmlformats.org/officeDocument/2006/relationships/image" Target="../media/image4.png"/></Relationships>
</file>

<file path=xl/drawings/_rels/drawing24.xml.rels><?xml version="1.0" encoding="UTF-8" standalone="yes"?>
<Relationships xmlns="http://schemas.openxmlformats.org/package/2006/relationships"><Relationship Id="rId3" Type="http://schemas.openxmlformats.org/officeDocument/2006/relationships/image" Target="../media/image31.png"/><Relationship Id="rId2" Type="http://schemas.openxmlformats.org/officeDocument/2006/relationships/image" Target="../media/image5.png"/><Relationship Id="rId1" Type="http://schemas.openxmlformats.org/officeDocument/2006/relationships/image" Target="../media/image1.png"/><Relationship Id="rId5" Type="http://schemas.openxmlformats.org/officeDocument/2006/relationships/image" Target="../media/image48.png"/><Relationship Id="rId4" Type="http://schemas.openxmlformats.org/officeDocument/2006/relationships/image" Target="../media/image3.png"/></Relationships>
</file>

<file path=xl/drawings/_rels/drawing2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4.png"/><Relationship Id="rId1" Type="http://schemas.openxmlformats.org/officeDocument/2006/relationships/image" Target="../media/image45.png"/><Relationship Id="rId5" Type="http://schemas.openxmlformats.org/officeDocument/2006/relationships/image" Target="../media/image3.png"/><Relationship Id="rId4" Type="http://schemas.openxmlformats.org/officeDocument/2006/relationships/image" Target="../media/image5.png"/></Relationships>
</file>

<file path=xl/drawings/_rels/drawing26.xml.rels><?xml version="1.0" encoding="UTF-8" standalone="yes"?>
<Relationships xmlns="http://schemas.openxmlformats.org/package/2006/relationships"><Relationship Id="rId8" Type="http://schemas.openxmlformats.org/officeDocument/2006/relationships/image" Target="../media/image3.png"/><Relationship Id="rId3" Type="http://schemas.openxmlformats.org/officeDocument/2006/relationships/image" Target="../media/image5.png"/><Relationship Id="rId7" Type="http://schemas.openxmlformats.org/officeDocument/2006/relationships/image" Target="../media/image20.png"/><Relationship Id="rId2" Type="http://schemas.openxmlformats.org/officeDocument/2006/relationships/image" Target="../media/image1.png"/><Relationship Id="rId1" Type="http://schemas.openxmlformats.org/officeDocument/2006/relationships/image" Target="../media/image46.png"/><Relationship Id="rId6" Type="http://schemas.openxmlformats.org/officeDocument/2006/relationships/image" Target="../media/image39.png"/><Relationship Id="rId5" Type="http://schemas.openxmlformats.org/officeDocument/2006/relationships/image" Target="../media/image17.png"/><Relationship Id="rId4" Type="http://schemas.openxmlformats.org/officeDocument/2006/relationships/image" Target="../media/image4.png"/></Relationships>
</file>

<file path=xl/drawings/_rels/drawing27.xml.rels><?xml version="1.0" encoding="UTF-8" standalone="yes"?>
<Relationships xmlns="http://schemas.openxmlformats.org/package/2006/relationships"><Relationship Id="rId3" Type="http://schemas.openxmlformats.org/officeDocument/2006/relationships/image" Target="../media/image5.png"/><Relationship Id="rId7" Type="http://schemas.openxmlformats.org/officeDocument/2006/relationships/image" Target="../media/image3.png"/><Relationship Id="rId2" Type="http://schemas.openxmlformats.org/officeDocument/2006/relationships/image" Target="../media/image1.png"/><Relationship Id="rId1" Type="http://schemas.openxmlformats.org/officeDocument/2006/relationships/image" Target="../media/image47.png"/><Relationship Id="rId6" Type="http://schemas.openxmlformats.org/officeDocument/2006/relationships/image" Target="../media/image19.png"/><Relationship Id="rId5" Type="http://schemas.openxmlformats.org/officeDocument/2006/relationships/image" Target="../media/image18.png"/><Relationship Id="rId4" Type="http://schemas.openxmlformats.org/officeDocument/2006/relationships/image" Target="../media/image4.png"/></Relationships>
</file>

<file path=xl/drawings/_rels/drawing28.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1.png"/><Relationship Id="rId1" Type="http://schemas.openxmlformats.org/officeDocument/2006/relationships/image" Target="../media/image4.png"/><Relationship Id="rId5" Type="http://schemas.openxmlformats.org/officeDocument/2006/relationships/image" Target="../media/image3.png"/><Relationship Id="rId4" Type="http://schemas.openxmlformats.org/officeDocument/2006/relationships/image" Target="../media/image31.png"/></Relationships>
</file>

<file path=xl/drawings/_rels/drawing29.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4.png"/><Relationship Id="rId1" Type="http://schemas.openxmlformats.org/officeDocument/2006/relationships/image" Target="../media/image45.png"/><Relationship Id="rId5" Type="http://schemas.openxmlformats.org/officeDocument/2006/relationships/image" Target="../media/image3.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8" Type="http://schemas.openxmlformats.org/officeDocument/2006/relationships/image" Target="../media/image24.png"/><Relationship Id="rId13" Type="http://schemas.openxmlformats.org/officeDocument/2006/relationships/hyperlink" Target="#HFwa_w!A1"/><Relationship Id="rId3" Type="http://schemas.openxmlformats.org/officeDocument/2006/relationships/hyperlink" Target="#HFna!A1"/><Relationship Id="rId7" Type="http://schemas.openxmlformats.org/officeDocument/2006/relationships/hyperlink" Target="#HFw!A1"/><Relationship Id="rId12" Type="http://schemas.openxmlformats.org/officeDocument/2006/relationships/image" Target="../media/image26.png"/><Relationship Id="rId2" Type="http://schemas.openxmlformats.org/officeDocument/2006/relationships/image" Target="../media/image21.png"/><Relationship Id="rId16" Type="http://schemas.openxmlformats.org/officeDocument/2006/relationships/image" Target="../media/image16.png"/><Relationship Id="rId1" Type="http://schemas.openxmlformats.org/officeDocument/2006/relationships/hyperlink" Target="#HFwa!A1"/><Relationship Id="rId6" Type="http://schemas.openxmlformats.org/officeDocument/2006/relationships/image" Target="../media/image23.png"/><Relationship Id="rId11" Type="http://schemas.openxmlformats.org/officeDocument/2006/relationships/hyperlink" Target="#HFw_wa!A1"/><Relationship Id="rId5" Type="http://schemas.openxmlformats.org/officeDocument/2006/relationships/hyperlink" Target="#HFna_w!A1"/><Relationship Id="rId15" Type="http://schemas.openxmlformats.org/officeDocument/2006/relationships/image" Target="../media/image5.png"/><Relationship Id="rId10" Type="http://schemas.openxmlformats.org/officeDocument/2006/relationships/image" Target="../media/image25.png"/><Relationship Id="rId4" Type="http://schemas.openxmlformats.org/officeDocument/2006/relationships/image" Target="../media/image22.png"/><Relationship Id="rId9" Type="http://schemas.openxmlformats.org/officeDocument/2006/relationships/hyperlink" Target="#HFw_na!A1"/><Relationship Id="rId14" Type="http://schemas.openxmlformats.org/officeDocument/2006/relationships/image" Target="../media/image27.png"/></Relationships>
</file>

<file path=xl/drawings/_rels/drawing30.xml.rels><?xml version="1.0" encoding="UTF-8" standalone="yes"?>
<Relationships xmlns="http://schemas.openxmlformats.org/package/2006/relationships"><Relationship Id="rId8" Type="http://schemas.openxmlformats.org/officeDocument/2006/relationships/image" Target="../media/image3.png"/><Relationship Id="rId3" Type="http://schemas.openxmlformats.org/officeDocument/2006/relationships/image" Target="../media/image5.png"/><Relationship Id="rId7" Type="http://schemas.openxmlformats.org/officeDocument/2006/relationships/image" Target="../media/image20.png"/><Relationship Id="rId2" Type="http://schemas.openxmlformats.org/officeDocument/2006/relationships/image" Target="../media/image1.png"/><Relationship Id="rId1" Type="http://schemas.openxmlformats.org/officeDocument/2006/relationships/image" Target="../media/image46.png"/><Relationship Id="rId6" Type="http://schemas.openxmlformats.org/officeDocument/2006/relationships/image" Target="../media/image39.png"/><Relationship Id="rId5" Type="http://schemas.openxmlformats.org/officeDocument/2006/relationships/image" Target="../media/image17.png"/><Relationship Id="rId4" Type="http://schemas.openxmlformats.org/officeDocument/2006/relationships/image" Target="../media/image4.png"/></Relationships>
</file>

<file path=xl/drawings/_rels/drawing3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1.png"/><Relationship Id="rId1" Type="http://schemas.openxmlformats.org/officeDocument/2006/relationships/image" Target="../media/image47.png"/><Relationship Id="rId6" Type="http://schemas.openxmlformats.org/officeDocument/2006/relationships/image" Target="../media/image3.png"/><Relationship Id="rId5" Type="http://schemas.openxmlformats.org/officeDocument/2006/relationships/image" Target="../media/image19.png"/><Relationship Id="rId4" Type="http://schemas.openxmlformats.org/officeDocument/2006/relationships/image" Target="../media/image18.png"/></Relationships>
</file>

<file path=xl/drawings/_rels/drawing3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1.png"/><Relationship Id="rId1" Type="http://schemas.openxmlformats.org/officeDocument/2006/relationships/image" Target="../media/image4.png"/><Relationship Id="rId5" Type="http://schemas.openxmlformats.org/officeDocument/2006/relationships/image" Target="../media/image3.png"/><Relationship Id="rId4" Type="http://schemas.openxmlformats.org/officeDocument/2006/relationships/image" Target="../media/image31.png"/></Relationships>
</file>

<file path=xl/drawings/_rels/drawing3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png"/><Relationship Id="rId1" Type="http://schemas.openxmlformats.org/officeDocument/2006/relationships/image" Target="../media/image45.png"/><Relationship Id="rId4" Type="http://schemas.openxmlformats.org/officeDocument/2006/relationships/image" Target="../media/image5.png"/></Relationships>
</file>

<file path=xl/drawings/_rels/drawing34.xml.rels><?xml version="1.0" encoding="UTF-8" standalone="yes"?>
<Relationships xmlns="http://schemas.openxmlformats.org/package/2006/relationships"><Relationship Id="rId8" Type="http://schemas.openxmlformats.org/officeDocument/2006/relationships/image" Target="../media/image20.png"/><Relationship Id="rId3" Type="http://schemas.openxmlformats.org/officeDocument/2006/relationships/image" Target="../media/image4.png"/><Relationship Id="rId7" Type="http://schemas.openxmlformats.org/officeDocument/2006/relationships/image" Target="../media/image3.png"/><Relationship Id="rId2" Type="http://schemas.openxmlformats.org/officeDocument/2006/relationships/image" Target="../media/image5.png"/><Relationship Id="rId1" Type="http://schemas.openxmlformats.org/officeDocument/2006/relationships/image" Target="../media/image1.png"/><Relationship Id="rId6" Type="http://schemas.openxmlformats.org/officeDocument/2006/relationships/image" Target="../media/image46.png"/><Relationship Id="rId5" Type="http://schemas.openxmlformats.org/officeDocument/2006/relationships/image" Target="../media/image39.png"/><Relationship Id="rId4" Type="http://schemas.openxmlformats.org/officeDocument/2006/relationships/image" Target="../media/image17.png"/></Relationships>
</file>

<file path=xl/drawings/_rels/drawing35.xml.rels><?xml version="1.0" encoding="UTF-8" standalone="yes"?>
<Relationships xmlns="http://schemas.openxmlformats.org/package/2006/relationships"><Relationship Id="rId3" Type="http://schemas.openxmlformats.org/officeDocument/2006/relationships/image" Target="../media/image4.png"/><Relationship Id="rId7" Type="http://schemas.openxmlformats.org/officeDocument/2006/relationships/image" Target="../media/image3.png"/><Relationship Id="rId2" Type="http://schemas.openxmlformats.org/officeDocument/2006/relationships/image" Target="../media/image5.png"/><Relationship Id="rId1" Type="http://schemas.openxmlformats.org/officeDocument/2006/relationships/image" Target="../media/image1.png"/><Relationship Id="rId6" Type="http://schemas.openxmlformats.org/officeDocument/2006/relationships/image" Target="../media/image47.png"/><Relationship Id="rId5" Type="http://schemas.openxmlformats.org/officeDocument/2006/relationships/image" Target="../media/image19.png"/><Relationship Id="rId4" Type="http://schemas.openxmlformats.org/officeDocument/2006/relationships/image" Target="../media/image18.png"/></Relationships>
</file>

<file path=xl/drawings/_rels/drawing36.xml.rels><?xml version="1.0" encoding="UTF-8" standalone="yes"?>
<Relationships xmlns="http://schemas.openxmlformats.org/package/2006/relationships"><Relationship Id="rId3" Type="http://schemas.openxmlformats.org/officeDocument/2006/relationships/image" Target="../media/image31.png"/><Relationship Id="rId2" Type="http://schemas.openxmlformats.org/officeDocument/2006/relationships/image" Target="../media/image5.png"/><Relationship Id="rId1" Type="http://schemas.openxmlformats.org/officeDocument/2006/relationships/image" Target="../media/image1.png"/><Relationship Id="rId4" Type="http://schemas.openxmlformats.org/officeDocument/2006/relationships/image" Target="../media/image3.png"/></Relationships>
</file>

<file path=xl/drawings/_rels/drawing37.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4.png"/><Relationship Id="rId1" Type="http://schemas.openxmlformats.org/officeDocument/2006/relationships/image" Target="../media/image45.png"/><Relationship Id="rId5" Type="http://schemas.openxmlformats.org/officeDocument/2006/relationships/image" Target="../media/image3.png"/><Relationship Id="rId4" Type="http://schemas.openxmlformats.org/officeDocument/2006/relationships/image" Target="../media/image5.png"/></Relationships>
</file>

<file path=xl/drawings/_rels/drawing38.xml.rels><?xml version="1.0" encoding="UTF-8" standalone="yes"?>
<Relationships xmlns="http://schemas.openxmlformats.org/package/2006/relationships"><Relationship Id="rId8" Type="http://schemas.openxmlformats.org/officeDocument/2006/relationships/image" Target="../media/image20.png"/><Relationship Id="rId3" Type="http://schemas.openxmlformats.org/officeDocument/2006/relationships/image" Target="../media/image5.png"/><Relationship Id="rId7" Type="http://schemas.openxmlformats.org/officeDocument/2006/relationships/image" Target="../media/image39.png"/><Relationship Id="rId2" Type="http://schemas.openxmlformats.org/officeDocument/2006/relationships/image" Target="../media/image1.png"/><Relationship Id="rId1" Type="http://schemas.openxmlformats.org/officeDocument/2006/relationships/image" Target="../media/image46.png"/><Relationship Id="rId6" Type="http://schemas.openxmlformats.org/officeDocument/2006/relationships/image" Target="../media/image17.png"/><Relationship Id="rId5" Type="http://schemas.openxmlformats.org/officeDocument/2006/relationships/image" Target="../media/image4.png"/><Relationship Id="rId4" Type="http://schemas.openxmlformats.org/officeDocument/2006/relationships/image" Target="../media/image3.png"/></Relationships>
</file>

<file path=xl/drawings/_rels/drawing39.xml.rels><?xml version="1.0" encoding="UTF-8" standalone="yes"?>
<Relationships xmlns="http://schemas.openxmlformats.org/package/2006/relationships"><Relationship Id="rId8" Type="http://schemas.openxmlformats.org/officeDocument/2006/relationships/image" Target="../media/image18.png"/><Relationship Id="rId3" Type="http://schemas.openxmlformats.org/officeDocument/2006/relationships/image" Target="../media/image5.png"/><Relationship Id="rId7" Type="http://schemas.openxmlformats.org/officeDocument/2006/relationships/image" Target="../media/image20.png"/><Relationship Id="rId2" Type="http://schemas.openxmlformats.org/officeDocument/2006/relationships/image" Target="../media/image1.png"/><Relationship Id="rId1" Type="http://schemas.openxmlformats.org/officeDocument/2006/relationships/image" Target="../media/image47.png"/><Relationship Id="rId6" Type="http://schemas.openxmlformats.org/officeDocument/2006/relationships/image" Target="../media/image17.png"/><Relationship Id="rId5" Type="http://schemas.openxmlformats.org/officeDocument/2006/relationships/image" Target="../media/image4.png"/><Relationship Id="rId4" Type="http://schemas.openxmlformats.org/officeDocument/2006/relationships/image" Target="../media/image3.png"/><Relationship Id="rId9" Type="http://schemas.openxmlformats.org/officeDocument/2006/relationships/image" Target="../media/image19.png"/></Relationships>
</file>

<file path=xl/drawings/_rels/drawing4.xml.rels><?xml version="1.0" encoding="UTF-8" standalone="yes"?>
<Relationships xmlns="http://schemas.openxmlformats.org/package/2006/relationships"><Relationship Id="rId8" Type="http://schemas.openxmlformats.org/officeDocument/2006/relationships/hyperlink" Target="#HSt!A1"/><Relationship Id="rId3" Type="http://schemas.openxmlformats.org/officeDocument/2006/relationships/hyperlink" Target="#HSna!A1"/><Relationship Id="rId7" Type="http://schemas.openxmlformats.org/officeDocument/2006/relationships/image" Target="../media/image5.png"/><Relationship Id="rId2" Type="http://schemas.openxmlformats.org/officeDocument/2006/relationships/image" Target="../media/image28.png"/><Relationship Id="rId1" Type="http://schemas.openxmlformats.org/officeDocument/2006/relationships/hyperlink" Target="#HSwa!A1"/><Relationship Id="rId6" Type="http://schemas.openxmlformats.org/officeDocument/2006/relationships/image" Target="../media/image30.png"/><Relationship Id="rId5" Type="http://schemas.openxmlformats.org/officeDocument/2006/relationships/hyperlink" Target="#HSw!A1"/><Relationship Id="rId10" Type="http://schemas.openxmlformats.org/officeDocument/2006/relationships/image" Target="../media/image15.png"/><Relationship Id="rId4" Type="http://schemas.openxmlformats.org/officeDocument/2006/relationships/image" Target="../media/image29.png"/><Relationship Id="rId9" Type="http://schemas.openxmlformats.org/officeDocument/2006/relationships/image" Target="../media/image31.png"/></Relationships>
</file>

<file path=xl/drawings/_rels/drawing40.xml.rels><?xml version="1.0" encoding="UTF-8" standalone="yes"?>
<Relationships xmlns="http://schemas.openxmlformats.org/package/2006/relationships"><Relationship Id="rId8" Type="http://schemas.openxmlformats.org/officeDocument/2006/relationships/image" Target="../media/image55.jpeg"/><Relationship Id="rId13" Type="http://schemas.openxmlformats.org/officeDocument/2006/relationships/image" Target="../media/image60.png"/><Relationship Id="rId18" Type="http://schemas.openxmlformats.org/officeDocument/2006/relationships/image" Target="../media/image65.png"/><Relationship Id="rId3" Type="http://schemas.openxmlformats.org/officeDocument/2006/relationships/image" Target="../media/image51.png"/><Relationship Id="rId7" Type="http://schemas.openxmlformats.org/officeDocument/2006/relationships/image" Target="../media/image54.png"/><Relationship Id="rId12" Type="http://schemas.openxmlformats.org/officeDocument/2006/relationships/image" Target="../media/image59.png"/><Relationship Id="rId17" Type="http://schemas.openxmlformats.org/officeDocument/2006/relationships/image" Target="../media/image64.png"/><Relationship Id="rId2" Type="http://schemas.openxmlformats.org/officeDocument/2006/relationships/image" Target="../media/image50.png"/><Relationship Id="rId16" Type="http://schemas.openxmlformats.org/officeDocument/2006/relationships/image" Target="../media/image63.png"/><Relationship Id="rId1" Type="http://schemas.openxmlformats.org/officeDocument/2006/relationships/image" Target="../media/image49.png"/><Relationship Id="rId6" Type="http://schemas.openxmlformats.org/officeDocument/2006/relationships/image" Target="../media/image53.png"/><Relationship Id="rId11" Type="http://schemas.openxmlformats.org/officeDocument/2006/relationships/image" Target="../media/image58.png"/><Relationship Id="rId5" Type="http://schemas.openxmlformats.org/officeDocument/2006/relationships/image" Target="../media/image5.png"/><Relationship Id="rId15" Type="http://schemas.openxmlformats.org/officeDocument/2006/relationships/image" Target="../media/image62.png"/><Relationship Id="rId10" Type="http://schemas.openxmlformats.org/officeDocument/2006/relationships/image" Target="../media/image57.png"/><Relationship Id="rId19" Type="http://schemas.openxmlformats.org/officeDocument/2006/relationships/image" Target="../media/image66.png"/><Relationship Id="rId4" Type="http://schemas.openxmlformats.org/officeDocument/2006/relationships/image" Target="../media/image52.png"/><Relationship Id="rId9" Type="http://schemas.openxmlformats.org/officeDocument/2006/relationships/image" Target="../media/image56.png"/><Relationship Id="rId14" Type="http://schemas.openxmlformats.org/officeDocument/2006/relationships/image" Target="../media/image6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5.png"/></Relationships>
</file>

<file path=xl/drawings/_rels/drawing4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6.png"/></Relationships>
</file>

<file path=xl/drawings/_rels/drawing43.xml.rels><?xml version="1.0" encoding="UTF-8" standalone="yes"?>
<Relationships xmlns="http://schemas.openxmlformats.org/package/2006/relationships"><Relationship Id="rId3" Type="http://schemas.openxmlformats.org/officeDocument/2006/relationships/image" Target="../media/image17.png"/><Relationship Id="rId2" Type="http://schemas.openxmlformats.org/officeDocument/2006/relationships/image" Target="../media/image19.png"/><Relationship Id="rId1" Type="http://schemas.openxmlformats.org/officeDocument/2006/relationships/image" Target="../media/image18.png"/><Relationship Id="rId4" Type="http://schemas.openxmlformats.org/officeDocument/2006/relationships/image" Target="../media/image20.png"/></Relationships>
</file>

<file path=xl/drawings/_rels/drawing44.xml.rels><?xml version="1.0" encoding="UTF-8" standalone="yes"?>
<Relationships xmlns="http://schemas.openxmlformats.org/package/2006/relationships"><Relationship Id="rId3" Type="http://schemas.openxmlformats.org/officeDocument/2006/relationships/image" Target="../media/image69.jpeg"/><Relationship Id="rId2" Type="http://schemas.openxmlformats.org/officeDocument/2006/relationships/image" Target="../media/image68.jpeg"/><Relationship Id="rId1" Type="http://schemas.openxmlformats.org/officeDocument/2006/relationships/image" Target="../media/image67.jpeg"/><Relationship Id="rId5" Type="http://schemas.openxmlformats.org/officeDocument/2006/relationships/image" Target="../media/image71.jpeg"/><Relationship Id="rId4" Type="http://schemas.openxmlformats.org/officeDocument/2006/relationships/image" Target="../media/image70.jpeg"/></Relationships>
</file>

<file path=xl/drawings/_rels/drawing5.xml.rels><?xml version="1.0" encoding="UTF-8" standalone="yes"?>
<Relationships xmlns="http://schemas.openxmlformats.org/package/2006/relationships"><Relationship Id="rId8" Type="http://schemas.openxmlformats.org/officeDocument/2006/relationships/hyperlink" Target="#HLt!A1"/><Relationship Id="rId3" Type="http://schemas.openxmlformats.org/officeDocument/2006/relationships/hyperlink" Target="#HLna!A1"/><Relationship Id="rId7" Type="http://schemas.openxmlformats.org/officeDocument/2006/relationships/image" Target="../media/image5.png"/><Relationship Id="rId2" Type="http://schemas.openxmlformats.org/officeDocument/2006/relationships/image" Target="../media/image28.png"/><Relationship Id="rId1" Type="http://schemas.openxmlformats.org/officeDocument/2006/relationships/hyperlink" Target="#HLwa!A1"/><Relationship Id="rId6" Type="http://schemas.openxmlformats.org/officeDocument/2006/relationships/image" Target="../media/image30.png"/><Relationship Id="rId11" Type="http://schemas.openxmlformats.org/officeDocument/2006/relationships/image" Target="../media/image32.png"/><Relationship Id="rId5" Type="http://schemas.openxmlformats.org/officeDocument/2006/relationships/hyperlink" Target="#HLw!A1"/><Relationship Id="rId10" Type="http://schemas.openxmlformats.org/officeDocument/2006/relationships/image" Target="../media/image14.png"/><Relationship Id="rId4" Type="http://schemas.openxmlformats.org/officeDocument/2006/relationships/image" Target="../media/image29.png"/><Relationship Id="rId9" Type="http://schemas.openxmlformats.org/officeDocument/2006/relationships/image" Target="../media/image31.png"/></Relationships>
</file>

<file path=xl/drawings/_rels/drawing6.xml.rels><?xml version="1.0" encoding="UTF-8" standalone="yes"?>
<Relationships xmlns="http://schemas.openxmlformats.org/package/2006/relationships"><Relationship Id="rId8" Type="http://schemas.openxmlformats.org/officeDocument/2006/relationships/image" Target="../media/image33.png"/><Relationship Id="rId3" Type="http://schemas.openxmlformats.org/officeDocument/2006/relationships/hyperlink" Target="#HKna!A1"/><Relationship Id="rId7" Type="http://schemas.openxmlformats.org/officeDocument/2006/relationships/image" Target="../media/image5.png"/><Relationship Id="rId12" Type="http://schemas.openxmlformats.org/officeDocument/2006/relationships/image" Target="../media/image11.png"/><Relationship Id="rId2" Type="http://schemas.openxmlformats.org/officeDocument/2006/relationships/image" Target="../media/image28.png"/><Relationship Id="rId1" Type="http://schemas.openxmlformats.org/officeDocument/2006/relationships/hyperlink" Target="#HKwa!A1"/><Relationship Id="rId6" Type="http://schemas.openxmlformats.org/officeDocument/2006/relationships/image" Target="../media/image30.png"/><Relationship Id="rId11" Type="http://schemas.openxmlformats.org/officeDocument/2006/relationships/image" Target="../media/image31.png"/><Relationship Id="rId5" Type="http://schemas.openxmlformats.org/officeDocument/2006/relationships/hyperlink" Target="#HKw!A1"/><Relationship Id="rId10" Type="http://schemas.openxmlformats.org/officeDocument/2006/relationships/hyperlink" Target="#HKt!A1"/><Relationship Id="rId4" Type="http://schemas.openxmlformats.org/officeDocument/2006/relationships/image" Target="../media/image29.png"/><Relationship Id="rId9" Type="http://schemas.openxmlformats.org/officeDocument/2006/relationships/image" Target="../media/image34.png"/></Relationships>
</file>

<file path=xl/drawings/_rels/drawing7.xml.rels><?xml version="1.0" encoding="UTF-8" standalone="yes"?>
<Relationships xmlns="http://schemas.openxmlformats.org/package/2006/relationships"><Relationship Id="rId8" Type="http://schemas.openxmlformats.org/officeDocument/2006/relationships/hyperlink" Target="#HKSt!A1"/><Relationship Id="rId3" Type="http://schemas.openxmlformats.org/officeDocument/2006/relationships/hyperlink" Target="#HKSna!A1"/><Relationship Id="rId7" Type="http://schemas.openxmlformats.org/officeDocument/2006/relationships/image" Target="../media/image5.png"/><Relationship Id="rId2" Type="http://schemas.openxmlformats.org/officeDocument/2006/relationships/image" Target="../media/image28.png"/><Relationship Id="rId1" Type="http://schemas.openxmlformats.org/officeDocument/2006/relationships/hyperlink" Target="#HKSwa!A1"/><Relationship Id="rId6" Type="http://schemas.openxmlformats.org/officeDocument/2006/relationships/image" Target="../media/image30.png"/><Relationship Id="rId5" Type="http://schemas.openxmlformats.org/officeDocument/2006/relationships/hyperlink" Target="#HKSw!A1"/><Relationship Id="rId10" Type="http://schemas.openxmlformats.org/officeDocument/2006/relationships/image" Target="../media/image12.png"/><Relationship Id="rId4" Type="http://schemas.openxmlformats.org/officeDocument/2006/relationships/image" Target="../media/image29.png"/><Relationship Id="rId9" Type="http://schemas.openxmlformats.org/officeDocument/2006/relationships/image" Target="../media/image31.png"/></Relationships>
</file>

<file path=xl/drawings/_rels/drawing8.xml.rels><?xml version="1.0" encoding="UTF-8" standalone="yes"?>
<Relationships xmlns="http://schemas.openxmlformats.org/package/2006/relationships"><Relationship Id="rId8" Type="http://schemas.openxmlformats.org/officeDocument/2006/relationships/hyperlink" Target="#HKXSt!A1"/><Relationship Id="rId3" Type="http://schemas.openxmlformats.org/officeDocument/2006/relationships/hyperlink" Target="#HKXSna!A1"/><Relationship Id="rId7" Type="http://schemas.openxmlformats.org/officeDocument/2006/relationships/image" Target="../media/image5.png"/><Relationship Id="rId2" Type="http://schemas.openxmlformats.org/officeDocument/2006/relationships/image" Target="../media/image28.png"/><Relationship Id="rId1" Type="http://schemas.openxmlformats.org/officeDocument/2006/relationships/hyperlink" Target="#HKXSwa!A1"/><Relationship Id="rId6" Type="http://schemas.openxmlformats.org/officeDocument/2006/relationships/image" Target="../media/image30.png"/><Relationship Id="rId5" Type="http://schemas.openxmlformats.org/officeDocument/2006/relationships/hyperlink" Target="#HKXSw!A1"/><Relationship Id="rId10" Type="http://schemas.openxmlformats.org/officeDocument/2006/relationships/image" Target="../media/image13.png"/><Relationship Id="rId4" Type="http://schemas.openxmlformats.org/officeDocument/2006/relationships/image" Target="../media/image29.png"/><Relationship Id="rId9" Type="http://schemas.openxmlformats.org/officeDocument/2006/relationships/image" Target="../media/image31.png"/></Relationships>
</file>

<file path=xl/drawings/_rels/drawing9.xml.rels><?xml version="1.0" encoding="UTF-8" standalone="yes"?>
<Relationships xmlns="http://schemas.openxmlformats.org/package/2006/relationships"><Relationship Id="rId8" Type="http://schemas.openxmlformats.org/officeDocument/2006/relationships/image" Target="../media/image12.png"/><Relationship Id="rId3" Type="http://schemas.openxmlformats.org/officeDocument/2006/relationships/hyperlink" Target="#HKina!A1"/><Relationship Id="rId7" Type="http://schemas.openxmlformats.org/officeDocument/2006/relationships/image" Target="../media/image5.png"/><Relationship Id="rId2" Type="http://schemas.openxmlformats.org/officeDocument/2006/relationships/image" Target="../media/image28.png"/><Relationship Id="rId1" Type="http://schemas.openxmlformats.org/officeDocument/2006/relationships/hyperlink" Target="#HKiwa!A1"/><Relationship Id="rId6" Type="http://schemas.openxmlformats.org/officeDocument/2006/relationships/image" Target="../media/image30.png"/><Relationship Id="rId5" Type="http://schemas.openxmlformats.org/officeDocument/2006/relationships/hyperlink" Target="#HKiw!A1"/><Relationship Id="rId4" Type="http://schemas.openxmlformats.org/officeDocument/2006/relationships/image" Target="../media/image29.png"/></Relationships>
</file>

<file path=xl/drawings/drawing1.xml><?xml version="1.0" encoding="utf-8"?>
<xdr:wsDr xmlns:xdr="http://schemas.openxmlformats.org/drawingml/2006/spreadsheetDrawing" xmlns:a="http://schemas.openxmlformats.org/drawingml/2006/main">
  <xdr:twoCellAnchor editAs="oneCell">
    <xdr:from>
      <xdr:col>1</xdr:col>
      <xdr:colOff>514350</xdr:colOff>
      <xdr:row>72</xdr:row>
      <xdr:rowOff>19050</xdr:rowOff>
    </xdr:from>
    <xdr:to>
      <xdr:col>1</xdr:col>
      <xdr:colOff>657225</xdr:colOff>
      <xdr:row>72</xdr:row>
      <xdr:rowOff>180975</xdr:rowOff>
    </xdr:to>
    <xdr:pic>
      <xdr:nvPicPr>
        <xdr:cNvPr id="6" name="Obrázek 2" descr="Info.gif">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24053800"/>
          <a:ext cx="14605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124</xdr:row>
      <xdr:rowOff>0</xdr:rowOff>
    </xdr:from>
    <xdr:to>
      <xdr:col>2</xdr:col>
      <xdr:colOff>142875</xdr:colOff>
      <xdr:row>124</xdr:row>
      <xdr:rowOff>161925</xdr:rowOff>
    </xdr:to>
    <xdr:pic>
      <xdr:nvPicPr>
        <xdr:cNvPr id="7" name="Obrázek 11" descr="Chng.gif">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0900" y="80702150"/>
          <a:ext cx="14605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125</xdr:row>
      <xdr:rowOff>38100</xdr:rowOff>
    </xdr:from>
    <xdr:to>
      <xdr:col>2</xdr:col>
      <xdr:colOff>180975</xdr:colOff>
      <xdr:row>126</xdr:row>
      <xdr:rowOff>0</xdr:rowOff>
    </xdr:to>
    <xdr:pic>
      <xdr:nvPicPr>
        <xdr:cNvPr id="8" name="Obrázek 12" descr="Weight.gif">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50900" y="80937100"/>
          <a:ext cx="18415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654050</xdr:colOff>
      <xdr:row>126</xdr:row>
      <xdr:rowOff>12700</xdr:rowOff>
    </xdr:from>
    <xdr:to>
      <xdr:col>2</xdr:col>
      <xdr:colOff>200025</xdr:colOff>
      <xdr:row>128</xdr:row>
      <xdr:rowOff>9525</xdr:rowOff>
    </xdr:to>
    <xdr:pic>
      <xdr:nvPicPr>
        <xdr:cNvPr id="9" name="Obrázek 16" descr="Notice.gif">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825500" y="81108550"/>
          <a:ext cx="241300" cy="25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19050</xdr:colOff>
      <xdr:row>128</xdr:row>
      <xdr:rowOff>38100</xdr:rowOff>
    </xdr:from>
    <xdr:to>
      <xdr:col>2</xdr:col>
      <xdr:colOff>161925</xdr:colOff>
      <xdr:row>129</xdr:row>
      <xdr:rowOff>0</xdr:rowOff>
    </xdr:to>
    <xdr:pic>
      <xdr:nvPicPr>
        <xdr:cNvPr id="10" name="Obrázek 19" descr="Info.gif">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9950" y="81394300"/>
          <a:ext cx="14605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108</xdr:row>
      <xdr:rowOff>0</xdr:rowOff>
    </xdr:from>
    <xdr:to>
      <xdr:col>2</xdr:col>
      <xdr:colOff>142875</xdr:colOff>
      <xdr:row>108</xdr:row>
      <xdr:rowOff>161925</xdr:rowOff>
    </xdr:to>
    <xdr:pic>
      <xdr:nvPicPr>
        <xdr:cNvPr id="11" name="Obrázek 20" descr="Help.gif">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50900" y="77552550"/>
          <a:ext cx="14605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19050</xdr:colOff>
      <xdr:row>130</xdr:row>
      <xdr:rowOff>31750</xdr:rowOff>
    </xdr:from>
    <xdr:to>
      <xdr:col>2</xdr:col>
      <xdr:colOff>161925</xdr:colOff>
      <xdr:row>130</xdr:row>
      <xdr:rowOff>190500</xdr:rowOff>
    </xdr:to>
    <xdr:pic>
      <xdr:nvPicPr>
        <xdr:cNvPr id="12" name="Obrázek 21" descr="Help.gif">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69950" y="81781650"/>
          <a:ext cx="14605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19050</xdr:colOff>
      <xdr:row>129</xdr:row>
      <xdr:rowOff>31750</xdr:rowOff>
    </xdr:from>
    <xdr:to>
      <xdr:col>2</xdr:col>
      <xdr:colOff>171450</xdr:colOff>
      <xdr:row>129</xdr:row>
      <xdr:rowOff>190500</xdr:rowOff>
    </xdr:to>
    <xdr:pic>
      <xdr:nvPicPr>
        <xdr:cNvPr id="13" name="Obrázek 18" descr="Tip.gif">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69950" y="81584800"/>
          <a:ext cx="1524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520700</xdr:colOff>
      <xdr:row>24</xdr:row>
      <xdr:rowOff>12700</xdr:rowOff>
    </xdr:from>
    <xdr:to>
      <xdr:col>7</xdr:col>
      <xdr:colOff>0</xdr:colOff>
      <xdr:row>24</xdr:row>
      <xdr:rowOff>180975</xdr:rowOff>
    </xdr:to>
    <xdr:pic>
      <xdr:nvPicPr>
        <xdr:cNvPr id="18" name="Obrázek 9" descr="Chng.gif">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09950" y="6794500"/>
          <a:ext cx="1460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546100</xdr:colOff>
      <xdr:row>24</xdr:row>
      <xdr:rowOff>6350</xdr:rowOff>
    </xdr:from>
    <xdr:to>
      <xdr:col>6</xdr:col>
      <xdr:colOff>552450</xdr:colOff>
      <xdr:row>24</xdr:row>
      <xdr:rowOff>171450</xdr:rowOff>
    </xdr:to>
    <xdr:pic>
      <xdr:nvPicPr>
        <xdr:cNvPr id="19" name="Obrázek 9" descr="Chng.gif">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92550" y="51816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4</xdr:col>
          <xdr:colOff>9525</xdr:colOff>
          <xdr:row>22</xdr:row>
          <xdr:rowOff>0</xdr:rowOff>
        </xdr:from>
        <xdr:to>
          <xdr:col>5</xdr:col>
          <xdr:colOff>647700</xdr:colOff>
          <xdr:row>23</xdr:row>
          <xdr:rowOff>0</xdr:rowOff>
        </xdr:to>
        <xdr:sp macro="" textlink="">
          <xdr:nvSpPr>
            <xdr:cNvPr id="1025" name="Drop Down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xdr:col>
      <xdr:colOff>50800</xdr:colOff>
      <xdr:row>26</xdr:row>
      <xdr:rowOff>12700</xdr:rowOff>
    </xdr:from>
    <xdr:to>
      <xdr:col>1</xdr:col>
      <xdr:colOff>200025</xdr:colOff>
      <xdr:row>26</xdr:row>
      <xdr:rowOff>171450</xdr:rowOff>
    </xdr:to>
    <xdr:pic>
      <xdr:nvPicPr>
        <xdr:cNvPr id="20" name="Obrázek 18" descr="Tip.gif">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22250" y="5562600"/>
          <a:ext cx="1524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12700</xdr:colOff>
      <xdr:row>2</xdr:row>
      <xdr:rowOff>0</xdr:rowOff>
    </xdr:from>
    <xdr:to>
      <xdr:col>12</xdr:col>
      <xdr:colOff>0</xdr:colOff>
      <xdr:row>5</xdr:row>
      <xdr:rowOff>60036</xdr:rowOff>
    </xdr:to>
    <xdr:pic>
      <xdr:nvPicPr>
        <xdr:cNvPr id="27" name="Obrázek 9">
          <a:extLst>
            <a:ext uri="{FF2B5EF4-FFF2-40B4-BE49-F238E27FC236}">
              <a16:creationId xmlns:a16="http://schemas.microsoft.com/office/drawing/2014/main" id="{00000000-0008-0000-0000-00001B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131050" y="190500"/>
          <a:ext cx="1473200" cy="6696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6351</xdr:rowOff>
    </xdr:from>
    <xdr:to>
      <xdr:col>10</xdr:col>
      <xdr:colOff>3174</xdr:colOff>
      <xdr:row>20</xdr:row>
      <xdr:rowOff>189913</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8"/>
        <a:stretch>
          <a:fillRect/>
        </a:stretch>
      </xdr:blipFill>
      <xdr:spPr>
        <a:xfrm>
          <a:off x="171450" y="196851"/>
          <a:ext cx="6267449" cy="3752262"/>
        </a:xfrm>
        <a:prstGeom prst="rect">
          <a:avLst/>
        </a:prstGeom>
      </xdr:spPr>
    </xdr:pic>
    <xdr:clientData/>
  </xdr:twoCellAnchor>
  <xdr:twoCellAnchor editAs="oneCell">
    <xdr:from>
      <xdr:col>7</xdr:col>
      <xdr:colOff>374650</xdr:colOff>
      <xdr:row>2</xdr:row>
      <xdr:rowOff>184151</xdr:rowOff>
    </xdr:from>
    <xdr:to>
      <xdr:col>9</xdr:col>
      <xdr:colOff>447675</xdr:colOff>
      <xdr:row>6</xdr:row>
      <xdr:rowOff>191475</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9"/>
        <a:stretch>
          <a:fillRect/>
        </a:stretch>
      </xdr:blipFill>
      <xdr:spPr>
        <a:xfrm>
          <a:off x="4718050" y="374651"/>
          <a:ext cx="1473200" cy="73122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3</xdr:col>
      <xdr:colOff>25400</xdr:colOff>
      <xdr:row>14</xdr:row>
      <xdr:rowOff>19050</xdr:rowOff>
    </xdr:from>
    <xdr:to>
      <xdr:col>3</xdr:col>
      <xdr:colOff>209550</xdr:colOff>
      <xdr:row>14</xdr:row>
      <xdr:rowOff>180975</xdr:rowOff>
    </xdr:to>
    <xdr:pic>
      <xdr:nvPicPr>
        <xdr:cNvPr id="6" name="Obrázek 16" descr="Weight.gif">
          <a:extLst>
            <a:ext uri="{FF2B5EF4-FFF2-40B4-BE49-F238E27FC236}">
              <a16:creationId xmlns:a16="http://schemas.microsoft.com/office/drawing/2014/main" id="{00000000-0008-0000-09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800" y="2800350"/>
          <a:ext cx="1841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254000</xdr:colOff>
      <xdr:row>33</xdr:row>
      <xdr:rowOff>76200</xdr:rowOff>
    </xdr:from>
    <xdr:to>
      <xdr:col>1</xdr:col>
      <xdr:colOff>504825</xdr:colOff>
      <xdr:row>35</xdr:row>
      <xdr:rowOff>0</xdr:rowOff>
    </xdr:to>
    <xdr:pic>
      <xdr:nvPicPr>
        <xdr:cNvPr id="7" name="Obrázek 20" descr="Notice.gif">
          <a:extLst>
            <a:ext uri="{FF2B5EF4-FFF2-40B4-BE49-F238E27FC236}">
              <a16:creationId xmlns:a16="http://schemas.microsoft.com/office/drawing/2014/main" id="{00000000-0008-0000-0900-000007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2900" y="6769100"/>
          <a:ext cx="24765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128858</xdr:colOff>
      <xdr:row>5</xdr:row>
      <xdr:rowOff>273050</xdr:rowOff>
    </xdr:from>
    <xdr:to>
      <xdr:col>12</xdr:col>
      <xdr:colOff>0</xdr:colOff>
      <xdr:row>9</xdr:row>
      <xdr:rowOff>76200</xdr:rowOff>
    </xdr:to>
    <xdr:pic>
      <xdr:nvPicPr>
        <xdr:cNvPr id="13" name="Obrázek 24" descr="S_front_HF_w.gif">
          <a:extLst>
            <a:ext uri="{FF2B5EF4-FFF2-40B4-BE49-F238E27FC236}">
              <a16:creationId xmlns:a16="http://schemas.microsoft.com/office/drawing/2014/main" id="{00000000-0008-0000-0900-00000D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199458" y="1028700"/>
          <a:ext cx="1090342"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57150</xdr:colOff>
      <xdr:row>139</xdr:row>
      <xdr:rowOff>0</xdr:rowOff>
    </xdr:from>
    <xdr:to>
      <xdr:col>1</xdr:col>
      <xdr:colOff>200025</xdr:colOff>
      <xdr:row>139</xdr:row>
      <xdr:rowOff>161925</xdr:rowOff>
    </xdr:to>
    <xdr:pic>
      <xdr:nvPicPr>
        <xdr:cNvPr id="15" name="Obrázek 25" descr="Help.gif">
          <a:extLst>
            <a:ext uri="{FF2B5EF4-FFF2-40B4-BE49-F238E27FC236}">
              <a16:creationId xmlns:a16="http://schemas.microsoft.com/office/drawing/2014/main" id="{00000000-0008-0000-0900-00000F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6050" y="58153300"/>
          <a:ext cx="1460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304800</xdr:colOff>
      <xdr:row>119</xdr:row>
      <xdr:rowOff>12700</xdr:rowOff>
    </xdr:from>
    <xdr:to>
      <xdr:col>1</xdr:col>
      <xdr:colOff>447675</xdr:colOff>
      <xdr:row>119</xdr:row>
      <xdr:rowOff>171450</xdr:rowOff>
    </xdr:to>
    <xdr:pic>
      <xdr:nvPicPr>
        <xdr:cNvPr id="16" name="Obrázek 27" descr="Info.gif">
          <a:extLst>
            <a:ext uri="{FF2B5EF4-FFF2-40B4-BE49-F238E27FC236}">
              <a16:creationId xmlns:a16="http://schemas.microsoft.com/office/drawing/2014/main" id="{00000000-0008-0000-0900-000010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93700" y="21240750"/>
          <a:ext cx="1397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304800</xdr:colOff>
      <xdr:row>35</xdr:row>
      <xdr:rowOff>146050</xdr:rowOff>
    </xdr:from>
    <xdr:to>
      <xdr:col>1</xdr:col>
      <xdr:colOff>447675</xdr:colOff>
      <xdr:row>36</xdr:row>
      <xdr:rowOff>133350</xdr:rowOff>
    </xdr:to>
    <xdr:pic>
      <xdr:nvPicPr>
        <xdr:cNvPr id="17" name="Obrázek 28" descr="Info.gif">
          <a:extLst>
            <a:ext uri="{FF2B5EF4-FFF2-40B4-BE49-F238E27FC236}">
              <a16:creationId xmlns:a16="http://schemas.microsoft.com/office/drawing/2014/main" id="{00000000-0008-0000-0900-000011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93700" y="5499100"/>
          <a:ext cx="14605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3</xdr:col>
          <xdr:colOff>19050</xdr:colOff>
          <xdr:row>6</xdr:row>
          <xdr:rowOff>0</xdr:rowOff>
        </xdr:from>
        <xdr:to>
          <xdr:col>6</xdr:col>
          <xdr:colOff>9525</xdr:colOff>
          <xdr:row>7</xdr:row>
          <xdr:rowOff>0</xdr:rowOff>
        </xdr:to>
        <xdr:sp macro="" textlink="">
          <xdr:nvSpPr>
            <xdr:cNvPr id="155651" name="Drop Down 3" hidden="1">
              <a:extLst>
                <a:ext uri="{63B3BB69-23CF-44E3-9099-C40C66FF867C}">
                  <a14:compatExt spid="_x0000_s155651"/>
                </a:ext>
                <a:ext uri="{FF2B5EF4-FFF2-40B4-BE49-F238E27FC236}">
                  <a16:creationId xmlns:a16="http://schemas.microsoft.com/office/drawing/2014/main" id="{00000000-0008-0000-0900-0000036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9</xdr:row>
          <xdr:rowOff>9525</xdr:rowOff>
        </xdr:from>
        <xdr:to>
          <xdr:col>3</xdr:col>
          <xdr:colOff>19050</xdr:colOff>
          <xdr:row>10</xdr:row>
          <xdr:rowOff>0</xdr:rowOff>
        </xdr:to>
        <xdr:sp macro="" textlink="">
          <xdr:nvSpPr>
            <xdr:cNvPr id="155653" name="Drop Down 5" hidden="1">
              <a:extLst>
                <a:ext uri="{63B3BB69-23CF-44E3-9099-C40C66FF867C}">
                  <a14:compatExt spid="_x0000_s155653"/>
                </a:ext>
                <a:ext uri="{FF2B5EF4-FFF2-40B4-BE49-F238E27FC236}">
                  <a16:creationId xmlns:a16="http://schemas.microsoft.com/office/drawing/2014/main" id="{00000000-0008-0000-0900-0000056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20</xdr:row>
          <xdr:rowOff>9525</xdr:rowOff>
        </xdr:from>
        <xdr:to>
          <xdr:col>2</xdr:col>
          <xdr:colOff>571500</xdr:colOff>
          <xdr:row>20</xdr:row>
          <xdr:rowOff>200025</xdr:rowOff>
        </xdr:to>
        <xdr:sp macro="" textlink="">
          <xdr:nvSpPr>
            <xdr:cNvPr id="155654" name="Drop Down 6" hidden="1">
              <a:extLst>
                <a:ext uri="{63B3BB69-23CF-44E3-9099-C40C66FF867C}">
                  <a14:compatExt spid="_x0000_s155654"/>
                </a:ext>
                <a:ext uri="{FF2B5EF4-FFF2-40B4-BE49-F238E27FC236}">
                  <a16:creationId xmlns:a16="http://schemas.microsoft.com/office/drawing/2014/main" id="{00000000-0008-0000-0900-0000066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xdr:row>
          <xdr:rowOff>9525</xdr:rowOff>
        </xdr:from>
        <xdr:to>
          <xdr:col>8</xdr:col>
          <xdr:colOff>571500</xdr:colOff>
          <xdr:row>4</xdr:row>
          <xdr:rowOff>0</xdr:rowOff>
        </xdr:to>
        <xdr:sp macro="" textlink="">
          <xdr:nvSpPr>
            <xdr:cNvPr id="155655" name="Drop Down 7" hidden="1">
              <a:extLst>
                <a:ext uri="{63B3BB69-23CF-44E3-9099-C40C66FF867C}">
                  <a14:compatExt spid="_x0000_s155655"/>
                </a:ext>
                <a:ext uri="{FF2B5EF4-FFF2-40B4-BE49-F238E27FC236}">
                  <a16:creationId xmlns:a16="http://schemas.microsoft.com/office/drawing/2014/main" id="{00000000-0008-0000-0900-0000076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oneCellAnchor>
    <xdr:from>
      <xdr:col>9</xdr:col>
      <xdr:colOff>311150</xdr:colOff>
      <xdr:row>4</xdr:row>
      <xdr:rowOff>25400</xdr:rowOff>
    </xdr:from>
    <xdr:ext cx="146050" cy="165100"/>
    <xdr:pic>
      <xdr:nvPicPr>
        <xdr:cNvPr id="29" name="Obrázek 28" descr="Info.gif">
          <a:extLst>
            <a:ext uri="{FF2B5EF4-FFF2-40B4-BE49-F238E27FC236}">
              <a16:creationId xmlns:a16="http://schemas.microsoft.com/office/drawing/2014/main" id="{00000000-0008-0000-0900-00001D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226050" y="577850"/>
          <a:ext cx="1460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25400</xdr:colOff>
      <xdr:row>25</xdr:row>
      <xdr:rowOff>19050</xdr:rowOff>
    </xdr:from>
    <xdr:ext cx="184150" cy="165100"/>
    <xdr:pic>
      <xdr:nvPicPr>
        <xdr:cNvPr id="30" name="Obrázek 16" descr="Weight.gif">
          <a:extLst>
            <a:ext uri="{FF2B5EF4-FFF2-40B4-BE49-F238E27FC236}">
              <a16:creationId xmlns:a16="http://schemas.microsoft.com/office/drawing/2014/main" id="{00000000-0008-0000-0900-00001E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800" y="2800350"/>
          <a:ext cx="1841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37</xdr:col>
      <xdr:colOff>6350</xdr:colOff>
      <xdr:row>100</xdr:row>
      <xdr:rowOff>19050</xdr:rowOff>
    </xdr:from>
    <xdr:to>
      <xdr:col>44</xdr:col>
      <xdr:colOff>180975</xdr:colOff>
      <xdr:row>129</xdr:row>
      <xdr:rowOff>86784</xdr:rowOff>
    </xdr:to>
    <xdr:pic>
      <xdr:nvPicPr>
        <xdr:cNvPr id="3" name="Obrázek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6"/>
        <a:stretch>
          <a:fillRect/>
        </a:stretch>
      </xdr:blipFill>
      <xdr:spPr>
        <a:xfrm>
          <a:off x="7645400" y="17627600"/>
          <a:ext cx="8413750" cy="559540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37</xdr:col>
      <xdr:colOff>25400</xdr:colOff>
      <xdr:row>101</xdr:row>
      <xdr:rowOff>57150</xdr:rowOff>
    </xdr:from>
    <xdr:to>
      <xdr:col>40</xdr:col>
      <xdr:colOff>619125</xdr:colOff>
      <xdr:row>112</xdr:row>
      <xdr:rowOff>142875</xdr:rowOff>
    </xdr:to>
    <xdr:pic>
      <xdr:nvPicPr>
        <xdr:cNvPr id="2" name="Obrázek 11" descr="Aventos HF_asym_W.jp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2250" y="43859450"/>
          <a:ext cx="3848100" cy="218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158750</xdr:colOff>
      <xdr:row>6</xdr:row>
      <xdr:rowOff>0</xdr:rowOff>
    </xdr:from>
    <xdr:to>
      <xdr:col>12</xdr:col>
      <xdr:colOff>0</xdr:colOff>
      <xdr:row>9</xdr:row>
      <xdr:rowOff>57150</xdr:rowOff>
    </xdr:to>
    <xdr:pic>
      <xdr:nvPicPr>
        <xdr:cNvPr id="12" name="Obrázek 18" descr="S_front_HF_wa_wa.gif">
          <a:extLst>
            <a:ext uri="{FF2B5EF4-FFF2-40B4-BE49-F238E27FC236}">
              <a16:creationId xmlns:a16="http://schemas.microsoft.com/office/drawing/2014/main" id="{00000000-0008-0000-0A00-00000C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29350" y="1041400"/>
          <a:ext cx="105410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292100</xdr:colOff>
      <xdr:row>35</xdr:row>
      <xdr:rowOff>146050</xdr:rowOff>
    </xdr:from>
    <xdr:to>
      <xdr:col>1</xdr:col>
      <xdr:colOff>428625</xdr:colOff>
      <xdr:row>36</xdr:row>
      <xdr:rowOff>133350</xdr:rowOff>
    </xdr:to>
    <xdr:pic>
      <xdr:nvPicPr>
        <xdr:cNvPr id="14" name="Obrázek 19" descr="Info.gif">
          <a:extLst>
            <a:ext uri="{FF2B5EF4-FFF2-40B4-BE49-F238E27FC236}">
              <a16:creationId xmlns:a16="http://schemas.microsoft.com/office/drawing/2014/main" id="{00000000-0008-0000-0A00-00000E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5499100"/>
          <a:ext cx="1397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304800</xdr:colOff>
      <xdr:row>119</xdr:row>
      <xdr:rowOff>19050</xdr:rowOff>
    </xdr:from>
    <xdr:to>
      <xdr:col>1</xdr:col>
      <xdr:colOff>447675</xdr:colOff>
      <xdr:row>119</xdr:row>
      <xdr:rowOff>171450</xdr:rowOff>
    </xdr:to>
    <xdr:pic>
      <xdr:nvPicPr>
        <xdr:cNvPr id="15" name="Obrázek 20" descr="Info.gif">
          <a:extLst>
            <a:ext uri="{FF2B5EF4-FFF2-40B4-BE49-F238E27FC236}">
              <a16:creationId xmlns:a16="http://schemas.microsoft.com/office/drawing/2014/main" id="{00000000-0008-0000-0A00-00000F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3700" y="20891500"/>
          <a:ext cx="146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44450</xdr:colOff>
      <xdr:row>139</xdr:row>
      <xdr:rowOff>38100</xdr:rowOff>
    </xdr:from>
    <xdr:to>
      <xdr:col>1</xdr:col>
      <xdr:colOff>190500</xdr:colOff>
      <xdr:row>139</xdr:row>
      <xdr:rowOff>190500</xdr:rowOff>
    </xdr:to>
    <xdr:pic>
      <xdr:nvPicPr>
        <xdr:cNvPr id="18" name="Obrázek 25" descr="Help.gif">
          <a:extLst>
            <a:ext uri="{FF2B5EF4-FFF2-40B4-BE49-F238E27FC236}">
              <a16:creationId xmlns:a16="http://schemas.microsoft.com/office/drawing/2014/main" id="{00000000-0008-0000-0A00-000012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3350" y="58566050"/>
          <a:ext cx="146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38100</xdr:colOff>
      <xdr:row>171</xdr:row>
      <xdr:rowOff>139700</xdr:rowOff>
    </xdr:from>
    <xdr:to>
      <xdr:col>1</xdr:col>
      <xdr:colOff>485775</xdr:colOff>
      <xdr:row>173</xdr:row>
      <xdr:rowOff>0</xdr:rowOff>
    </xdr:to>
    <xdr:pic>
      <xdr:nvPicPr>
        <xdr:cNvPr id="19" name="Obrázek 21" descr="Alu_narr.gif">
          <a:extLst>
            <a:ext uri="{FF2B5EF4-FFF2-40B4-BE49-F238E27FC236}">
              <a16:creationId xmlns:a16="http://schemas.microsoft.com/office/drawing/2014/main" id="{00000000-0008-0000-0A00-000013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27000" y="63614300"/>
          <a:ext cx="45085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38100</xdr:colOff>
      <xdr:row>173</xdr:row>
      <xdr:rowOff>120650</xdr:rowOff>
    </xdr:from>
    <xdr:to>
      <xdr:col>1</xdr:col>
      <xdr:colOff>476250</xdr:colOff>
      <xdr:row>174</xdr:row>
      <xdr:rowOff>123825</xdr:rowOff>
    </xdr:to>
    <xdr:pic>
      <xdr:nvPicPr>
        <xdr:cNvPr id="20" name="Picture 31">
          <a:extLst>
            <a:ext uri="{FF2B5EF4-FFF2-40B4-BE49-F238E27FC236}">
              <a16:creationId xmlns:a16="http://schemas.microsoft.com/office/drawing/2014/main" id="{00000000-0008-0000-0A00-000014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27000" y="63887350"/>
          <a:ext cx="438150" cy="17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0</xdr:rowOff>
    </xdr:from>
    <xdr:to>
      <xdr:col>1</xdr:col>
      <xdr:colOff>238125</xdr:colOff>
      <xdr:row>5</xdr:row>
      <xdr:rowOff>266700</xdr:rowOff>
    </xdr:to>
    <xdr:pic>
      <xdr:nvPicPr>
        <xdr:cNvPr id="21" name="Obrázek 11" descr="Notice.gif">
          <a:extLst>
            <a:ext uri="{FF2B5EF4-FFF2-40B4-BE49-F238E27FC236}">
              <a16:creationId xmlns:a16="http://schemas.microsoft.com/office/drawing/2014/main" id="{00000000-0008-0000-0A00-000015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88900" y="692150"/>
          <a:ext cx="2413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127000</xdr:colOff>
      <xdr:row>5</xdr:row>
      <xdr:rowOff>50800</xdr:rowOff>
    </xdr:from>
    <xdr:to>
      <xdr:col>2</xdr:col>
      <xdr:colOff>568325</xdr:colOff>
      <xdr:row>5</xdr:row>
      <xdr:rowOff>228600</xdr:rowOff>
    </xdr:to>
    <xdr:pic>
      <xdr:nvPicPr>
        <xdr:cNvPr id="22" name="Obrázek 22" descr="Alu_narr.gif">
          <a:extLst>
            <a:ext uri="{FF2B5EF4-FFF2-40B4-BE49-F238E27FC236}">
              <a16:creationId xmlns:a16="http://schemas.microsoft.com/office/drawing/2014/main" id="{00000000-0008-0000-0A00-000016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23900" y="742950"/>
          <a:ext cx="450850" cy="17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133350</xdr:colOff>
      <xdr:row>5</xdr:row>
      <xdr:rowOff>31750</xdr:rowOff>
    </xdr:from>
    <xdr:to>
      <xdr:col>4</xdr:col>
      <xdr:colOff>568325</xdr:colOff>
      <xdr:row>5</xdr:row>
      <xdr:rowOff>238125</xdr:rowOff>
    </xdr:to>
    <xdr:pic>
      <xdr:nvPicPr>
        <xdr:cNvPr id="23" name="Obrázek 23" descr="Alu_wide.gif">
          <a:extLst>
            <a:ext uri="{FF2B5EF4-FFF2-40B4-BE49-F238E27FC236}">
              <a16:creationId xmlns:a16="http://schemas.microsoft.com/office/drawing/2014/main" id="{00000000-0008-0000-0A00-000017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46250" y="723900"/>
          <a:ext cx="444500"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3</xdr:col>
          <xdr:colOff>19050</xdr:colOff>
          <xdr:row>6</xdr:row>
          <xdr:rowOff>9525</xdr:rowOff>
        </xdr:from>
        <xdr:to>
          <xdr:col>6</xdr:col>
          <xdr:colOff>0</xdr:colOff>
          <xdr:row>7</xdr:row>
          <xdr:rowOff>9525</xdr:rowOff>
        </xdr:to>
        <xdr:sp macro="" textlink="">
          <xdr:nvSpPr>
            <xdr:cNvPr id="156675" name="Drop Down 3" hidden="1">
              <a:extLst>
                <a:ext uri="{63B3BB69-23CF-44E3-9099-C40C66FF867C}">
                  <a14:compatExt spid="_x0000_s156675"/>
                </a:ext>
                <a:ext uri="{FF2B5EF4-FFF2-40B4-BE49-F238E27FC236}">
                  <a16:creationId xmlns:a16="http://schemas.microsoft.com/office/drawing/2014/main" id="{00000000-0008-0000-0A00-0000036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9</xdr:row>
          <xdr:rowOff>9525</xdr:rowOff>
        </xdr:from>
        <xdr:to>
          <xdr:col>3</xdr:col>
          <xdr:colOff>9525</xdr:colOff>
          <xdr:row>9</xdr:row>
          <xdr:rowOff>200025</xdr:rowOff>
        </xdr:to>
        <xdr:sp macro="" textlink="">
          <xdr:nvSpPr>
            <xdr:cNvPr id="156680" name="Drop Down 8" hidden="1">
              <a:extLst>
                <a:ext uri="{63B3BB69-23CF-44E3-9099-C40C66FF867C}">
                  <a14:compatExt spid="_x0000_s156680"/>
                </a:ext>
                <a:ext uri="{FF2B5EF4-FFF2-40B4-BE49-F238E27FC236}">
                  <a16:creationId xmlns:a16="http://schemas.microsoft.com/office/drawing/2014/main" id="{00000000-0008-0000-0A00-0000086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20</xdr:row>
          <xdr:rowOff>9525</xdr:rowOff>
        </xdr:from>
        <xdr:to>
          <xdr:col>2</xdr:col>
          <xdr:colOff>571500</xdr:colOff>
          <xdr:row>20</xdr:row>
          <xdr:rowOff>200025</xdr:rowOff>
        </xdr:to>
        <xdr:sp macro="" textlink="">
          <xdr:nvSpPr>
            <xdr:cNvPr id="156681" name="Drop Down 9" hidden="1">
              <a:extLst>
                <a:ext uri="{63B3BB69-23CF-44E3-9099-C40C66FF867C}">
                  <a14:compatExt spid="_x0000_s156681"/>
                </a:ext>
                <a:ext uri="{FF2B5EF4-FFF2-40B4-BE49-F238E27FC236}">
                  <a16:creationId xmlns:a16="http://schemas.microsoft.com/office/drawing/2014/main" id="{00000000-0008-0000-0A00-0000096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476250</xdr:colOff>
          <xdr:row>5</xdr:row>
          <xdr:rowOff>28575</xdr:rowOff>
        </xdr:from>
        <xdr:to>
          <xdr:col>2</xdr:col>
          <xdr:colOff>161925</xdr:colOff>
          <xdr:row>5</xdr:row>
          <xdr:rowOff>247650</xdr:rowOff>
        </xdr:to>
        <xdr:sp macro="" textlink="">
          <xdr:nvSpPr>
            <xdr:cNvPr id="156682" name="Option Button 10" hidden="1">
              <a:extLst>
                <a:ext uri="{63B3BB69-23CF-44E3-9099-C40C66FF867C}">
                  <a14:compatExt spid="_x0000_s156682"/>
                </a:ext>
                <a:ext uri="{FF2B5EF4-FFF2-40B4-BE49-F238E27FC236}">
                  <a16:creationId xmlns:a16="http://schemas.microsoft.com/office/drawing/2014/main" id="{00000000-0008-0000-0A00-00000A6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485775</xdr:colOff>
          <xdr:row>5</xdr:row>
          <xdr:rowOff>38100</xdr:rowOff>
        </xdr:from>
        <xdr:to>
          <xdr:col>4</xdr:col>
          <xdr:colOff>171450</xdr:colOff>
          <xdr:row>5</xdr:row>
          <xdr:rowOff>247650</xdr:rowOff>
        </xdr:to>
        <xdr:sp macro="" textlink="">
          <xdr:nvSpPr>
            <xdr:cNvPr id="156683" name="Option Button 11" hidden="1">
              <a:extLst>
                <a:ext uri="{63B3BB69-23CF-44E3-9099-C40C66FF867C}">
                  <a14:compatExt spid="_x0000_s156683"/>
                </a:ext>
                <a:ext uri="{FF2B5EF4-FFF2-40B4-BE49-F238E27FC236}">
                  <a16:creationId xmlns:a16="http://schemas.microsoft.com/office/drawing/2014/main" id="{00000000-0008-0000-0A00-00000B6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3</xdr:col>
      <xdr:colOff>25400</xdr:colOff>
      <xdr:row>14</xdr:row>
      <xdr:rowOff>19050</xdr:rowOff>
    </xdr:from>
    <xdr:to>
      <xdr:col>3</xdr:col>
      <xdr:colOff>209550</xdr:colOff>
      <xdr:row>14</xdr:row>
      <xdr:rowOff>180975</xdr:rowOff>
    </xdr:to>
    <xdr:pic>
      <xdr:nvPicPr>
        <xdr:cNvPr id="33" name="Obrázek 16" descr="Weight.gif">
          <a:extLst>
            <a:ext uri="{FF2B5EF4-FFF2-40B4-BE49-F238E27FC236}">
              <a16:creationId xmlns:a16="http://schemas.microsoft.com/office/drawing/2014/main" id="{00000000-0008-0000-0A00-000021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320800" y="2800350"/>
          <a:ext cx="1841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25400</xdr:colOff>
      <xdr:row>25</xdr:row>
      <xdr:rowOff>19050</xdr:rowOff>
    </xdr:from>
    <xdr:to>
      <xdr:col>3</xdr:col>
      <xdr:colOff>209550</xdr:colOff>
      <xdr:row>25</xdr:row>
      <xdr:rowOff>180975</xdr:rowOff>
    </xdr:to>
    <xdr:pic>
      <xdr:nvPicPr>
        <xdr:cNvPr id="34" name="Obrázek 16" descr="Weight.gif">
          <a:extLst>
            <a:ext uri="{FF2B5EF4-FFF2-40B4-BE49-F238E27FC236}">
              <a16:creationId xmlns:a16="http://schemas.microsoft.com/office/drawing/2014/main" id="{00000000-0008-0000-0A00-000022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320800" y="2800350"/>
          <a:ext cx="1841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6</xdr:col>
          <xdr:colOff>0</xdr:colOff>
          <xdr:row>3</xdr:row>
          <xdr:rowOff>0</xdr:rowOff>
        </xdr:from>
        <xdr:to>
          <xdr:col>8</xdr:col>
          <xdr:colOff>571500</xdr:colOff>
          <xdr:row>3</xdr:row>
          <xdr:rowOff>200025</xdr:rowOff>
        </xdr:to>
        <xdr:sp macro="" textlink="">
          <xdr:nvSpPr>
            <xdr:cNvPr id="156685" name="Drop Down 13" hidden="1">
              <a:extLst>
                <a:ext uri="{63B3BB69-23CF-44E3-9099-C40C66FF867C}">
                  <a14:compatExt spid="_x0000_s156685"/>
                </a:ext>
                <a:ext uri="{FF2B5EF4-FFF2-40B4-BE49-F238E27FC236}">
                  <a16:creationId xmlns:a16="http://schemas.microsoft.com/office/drawing/2014/main" id="{00000000-0008-0000-0A00-00000D6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oneCellAnchor>
    <xdr:from>
      <xdr:col>9</xdr:col>
      <xdr:colOff>311150</xdr:colOff>
      <xdr:row>4</xdr:row>
      <xdr:rowOff>25400</xdr:rowOff>
    </xdr:from>
    <xdr:ext cx="146050" cy="165100"/>
    <xdr:pic>
      <xdr:nvPicPr>
        <xdr:cNvPr id="37" name="Obrázek 36" descr="Info.gif">
          <a:extLst>
            <a:ext uri="{FF2B5EF4-FFF2-40B4-BE49-F238E27FC236}">
              <a16:creationId xmlns:a16="http://schemas.microsoft.com/office/drawing/2014/main" id="{00000000-0008-0000-0A00-000025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26050" y="577850"/>
          <a:ext cx="1460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xdr:col>
      <xdr:colOff>304800</xdr:colOff>
      <xdr:row>119</xdr:row>
      <xdr:rowOff>12700</xdr:rowOff>
    </xdr:from>
    <xdr:to>
      <xdr:col>1</xdr:col>
      <xdr:colOff>447675</xdr:colOff>
      <xdr:row>119</xdr:row>
      <xdr:rowOff>171450</xdr:rowOff>
    </xdr:to>
    <xdr:pic>
      <xdr:nvPicPr>
        <xdr:cNvPr id="3" name="Obrázek 27" descr="Info.gif">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21088350"/>
          <a:ext cx="1397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37</xdr:col>
      <xdr:colOff>25400</xdr:colOff>
      <xdr:row>101</xdr:row>
      <xdr:rowOff>57150</xdr:rowOff>
    </xdr:from>
    <xdr:to>
      <xdr:col>41</xdr:col>
      <xdr:colOff>28575</xdr:colOff>
      <xdr:row>112</xdr:row>
      <xdr:rowOff>142875</xdr:rowOff>
    </xdr:to>
    <xdr:pic>
      <xdr:nvPicPr>
        <xdr:cNvPr id="2" name="Obrázek 11" descr="Aventos HF_asym_W.jpg">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2250" y="43980100"/>
          <a:ext cx="4178300" cy="218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171450</xdr:colOff>
      <xdr:row>33</xdr:row>
      <xdr:rowOff>31750</xdr:rowOff>
    </xdr:from>
    <xdr:to>
      <xdr:col>1</xdr:col>
      <xdr:colOff>409575</xdr:colOff>
      <xdr:row>34</xdr:row>
      <xdr:rowOff>123825</xdr:rowOff>
    </xdr:to>
    <xdr:pic>
      <xdr:nvPicPr>
        <xdr:cNvPr id="7" name="Obrázek 10" descr="Notice.gif">
          <a:extLst>
            <a:ext uri="{FF2B5EF4-FFF2-40B4-BE49-F238E27FC236}">
              <a16:creationId xmlns:a16="http://schemas.microsoft.com/office/drawing/2014/main" id="{00000000-0008-0000-0B00-000007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0350" y="5080000"/>
          <a:ext cx="2413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158750</xdr:colOff>
      <xdr:row>5</xdr:row>
      <xdr:rowOff>279400</xdr:rowOff>
    </xdr:from>
    <xdr:to>
      <xdr:col>12</xdr:col>
      <xdr:colOff>0</xdr:colOff>
      <xdr:row>9</xdr:row>
      <xdr:rowOff>47625</xdr:rowOff>
    </xdr:to>
    <xdr:pic>
      <xdr:nvPicPr>
        <xdr:cNvPr id="14" name="Obrázek 19" descr="S_front_HF_w_wa.gif">
          <a:extLst>
            <a:ext uri="{FF2B5EF4-FFF2-40B4-BE49-F238E27FC236}">
              <a16:creationId xmlns:a16="http://schemas.microsoft.com/office/drawing/2014/main" id="{00000000-0008-0000-0B00-00000E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0150" y="1035050"/>
          <a:ext cx="105410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279400</xdr:colOff>
      <xdr:row>35</xdr:row>
      <xdr:rowOff>133350</xdr:rowOff>
    </xdr:from>
    <xdr:to>
      <xdr:col>1</xdr:col>
      <xdr:colOff>428625</xdr:colOff>
      <xdr:row>36</xdr:row>
      <xdr:rowOff>123825</xdr:rowOff>
    </xdr:to>
    <xdr:pic>
      <xdr:nvPicPr>
        <xdr:cNvPr id="18" name="Obrázek 23" descr="Info.gif">
          <a:extLst>
            <a:ext uri="{FF2B5EF4-FFF2-40B4-BE49-F238E27FC236}">
              <a16:creationId xmlns:a16="http://schemas.microsoft.com/office/drawing/2014/main" id="{00000000-0008-0000-0B00-000012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68300" y="5486400"/>
          <a:ext cx="1460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342900</xdr:colOff>
      <xdr:row>119</xdr:row>
      <xdr:rowOff>19050</xdr:rowOff>
    </xdr:from>
    <xdr:to>
      <xdr:col>1</xdr:col>
      <xdr:colOff>485775</xdr:colOff>
      <xdr:row>119</xdr:row>
      <xdr:rowOff>171450</xdr:rowOff>
    </xdr:to>
    <xdr:pic>
      <xdr:nvPicPr>
        <xdr:cNvPr id="19" name="Obrázek 24" descr="Info.gif">
          <a:extLst>
            <a:ext uri="{FF2B5EF4-FFF2-40B4-BE49-F238E27FC236}">
              <a16:creationId xmlns:a16="http://schemas.microsoft.com/office/drawing/2014/main" id="{00000000-0008-0000-0B00-000013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1800" y="20961350"/>
          <a:ext cx="1397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44450</xdr:colOff>
      <xdr:row>138</xdr:row>
      <xdr:rowOff>38100</xdr:rowOff>
    </xdr:from>
    <xdr:to>
      <xdr:col>1</xdr:col>
      <xdr:colOff>190500</xdr:colOff>
      <xdr:row>138</xdr:row>
      <xdr:rowOff>152400</xdr:rowOff>
    </xdr:to>
    <xdr:pic>
      <xdr:nvPicPr>
        <xdr:cNvPr id="20" name="Obrázek 25" descr="Help.gif">
          <a:extLst>
            <a:ext uri="{FF2B5EF4-FFF2-40B4-BE49-F238E27FC236}">
              <a16:creationId xmlns:a16="http://schemas.microsoft.com/office/drawing/2014/main" id="{00000000-0008-0000-0B00-000014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33350" y="58540650"/>
          <a:ext cx="1460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0</xdr:rowOff>
    </xdr:from>
    <xdr:to>
      <xdr:col>1</xdr:col>
      <xdr:colOff>238125</xdr:colOff>
      <xdr:row>5</xdr:row>
      <xdr:rowOff>266700</xdr:rowOff>
    </xdr:to>
    <xdr:pic>
      <xdr:nvPicPr>
        <xdr:cNvPr id="21" name="Obrázek 11" descr="Notice.gif">
          <a:extLst>
            <a:ext uri="{FF2B5EF4-FFF2-40B4-BE49-F238E27FC236}">
              <a16:creationId xmlns:a16="http://schemas.microsoft.com/office/drawing/2014/main" id="{00000000-0008-0000-0B00-00001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8900" y="692150"/>
          <a:ext cx="2413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577850</xdr:colOff>
      <xdr:row>5</xdr:row>
      <xdr:rowOff>63500</xdr:rowOff>
    </xdr:from>
    <xdr:to>
      <xdr:col>2</xdr:col>
      <xdr:colOff>428625</xdr:colOff>
      <xdr:row>5</xdr:row>
      <xdr:rowOff>238125</xdr:rowOff>
    </xdr:to>
    <xdr:pic>
      <xdr:nvPicPr>
        <xdr:cNvPr id="22" name="Obrázek 25" descr="Alu_narr.gif">
          <a:extLst>
            <a:ext uri="{FF2B5EF4-FFF2-40B4-BE49-F238E27FC236}">
              <a16:creationId xmlns:a16="http://schemas.microsoft.com/office/drawing/2014/main" id="{00000000-0008-0000-0B00-000016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666750" y="819150"/>
          <a:ext cx="450850" cy="17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546100</xdr:colOff>
      <xdr:row>5</xdr:row>
      <xdr:rowOff>31750</xdr:rowOff>
    </xdr:from>
    <xdr:to>
      <xdr:col>4</xdr:col>
      <xdr:colOff>390525</xdr:colOff>
      <xdr:row>5</xdr:row>
      <xdr:rowOff>238125</xdr:rowOff>
    </xdr:to>
    <xdr:pic>
      <xdr:nvPicPr>
        <xdr:cNvPr id="23" name="Obrázek 26" descr="Alu_wide.gif">
          <a:extLst>
            <a:ext uri="{FF2B5EF4-FFF2-40B4-BE49-F238E27FC236}">
              <a16:creationId xmlns:a16="http://schemas.microsoft.com/office/drawing/2014/main" id="{00000000-0008-0000-0B00-000017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841500" y="787400"/>
          <a:ext cx="444500"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38100</xdr:colOff>
      <xdr:row>170</xdr:row>
      <xdr:rowOff>139700</xdr:rowOff>
    </xdr:from>
    <xdr:to>
      <xdr:col>1</xdr:col>
      <xdr:colOff>485775</xdr:colOff>
      <xdr:row>172</xdr:row>
      <xdr:rowOff>0</xdr:rowOff>
    </xdr:to>
    <xdr:pic>
      <xdr:nvPicPr>
        <xdr:cNvPr id="28" name="Obrázek 21" descr="Alu_narr.gif">
          <a:extLst>
            <a:ext uri="{FF2B5EF4-FFF2-40B4-BE49-F238E27FC236}">
              <a16:creationId xmlns:a16="http://schemas.microsoft.com/office/drawing/2014/main" id="{00000000-0008-0000-0B00-00001C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27000" y="63652400"/>
          <a:ext cx="45085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38100</xdr:colOff>
      <xdr:row>172</xdr:row>
      <xdr:rowOff>120650</xdr:rowOff>
    </xdr:from>
    <xdr:to>
      <xdr:col>1</xdr:col>
      <xdr:colOff>476250</xdr:colOff>
      <xdr:row>173</xdr:row>
      <xdr:rowOff>123825</xdr:rowOff>
    </xdr:to>
    <xdr:pic>
      <xdr:nvPicPr>
        <xdr:cNvPr id="29" name="Picture 31">
          <a:extLst>
            <a:ext uri="{FF2B5EF4-FFF2-40B4-BE49-F238E27FC236}">
              <a16:creationId xmlns:a16="http://schemas.microsoft.com/office/drawing/2014/main" id="{00000000-0008-0000-0B00-00001D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27000" y="63925450"/>
          <a:ext cx="438150" cy="17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3</xdr:col>
          <xdr:colOff>19050</xdr:colOff>
          <xdr:row>6</xdr:row>
          <xdr:rowOff>9525</xdr:rowOff>
        </xdr:from>
        <xdr:to>
          <xdr:col>6</xdr:col>
          <xdr:colOff>9525</xdr:colOff>
          <xdr:row>7</xdr:row>
          <xdr:rowOff>0</xdr:rowOff>
        </xdr:to>
        <xdr:sp macro="" textlink="">
          <xdr:nvSpPr>
            <xdr:cNvPr id="157699" name="Drop Down 3" hidden="1">
              <a:extLst>
                <a:ext uri="{63B3BB69-23CF-44E3-9099-C40C66FF867C}">
                  <a14:compatExt spid="_x0000_s157699"/>
                </a:ext>
                <a:ext uri="{FF2B5EF4-FFF2-40B4-BE49-F238E27FC236}">
                  <a16:creationId xmlns:a16="http://schemas.microsoft.com/office/drawing/2014/main" id="{00000000-0008-0000-0B00-0000036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352425</xdr:colOff>
          <xdr:row>5</xdr:row>
          <xdr:rowOff>38100</xdr:rowOff>
        </xdr:from>
        <xdr:to>
          <xdr:col>2</xdr:col>
          <xdr:colOff>38100</xdr:colOff>
          <xdr:row>5</xdr:row>
          <xdr:rowOff>247650</xdr:rowOff>
        </xdr:to>
        <xdr:sp macro="" textlink="">
          <xdr:nvSpPr>
            <xdr:cNvPr id="157702" name="Option Button 6" hidden="1">
              <a:extLst>
                <a:ext uri="{63B3BB69-23CF-44E3-9099-C40C66FF867C}">
                  <a14:compatExt spid="_x0000_s157702"/>
                </a:ext>
                <a:ext uri="{FF2B5EF4-FFF2-40B4-BE49-F238E27FC236}">
                  <a16:creationId xmlns:a16="http://schemas.microsoft.com/office/drawing/2014/main" id="{00000000-0008-0000-0B00-000006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5</xdr:row>
          <xdr:rowOff>57150</xdr:rowOff>
        </xdr:from>
        <xdr:to>
          <xdr:col>4</xdr:col>
          <xdr:colOff>19050</xdr:colOff>
          <xdr:row>5</xdr:row>
          <xdr:rowOff>266700</xdr:rowOff>
        </xdr:to>
        <xdr:sp macro="" textlink="">
          <xdr:nvSpPr>
            <xdr:cNvPr id="157703" name="Option Button 7" hidden="1">
              <a:extLst>
                <a:ext uri="{63B3BB69-23CF-44E3-9099-C40C66FF867C}">
                  <a14:compatExt spid="_x0000_s157703"/>
                </a:ext>
                <a:ext uri="{FF2B5EF4-FFF2-40B4-BE49-F238E27FC236}">
                  <a16:creationId xmlns:a16="http://schemas.microsoft.com/office/drawing/2014/main" id="{00000000-0008-0000-0B00-000007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9</xdr:row>
          <xdr:rowOff>9525</xdr:rowOff>
        </xdr:from>
        <xdr:to>
          <xdr:col>3</xdr:col>
          <xdr:colOff>9525</xdr:colOff>
          <xdr:row>9</xdr:row>
          <xdr:rowOff>200025</xdr:rowOff>
        </xdr:to>
        <xdr:sp macro="" textlink="">
          <xdr:nvSpPr>
            <xdr:cNvPr id="157704" name="Drop Down 8" hidden="1">
              <a:extLst>
                <a:ext uri="{63B3BB69-23CF-44E3-9099-C40C66FF867C}">
                  <a14:compatExt spid="_x0000_s157704"/>
                </a:ext>
                <a:ext uri="{FF2B5EF4-FFF2-40B4-BE49-F238E27FC236}">
                  <a16:creationId xmlns:a16="http://schemas.microsoft.com/office/drawing/2014/main" id="{00000000-0008-0000-0B00-0000086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20</xdr:row>
          <xdr:rowOff>9525</xdr:rowOff>
        </xdr:from>
        <xdr:to>
          <xdr:col>2</xdr:col>
          <xdr:colOff>571500</xdr:colOff>
          <xdr:row>20</xdr:row>
          <xdr:rowOff>200025</xdr:rowOff>
        </xdr:to>
        <xdr:sp macro="" textlink="">
          <xdr:nvSpPr>
            <xdr:cNvPr id="157705" name="Drop Down 9" hidden="1">
              <a:extLst>
                <a:ext uri="{63B3BB69-23CF-44E3-9099-C40C66FF867C}">
                  <a14:compatExt spid="_x0000_s157705"/>
                </a:ext>
                <a:ext uri="{FF2B5EF4-FFF2-40B4-BE49-F238E27FC236}">
                  <a16:creationId xmlns:a16="http://schemas.microsoft.com/office/drawing/2014/main" id="{00000000-0008-0000-0B00-0000096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3</xdr:col>
      <xdr:colOff>25400</xdr:colOff>
      <xdr:row>14</xdr:row>
      <xdr:rowOff>19050</xdr:rowOff>
    </xdr:from>
    <xdr:to>
      <xdr:col>3</xdr:col>
      <xdr:colOff>209550</xdr:colOff>
      <xdr:row>14</xdr:row>
      <xdr:rowOff>180975</xdr:rowOff>
    </xdr:to>
    <xdr:pic>
      <xdr:nvPicPr>
        <xdr:cNvPr id="38" name="Obrázek 16" descr="Weight.gif">
          <a:extLst>
            <a:ext uri="{FF2B5EF4-FFF2-40B4-BE49-F238E27FC236}">
              <a16:creationId xmlns:a16="http://schemas.microsoft.com/office/drawing/2014/main" id="{00000000-0008-0000-0B00-000026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320800" y="2800350"/>
          <a:ext cx="1841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25400</xdr:colOff>
      <xdr:row>25</xdr:row>
      <xdr:rowOff>19050</xdr:rowOff>
    </xdr:from>
    <xdr:to>
      <xdr:col>3</xdr:col>
      <xdr:colOff>209550</xdr:colOff>
      <xdr:row>25</xdr:row>
      <xdr:rowOff>180975</xdr:rowOff>
    </xdr:to>
    <xdr:pic>
      <xdr:nvPicPr>
        <xdr:cNvPr id="39" name="Obrázek 16" descr="Weight.gif">
          <a:extLst>
            <a:ext uri="{FF2B5EF4-FFF2-40B4-BE49-F238E27FC236}">
              <a16:creationId xmlns:a16="http://schemas.microsoft.com/office/drawing/2014/main" id="{00000000-0008-0000-0B00-000027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320800" y="2800350"/>
          <a:ext cx="1841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6</xdr:col>
          <xdr:colOff>0</xdr:colOff>
          <xdr:row>3</xdr:row>
          <xdr:rowOff>0</xdr:rowOff>
        </xdr:from>
        <xdr:to>
          <xdr:col>8</xdr:col>
          <xdr:colOff>571500</xdr:colOff>
          <xdr:row>4</xdr:row>
          <xdr:rowOff>0</xdr:rowOff>
        </xdr:to>
        <xdr:sp macro="" textlink="">
          <xdr:nvSpPr>
            <xdr:cNvPr id="157706" name="Drop Down 10" hidden="1">
              <a:extLst>
                <a:ext uri="{63B3BB69-23CF-44E3-9099-C40C66FF867C}">
                  <a14:compatExt spid="_x0000_s157706"/>
                </a:ext>
                <a:ext uri="{FF2B5EF4-FFF2-40B4-BE49-F238E27FC236}">
                  <a16:creationId xmlns:a16="http://schemas.microsoft.com/office/drawing/2014/main" id="{00000000-0008-0000-0B00-00000A6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xdr:row>
          <xdr:rowOff>0</xdr:rowOff>
        </xdr:from>
        <xdr:to>
          <xdr:col>8</xdr:col>
          <xdr:colOff>571500</xdr:colOff>
          <xdr:row>5</xdr:row>
          <xdr:rowOff>0</xdr:rowOff>
        </xdr:to>
        <xdr:sp macro="" textlink="">
          <xdr:nvSpPr>
            <xdr:cNvPr id="157707" name="Drop Down 11" hidden="1">
              <a:extLst>
                <a:ext uri="{63B3BB69-23CF-44E3-9099-C40C66FF867C}">
                  <a14:compatExt spid="_x0000_s157707"/>
                </a:ext>
                <a:ext uri="{FF2B5EF4-FFF2-40B4-BE49-F238E27FC236}">
                  <a16:creationId xmlns:a16="http://schemas.microsoft.com/office/drawing/2014/main" id="{00000000-0008-0000-0B00-00000B6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9</xdr:col>
      <xdr:colOff>317500</xdr:colOff>
      <xdr:row>5</xdr:row>
      <xdr:rowOff>31750</xdr:rowOff>
    </xdr:from>
    <xdr:to>
      <xdr:col>9</xdr:col>
      <xdr:colOff>454025</xdr:colOff>
      <xdr:row>5</xdr:row>
      <xdr:rowOff>200025</xdr:rowOff>
    </xdr:to>
    <xdr:pic>
      <xdr:nvPicPr>
        <xdr:cNvPr id="44" name="Obrázek 28" descr="Info.gif">
          <a:extLst>
            <a:ext uri="{FF2B5EF4-FFF2-40B4-BE49-F238E27FC236}">
              <a16:creationId xmlns:a16="http://schemas.microsoft.com/office/drawing/2014/main" id="{00000000-0008-0000-0B00-00002C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232400" y="787400"/>
          <a:ext cx="1460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304800</xdr:colOff>
      <xdr:row>119</xdr:row>
      <xdr:rowOff>12700</xdr:rowOff>
    </xdr:from>
    <xdr:to>
      <xdr:col>1</xdr:col>
      <xdr:colOff>444500</xdr:colOff>
      <xdr:row>119</xdr:row>
      <xdr:rowOff>171450</xdr:rowOff>
    </xdr:to>
    <xdr:pic>
      <xdr:nvPicPr>
        <xdr:cNvPr id="3" name="Obrázek 27" descr="Info.gif">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90525" y="21088350"/>
          <a:ext cx="1397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37</xdr:col>
      <xdr:colOff>25400</xdr:colOff>
      <xdr:row>101</xdr:row>
      <xdr:rowOff>57150</xdr:rowOff>
    </xdr:from>
    <xdr:to>
      <xdr:col>41</xdr:col>
      <xdr:colOff>28575</xdr:colOff>
      <xdr:row>112</xdr:row>
      <xdr:rowOff>142875</xdr:rowOff>
    </xdr:to>
    <xdr:pic>
      <xdr:nvPicPr>
        <xdr:cNvPr id="2" name="Obrázek 11" descr="Aventos HF_asym_W.jpg">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2250" y="44094400"/>
          <a:ext cx="4178300" cy="218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171450</xdr:colOff>
      <xdr:row>33</xdr:row>
      <xdr:rowOff>31750</xdr:rowOff>
    </xdr:from>
    <xdr:to>
      <xdr:col>1</xdr:col>
      <xdr:colOff>409575</xdr:colOff>
      <xdr:row>34</xdr:row>
      <xdr:rowOff>123825</xdr:rowOff>
    </xdr:to>
    <xdr:pic>
      <xdr:nvPicPr>
        <xdr:cNvPr id="7" name="Obrázek 9" descr="Notice.gif">
          <a:extLst>
            <a:ext uri="{FF2B5EF4-FFF2-40B4-BE49-F238E27FC236}">
              <a16:creationId xmlns:a16="http://schemas.microsoft.com/office/drawing/2014/main" id="{00000000-0008-0000-0C00-000007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0350" y="5080000"/>
          <a:ext cx="2413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152400</xdr:colOff>
      <xdr:row>6</xdr:row>
      <xdr:rowOff>0</xdr:rowOff>
    </xdr:from>
    <xdr:to>
      <xdr:col>12</xdr:col>
      <xdr:colOff>0</xdr:colOff>
      <xdr:row>9</xdr:row>
      <xdr:rowOff>57150</xdr:rowOff>
    </xdr:to>
    <xdr:pic>
      <xdr:nvPicPr>
        <xdr:cNvPr id="17" name="Obrázek 22" descr="S_front_HF_wa_w.gif">
          <a:extLst>
            <a:ext uri="{FF2B5EF4-FFF2-40B4-BE49-F238E27FC236}">
              <a16:creationId xmlns:a16="http://schemas.microsoft.com/office/drawing/2014/main" id="{00000000-0008-0000-0C00-000011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73800" y="1041400"/>
          <a:ext cx="105410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279400</xdr:colOff>
      <xdr:row>35</xdr:row>
      <xdr:rowOff>146050</xdr:rowOff>
    </xdr:from>
    <xdr:to>
      <xdr:col>1</xdr:col>
      <xdr:colOff>428625</xdr:colOff>
      <xdr:row>36</xdr:row>
      <xdr:rowOff>133350</xdr:rowOff>
    </xdr:to>
    <xdr:pic>
      <xdr:nvPicPr>
        <xdr:cNvPr id="18" name="Obrázek 20" descr="Info.gif">
          <a:extLst>
            <a:ext uri="{FF2B5EF4-FFF2-40B4-BE49-F238E27FC236}">
              <a16:creationId xmlns:a16="http://schemas.microsoft.com/office/drawing/2014/main" id="{00000000-0008-0000-0C00-000012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68300" y="5499100"/>
          <a:ext cx="14605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317500</xdr:colOff>
      <xdr:row>119</xdr:row>
      <xdr:rowOff>19050</xdr:rowOff>
    </xdr:from>
    <xdr:to>
      <xdr:col>1</xdr:col>
      <xdr:colOff>466725</xdr:colOff>
      <xdr:row>119</xdr:row>
      <xdr:rowOff>180975</xdr:rowOff>
    </xdr:to>
    <xdr:pic>
      <xdr:nvPicPr>
        <xdr:cNvPr id="19" name="Obrázek 21" descr="Info.gif">
          <a:extLst>
            <a:ext uri="{FF2B5EF4-FFF2-40B4-BE49-F238E27FC236}">
              <a16:creationId xmlns:a16="http://schemas.microsoft.com/office/drawing/2014/main" id="{00000000-0008-0000-0C00-000013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06400" y="20929600"/>
          <a:ext cx="14605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57150</xdr:colOff>
      <xdr:row>138</xdr:row>
      <xdr:rowOff>38100</xdr:rowOff>
    </xdr:from>
    <xdr:to>
      <xdr:col>1</xdr:col>
      <xdr:colOff>200025</xdr:colOff>
      <xdr:row>138</xdr:row>
      <xdr:rowOff>190500</xdr:rowOff>
    </xdr:to>
    <xdr:pic>
      <xdr:nvPicPr>
        <xdr:cNvPr id="20" name="Obrázek 25" descr="Help.gif">
          <a:extLst>
            <a:ext uri="{FF2B5EF4-FFF2-40B4-BE49-F238E27FC236}">
              <a16:creationId xmlns:a16="http://schemas.microsoft.com/office/drawing/2014/main" id="{00000000-0008-0000-0C00-000014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46050" y="58654950"/>
          <a:ext cx="146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0</xdr:rowOff>
    </xdr:from>
    <xdr:to>
      <xdr:col>1</xdr:col>
      <xdr:colOff>238125</xdr:colOff>
      <xdr:row>5</xdr:row>
      <xdr:rowOff>266700</xdr:rowOff>
    </xdr:to>
    <xdr:pic>
      <xdr:nvPicPr>
        <xdr:cNvPr id="21" name="Obrázek 11" descr="Notice.gif">
          <a:extLst>
            <a:ext uri="{FF2B5EF4-FFF2-40B4-BE49-F238E27FC236}">
              <a16:creationId xmlns:a16="http://schemas.microsoft.com/office/drawing/2014/main" id="{00000000-0008-0000-0C00-00001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8900" y="692150"/>
          <a:ext cx="2413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127000</xdr:colOff>
      <xdr:row>5</xdr:row>
      <xdr:rowOff>50800</xdr:rowOff>
    </xdr:from>
    <xdr:to>
      <xdr:col>2</xdr:col>
      <xdr:colOff>568325</xdr:colOff>
      <xdr:row>5</xdr:row>
      <xdr:rowOff>228600</xdr:rowOff>
    </xdr:to>
    <xdr:pic>
      <xdr:nvPicPr>
        <xdr:cNvPr id="22" name="Obrázek 22" descr="Alu_narr.gif">
          <a:extLst>
            <a:ext uri="{FF2B5EF4-FFF2-40B4-BE49-F238E27FC236}">
              <a16:creationId xmlns:a16="http://schemas.microsoft.com/office/drawing/2014/main" id="{00000000-0008-0000-0C00-000016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23900" y="742950"/>
          <a:ext cx="450850" cy="17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133350</xdr:colOff>
      <xdr:row>5</xdr:row>
      <xdr:rowOff>31750</xdr:rowOff>
    </xdr:from>
    <xdr:to>
      <xdr:col>4</xdr:col>
      <xdr:colOff>568325</xdr:colOff>
      <xdr:row>5</xdr:row>
      <xdr:rowOff>238125</xdr:rowOff>
    </xdr:to>
    <xdr:pic>
      <xdr:nvPicPr>
        <xdr:cNvPr id="23" name="Obrázek 23" descr="Alu_wide.gif">
          <a:extLst>
            <a:ext uri="{FF2B5EF4-FFF2-40B4-BE49-F238E27FC236}">
              <a16:creationId xmlns:a16="http://schemas.microsoft.com/office/drawing/2014/main" id="{00000000-0008-0000-0C00-000017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746250" y="723900"/>
          <a:ext cx="444500"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38100</xdr:colOff>
      <xdr:row>170</xdr:row>
      <xdr:rowOff>139700</xdr:rowOff>
    </xdr:from>
    <xdr:to>
      <xdr:col>1</xdr:col>
      <xdr:colOff>485775</xdr:colOff>
      <xdr:row>172</xdr:row>
      <xdr:rowOff>0</xdr:rowOff>
    </xdr:to>
    <xdr:pic>
      <xdr:nvPicPr>
        <xdr:cNvPr id="28" name="Obrázek 21" descr="Alu_narr.gif">
          <a:extLst>
            <a:ext uri="{FF2B5EF4-FFF2-40B4-BE49-F238E27FC236}">
              <a16:creationId xmlns:a16="http://schemas.microsoft.com/office/drawing/2014/main" id="{00000000-0008-0000-0C00-00001C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27000" y="63766700"/>
          <a:ext cx="45085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38100</xdr:colOff>
      <xdr:row>172</xdr:row>
      <xdr:rowOff>120650</xdr:rowOff>
    </xdr:from>
    <xdr:to>
      <xdr:col>1</xdr:col>
      <xdr:colOff>476250</xdr:colOff>
      <xdr:row>173</xdr:row>
      <xdr:rowOff>123825</xdr:rowOff>
    </xdr:to>
    <xdr:pic>
      <xdr:nvPicPr>
        <xdr:cNvPr id="29" name="Picture 31">
          <a:extLst>
            <a:ext uri="{FF2B5EF4-FFF2-40B4-BE49-F238E27FC236}">
              <a16:creationId xmlns:a16="http://schemas.microsoft.com/office/drawing/2014/main" id="{00000000-0008-0000-0C00-00001D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27000" y="64039750"/>
          <a:ext cx="438150" cy="17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3</xdr:col>
          <xdr:colOff>19050</xdr:colOff>
          <xdr:row>6</xdr:row>
          <xdr:rowOff>0</xdr:rowOff>
        </xdr:from>
        <xdr:to>
          <xdr:col>5</xdr:col>
          <xdr:colOff>571500</xdr:colOff>
          <xdr:row>7</xdr:row>
          <xdr:rowOff>0</xdr:rowOff>
        </xdr:to>
        <xdr:sp macro="" textlink="">
          <xdr:nvSpPr>
            <xdr:cNvPr id="158723" name="Drop Down 3" hidden="1">
              <a:extLst>
                <a:ext uri="{63B3BB69-23CF-44E3-9099-C40C66FF867C}">
                  <a14:compatExt spid="_x0000_s158723"/>
                </a:ext>
                <a:ext uri="{FF2B5EF4-FFF2-40B4-BE49-F238E27FC236}">
                  <a16:creationId xmlns:a16="http://schemas.microsoft.com/office/drawing/2014/main" id="{00000000-0008-0000-0C00-0000036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466725</xdr:colOff>
          <xdr:row>5</xdr:row>
          <xdr:rowOff>47625</xdr:rowOff>
        </xdr:from>
        <xdr:to>
          <xdr:col>2</xdr:col>
          <xdr:colOff>152400</xdr:colOff>
          <xdr:row>5</xdr:row>
          <xdr:rowOff>257175</xdr:rowOff>
        </xdr:to>
        <xdr:sp macro="" textlink="">
          <xdr:nvSpPr>
            <xdr:cNvPr id="158726" name="Option Button 6" hidden="1">
              <a:extLst>
                <a:ext uri="{63B3BB69-23CF-44E3-9099-C40C66FF867C}">
                  <a14:compatExt spid="_x0000_s158726"/>
                </a:ext>
                <a:ext uri="{FF2B5EF4-FFF2-40B4-BE49-F238E27FC236}">
                  <a16:creationId xmlns:a16="http://schemas.microsoft.com/office/drawing/2014/main" id="{00000000-0008-0000-0C00-000006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466725</xdr:colOff>
          <xdr:row>5</xdr:row>
          <xdr:rowOff>57150</xdr:rowOff>
        </xdr:from>
        <xdr:to>
          <xdr:col>4</xdr:col>
          <xdr:colOff>152400</xdr:colOff>
          <xdr:row>5</xdr:row>
          <xdr:rowOff>266700</xdr:rowOff>
        </xdr:to>
        <xdr:sp macro="" textlink="">
          <xdr:nvSpPr>
            <xdr:cNvPr id="158727" name="Option Button 7" hidden="1">
              <a:extLst>
                <a:ext uri="{63B3BB69-23CF-44E3-9099-C40C66FF867C}">
                  <a14:compatExt spid="_x0000_s158727"/>
                </a:ext>
                <a:ext uri="{FF2B5EF4-FFF2-40B4-BE49-F238E27FC236}">
                  <a16:creationId xmlns:a16="http://schemas.microsoft.com/office/drawing/2014/main" id="{00000000-0008-0000-0C00-000007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9</xdr:row>
          <xdr:rowOff>9525</xdr:rowOff>
        </xdr:from>
        <xdr:to>
          <xdr:col>3</xdr:col>
          <xdr:colOff>9525</xdr:colOff>
          <xdr:row>9</xdr:row>
          <xdr:rowOff>200025</xdr:rowOff>
        </xdr:to>
        <xdr:sp macro="" textlink="">
          <xdr:nvSpPr>
            <xdr:cNvPr id="158729" name="Drop Down 9" hidden="1">
              <a:extLst>
                <a:ext uri="{63B3BB69-23CF-44E3-9099-C40C66FF867C}">
                  <a14:compatExt spid="_x0000_s158729"/>
                </a:ext>
                <a:ext uri="{FF2B5EF4-FFF2-40B4-BE49-F238E27FC236}">
                  <a16:creationId xmlns:a16="http://schemas.microsoft.com/office/drawing/2014/main" id="{00000000-0008-0000-0C00-0000096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20</xdr:row>
          <xdr:rowOff>9525</xdr:rowOff>
        </xdr:from>
        <xdr:to>
          <xdr:col>2</xdr:col>
          <xdr:colOff>571500</xdr:colOff>
          <xdr:row>20</xdr:row>
          <xdr:rowOff>200025</xdr:rowOff>
        </xdr:to>
        <xdr:sp macro="" textlink="">
          <xdr:nvSpPr>
            <xdr:cNvPr id="158730" name="Drop Down 10" hidden="1">
              <a:extLst>
                <a:ext uri="{63B3BB69-23CF-44E3-9099-C40C66FF867C}">
                  <a14:compatExt spid="_x0000_s158730"/>
                </a:ext>
                <a:ext uri="{FF2B5EF4-FFF2-40B4-BE49-F238E27FC236}">
                  <a16:creationId xmlns:a16="http://schemas.microsoft.com/office/drawing/2014/main" id="{00000000-0008-0000-0C00-00000A6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3</xdr:col>
      <xdr:colOff>25400</xdr:colOff>
      <xdr:row>14</xdr:row>
      <xdr:rowOff>19050</xdr:rowOff>
    </xdr:from>
    <xdr:to>
      <xdr:col>3</xdr:col>
      <xdr:colOff>209550</xdr:colOff>
      <xdr:row>14</xdr:row>
      <xdr:rowOff>180975</xdr:rowOff>
    </xdr:to>
    <xdr:pic>
      <xdr:nvPicPr>
        <xdr:cNvPr id="37" name="Obrázek 16" descr="Weight.gif">
          <a:extLst>
            <a:ext uri="{FF2B5EF4-FFF2-40B4-BE49-F238E27FC236}">
              <a16:creationId xmlns:a16="http://schemas.microsoft.com/office/drawing/2014/main" id="{00000000-0008-0000-0C00-000025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320800" y="2800350"/>
          <a:ext cx="1841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25400</xdr:colOff>
      <xdr:row>25</xdr:row>
      <xdr:rowOff>19050</xdr:rowOff>
    </xdr:from>
    <xdr:to>
      <xdr:col>3</xdr:col>
      <xdr:colOff>209550</xdr:colOff>
      <xdr:row>25</xdr:row>
      <xdr:rowOff>180975</xdr:rowOff>
    </xdr:to>
    <xdr:pic>
      <xdr:nvPicPr>
        <xdr:cNvPr id="38" name="Obrázek 16" descr="Weight.gif">
          <a:extLst>
            <a:ext uri="{FF2B5EF4-FFF2-40B4-BE49-F238E27FC236}">
              <a16:creationId xmlns:a16="http://schemas.microsoft.com/office/drawing/2014/main" id="{00000000-0008-0000-0C00-000026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320800" y="2800350"/>
          <a:ext cx="1841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5</xdr:col>
          <xdr:colOff>590550</xdr:colOff>
          <xdr:row>3</xdr:row>
          <xdr:rowOff>0</xdr:rowOff>
        </xdr:from>
        <xdr:to>
          <xdr:col>8</xdr:col>
          <xdr:colOff>590550</xdr:colOff>
          <xdr:row>4</xdr:row>
          <xdr:rowOff>0</xdr:rowOff>
        </xdr:to>
        <xdr:sp macro="" textlink="">
          <xdr:nvSpPr>
            <xdr:cNvPr id="158731" name="Drop Down 11" hidden="1">
              <a:extLst>
                <a:ext uri="{63B3BB69-23CF-44E3-9099-C40C66FF867C}">
                  <a14:compatExt spid="_x0000_s158731"/>
                </a:ext>
                <a:ext uri="{FF2B5EF4-FFF2-40B4-BE49-F238E27FC236}">
                  <a16:creationId xmlns:a16="http://schemas.microsoft.com/office/drawing/2014/main" id="{00000000-0008-0000-0C00-00000B6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xdr:row>
          <xdr:rowOff>0</xdr:rowOff>
        </xdr:from>
        <xdr:to>
          <xdr:col>9</xdr:col>
          <xdr:colOff>0</xdr:colOff>
          <xdr:row>5</xdr:row>
          <xdr:rowOff>9525</xdr:rowOff>
        </xdr:to>
        <xdr:sp macro="" textlink="">
          <xdr:nvSpPr>
            <xdr:cNvPr id="158733" name="Drop Down 13" hidden="1">
              <a:extLst>
                <a:ext uri="{63B3BB69-23CF-44E3-9099-C40C66FF867C}">
                  <a14:compatExt spid="_x0000_s158733"/>
                </a:ext>
                <a:ext uri="{FF2B5EF4-FFF2-40B4-BE49-F238E27FC236}">
                  <a16:creationId xmlns:a16="http://schemas.microsoft.com/office/drawing/2014/main" id="{00000000-0008-0000-0C00-00000D6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9</xdr:col>
      <xdr:colOff>317500</xdr:colOff>
      <xdr:row>5</xdr:row>
      <xdr:rowOff>31750</xdr:rowOff>
    </xdr:from>
    <xdr:to>
      <xdr:col>9</xdr:col>
      <xdr:colOff>454025</xdr:colOff>
      <xdr:row>5</xdr:row>
      <xdr:rowOff>200025</xdr:rowOff>
    </xdr:to>
    <xdr:pic>
      <xdr:nvPicPr>
        <xdr:cNvPr id="42" name="Obrázek 28" descr="Info.gif">
          <a:extLst>
            <a:ext uri="{FF2B5EF4-FFF2-40B4-BE49-F238E27FC236}">
              <a16:creationId xmlns:a16="http://schemas.microsoft.com/office/drawing/2014/main" id="{00000000-0008-0000-0C00-00002A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232400" y="787400"/>
          <a:ext cx="1460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304800</xdr:colOff>
      <xdr:row>119</xdr:row>
      <xdr:rowOff>12700</xdr:rowOff>
    </xdr:from>
    <xdr:to>
      <xdr:col>1</xdr:col>
      <xdr:colOff>444500</xdr:colOff>
      <xdr:row>119</xdr:row>
      <xdr:rowOff>171450</xdr:rowOff>
    </xdr:to>
    <xdr:pic>
      <xdr:nvPicPr>
        <xdr:cNvPr id="3" name="Obrázek 27" descr="Info.gif">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90525" y="21088350"/>
          <a:ext cx="1397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37</xdr:col>
      <xdr:colOff>25400</xdr:colOff>
      <xdr:row>101</xdr:row>
      <xdr:rowOff>57150</xdr:rowOff>
    </xdr:from>
    <xdr:to>
      <xdr:col>41</xdr:col>
      <xdr:colOff>28575</xdr:colOff>
      <xdr:row>112</xdr:row>
      <xdr:rowOff>142875</xdr:rowOff>
    </xdr:to>
    <xdr:pic>
      <xdr:nvPicPr>
        <xdr:cNvPr id="2" name="Obrázek 11" descr="Aventos HF_asym_W.jpg">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2250" y="44069000"/>
          <a:ext cx="4178300" cy="218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171450</xdr:colOff>
      <xdr:row>33</xdr:row>
      <xdr:rowOff>31750</xdr:rowOff>
    </xdr:from>
    <xdr:to>
      <xdr:col>1</xdr:col>
      <xdr:colOff>409575</xdr:colOff>
      <xdr:row>34</xdr:row>
      <xdr:rowOff>123825</xdr:rowOff>
    </xdr:to>
    <xdr:pic>
      <xdr:nvPicPr>
        <xdr:cNvPr id="7" name="Obrázek 9" descr="Notice.gif">
          <a:extLst>
            <a:ext uri="{FF2B5EF4-FFF2-40B4-BE49-F238E27FC236}">
              <a16:creationId xmlns:a16="http://schemas.microsoft.com/office/drawing/2014/main" id="{00000000-0008-0000-0D00-000007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0350" y="5080000"/>
          <a:ext cx="2413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152400</xdr:colOff>
      <xdr:row>5</xdr:row>
      <xdr:rowOff>279400</xdr:rowOff>
    </xdr:from>
    <xdr:to>
      <xdr:col>12</xdr:col>
      <xdr:colOff>0</xdr:colOff>
      <xdr:row>9</xdr:row>
      <xdr:rowOff>47625</xdr:rowOff>
    </xdr:to>
    <xdr:pic>
      <xdr:nvPicPr>
        <xdr:cNvPr id="14" name="Obrázek 17" descr="S_front_HF_na_na.gif">
          <a:extLst>
            <a:ext uri="{FF2B5EF4-FFF2-40B4-BE49-F238E27FC236}">
              <a16:creationId xmlns:a16="http://schemas.microsoft.com/office/drawing/2014/main" id="{00000000-0008-0000-0D00-00000E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73800" y="1035050"/>
          <a:ext cx="105410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273050</xdr:colOff>
      <xdr:row>35</xdr:row>
      <xdr:rowOff>146050</xdr:rowOff>
    </xdr:from>
    <xdr:to>
      <xdr:col>1</xdr:col>
      <xdr:colOff>409575</xdr:colOff>
      <xdr:row>36</xdr:row>
      <xdr:rowOff>133350</xdr:rowOff>
    </xdr:to>
    <xdr:pic>
      <xdr:nvPicPr>
        <xdr:cNvPr id="17" name="Obrázek 20" descr="Info.gif">
          <a:extLst>
            <a:ext uri="{FF2B5EF4-FFF2-40B4-BE49-F238E27FC236}">
              <a16:creationId xmlns:a16="http://schemas.microsoft.com/office/drawing/2014/main" id="{00000000-0008-0000-0D00-000011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61950" y="5499100"/>
          <a:ext cx="1397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323850</xdr:colOff>
      <xdr:row>119</xdr:row>
      <xdr:rowOff>6350</xdr:rowOff>
    </xdr:from>
    <xdr:to>
      <xdr:col>1</xdr:col>
      <xdr:colOff>466725</xdr:colOff>
      <xdr:row>119</xdr:row>
      <xdr:rowOff>161925</xdr:rowOff>
    </xdr:to>
    <xdr:pic>
      <xdr:nvPicPr>
        <xdr:cNvPr id="18" name="Obrázek 21" descr="Info.gif">
          <a:extLst>
            <a:ext uri="{FF2B5EF4-FFF2-40B4-BE49-F238E27FC236}">
              <a16:creationId xmlns:a16="http://schemas.microsoft.com/office/drawing/2014/main" id="{00000000-0008-0000-0D00-000012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12750" y="20904200"/>
          <a:ext cx="14605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44450</xdr:colOff>
      <xdr:row>138</xdr:row>
      <xdr:rowOff>38100</xdr:rowOff>
    </xdr:from>
    <xdr:to>
      <xdr:col>1</xdr:col>
      <xdr:colOff>190500</xdr:colOff>
      <xdr:row>138</xdr:row>
      <xdr:rowOff>200025</xdr:rowOff>
    </xdr:to>
    <xdr:pic>
      <xdr:nvPicPr>
        <xdr:cNvPr id="19" name="Obrázek 25" descr="Help.gif">
          <a:extLst>
            <a:ext uri="{FF2B5EF4-FFF2-40B4-BE49-F238E27FC236}">
              <a16:creationId xmlns:a16="http://schemas.microsoft.com/office/drawing/2014/main" id="{00000000-0008-0000-0D00-000013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33350" y="58629550"/>
          <a:ext cx="14605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0</xdr:rowOff>
    </xdr:from>
    <xdr:to>
      <xdr:col>1</xdr:col>
      <xdr:colOff>238125</xdr:colOff>
      <xdr:row>5</xdr:row>
      <xdr:rowOff>266700</xdr:rowOff>
    </xdr:to>
    <xdr:pic>
      <xdr:nvPicPr>
        <xdr:cNvPr id="20" name="Obrázek 11" descr="Notice.gif">
          <a:extLst>
            <a:ext uri="{FF2B5EF4-FFF2-40B4-BE49-F238E27FC236}">
              <a16:creationId xmlns:a16="http://schemas.microsoft.com/office/drawing/2014/main" id="{00000000-0008-0000-0D00-00001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8900" y="692150"/>
          <a:ext cx="2413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146050</xdr:colOff>
      <xdr:row>5</xdr:row>
      <xdr:rowOff>50800</xdr:rowOff>
    </xdr:from>
    <xdr:to>
      <xdr:col>2</xdr:col>
      <xdr:colOff>314325</xdr:colOff>
      <xdr:row>5</xdr:row>
      <xdr:rowOff>228600</xdr:rowOff>
    </xdr:to>
    <xdr:pic>
      <xdr:nvPicPr>
        <xdr:cNvPr id="21" name="Picture 1">
          <a:extLst>
            <a:ext uri="{FF2B5EF4-FFF2-40B4-BE49-F238E27FC236}">
              <a16:creationId xmlns:a16="http://schemas.microsoft.com/office/drawing/2014/main" id="{00000000-0008-0000-0D00-000015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42950" y="742950"/>
          <a:ext cx="171450" cy="17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171450</xdr:colOff>
      <xdr:row>5</xdr:row>
      <xdr:rowOff>38100</xdr:rowOff>
    </xdr:from>
    <xdr:to>
      <xdr:col>4</xdr:col>
      <xdr:colOff>333375</xdr:colOff>
      <xdr:row>5</xdr:row>
      <xdr:rowOff>228600</xdr:rowOff>
    </xdr:to>
    <xdr:pic>
      <xdr:nvPicPr>
        <xdr:cNvPr id="22" name="Picture 2">
          <a:extLst>
            <a:ext uri="{FF2B5EF4-FFF2-40B4-BE49-F238E27FC236}">
              <a16:creationId xmlns:a16="http://schemas.microsoft.com/office/drawing/2014/main" id="{00000000-0008-0000-0D00-000016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784350" y="730250"/>
          <a:ext cx="1651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273050</xdr:colOff>
      <xdr:row>170</xdr:row>
      <xdr:rowOff>127000</xdr:rowOff>
    </xdr:from>
    <xdr:to>
      <xdr:col>1</xdr:col>
      <xdr:colOff>447675</xdr:colOff>
      <xdr:row>171</xdr:row>
      <xdr:rowOff>142875</xdr:rowOff>
    </xdr:to>
    <xdr:pic>
      <xdr:nvPicPr>
        <xdr:cNvPr id="27" name="Picture 1">
          <a:extLst>
            <a:ext uri="{FF2B5EF4-FFF2-40B4-BE49-F238E27FC236}">
              <a16:creationId xmlns:a16="http://schemas.microsoft.com/office/drawing/2014/main" id="{00000000-0008-0000-0D00-00001B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361950" y="63728600"/>
          <a:ext cx="17145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273050</xdr:colOff>
      <xdr:row>172</xdr:row>
      <xdr:rowOff>120650</xdr:rowOff>
    </xdr:from>
    <xdr:to>
      <xdr:col>1</xdr:col>
      <xdr:colOff>428625</xdr:colOff>
      <xdr:row>173</xdr:row>
      <xdr:rowOff>123825</xdr:rowOff>
    </xdr:to>
    <xdr:pic>
      <xdr:nvPicPr>
        <xdr:cNvPr id="28" name="Picture 2">
          <a:extLst>
            <a:ext uri="{FF2B5EF4-FFF2-40B4-BE49-F238E27FC236}">
              <a16:creationId xmlns:a16="http://schemas.microsoft.com/office/drawing/2014/main" id="{00000000-0008-0000-0D00-00001C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361950" y="64014350"/>
          <a:ext cx="158750" cy="17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3</xdr:col>
          <xdr:colOff>19050</xdr:colOff>
          <xdr:row>6</xdr:row>
          <xdr:rowOff>0</xdr:rowOff>
        </xdr:from>
        <xdr:to>
          <xdr:col>6</xdr:col>
          <xdr:colOff>0</xdr:colOff>
          <xdr:row>7</xdr:row>
          <xdr:rowOff>0</xdr:rowOff>
        </xdr:to>
        <xdr:sp macro="" textlink="">
          <xdr:nvSpPr>
            <xdr:cNvPr id="159747" name="Drop Down 3" hidden="1">
              <a:extLst>
                <a:ext uri="{63B3BB69-23CF-44E3-9099-C40C66FF867C}">
                  <a14:compatExt spid="_x0000_s159747"/>
                </a:ext>
                <a:ext uri="{FF2B5EF4-FFF2-40B4-BE49-F238E27FC236}">
                  <a16:creationId xmlns:a16="http://schemas.microsoft.com/office/drawing/2014/main" id="{00000000-0008-0000-0D00-0000037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438150</xdr:colOff>
          <xdr:row>5</xdr:row>
          <xdr:rowOff>19050</xdr:rowOff>
        </xdr:from>
        <xdr:to>
          <xdr:col>2</xdr:col>
          <xdr:colOff>133350</xdr:colOff>
          <xdr:row>5</xdr:row>
          <xdr:rowOff>247650</xdr:rowOff>
        </xdr:to>
        <xdr:sp macro="" textlink="">
          <xdr:nvSpPr>
            <xdr:cNvPr id="159749" name="Option Button 5" hidden="1">
              <a:extLst>
                <a:ext uri="{63B3BB69-23CF-44E3-9099-C40C66FF867C}">
                  <a14:compatExt spid="_x0000_s159749"/>
                </a:ext>
                <a:ext uri="{FF2B5EF4-FFF2-40B4-BE49-F238E27FC236}">
                  <a16:creationId xmlns:a16="http://schemas.microsoft.com/office/drawing/2014/main" id="{00000000-0008-0000-0D00-000005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438150</xdr:colOff>
          <xdr:row>5</xdr:row>
          <xdr:rowOff>28575</xdr:rowOff>
        </xdr:from>
        <xdr:to>
          <xdr:col>4</xdr:col>
          <xdr:colOff>133350</xdr:colOff>
          <xdr:row>5</xdr:row>
          <xdr:rowOff>247650</xdr:rowOff>
        </xdr:to>
        <xdr:sp macro="" textlink="">
          <xdr:nvSpPr>
            <xdr:cNvPr id="159750" name="Option Button 6" hidden="1">
              <a:extLst>
                <a:ext uri="{63B3BB69-23CF-44E3-9099-C40C66FF867C}">
                  <a14:compatExt spid="_x0000_s159750"/>
                </a:ext>
                <a:ext uri="{FF2B5EF4-FFF2-40B4-BE49-F238E27FC236}">
                  <a16:creationId xmlns:a16="http://schemas.microsoft.com/office/drawing/2014/main" id="{00000000-0008-0000-0D00-000006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20</xdr:row>
          <xdr:rowOff>9525</xdr:rowOff>
        </xdr:from>
        <xdr:to>
          <xdr:col>2</xdr:col>
          <xdr:colOff>571500</xdr:colOff>
          <xdr:row>20</xdr:row>
          <xdr:rowOff>200025</xdr:rowOff>
        </xdr:to>
        <xdr:sp macro="" textlink="">
          <xdr:nvSpPr>
            <xdr:cNvPr id="159751" name="Drop Down 7" hidden="1">
              <a:extLst>
                <a:ext uri="{63B3BB69-23CF-44E3-9099-C40C66FF867C}">
                  <a14:compatExt spid="_x0000_s159751"/>
                </a:ext>
                <a:ext uri="{FF2B5EF4-FFF2-40B4-BE49-F238E27FC236}">
                  <a16:creationId xmlns:a16="http://schemas.microsoft.com/office/drawing/2014/main" id="{00000000-0008-0000-0D00-0000077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9</xdr:row>
          <xdr:rowOff>9525</xdr:rowOff>
        </xdr:from>
        <xdr:to>
          <xdr:col>3</xdr:col>
          <xdr:colOff>9525</xdr:colOff>
          <xdr:row>9</xdr:row>
          <xdr:rowOff>200025</xdr:rowOff>
        </xdr:to>
        <xdr:sp macro="" textlink="">
          <xdr:nvSpPr>
            <xdr:cNvPr id="159753" name="Drop Down 9" hidden="1">
              <a:extLst>
                <a:ext uri="{63B3BB69-23CF-44E3-9099-C40C66FF867C}">
                  <a14:compatExt spid="_x0000_s159753"/>
                </a:ext>
                <a:ext uri="{FF2B5EF4-FFF2-40B4-BE49-F238E27FC236}">
                  <a16:creationId xmlns:a16="http://schemas.microsoft.com/office/drawing/2014/main" id="{00000000-0008-0000-0D00-0000097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3</xdr:col>
      <xdr:colOff>25400</xdr:colOff>
      <xdr:row>14</xdr:row>
      <xdr:rowOff>19050</xdr:rowOff>
    </xdr:from>
    <xdr:to>
      <xdr:col>3</xdr:col>
      <xdr:colOff>209550</xdr:colOff>
      <xdr:row>14</xdr:row>
      <xdr:rowOff>180975</xdr:rowOff>
    </xdr:to>
    <xdr:pic>
      <xdr:nvPicPr>
        <xdr:cNvPr id="34" name="Obrázek 16" descr="Weight.gif">
          <a:extLst>
            <a:ext uri="{FF2B5EF4-FFF2-40B4-BE49-F238E27FC236}">
              <a16:creationId xmlns:a16="http://schemas.microsoft.com/office/drawing/2014/main" id="{00000000-0008-0000-0D00-000022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320800" y="2800350"/>
          <a:ext cx="1841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25400</xdr:colOff>
      <xdr:row>25</xdr:row>
      <xdr:rowOff>19050</xdr:rowOff>
    </xdr:from>
    <xdr:to>
      <xdr:col>3</xdr:col>
      <xdr:colOff>209550</xdr:colOff>
      <xdr:row>25</xdr:row>
      <xdr:rowOff>180975</xdr:rowOff>
    </xdr:to>
    <xdr:pic>
      <xdr:nvPicPr>
        <xdr:cNvPr id="35" name="Obrázek 16" descr="Weight.gif">
          <a:extLst>
            <a:ext uri="{FF2B5EF4-FFF2-40B4-BE49-F238E27FC236}">
              <a16:creationId xmlns:a16="http://schemas.microsoft.com/office/drawing/2014/main" id="{00000000-0008-0000-0D00-000023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320800" y="2800350"/>
          <a:ext cx="1841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6</xdr:col>
          <xdr:colOff>0</xdr:colOff>
          <xdr:row>3</xdr:row>
          <xdr:rowOff>0</xdr:rowOff>
        </xdr:from>
        <xdr:to>
          <xdr:col>8</xdr:col>
          <xdr:colOff>571500</xdr:colOff>
          <xdr:row>4</xdr:row>
          <xdr:rowOff>0</xdr:rowOff>
        </xdr:to>
        <xdr:sp macro="" textlink="">
          <xdr:nvSpPr>
            <xdr:cNvPr id="159754" name="Drop Down 10" hidden="1">
              <a:extLst>
                <a:ext uri="{63B3BB69-23CF-44E3-9099-C40C66FF867C}">
                  <a14:compatExt spid="_x0000_s159754"/>
                </a:ext>
                <a:ext uri="{FF2B5EF4-FFF2-40B4-BE49-F238E27FC236}">
                  <a16:creationId xmlns:a16="http://schemas.microsoft.com/office/drawing/2014/main" id="{00000000-0008-0000-0D00-00000A7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oneCellAnchor>
    <xdr:from>
      <xdr:col>9</xdr:col>
      <xdr:colOff>311150</xdr:colOff>
      <xdr:row>4</xdr:row>
      <xdr:rowOff>25400</xdr:rowOff>
    </xdr:from>
    <xdr:ext cx="146050" cy="165100"/>
    <xdr:pic>
      <xdr:nvPicPr>
        <xdr:cNvPr id="38" name="Obrázek 37" descr="Info.gif">
          <a:extLst>
            <a:ext uri="{FF2B5EF4-FFF2-40B4-BE49-F238E27FC236}">
              <a16:creationId xmlns:a16="http://schemas.microsoft.com/office/drawing/2014/main" id="{00000000-0008-0000-0D00-000026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226050" y="577850"/>
          <a:ext cx="1460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xdr:col>
      <xdr:colOff>304800</xdr:colOff>
      <xdr:row>119</xdr:row>
      <xdr:rowOff>12700</xdr:rowOff>
    </xdr:from>
    <xdr:to>
      <xdr:col>1</xdr:col>
      <xdr:colOff>444500</xdr:colOff>
      <xdr:row>119</xdr:row>
      <xdr:rowOff>171450</xdr:rowOff>
    </xdr:to>
    <xdr:pic>
      <xdr:nvPicPr>
        <xdr:cNvPr id="3" name="Obrázek 27" descr="Info.gif">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90525" y="21088350"/>
          <a:ext cx="1397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37</xdr:col>
      <xdr:colOff>25400</xdr:colOff>
      <xdr:row>101</xdr:row>
      <xdr:rowOff>57150</xdr:rowOff>
    </xdr:from>
    <xdr:to>
      <xdr:col>41</xdr:col>
      <xdr:colOff>28575</xdr:colOff>
      <xdr:row>112</xdr:row>
      <xdr:rowOff>142875</xdr:rowOff>
    </xdr:to>
    <xdr:pic>
      <xdr:nvPicPr>
        <xdr:cNvPr id="2" name="Obrázek 11" descr="Aventos HF_asym_W.jpg">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2250" y="44094400"/>
          <a:ext cx="4178300" cy="218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165100</xdr:colOff>
      <xdr:row>6</xdr:row>
      <xdr:rowOff>0</xdr:rowOff>
    </xdr:from>
    <xdr:to>
      <xdr:col>12</xdr:col>
      <xdr:colOff>0</xdr:colOff>
      <xdr:row>9</xdr:row>
      <xdr:rowOff>57150</xdr:rowOff>
    </xdr:to>
    <xdr:pic>
      <xdr:nvPicPr>
        <xdr:cNvPr id="16" name="Obrázek 20" descr="S_front_HF_w_na.gif">
          <a:extLst>
            <a:ext uri="{FF2B5EF4-FFF2-40B4-BE49-F238E27FC236}">
              <a16:creationId xmlns:a16="http://schemas.microsoft.com/office/drawing/2014/main" id="{00000000-0008-0000-0E00-000010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86500" y="1041400"/>
          <a:ext cx="104140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279400</xdr:colOff>
      <xdr:row>35</xdr:row>
      <xdr:rowOff>127000</xdr:rowOff>
    </xdr:from>
    <xdr:to>
      <xdr:col>1</xdr:col>
      <xdr:colOff>428625</xdr:colOff>
      <xdr:row>36</xdr:row>
      <xdr:rowOff>114300</xdr:rowOff>
    </xdr:to>
    <xdr:pic>
      <xdr:nvPicPr>
        <xdr:cNvPr id="17" name="Obrázek 21" descr="Info.gif">
          <a:extLst>
            <a:ext uri="{FF2B5EF4-FFF2-40B4-BE49-F238E27FC236}">
              <a16:creationId xmlns:a16="http://schemas.microsoft.com/office/drawing/2014/main" id="{00000000-0008-0000-0E00-000011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8300" y="5480050"/>
          <a:ext cx="14605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317500</xdr:colOff>
      <xdr:row>119</xdr:row>
      <xdr:rowOff>12700</xdr:rowOff>
    </xdr:from>
    <xdr:to>
      <xdr:col>1</xdr:col>
      <xdr:colOff>457200</xdr:colOff>
      <xdr:row>119</xdr:row>
      <xdr:rowOff>171450</xdr:rowOff>
    </xdr:to>
    <xdr:pic>
      <xdr:nvPicPr>
        <xdr:cNvPr id="18" name="Obrázek 22" descr="Info.gif">
          <a:extLst>
            <a:ext uri="{FF2B5EF4-FFF2-40B4-BE49-F238E27FC236}">
              <a16:creationId xmlns:a16="http://schemas.microsoft.com/office/drawing/2014/main" id="{00000000-0008-0000-0E00-000012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6400" y="20923250"/>
          <a:ext cx="1397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44450</xdr:colOff>
      <xdr:row>138</xdr:row>
      <xdr:rowOff>38100</xdr:rowOff>
    </xdr:from>
    <xdr:to>
      <xdr:col>1</xdr:col>
      <xdr:colOff>190500</xdr:colOff>
      <xdr:row>138</xdr:row>
      <xdr:rowOff>200025</xdr:rowOff>
    </xdr:to>
    <xdr:pic>
      <xdr:nvPicPr>
        <xdr:cNvPr id="19" name="Obrázek 25" descr="Help.gif">
          <a:extLst>
            <a:ext uri="{FF2B5EF4-FFF2-40B4-BE49-F238E27FC236}">
              <a16:creationId xmlns:a16="http://schemas.microsoft.com/office/drawing/2014/main" id="{00000000-0008-0000-0E00-000013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3350" y="58654950"/>
          <a:ext cx="14605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0</xdr:rowOff>
    </xdr:from>
    <xdr:to>
      <xdr:col>1</xdr:col>
      <xdr:colOff>238125</xdr:colOff>
      <xdr:row>5</xdr:row>
      <xdr:rowOff>266700</xdr:rowOff>
    </xdr:to>
    <xdr:pic>
      <xdr:nvPicPr>
        <xdr:cNvPr id="20" name="Obrázek 11" descr="Notice.gif">
          <a:extLst>
            <a:ext uri="{FF2B5EF4-FFF2-40B4-BE49-F238E27FC236}">
              <a16:creationId xmlns:a16="http://schemas.microsoft.com/office/drawing/2014/main" id="{00000000-0008-0000-0E00-000014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8900" y="692150"/>
          <a:ext cx="2413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146050</xdr:colOff>
      <xdr:row>5</xdr:row>
      <xdr:rowOff>50800</xdr:rowOff>
    </xdr:from>
    <xdr:to>
      <xdr:col>2</xdr:col>
      <xdr:colOff>314325</xdr:colOff>
      <xdr:row>5</xdr:row>
      <xdr:rowOff>228600</xdr:rowOff>
    </xdr:to>
    <xdr:pic>
      <xdr:nvPicPr>
        <xdr:cNvPr id="21" name="Picture 29">
          <a:extLst>
            <a:ext uri="{FF2B5EF4-FFF2-40B4-BE49-F238E27FC236}">
              <a16:creationId xmlns:a16="http://schemas.microsoft.com/office/drawing/2014/main" id="{00000000-0008-0000-0E00-000015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42950" y="742950"/>
          <a:ext cx="171450" cy="17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171450</xdr:colOff>
      <xdr:row>5</xdr:row>
      <xdr:rowOff>38100</xdr:rowOff>
    </xdr:from>
    <xdr:to>
      <xdr:col>4</xdr:col>
      <xdr:colOff>333375</xdr:colOff>
      <xdr:row>5</xdr:row>
      <xdr:rowOff>228600</xdr:rowOff>
    </xdr:to>
    <xdr:pic>
      <xdr:nvPicPr>
        <xdr:cNvPr id="22" name="Picture 30">
          <a:extLst>
            <a:ext uri="{FF2B5EF4-FFF2-40B4-BE49-F238E27FC236}">
              <a16:creationId xmlns:a16="http://schemas.microsoft.com/office/drawing/2014/main" id="{00000000-0008-0000-0E00-000016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784350" y="730250"/>
          <a:ext cx="1651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273050</xdr:colOff>
      <xdr:row>170</xdr:row>
      <xdr:rowOff>127000</xdr:rowOff>
    </xdr:from>
    <xdr:to>
      <xdr:col>1</xdr:col>
      <xdr:colOff>447675</xdr:colOff>
      <xdr:row>171</xdr:row>
      <xdr:rowOff>142875</xdr:rowOff>
    </xdr:to>
    <xdr:pic>
      <xdr:nvPicPr>
        <xdr:cNvPr id="27" name="Picture 38">
          <a:extLst>
            <a:ext uri="{FF2B5EF4-FFF2-40B4-BE49-F238E27FC236}">
              <a16:creationId xmlns:a16="http://schemas.microsoft.com/office/drawing/2014/main" id="{00000000-0008-0000-0E00-00001B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361950" y="63754000"/>
          <a:ext cx="17145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273050</xdr:colOff>
      <xdr:row>172</xdr:row>
      <xdr:rowOff>120650</xdr:rowOff>
    </xdr:from>
    <xdr:to>
      <xdr:col>1</xdr:col>
      <xdr:colOff>428625</xdr:colOff>
      <xdr:row>173</xdr:row>
      <xdr:rowOff>123825</xdr:rowOff>
    </xdr:to>
    <xdr:pic>
      <xdr:nvPicPr>
        <xdr:cNvPr id="28" name="Picture 39">
          <a:extLst>
            <a:ext uri="{FF2B5EF4-FFF2-40B4-BE49-F238E27FC236}">
              <a16:creationId xmlns:a16="http://schemas.microsoft.com/office/drawing/2014/main" id="{00000000-0008-0000-0E00-00001C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361950" y="64039750"/>
          <a:ext cx="158750" cy="17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3</xdr:col>
          <xdr:colOff>19050</xdr:colOff>
          <xdr:row>6</xdr:row>
          <xdr:rowOff>0</xdr:rowOff>
        </xdr:from>
        <xdr:to>
          <xdr:col>5</xdr:col>
          <xdr:colOff>571500</xdr:colOff>
          <xdr:row>7</xdr:row>
          <xdr:rowOff>0</xdr:rowOff>
        </xdr:to>
        <xdr:sp macro="" textlink="">
          <xdr:nvSpPr>
            <xdr:cNvPr id="160771" name="Drop Down 3" hidden="1">
              <a:extLst>
                <a:ext uri="{63B3BB69-23CF-44E3-9099-C40C66FF867C}">
                  <a14:compatExt spid="_x0000_s160771"/>
                </a:ext>
                <a:ext uri="{FF2B5EF4-FFF2-40B4-BE49-F238E27FC236}">
                  <a16:creationId xmlns:a16="http://schemas.microsoft.com/office/drawing/2014/main" id="{00000000-0008-0000-0E00-0000037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466725</xdr:colOff>
          <xdr:row>5</xdr:row>
          <xdr:rowOff>28575</xdr:rowOff>
        </xdr:from>
        <xdr:to>
          <xdr:col>2</xdr:col>
          <xdr:colOff>152400</xdr:colOff>
          <xdr:row>5</xdr:row>
          <xdr:rowOff>247650</xdr:rowOff>
        </xdr:to>
        <xdr:sp macro="" textlink="">
          <xdr:nvSpPr>
            <xdr:cNvPr id="160774" name="Option Button 6" hidden="1">
              <a:extLst>
                <a:ext uri="{63B3BB69-23CF-44E3-9099-C40C66FF867C}">
                  <a14:compatExt spid="_x0000_s160774"/>
                </a:ext>
                <a:ext uri="{FF2B5EF4-FFF2-40B4-BE49-F238E27FC236}">
                  <a16:creationId xmlns:a16="http://schemas.microsoft.com/office/drawing/2014/main" id="{00000000-0008-0000-0E00-000006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466725</xdr:colOff>
          <xdr:row>5</xdr:row>
          <xdr:rowOff>38100</xdr:rowOff>
        </xdr:from>
        <xdr:to>
          <xdr:col>4</xdr:col>
          <xdr:colOff>152400</xdr:colOff>
          <xdr:row>5</xdr:row>
          <xdr:rowOff>247650</xdr:rowOff>
        </xdr:to>
        <xdr:sp macro="" textlink="">
          <xdr:nvSpPr>
            <xdr:cNvPr id="160775" name="Option Button 7" hidden="1">
              <a:extLst>
                <a:ext uri="{63B3BB69-23CF-44E3-9099-C40C66FF867C}">
                  <a14:compatExt spid="_x0000_s160775"/>
                </a:ext>
                <a:ext uri="{FF2B5EF4-FFF2-40B4-BE49-F238E27FC236}">
                  <a16:creationId xmlns:a16="http://schemas.microsoft.com/office/drawing/2014/main" id="{00000000-0008-0000-0E00-000007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9</xdr:row>
          <xdr:rowOff>9525</xdr:rowOff>
        </xdr:from>
        <xdr:to>
          <xdr:col>3</xdr:col>
          <xdr:colOff>9525</xdr:colOff>
          <xdr:row>9</xdr:row>
          <xdr:rowOff>200025</xdr:rowOff>
        </xdr:to>
        <xdr:sp macro="" textlink="">
          <xdr:nvSpPr>
            <xdr:cNvPr id="160776" name="Drop Down 8" hidden="1">
              <a:extLst>
                <a:ext uri="{63B3BB69-23CF-44E3-9099-C40C66FF867C}">
                  <a14:compatExt spid="_x0000_s160776"/>
                </a:ext>
                <a:ext uri="{FF2B5EF4-FFF2-40B4-BE49-F238E27FC236}">
                  <a16:creationId xmlns:a16="http://schemas.microsoft.com/office/drawing/2014/main" id="{00000000-0008-0000-0E00-0000087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20</xdr:row>
          <xdr:rowOff>9525</xdr:rowOff>
        </xdr:from>
        <xdr:to>
          <xdr:col>2</xdr:col>
          <xdr:colOff>571500</xdr:colOff>
          <xdr:row>20</xdr:row>
          <xdr:rowOff>200025</xdr:rowOff>
        </xdr:to>
        <xdr:sp macro="" textlink="">
          <xdr:nvSpPr>
            <xdr:cNvPr id="160777" name="Drop Down 9" hidden="1">
              <a:extLst>
                <a:ext uri="{63B3BB69-23CF-44E3-9099-C40C66FF867C}">
                  <a14:compatExt spid="_x0000_s160777"/>
                </a:ext>
                <a:ext uri="{FF2B5EF4-FFF2-40B4-BE49-F238E27FC236}">
                  <a16:creationId xmlns:a16="http://schemas.microsoft.com/office/drawing/2014/main" id="{00000000-0008-0000-0E00-0000097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3</xdr:col>
      <xdr:colOff>25400</xdr:colOff>
      <xdr:row>14</xdr:row>
      <xdr:rowOff>19050</xdr:rowOff>
    </xdr:from>
    <xdr:to>
      <xdr:col>3</xdr:col>
      <xdr:colOff>209550</xdr:colOff>
      <xdr:row>14</xdr:row>
      <xdr:rowOff>180975</xdr:rowOff>
    </xdr:to>
    <xdr:pic>
      <xdr:nvPicPr>
        <xdr:cNvPr id="37" name="Obrázek 16" descr="Weight.gif">
          <a:extLst>
            <a:ext uri="{FF2B5EF4-FFF2-40B4-BE49-F238E27FC236}">
              <a16:creationId xmlns:a16="http://schemas.microsoft.com/office/drawing/2014/main" id="{00000000-0008-0000-0E00-000025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320800" y="2800350"/>
          <a:ext cx="1841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25400</xdr:colOff>
      <xdr:row>25</xdr:row>
      <xdr:rowOff>19050</xdr:rowOff>
    </xdr:from>
    <xdr:to>
      <xdr:col>3</xdr:col>
      <xdr:colOff>209550</xdr:colOff>
      <xdr:row>25</xdr:row>
      <xdr:rowOff>180975</xdr:rowOff>
    </xdr:to>
    <xdr:pic>
      <xdr:nvPicPr>
        <xdr:cNvPr id="38" name="Obrázek 16" descr="Weight.gif">
          <a:extLst>
            <a:ext uri="{FF2B5EF4-FFF2-40B4-BE49-F238E27FC236}">
              <a16:creationId xmlns:a16="http://schemas.microsoft.com/office/drawing/2014/main" id="{00000000-0008-0000-0E00-000026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320800" y="2800350"/>
          <a:ext cx="1841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6</xdr:col>
          <xdr:colOff>0</xdr:colOff>
          <xdr:row>3</xdr:row>
          <xdr:rowOff>0</xdr:rowOff>
        </xdr:from>
        <xdr:to>
          <xdr:col>8</xdr:col>
          <xdr:colOff>571500</xdr:colOff>
          <xdr:row>4</xdr:row>
          <xdr:rowOff>0</xdr:rowOff>
        </xdr:to>
        <xdr:sp macro="" textlink="">
          <xdr:nvSpPr>
            <xdr:cNvPr id="160778" name="Drop Down 10" hidden="1">
              <a:extLst>
                <a:ext uri="{63B3BB69-23CF-44E3-9099-C40C66FF867C}">
                  <a14:compatExt spid="_x0000_s160778"/>
                </a:ext>
                <a:ext uri="{FF2B5EF4-FFF2-40B4-BE49-F238E27FC236}">
                  <a16:creationId xmlns:a16="http://schemas.microsoft.com/office/drawing/2014/main" id="{00000000-0008-0000-0E00-00000A7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xdr:row>
          <xdr:rowOff>0</xdr:rowOff>
        </xdr:from>
        <xdr:to>
          <xdr:col>8</xdr:col>
          <xdr:colOff>571500</xdr:colOff>
          <xdr:row>5</xdr:row>
          <xdr:rowOff>0</xdr:rowOff>
        </xdr:to>
        <xdr:sp macro="" textlink="">
          <xdr:nvSpPr>
            <xdr:cNvPr id="160779" name="Drop Down 11" hidden="1">
              <a:extLst>
                <a:ext uri="{63B3BB69-23CF-44E3-9099-C40C66FF867C}">
                  <a14:compatExt spid="_x0000_s160779"/>
                </a:ext>
                <a:ext uri="{FF2B5EF4-FFF2-40B4-BE49-F238E27FC236}">
                  <a16:creationId xmlns:a16="http://schemas.microsoft.com/office/drawing/2014/main" id="{00000000-0008-0000-0E00-00000B7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9</xdr:col>
      <xdr:colOff>317500</xdr:colOff>
      <xdr:row>5</xdr:row>
      <xdr:rowOff>31750</xdr:rowOff>
    </xdr:from>
    <xdr:to>
      <xdr:col>9</xdr:col>
      <xdr:colOff>454025</xdr:colOff>
      <xdr:row>5</xdr:row>
      <xdr:rowOff>200025</xdr:rowOff>
    </xdr:to>
    <xdr:pic>
      <xdr:nvPicPr>
        <xdr:cNvPr id="41" name="Obrázek 28" descr="Info.gif">
          <a:extLst>
            <a:ext uri="{FF2B5EF4-FFF2-40B4-BE49-F238E27FC236}">
              <a16:creationId xmlns:a16="http://schemas.microsoft.com/office/drawing/2014/main" id="{00000000-0008-0000-0E00-000029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32400" y="787400"/>
          <a:ext cx="1460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304800</xdr:colOff>
      <xdr:row>119</xdr:row>
      <xdr:rowOff>12700</xdr:rowOff>
    </xdr:from>
    <xdr:to>
      <xdr:col>1</xdr:col>
      <xdr:colOff>447675</xdr:colOff>
      <xdr:row>119</xdr:row>
      <xdr:rowOff>171450</xdr:rowOff>
    </xdr:to>
    <xdr:pic>
      <xdr:nvPicPr>
        <xdr:cNvPr id="3" name="Obrázek 27" descr="Info.gif">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21088350"/>
          <a:ext cx="1397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37</xdr:col>
      <xdr:colOff>25400</xdr:colOff>
      <xdr:row>101</xdr:row>
      <xdr:rowOff>57150</xdr:rowOff>
    </xdr:from>
    <xdr:to>
      <xdr:col>41</xdr:col>
      <xdr:colOff>25400</xdr:colOff>
      <xdr:row>112</xdr:row>
      <xdr:rowOff>139700</xdr:rowOff>
    </xdr:to>
    <xdr:pic>
      <xdr:nvPicPr>
        <xdr:cNvPr id="2" name="Obrázek 11" descr="Aventos HF_asym_W.jpg">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2250" y="43992800"/>
          <a:ext cx="4178300" cy="218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171450</xdr:colOff>
      <xdr:row>33</xdr:row>
      <xdr:rowOff>31750</xdr:rowOff>
    </xdr:from>
    <xdr:to>
      <xdr:col>1</xdr:col>
      <xdr:colOff>406400</xdr:colOff>
      <xdr:row>34</xdr:row>
      <xdr:rowOff>120650</xdr:rowOff>
    </xdr:to>
    <xdr:pic>
      <xdr:nvPicPr>
        <xdr:cNvPr id="7" name="Obrázek 9" descr="Notice.gif">
          <a:extLst>
            <a:ext uri="{FF2B5EF4-FFF2-40B4-BE49-F238E27FC236}">
              <a16:creationId xmlns:a16="http://schemas.microsoft.com/office/drawing/2014/main" id="{00000000-0008-0000-0F00-000007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0350" y="5086350"/>
          <a:ext cx="2413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165100</xdr:colOff>
      <xdr:row>6</xdr:row>
      <xdr:rowOff>0</xdr:rowOff>
    </xdr:from>
    <xdr:to>
      <xdr:col>12</xdr:col>
      <xdr:colOff>0</xdr:colOff>
      <xdr:row>9</xdr:row>
      <xdr:rowOff>57150</xdr:rowOff>
    </xdr:to>
    <xdr:pic>
      <xdr:nvPicPr>
        <xdr:cNvPr id="17" name="Obrázek 20" descr="S_front_HF_na_w.gif">
          <a:extLst>
            <a:ext uri="{FF2B5EF4-FFF2-40B4-BE49-F238E27FC236}">
              <a16:creationId xmlns:a16="http://schemas.microsoft.com/office/drawing/2014/main" id="{00000000-0008-0000-0F00-000011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0" y="1041400"/>
          <a:ext cx="104775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292100</xdr:colOff>
      <xdr:row>35</xdr:row>
      <xdr:rowOff>133350</xdr:rowOff>
    </xdr:from>
    <xdr:to>
      <xdr:col>1</xdr:col>
      <xdr:colOff>425450</xdr:colOff>
      <xdr:row>36</xdr:row>
      <xdr:rowOff>120650</xdr:rowOff>
    </xdr:to>
    <xdr:pic>
      <xdr:nvPicPr>
        <xdr:cNvPr id="18" name="Obrázek 21" descr="Info.gif">
          <a:extLst>
            <a:ext uri="{FF2B5EF4-FFF2-40B4-BE49-F238E27FC236}">
              <a16:creationId xmlns:a16="http://schemas.microsoft.com/office/drawing/2014/main" id="{00000000-0008-0000-0F00-000012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81000" y="5492750"/>
          <a:ext cx="1397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336550</xdr:colOff>
      <xdr:row>119</xdr:row>
      <xdr:rowOff>6350</xdr:rowOff>
    </xdr:from>
    <xdr:to>
      <xdr:col>1</xdr:col>
      <xdr:colOff>482600</xdr:colOff>
      <xdr:row>119</xdr:row>
      <xdr:rowOff>158750</xdr:rowOff>
    </xdr:to>
    <xdr:pic>
      <xdr:nvPicPr>
        <xdr:cNvPr id="19" name="Obrázek 22" descr="Info.gif">
          <a:extLst>
            <a:ext uri="{FF2B5EF4-FFF2-40B4-BE49-F238E27FC236}">
              <a16:creationId xmlns:a16="http://schemas.microsoft.com/office/drawing/2014/main" id="{00000000-0008-0000-0F00-000013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25450" y="20935950"/>
          <a:ext cx="146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57150</xdr:colOff>
      <xdr:row>138</xdr:row>
      <xdr:rowOff>31750</xdr:rowOff>
    </xdr:from>
    <xdr:to>
      <xdr:col>1</xdr:col>
      <xdr:colOff>196850</xdr:colOff>
      <xdr:row>138</xdr:row>
      <xdr:rowOff>177800</xdr:rowOff>
    </xdr:to>
    <xdr:pic>
      <xdr:nvPicPr>
        <xdr:cNvPr id="20" name="Obrázek 25" descr="Help.gif">
          <a:extLst>
            <a:ext uri="{FF2B5EF4-FFF2-40B4-BE49-F238E27FC236}">
              <a16:creationId xmlns:a16="http://schemas.microsoft.com/office/drawing/2014/main" id="{00000000-0008-0000-0F00-000014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46050" y="58547000"/>
          <a:ext cx="146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0</xdr:rowOff>
    </xdr:from>
    <xdr:to>
      <xdr:col>1</xdr:col>
      <xdr:colOff>234950</xdr:colOff>
      <xdr:row>5</xdr:row>
      <xdr:rowOff>266700</xdr:rowOff>
    </xdr:to>
    <xdr:pic>
      <xdr:nvPicPr>
        <xdr:cNvPr id="21" name="Obrázek 11" descr="Notice.gif">
          <a:extLst>
            <a:ext uri="{FF2B5EF4-FFF2-40B4-BE49-F238E27FC236}">
              <a16:creationId xmlns:a16="http://schemas.microsoft.com/office/drawing/2014/main" id="{00000000-0008-0000-0F00-00001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8900" y="692150"/>
          <a:ext cx="2413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146050</xdr:colOff>
      <xdr:row>5</xdr:row>
      <xdr:rowOff>50800</xdr:rowOff>
    </xdr:from>
    <xdr:to>
      <xdr:col>2</xdr:col>
      <xdr:colOff>311150</xdr:colOff>
      <xdr:row>5</xdr:row>
      <xdr:rowOff>228600</xdr:rowOff>
    </xdr:to>
    <xdr:pic>
      <xdr:nvPicPr>
        <xdr:cNvPr id="22" name="Picture 29">
          <a:extLst>
            <a:ext uri="{FF2B5EF4-FFF2-40B4-BE49-F238E27FC236}">
              <a16:creationId xmlns:a16="http://schemas.microsoft.com/office/drawing/2014/main" id="{00000000-0008-0000-0F00-000016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42950" y="742950"/>
          <a:ext cx="171450" cy="17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171450</xdr:colOff>
      <xdr:row>5</xdr:row>
      <xdr:rowOff>38100</xdr:rowOff>
    </xdr:from>
    <xdr:to>
      <xdr:col>4</xdr:col>
      <xdr:colOff>330200</xdr:colOff>
      <xdr:row>5</xdr:row>
      <xdr:rowOff>228600</xdr:rowOff>
    </xdr:to>
    <xdr:pic>
      <xdr:nvPicPr>
        <xdr:cNvPr id="23" name="Picture 30">
          <a:extLst>
            <a:ext uri="{FF2B5EF4-FFF2-40B4-BE49-F238E27FC236}">
              <a16:creationId xmlns:a16="http://schemas.microsoft.com/office/drawing/2014/main" id="{00000000-0008-0000-0F00-000017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784350" y="730250"/>
          <a:ext cx="1651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273050</xdr:colOff>
      <xdr:row>170</xdr:row>
      <xdr:rowOff>127000</xdr:rowOff>
    </xdr:from>
    <xdr:to>
      <xdr:col>1</xdr:col>
      <xdr:colOff>444500</xdr:colOff>
      <xdr:row>171</xdr:row>
      <xdr:rowOff>139700</xdr:rowOff>
    </xdr:to>
    <xdr:pic>
      <xdr:nvPicPr>
        <xdr:cNvPr id="28" name="Picture 38">
          <a:extLst>
            <a:ext uri="{FF2B5EF4-FFF2-40B4-BE49-F238E27FC236}">
              <a16:creationId xmlns:a16="http://schemas.microsoft.com/office/drawing/2014/main" id="{00000000-0008-0000-0F00-00001C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361950" y="63652400"/>
          <a:ext cx="17145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273050</xdr:colOff>
      <xdr:row>172</xdr:row>
      <xdr:rowOff>120650</xdr:rowOff>
    </xdr:from>
    <xdr:to>
      <xdr:col>1</xdr:col>
      <xdr:colOff>425450</xdr:colOff>
      <xdr:row>173</xdr:row>
      <xdr:rowOff>120650</xdr:rowOff>
    </xdr:to>
    <xdr:pic>
      <xdr:nvPicPr>
        <xdr:cNvPr id="29" name="Picture 39">
          <a:extLst>
            <a:ext uri="{FF2B5EF4-FFF2-40B4-BE49-F238E27FC236}">
              <a16:creationId xmlns:a16="http://schemas.microsoft.com/office/drawing/2014/main" id="{00000000-0008-0000-0F00-00001D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361950" y="63938150"/>
          <a:ext cx="158750" cy="17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3</xdr:col>
          <xdr:colOff>19050</xdr:colOff>
          <xdr:row>6</xdr:row>
          <xdr:rowOff>0</xdr:rowOff>
        </xdr:from>
        <xdr:to>
          <xdr:col>5</xdr:col>
          <xdr:colOff>571500</xdr:colOff>
          <xdr:row>7</xdr:row>
          <xdr:rowOff>9525</xdr:rowOff>
        </xdr:to>
        <xdr:sp macro="" textlink="">
          <xdr:nvSpPr>
            <xdr:cNvPr id="161795" name="Drop Down 3" hidden="1">
              <a:extLst>
                <a:ext uri="{63B3BB69-23CF-44E3-9099-C40C66FF867C}">
                  <a14:compatExt spid="_x0000_s161795"/>
                </a:ext>
                <a:ext uri="{FF2B5EF4-FFF2-40B4-BE49-F238E27FC236}">
                  <a16:creationId xmlns:a16="http://schemas.microsoft.com/office/drawing/2014/main" id="{00000000-0008-0000-0F00-0000037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476250</xdr:colOff>
          <xdr:row>5</xdr:row>
          <xdr:rowOff>38100</xdr:rowOff>
        </xdr:from>
        <xdr:to>
          <xdr:col>2</xdr:col>
          <xdr:colOff>161925</xdr:colOff>
          <xdr:row>5</xdr:row>
          <xdr:rowOff>247650</xdr:rowOff>
        </xdr:to>
        <xdr:sp macro="" textlink="">
          <xdr:nvSpPr>
            <xdr:cNvPr id="161798" name="Option Button 6" hidden="1">
              <a:extLst>
                <a:ext uri="{63B3BB69-23CF-44E3-9099-C40C66FF867C}">
                  <a14:compatExt spid="_x0000_s161798"/>
                </a:ext>
                <a:ext uri="{FF2B5EF4-FFF2-40B4-BE49-F238E27FC236}">
                  <a16:creationId xmlns:a16="http://schemas.microsoft.com/office/drawing/2014/main" id="{00000000-0008-0000-0F00-000006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476250</xdr:colOff>
          <xdr:row>5</xdr:row>
          <xdr:rowOff>47625</xdr:rowOff>
        </xdr:from>
        <xdr:to>
          <xdr:col>4</xdr:col>
          <xdr:colOff>161925</xdr:colOff>
          <xdr:row>5</xdr:row>
          <xdr:rowOff>257175</xdr:rowOff>
        </xdr:to>
        <xdr:sp macro="" textlink="">
          <xdr:nvSpPr>
            <xdr:cNvPr id="161799" name="Option Button 7" hidden="1">
              <a:extLst>
                <a:ext uri="{63B3BB69-23CF-44E3-9099-C40C66FF867C}">
                  <a14:compatExt spid="_x0000_s161799"/>
                </a:ext>
                <a:ext uri="{FF2B5EF4-FFF2-40B4-BE49-F238E27FC236}">
                  <a16:creationId xmlns:a16="http://schemas.microsoft.com/office/drawing/2014/main" id="{00000000-0008-0000-0F00-000007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9</xdr:row>
          <xdr:rowOff>9525</xdr:rowOff>
        </xdr:from>
        <xdr:to>
          <xdr:col>3</xdr:col>
          <xdr:colOff>9525</xdr:colOff>
          <xdr:row>9</xdr:row>
          <xdr:rowOff>200025</xdr:rowOff>
        </xdr:to>
        <xdr:sp macro="" textlink="">
          <xdr:nvSpPr>
            <xdr:cNvPr id="161801" name="Drop Down 9" hidden="1">
              <a:extLst>
                <a:ext uri="{63B3BB69-23CF-44E3-9099-C40C66FF867C}">
                  <a14:compatExt spid="_x0000_s161801"/>
                </a:ext>
                <a:ext uri="{FF2B5EF4-FFF2-40B4-BE49-F238E27FC236}">
                  <a16:creationId xmlns:a16="http://schemas.microsoft.com/office/drawing/2014/main" id="{00000000-0008-0000-0F00-0000097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20</xdr:row>
          <xdr:rowOff>9525</xdr:rowOff>
        </xdr:from>
        <xdr:to>
          <xdr:col>2</xdr:col>
          <xdr:colOff>571500</xdr:colOff>
          <xdr:row>20</xdr:row>
          <xdr:rowOff>200025</xdr:rowOff>
        </xdr:to>
        <xdr:sp macro="" textlink="">
          <xdr:nvSpPr>
            <xdr:cNvPr id="161802" name="Drop Down 10" hidden="1">
              <a:extLst>
                <a:ext uri="{63B3BB69-23CF-44E3-9099-C40C66FF867C}">
                  <a14:compatExt spid="_x0000_s161802"/>
                </a:ext>
                <a:ext uri="{FF2B5EF4-FFF2-40B4-BE49-F238E27FC236}">
                  <a16:creationId xmlns:a16="http://schemas.microsoft.com/office/drawing/2014/main" id="{00000000-0008-0000-0F00-00000A7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3</xdr:col>
      <xdr:colOff>25400</xdr:colOff>
      <xdr:row>14</xdr:row>
      <xdr:rowOff>19050</xdr:rowOff>
    </xdr:from>
    <xdr:to>
      <xdr:col>3</xdr:col>
      <xdr:colOff>209550</xdr:colOff>
      <xdr:row>14</xdr:row>
      <xdr:rowOff>177800</xdr:rowOff>
    </xdr:to>
    <xdr:pic>
      <xdr:nvPicPr>
        <xdr:cNvPr id="38" name="Obrázek 16" descr="Weight.gif">
          <a:extLst>
            <a:ext uri="{FF2B5EF4-FFF2-40B4-BE49-F238E27FC236}">
              <a16:creationId xmlns:a16="http://schemas.microsoft.com/office/drawing/2014/main" id="{00000000-0008-0000-0F00-000026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320800" y="2800350"/>
          <a:ext cx="1841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25400</xdr:colOff>
      <xdr:row>25</xdr:row>
      <xdr:rowOff>19050</xdr:rowOff>
    </xdr:from>
    <xdr:to>
      <xdr:col>3</xdr:col>
      <xdr:colOff>209550</xdr:colOff>
      <xdr:row>25</xdr:row>
      <xdr:rowOff>177800</xdr:rowOff>
    </xdr:to>
    <xdr:pic>
      <xdr:nvPicPr>
        <xdr:cNvPr id="39" name="Obrázek 16" descr="Weight.gif">
          <a:extLst>
            <a:ext uri="{FF2B5EF4-FFF2-40B4-BE49-F238E27FC236}">
              <a16:creationId xmlns:a16="http://schemas.microsoft.com/office/drawing/2014/main" id="{00000000-0008-0000-0F00-000027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320800" y="2800350"/>
          <a:ext cx="1841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317500</xdr:colOff>
      <xdr:row>5</xdr:row>
      <xdr:rowOff>31750</xdr:rowOff>
    </xdr:from>
    <xdr:to>
      <xdr:col>9</xdr:col>
      <xdr:colOff>454025</xdr:colOff>
      <xdr:row>5</xdr:row>
      <xdr:rowOff>196850</xdr:rowOff>
    </xdr:to>
    <xdr:pic>
      <xdr:nvPicPr>
        <xdr:cNvPr id="42" name="Obrázek 28" descr="Info.gif">
          <a:extLst>
            <a:ext uri="{FF2B5EF4-FFF2-40B4-BE49-F238E27FC236}">
              <a16:creationId xmlns:a16="http://schemas.microsoft.com/office/drawing/2014/main" id="{00000000-0008-0000-0F00-00002A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232400" y="787400"/>
          <a:ext cx="1460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6</xdr:col>
          <xdr:colOff>9525</xdr:colOff>
          <xdr:row>3</xdr:row>
          <xdr:rowOff>0</xdr:rowOff>
        </xdr:from>
        <xdr:to>
          <xdr:col>9</xdr:col>
          <xdr:colOff>0</xdr:colOff>
          <xdr:row>4</xdr:row>
          <xdr:rowOff>0</xdr:rowOff>
        </xdr:to>
        <xdr:sp macro="" textlink="">
          <xdr:nvSpPr>
            <xdr:cNvPr id="161805" name="Drop Down 13" hidden="1">
              <a:extLst>
                <a:ext uri="{63B3BB69-23CF-44E3-9099-C40C66FF867C}">
                  <a14:compatExt spid="_x0000_s161805"/>
                </a:ext>
                <a:ext uri="{FF2B5EF4-FFF2-40B4-BE49-F238E27FC236}">
                  <a16:creationId xmlns:a16="http://schemas.microsoft.com/office/drawing/2014/main" id="{00000000-0008-0000-0F00-00000D7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4</xdr:row>
          <xdr:rowOff>0</xdr:rowOff>
        </xdr:from>
        <xdr:to>
          <xdr:col>9</xdr:col>
          <xdr:colOff>0</xdr:colOff>
          <xdr:row>5</xdr:row>
          <xdr:rowOff>0</xdr:rowOff>
        </xdr:to>
        <xdr:sp macro="" textlink="">
          <xdr:nvSpPr>
            <xdr:cNvPr id="161806" name="Drop Down 14" hidden="1">
              <a:extLst>
                <a:ext uri="{63B3BB69-23CF-44E3-9099-C40C66FF867C}">
                  <a14:compatExt spid="_x0000_s161806"/>
                </a:ext>
                <a:ext uri="{FF2B5EF4-FFF2-40B4-BE49-F238E27FC236}">
                  <a16:creationId xmlns:a16="http://schemas.microsoft.com/office/drawing/2014/main" id="{00000000-0008-0000-0F00-00000E7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9</xdr:col>
      <xdr:colOff>317500</xdr:colOff>
      <xdr:row>5</xdr:row>
      <xdr:rowOff>31750</xdr:rowOff>
    </xdr:from>
    <xdr:to>
      <xdr:col>9</xdr:col>
      <xdr:colOff>454025</xdr:colOff>
      <xdr:row>5</xdr:row>
      <xdr:rowOff>196850</xdr:rowOff>
    </xdr:to>
    <xdr:pic>
      <xdr:nvPicPr>
        <xdr:cNvPr id="45" name="Obrázek 28" descr="Info.gif">
          <a:extLst>
            <a:ext uri="{FF2B5EF4-FFF2-40B4-BE49-F238E27FC236}">
              <a16:creationId xmlns:a16="http://schemas.microsoft.com/office/drawing/2014/main" id="{00000000-0008-0000-0F00-00002D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232400" y="787400"/>
          <a:ext cx="1460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304800</xdr:colOff>
      <xdr:row>119</xdr:row>
      <xdr:rowOff>12700</xdr:rowOff>
    </xdr:from>
    <xdr:to>
      <xdr:col>1</xdr:col>
      <xdr:colOff>447675</xdr:colOff>
      <xdr:row>119</xdr:row>
      <xdr:rowOff>171450</xdr:rowOff>
    </xdr:to>
    <xdr:pic>
      <xdr:nvPicPr>
        <xdr:cNvPr id="3" name="Obrázek 27" descr="Info.gif">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90525" y="21088350"/>
          <a:ext cx="1397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11</xdr:col>
      <xdr:colOff>146050</xdr:colOff>
      <xdr:row>6</xdr:row>
      <xdr:rowOff>12700</xdr:rowOff>
    </xdr:from>
    <xdr:to>
      <xdr:col>12</xdr:col>
      <xdr:colOff>0</xdr:colOff>
      <xdr:row>8</xdr:row>
      <xdr:rowOff>57150</xdr:rowOff>
    </xdr:to>
    <xdr:pic>
      <xdr:nvPicPr>
        <xdr:cNvPr id="3" name="Obrázek 6" descr="S_front_HK_w.gif">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67450" y="971550"/>
          <a:ext cx="1054100" cy="565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196850</xdr:colOff>
      <xdr:row>35</xdr:row>
      <xdr:rowOff>127000</xdr:rowOff>
    </xdr:from>
    <xdr:to>
      <xdr:col>1</xdr:col>
      <xdr:colOff>342900</xdr:colOff>
      <xdr:row>36</xdr:row>
      <xdr:rowOff>114300</xdr:rowOff>
    </xdr:to>
    <xdr:pic>
      <xdr:nvPicPr>
        <xdr:cNvPr id="15" name="Obrázek 19" descr="Info.gif">
          <a:extLst>
            <a:ext uri="{FF2B5EF4-FFF2-40B4-BE49-F238E27FC236}">
              <a16:creationId xmlns:a16="http://schemas.microsoft.com/office/drawing/2014/main" id="{00000000-0008-0000-1000-00000F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5750" y="5302250"/>
          <a:ext cx="14605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69850</xdr:colOff>
      <xdr:row>109</xdr:row>
      <xdr:rowOff>25400</xdr:rowOff>
    </xdr:from>
    <xdr:to>
      <xdr:col>1</xdr:col>
      <xdr:colOff>219075</xdr:colOff>
      <xdr:row>109</xdr:row>
      <xdr:rowOff>190500</xdr:rowOff>
    </xdr:to>
    <xdr:pic>
      <xdr:nvPicPr>
        <xdr:cNvPr id="16" name="Obrázek 20" descr="Help.gif">
          <a:extLst>
            <a:ext uri="{FF2B5EF4-FFF2-40B4-BE49-F238E27FC236}">
              <a16:creationId xmlns:a16="http://schemas.microsoft.com/office/drawing/2014/main" id="{00000000-0008-0000-1000-000010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8750" y="19596100"/>
          <a:ext cx="1460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3</xdr:col>
          <xdr:colOff>19050</xdr:colOff>
          <xdr:row>6</xdr:row>
          <xdr:rowOff>9525</xdr:rowOff>
        </xdr:from>
        <xdr:to>
          <xdr:col>6</xdr:col>
          <xdr:colOff>0</xdr:colOff>
          <xdr:row>7</xdr:row>
          <xdr:rowOff>0</xdr:rowOff>
        </xdr:to>
        <xdr:sp macro="" textlink="">
          <xdr:nvSpPr>
            <xdr:cNvPr id="162819" name="Drop Down 3" hidden="1">
              <a:extLst>
                <a:ext uri="{63B3BB69-23CF-44E3-9099-C40C66FF867C}">
                  <a14:compatExt spid="_x0000_s162819"/>
                </a:ext>
                <a:ext uri="{FF2B5EF4-FFF2-40B4-BE49-F238E27FC236}">
                  <a16:creationId xmlns:a16="http://schemas.microsoft.com/office/drawing/2014/main" id="{00000000-0008-0000-1000-0000037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9525</xdr:rowOff>
        </xdr:from>
        <xdr:to>
          <xdr:col>3</xdr:col>
          <xdr:colOff>9525</xdr:colOff>
          <xdr:row>10</xdr:row>
          <xdr:rowOff>0</xdr:rowOff>
        </xdr:to>
        <xdr:sp macro="" textlink="">
          <xdr:nvSpPr>
            <xdr:cNvPr id="162821" name="Drop Down 5" hidden="1">
              <a:extLst>
                <a:ext uri="{63B3BB69-23CF-44E3-9099-C40C66FF867C}">
                  <a14:compatExt spid="_x0000_s162821"/>
                </a:ext>
                <a:ext uri="{FF2B5EF4-FFF2-40B4-BE49-F238E27FC236}">
                  <a16:creationId xmlns:a16="http://schemas.microsoft.com/office/drawing/2014/main" id="{00000000-0008-0000-1000-0000057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9525</xdr:rowOff>
        </xdr:from>
        <xdr:to>
          <xdr:col>3</xdr:col>
          <xdr:colOff>9525</xdr:colOff>
          <xdr:row>21</xdr:row>
          <xdr:rowOff>0</xdr:rowOff>
        </xdr:to>
        <xdr:sp macro="" textlink="">
          <xdr:nvSpPr>
            <xdr:cNvPr id="162823" name="Drop Down 7" hidden="1">
              <a:extLst>
                <a:ext uri="{63B3BB69-23CF-44E3-9099-C40C66FF867C}">
                  <a14:compatExt spid="_x0000_s162823"/>
                </a:ext>
                <a:ext uri="{FF2B5EF4-FFF2-40B4-BE49-F238E27FC236}">
                  <a16:creationId xmlns:a16="http://schemas.microsoft.com/office/drawing/2014/main" id="{00000000-0008-0000-1000-0000077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3</xdr:col>
      <xdr:colOff>25400</xdr:colOff>
      <xdr:row>14</xdr:row>
      <xdr:rowOff>19050</xdr:rowOff>
    </xdr:from>
    <xdr:to>
      <xdr:col>3</xdr:col>
      <xdr:colOff>209550</xdr:colOff>
      <xdr:row>14</xdr:row>
      <xdr:rowOff>180975</xdr:rowOff>
    </xdr:to>
    <xdr:pic>
      <xdr:nvPicPr>
        <xdr:cNvPr id="22" name="Obrázek 16" descr="Weight.gif">
          <a:extLst>
            <a:ext uri="{FF2B5EF4-FFF2-40B4-BE49-F238E27FC236}">
              <a16:creationId xmlns:a16="http://schemas.microsoft.com/office/drawing/2014/main" id="{00000000-0008-0000-1000-000016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20800" y="2800350"/>
          <a:ext cx="1841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25400</xdr:colOff>
      <xdr:row>25</xdr:row>
      <xdr:rowOff>19050</xdr:rowOff>
    </xdr:from>
    <xdr:ext cx="184150" cy="165100"/>
    <xdr:pic>
      <xdr:nvPicPr>
        <xdr:cNvPr id="24" name="Obrázek 16" descr="Weight.gif">
          <a:extLst>
            <a:ext uri="{FF2B5EF4-FFF2-40B4-BE49-F238E27FC236}">
              <a16:creationId xmlns:a16="http://schemas.microsoft.com/office/drawing/2014/main" id="{00000000-0008-0000-1000-000018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20800" y="2603500"/>
          <a:ext cx="1841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mc:AlternateContent xmlns:mc="http://schemas.openxmlformats.org/markup-compatibility/2006">
    <mc:Choice xmlns:a14="http://schemas.microsoft.com/office/drawing/2010/main" Requires="a14">
      <xdr:twoCellAnchor editAs="oneCell">
        <xdr:from>
          <xdr:col>6</xdr:col>
          <xdr:colOff>9525</xdr:colOff>
          <xdr:row>3</xdr:row>
          <xdr:rowOff>0</xdr:rowOff>
        </xdr:from>
        <xdr:to>
          <xdr:col>8</xdr:col>
          <xdr:colOff>571500</xdr:colOff>
          <xdr:row>4</xdr:row>
          <xdr:rowOff>0</xdr:rowOff>
        </xdr:to>
        <xdr:sp macro="" textlink="">
          <xdr:nvSpPr>
            <xdr:cNvPr id="162824" name="Drop Down 8" hidden="1">
              <a:extLst>
                <a:ext uri="{63B3BB69-23CF-44E3-9099-C40C66FF867C}">
                  <a14:compatExt spid="_x0000_s162824"/>
                </a:ext>
                <a:ext uri="{FF2B5EF4-FFF2-40B4-BE49-F238E27FC236}">
                  <a16:creationId xmlns:a16="http://schemas.microsoft.com/office/drawing/2014/main" id="{00000000-0008-0000-1000-0000087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oneCellAnchor>
    <xdr:from>
      <xdr:col>9</xdr:col>
      <xdr:colOff>323850</xdr:colOff>
      <xdr:row>4</xdr:row>
      <xdr:rowOff>12700</xdr:rowOff>
    </xdr:from>
    <xdr:ext cx="146050" cy="165100"/>
    <xdr:pic>
      <xdr:nvPicPr>
        <xdr:cNvPr id="26" name="Obrázek 28" descr="Info.gif">
          <a:extLst>
            <a:ext uri="{FF2B5EF4-FFF2-40B4-BE49-F238E27FC236}">
              <a16:creationId xmlns:a16="http://schemas.microsoft.com/office/drawing/2014/main" id="{00000000-0008-0000-1000-00001A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238750" y="565150"/>
          <a:ext cx="1460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8.xml><?xml version="1.0" encoding="utf-8"?>
<xdr:wsDr xmlns:xdr="http://schemas.openxmlformats.org/drawingml/2006/spreadsheetDrawing" xmlns:a="http://schemas.openxmlformats.org/drawingml/2006/main">
  <xdr:twoCellAnchor editAs="oneCell">
    <xdr:from>
      <xdr:col>10</xdr:col>
      <xdr:colOff>469900</xdr:colOff>
      <xdr:row>6</xdr:row>
      <xdr:rowOff>0</xdr:rowOff>
    </xdr:from>
    <xdr:to>
      <xdr:col>11</xdr:col>
      <xdr:colOff>787400</xdr:colOff>
      <xdr:row>8</xdr:row>
      <xdr:rowOff>82550</xdr:rowOff>
    </xdr:to>
    <xdr:pic>
      <xdr:nvPicPr>
        <xdr:cNvPr id="14" name="Obrázek 18" descr="S_front_HK_wa.gif">
          <a:extLst>
            <a:ext uri="{FF2B5EF4-FFF2-40B4-BE49-F238E27FC236}">
              <a16:creationId xmlns:a16="http://schemas.microsoft.com/office/drawing/2014/main" id="{00000000-0008-0000-1100-00000E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3800" y="863600"/>
          <a:ext cx="105410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298450</xdr:colOff>
      <xdr:row>36</xdr:row>
      <xdr:rowOff>0</xdr:rowOff>
    </xdr:from>
    <xdr:to>
      <xdr:col>1</xdr:col>
      <xdr:colOff>444500</xdr:colOff>
      <xdr:row>36</xdr:row>
      <xdr:rowOff>158750</xdr:rowOff>
    </xdr:to>
    <xdr:pic>
      <xdr:nvPicPr>
        <xdr:cNvPr id="15" name="Obrázek 17" descr="Info.gif">
          <a:extLst>
            <a:ext uri="{FF2B5EF4-FFF2-40B4-BE49-F238E27FC236}">
              <a16:creationId xmlns:a16="http://schemas.microsoft.com/office/drawing/2014/main" id="{00000000-0008-0000-1100-00000F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7350" y="5346700"/>
          <a:ext cx="1460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57150</xdr:colOff>
      <xdr:row>109</xdr:row>
      <xdr:rowOff>0</xdr:rowOff>
    </xdr:from>
    <xdr:to>
      <xdr:col>1</xdr:col>
      <xdr:colOff>196850</xdr:colOff>
      <xdr:row>109</xdr:row>
      <xdr:rowOff>152400</xdr:rowOff>
    </xdr:to>
    <xdr:pic>
      <xdr:nvPicPr>
        <xdr:cNvPr id="16" name="Obrázek 20" descr="Help.gif">
          <a:extLst>
            <a:ext uri="{FF2B5EF4-FFF2-40B4-BE49-F238E27FC236}">
              <a16:creationId xmlns:a16="http://schemas.microsoft.com/office/drawing/2014/main" id="{00000000-0008-0000-1100-000010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6050" y="59239150"/>
          <a:ext cx="146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25400</xdr:colOff>
      <xdr:row>4</xdr:row>
      <xdr:rowOff>158750</xdr:rowOff>
    </xdr:from>
    <xdr:to>
      <xdr:col>1</xdr:col>
      <xdr:colOff>266700</xdr:colOff>
      <xdr:row>5</xdr:row>
      <xdr:rowOff>215900</xdr:rowOff>
    </xdr:to>
    <xdr:pic>
      <xdr:nvPicPr>
        <xdr:cNvPr id="20" name="Obrázek 11" descr="Notice.gif">
          <a:extLst>
            <a:ext uri="{FF2B5EF4-FFF2-40B4-BE49-F238E27FC236}">
              <a16:creationId xmlns:a16="http://schemas.microsoft.com/office/drawing/2014/main" id="{00000000-0008-0000-1100-000014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14300" y="711200"/>
          <a:ext cx="2413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57150</xdr:colOff>
      <xdr:row>5</xdr:row>
      <xdr:rowOff>38100</xdr:rowOff>
    </xdr:from>
    <xdr:to>
      <xdr:col>2</xdr:col>
      <xdr:colOff>501650</xdr:colOff>
      <xdr:row>5</xdr:row>
      <xdr:rowOff>215900</xdr:rowOff>
    </xdr:to>
    <xdr:pic>
      <xdr:nvPicPr>
        <xdr:cNvPr id="21" name="Obrázek 25" descr="Alu_narr.gif">
          <a:extLst>
            <a:ext uri="{FF2B5EF4-FFF2-40B4-BE49-F238E27FC236}">
              <a16:creationId xmlns:a16="http://schemas.microsoft.com/office/drawing/2014/main" id="{00000000-0008-0000-1100-000015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49300" y="793750"/>
          <a:ext cx="450850" cy="17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31750</xdr:colOff>
      <xdr:row>5</xdr:row>
      <xdr:rowOff>19050</xdr:rowOff>
    </xdr:from>
    <xdr:to>
      <xdr:col>4</xdr:col>
      <xdr:colOff>476250</xdr:colOff>
      <xdr:row>5</xdr:row>
      <xdr:rowOff>228600</xdr:rowOff>
    </xdr:to>
    <xdr:pic>
      <xdr:nvPicPr>
        <xdr:cNvPr id="22" name="Obrázek 26" descr="Alu_wide.gif">
          <a:extLst>
            <a:ext uri="{FF2B5EF4-FFF2-40B4-BE49-F238E27FC236}">
              <a16:creationId xmlns:a16="http://schemas.microsoft.com/office/drawing/2014/main" id="{00000000-0008-0000-1100-000016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930400" y="774700"/>
          <a:ext cx="4445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38100</xdr:colOff>
      <xdr:row>126</xdr:row>
      <xdr:rowOff>12700</xdr:rowOff>
    </xdr:from>
    <xdr:to>
      <xdr:col>1</xdr:col>
      <xdr:colOff>482600</xdr:colOff>
      <xdr:row>126</xdr:row>
      <xdr:rowOff>177800</xdr:rowOff>
    </xdr:to>
    <xdr:pic>
      <xdr:nvPicPr>
        <xdr:cNvPr id="24" name="Obrázek 21" descr="Alu_narr.gif">
          <a:extLst>
            <a:ext uri="{FF2B5EF4-FFF2-40B4-BE49-F238E27FC236}">
              <a16:creationId xmlns:a16="http://schemas.microsoft.com/office/drawing/2014/main" id="{00000000-0008-0000-1100-000018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27000" y="23272750"/>
          <a:ext cx="45085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38100</xdr:colOff>
      <xdr:row>127</xdr:row>
      <xdr:rowOff>184150</xdr:rowOff>
    </xdr:from>
    <xdr:to>
      <xdr:col>1</xdr:col>
      <xdr:colOff>476250</xdr:colOff>
      <xdr:row>128</xdr:row>
      <xdr:rowOff>171450</xdr:rowOff>
    </xdr:to>
    <xdr:pic>
      <xdr:nvPicPr>
        <xdr:cNvPr id="25" name="Picture 31">
          <a:extLst>
            <a:ext uri="{FF2B5EF4-FFF2-40B4-BE49-F238E27FC236}">
              <a16:creationId xmlns:a16="http://schemas.microsoft.com/office/drawing/2014/main" id="{00000000-0008-0000-1100-000019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27000" y="23634700"/>
          <a:ext cx="438150" cy="17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3</xdr:col>
          <xdr:colOff>19050</xdr:colOff>
          <xdr:row>6</xdr:row>
          <xdr:rowOff>9525</xdr:rowOff>
        </xdr:from>
        <xdr:to>
          <xdr:col>5</xdr:col>
          <xdr:colOff>571500</xdr:colOff>
          <xdr:row>7</xdr:row>
          <xdr:rowOff>0</xdr:rowOff>
        </xdr:to>
        <xdr:sp macro="" textlink="">
          <xdr:nvSpPr>
            <xdr:cNvPr id="163843" name="Drop Down 3" hidden="1">
              <a:extLst>
                <a:ext uri="{63B3BB69-23CF-44E3-9099-C40C66FF867C}">
                  <a14:compatExt spid="_x0000_s163843"/>
                </a:ext>
                <a:ext uri="{FF2B5EF4-FFF2-40B4-BE49-F238E27FC236}">
                  <a16:creationId xmlns:a16="http://schemas.microsoft.com/office/drawing/2014/main" id="{00000000-0008-0000-1100-0000038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361950</xdr:colOff>
          <xdr:row>5</xdr:row>
          <xdr:rowOff>19050</xdr:rowOff>
        </xdr:from>
        <xdr:to>
          <xdr:col>2</xdr:col>
          <xdr:colOff>57150</xdr:colOff>
          <xdr:row>5</xdr:row>
          <xdr:rowOff>247650</xdr:rowOff>
        </xdr:to>
        <xdr:sp macro="" textlink="">
          <xdr:nvSpPr>
            <xdr:cNvPr id="163845" name="Option Button 5" hidden="1">
              <a:extLst>
                <a:ext uri="{63B3BB69-23CF-44E3-9099-C40C66FF867C}">
                  <a14:compatExt spid="_x0000_s163845"/>
                </a:ext>
                <a:ext uri="{FF2B5EF4-FFF2-40B4-BE49-F238E27FC236}">
                  <a16:creationId xmlns:a16="http://schemas.microsoft.com/office/drawing/2014/main" id="{00000000-0008-0000-1100-000005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361950</xdr:colOff>
          <xdr:row>5</xdr:row>
          <xdr:rowOff>28575</xdr:rowOff>
        </xdr:from>
        <xdr:to>
          <xdr:col>4</xdr:col>
          <xdr:colOff>57150</xdr:colOff>
          <xdr:row>5</xdr:row>
          <xdr:rowOff>247650</xdr:rowOff>
        </xdr:to>
        <xdr:sp macro="" textlink="">
          <xdr:nvSpPr>
            <xdr:cNvPr id="163846" name="Option Button 6" hidden="1">
              <a:extLst>
                <a:ext uri="{63B3BB69-23CF-44E3-9099-C40C66FF867C}">
                  <a14:compatExt spid="_x0000_s163846"/>
                </a:ext>
                <a:ext uri="{FF2B5EF4-FFF2-40B4-BE49-F238E27FC236}">
                  <a16:creationId xmlns:a16="http://schemas.microsoft.com/office/drawing/2014/main" id="{00000000-0008-0000-1100-000006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9525</xdr:rowOff>
        </xdr:from>
        <xdr:to>
          <xdr:col>3</xdr:col>
          <xdr:colOff>9525</xdr:colOff>
          <xdr:row>10</xdr:row>
          <xdr:rowOff>0</xdr:rowOff>
        </xdr:to>
        <xdr:sp macro="" textlink="">
          <xdr:nvSpPr>
            <xdr:cNvPr id="163847" name="Drop Down 7" hidden="1">
              <a:extLst>
                <a:ext uri="{63B3BB69-23CF-44E3-9099-C40C66FF867C}">
                  <a14:compatExt spid="_x0000_s163847"/>
                </a:ext>
                <a:ext uri="{FF2B5EF4-FFF2-40B4-BE49-F238E27FC236}">
                  <a16:creationId xmlns:a16="http://schemas.microsoft.com/office/drawing/2014/main" id="{00000000-0008-0000-1100-0000078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9525</xdr:rowOff>
        </xdr:from>
        <xdr:to>
          <xdr:col>3</xdr:col>
          <xdr:colOff>9525</xdr:colOff>
          <xdr:row>21</xdr:row>
          <xdr:rowOff>0</xdr:rowOff>
        </xdr:to>
        <xdr:sp macro="" textlink="">
          <xdr:nvSpPr>
            <xdr:cNvPr id="163848" name="Drop Down 8" hidden="1">
              <a:extLst>
                <a:ext uri="{63B3BB69-23CF-44E3-9099-C40C66FF867C}">
                  <a14:compatExt spid="_x0000_s163848"/>
                </a:ext>
                <a:ext uri="{FF2B5EF4-FFF2-40B4-BE49-F238E27FC236}">
                  <a16:creationId xmlns:a16="http://schemas.microsoft.com/office/drawing/2014/main" id="{00000000-0008-0000-1100-0000088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3</xdr:col>
      <xdr:colOff>25400</xdr:colOff>
      <xdr:row>14</xdr:row>
      <xdr:rowOff>19050</xdr:rowOff>
    </xdr:from>
    <xdr:to>
      <xdr:col>3</xdr:col>
      <xdr:colOff>209550</xdr:colOff>
      <xdr:row>14</xdr:row>
      <xdr:rowOff>177800</xdr:rowOff>
    </xdr:to>
    <xdr:pic>
      <xdr:nvPicPr>
        <xdr:cNvPr id="33" name="Obrázek 16" descr="Weight.gif">
          <a:extLst>
            <a:ext uri="{FF2B5EF4-FFF2-40B4-BE49-F238E27FC236}">
              <a16:creationId xmlns:a16="http://schemas.microsoft.com/office/drawing/2014/main" id="{00000000-0008-0000-1100-000021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320800" y="2603500"/>
          <a:ext cx="1841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25400</xdr:colOff>
      <xdr:row>25</xdr:row>
      <xdr:rowOff>19050</xdr:rowOff>
    </xdr:from>
    <xdr:to>
      <xdr:col>3</xdr:col>
      <xdr:colOff>209550</xdr:colOff>
      <xdr:row>25</xdr:row>
      <xdr:rowOff>177800</xdr:rowOff>
    </xdr:to>
    <xdr:pic>
      <xdr:nvPicPr>
        <xdr:cNvPr id="34" name="Obrázek 16" descr="Weight.gif">
          <a:extLst>
            <a:ext uri="{FF2B5EF4-FFF2-40B4-BE49-F238E27FC236}">
              <a16:creationId xmlns:a16="http://schemas.microsoft.com/office/drawing/2014/main" id="{00000000-0008-0000-1100-000022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320800" y="2603500"/>
          <a:ext cx="1841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6</xdr:col>
          <xdr:colOff>0</xdr:colOff>
          <xdr:row>3</xdr:row>
          <xdr:rowOff>0</xdr:rowOff>
        </xdr:from>
        <xdr:to>
          <xdr:col>9</xdr:col>
          <xdr:colOff>0</xdr:colOff>
          <xdr:row>4</xdr:row>
          <xdr:rowOff>9525</xdr:rowOff>
        </xdr:to>
        <xdr:sp macro="" textlink="">
          <xdr:nvSpPr>
            <xdr:cNvPr id="163849" name="Drop Down 9" hidden="1">
              <a:extLst>
                <a:ext uri="{63B3BB69-23CF-44E3-9099-C40C66FF867C}">
                  <a14:compatExt spid="_x0000_s163849"/>
                </a:ext>
                <a:ext uri="{FF2B5EF4-FFF2-40B4-BE49-F238E27FC236}">
                  <a16:creationId xmlns:a16="http://schemas.microsoft.com/office/drawing/2014/main" id="{00000000-0008-0000-1100-0000098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oneCellAnchor>
    <xdr:from>
      <xdr:col>9</xdr:col>
      <xdr:colOff>323850</xdr:colOff>
      <xdr:row>4</xdr:row>
      <xdr:rowOff>12700</xdr:rowOff>
    </xdr:from>
    <xdr:ext cx="146050" cy="165100"/>
    <xdr:pic>
      <xdr:nvPicPr>
        <xdr:cNvPr id="28" name="Obrázek 28" descr="Info.gif">
          <a:extLst>
            <a:ext uri="{FF2B5EF4-FFF2-40B4-BE49-F238E27FC236}">
              <a16:creationId xmlns:a16="http://schemas.microsoft.com/office/drawing/2014/main" id="{00000000-0008-0000-1100-00001C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238750" y="565150"/>
          <a:ext cx="1460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9.xml><?xml version="1.0" encoding="utf-8"?>
<xdr:wsDr xmlns:xdr="http://schemas.openxmlformats.org/drawingml/2006/spreadsheetDrawing" xmlns:a="http://schemas.openxmlformats.org/drawingml/2006/main">
  <xdr:twoCellAnchor editAs="oneCell">
    <xdr:from>
      <xdr:col>10</xdr:col>
      <xdr:colOff>488950</xdr:colOff>
      <xdr:row>6</xdr:row>
      <xdr:rowOff>6350</xdr:rowOff>
    </xdr:from>
    <xdr:to>
      <xdr:col>11</xdr:col>
      <xdr:colOff>800100</xdr:colOff>
      <xdr:row>8</xdr:row>
      <xdr:rowOff>82550</xdr:rowOff>
    </xdr:to>
    <xdr:pic>
      <xdr:nvPicPr>
        <xdr:cNvPr id="14" name="Obrázek 17" descr="S_front_HK_na.png">
          <a:extLst>
            <a:ext uri="{FF2B5EF4-FFF2-40B4-BE49-F238E27FC236}">
              <a16:creationId xmlns:a16="http://schemas.microsoft.com/office/drawing/2014/main" id="{00000000-0008-0000-1200-00000E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2850" y="869950"/>
          <a:ext cx="1041400" cy="603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298450</xdr:colOff>
      <xdr:row>36</xdr:row>
      <xdr:rowOff>0</xdr:rowOff>
    </xdr:from>
    <xdr:to>
      <xdr:col>1</xdr:col>
      <xdr:colOff>444500</xdr:colOff>
      <xdr:row>36</xdr:row>
      <xdr:rowOff>158750</xdr:rowOff>
    </xdr:to>
    <xdr:pic>
      <xdr:nvPicPr>
        <xdr:cNvPr id="15" name="Obrázek 18" descr="Info.gif">
          <a:extLst>
            <a:ext uri="{FF2B5EF4-FFF2-40B4-BE49-F238E27FC236}">
              <a16:creationId xmlns:a16="http://schemas.microsoft.com/office/drawing/2014/main" id="{00000000-0008-0000-1200-00000F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7350" y="5346700"/>
          <a:ext cx="1460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57150</xdr:colOff>
      <xdr:row>109</xdr:row>
      <xdr:rowOff>0</xdr:rowOff>
    </xdr:from>
    <xdr:to>
      <xdr:col>1</xdr:col>
      <xdr:colOff>196850</xdr:colOff>
      <xdr:row>109</xdr:row>
      <xdr:rowOff>152400</xdr:rowOff>
    </xdr:to>
    <xdr:pic>
      <xdr:nvPicPr>
        <xdr:cNvPr id="16" name="Obrázek 20" descr="Help.gif">
          <a:extLst>
            <a:ext uri="{FF2B5EF4-FFF2-40B4-BE49-F238E27FC236}">
              <a16:creationId xmlns:a16="http://schemas.microsoft.com/office/drawing/2014/main" id="{00000000-0008-0000-1200-000010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6050" y="59080400"/>
          <a:ext cx="146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31750</xdr:colOff>
      <xdr:row>4</xdr:row>
      <xdr:rowOff>184150</xdr:rowOff>
    </xdr:from>
    <xdr:to>
      <xdr:col>1</xdr:col>
      <xdr:colOff>273050</xdr:colOff>
      <xdr:row>5</xdr:row>
      <xdr:rowOff>247650</xdr:rowOff>
    </xdr:to>
    <xdr:pic>
      <xdr:nvPicPr>
        <xdr:cNvPr id="20" name="Obrázek 11" descr="Notice.gif">
          <a:extLst>
            <a:ext uri="{FF2B5EF4-FFF2-40B4-BE49-F238E27FC236}">
              <a16:creationId xmlns:a16="http://schemas.microsoft.com/office/drawing/2014/main" id="{00000000-0008-0000-1200-000014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20650" y="736600"/>
          <a:ext cx="2413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19050</xdr:colOff>
      <xdr:row>5</xdr:row>
      <xdr:rowOff>50800</xdr:rowOff>
    </xdr:from>
    <xdr:to>
      <xdr:col>2</xdr:col>
      <xdr:colOff>190500</xdr:colOff>
      <xdr:row>5</xdr:row>
      <xdr:rowOff>234950</xdr:rowOff>
    </xdr:to>
    <xdr:pic>
      <xdr:nvPicPr>
        <xdr:cNvPr id="21" name="Picture 1">
          <a:extLst>
            <a:ext uri="{FF2B5EF4-FFF2-40B4-BE49-F238E27FC236}">
              <a16:creationId xmlns:a16="http://schemas.microsoft.com/office/drawing/2014/main" id="{00000000-0008-0000-1200-000015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11200" y="806450"/>
          <a:ext cx="171450" cy="18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38100</xdr:colOff>
      <xdr:row>5</xdr:row>
      <xdr:rowOff>44450</xdr:rowOff>
    </xdr:from>
    <xdr:to>
      <xdr:col>4</xdr:col>
      <xdr:colOff>196850</xdr:colOff>
      <xdr:row>5</xdr:row>
      <xdr:rowOff>234950</xdr:rowOff>
    </xdr:to>
    <xdr:pic>
      <xdr:nvPicPr>
        <xdr:cNvPr id="22" name="Picture 2">
          <a:extLst>
            <a:ext uri="{FF2B5EF4-FFF2-40B4-BE49-F238E27FC236}">
              <a16:creationId xmlns:a16="http://schemas.microsoft.com/office/drawing/2014/main" id="{00000000-0008-0000-1200-000016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936750" y="800100"/>
          <a:ext cx="158750" cy="196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273050</xdr:colOff>
      <xdr:row>126</xdr:row>
      <xdr:rowOff>12700</xdr:rowOff>
    </xdr:from>
    <xdr:to>
      <xdr:col>1</xdr:col>
      <xdr:colOff>444500</xdr:colOff>
      <xdr:row>126</xdr:row>
      <xdr:rowOff>177800</xdr:rowOff>
    </xdr:to>
    <xdr:pic>
      <xdr:nvPicPr>
        <xdr:cNvPr id="24" name="Picture 29">
          <a:extLst>
            <a:ext uri="{FF2B5EF4-FFF2-40B4-BE49-F238E27FC236}">
              <a16:creationId xmlns:a16="http://schemas.microsoft.com/office/drawing/2014/main" id="{00000000-0008-0000-1200-000018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1950" y="23228300"/>
          <a:ext cx="17145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273050</xdr:colOff>
      <xdr:row>128</xdr:row>
      <xdr:rowOff>6350</xdr:rowOff>
    </xdr:from>
    <xdr:to>
      <xdr:col>1</xdr:col>
      <xdr:colOff>425450</xdr:colOff>
      <xdr:row>128</xdr:row>
      <xdr:rowOff>177800</xdr:rowOff>
    </xdr:to>
    <xdr:pic>
      <xdr:nvPicPr>
        <xdr:cNvPr id="25" name="Picture 30">
          <a:extLst>
            <a:ext uri="{FF2B5EF4-FFF2-40B4-BE49-F238E27FC236}">
              <a16:creationId xmlns:a16="http://schemas.microsoft.com/office/drawing/2014/main" id="{00000000-0008-0000-1200-000019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361950" y="23602950"/>
          <a:ext cx="158750" cy="17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3</xdr:col>
          <xdr:colOff>9525</xdr:colOff>
          <xdr:row>6</xdr:row>
          <xdr:rowOff>9525</xdr:rowOff>
        </xdr:from>
        <xdr:to>
          <xdr:col>6</xdr:col>
          <xdr:colOff>9525</xdr:colOff>
          <xdr:row>7</xdr:row>
          <xdr:rowOff>0</xdr:rowOff>
        </xdr:to>
        <xdr:sp macro="" textlink="">
          <xdr:nvSpPr>
            <xdr:cNvPr id="164867" name="Drop Down 3" hidden="1">
              <a:extLst>
                <a:ext uri="{63B3BB69-23CF-44E3-9099-C40C66FF867C}">
                  <a14:compatExt spid="_x0000_s164867"/>
                </a:ext>
                <a:ext uri="{FF2B5EF4-FFF2-40B4-BE49-F238E27FC236}">
                  <a16:creationId xmlns:a16="http://schemas.microsoft.com/office/drawing/2014/main" id="{00000000-0008-0000-1200-0000038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361950</xdr:colOff>
          <xdr:row>5</xdr:row>
          <xdr:rowOff>38100</xdr:rowOff>
        </xdr:from>
        <xdr:to>
          <xdr:col>2</xdr:col>
          <xdr:colOff>47625</xdr:colOff>
          <xdr:row>5</xdr:row>
          <xdr:rowOff>247650</xdr:rowOff>
        </xdr:to>
        <xdr:sp macro="" textlink="">
          <xdr:nvSpPr>
            <xdr:cNvPr id="164869" name="Option Button 5" hidden="1">
              <a:extLst>
                <a:ext uri="{63B3BB69-23CF-44E3-9099-C40C66FF867C}">
                  <a14:compatExt spid="_x0000_s164869"/>
                </a:ext>
                <a:ext uri="{FF2B5EF4-FFF2-40B4-BE49-F238E27FC236}">
                  <a16:creationId xmlns:a16="http://schemas.microsoft.com/office/drawing/2014/main" id="{00000000-0008-0000-1200-000005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361950</xdr:colOff>
          <xdr:row>5</xdr:row>
          <xdr:rowOff>38100</xdr:rowOff>
        </xdr:from>
        <xdr:to>
          <xdr:col>4</xdr:col>
          <xdr:colOff>57150</xdr:colOff>
          <xdr:row>5</xdr:row>
          <xdr:rowOff>247650</xdr:rowOff>
        </xdr:to>
        <xdr:sp macro="" textlink="">
          <xdr:nvSpPr>
            <xdr:cNvPr id="164870" name="Option Button 6" hidden="1">
              <a:extLst>
                <a:ext uri="{63B3BB69-23CF-44E3-9099-C40C66FF867C}">
                  <a14:compatExt spid="_x0000_s164870"/>
                </a:ext>
                <a:ext uri="{FF2B5EF4-FFF2-40B4-BE49-F238E27FC236}">
                  <a16:creationId xmlns:a16="http://schemas.microsoft.com/office/drawing/2014/main" id="{00000000-0008-0000-1200-000006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9525</xdr:rowOff>
        </xdr:from>
        <xdr:to>
          <xdr:col>3</xdr:col>
          <xdr:colOff>9525</xdr:colOff>
          <xdr:row>10</xdr:row>
          <xdr:rowOff>0</xdr:rowOff>
        </xdr:to>
        <xdr:sp macro="" textlink="">
          <xdr:nvSpPr>
            <xdr:cNvPr id="164871" name="Drop Down 7" hidden="1">
              <a:extLst>
                <a:ext uri="{63B3BB69-23CF-44E3-9099-C40C66FF867C}">
                  <a14:compatExt spid="_x0000_s164871"/>
                </a:ext>
                <a:ext uri="{FF2B5EF4-FFF2-40B4-BE49-F238E27FC236}">
                  <a16:creationId xmlns:a16="http://schemas.microsoft.com/office/drawing/2014/main" id="{00000000-0008-0000-1200-0000078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9525</xdr:rowOff>
        </xdr:from>
        <xdr:to>
          <xdr:col>3</xdr:col>
          <xdr:colOff>9525</xdr:colOff>
          <xdr:row>21</xdr:row>
          <xdr:rowOff>0</xdr:rowOff>
        </xdr:to>
        <xdr:sp macro="" textlink="">
          <xdr:nvSpPr>
            <xdr:cNvPr id="164872" name="Drop Down 8" hidden="1">
              <a:extLst>
                <a:ext uri="{63B3BB69-23CF-44E3-9099-C40C66FF867C}">
                  <a14:compatExt spid="_x0000_s164872"/>
                </a:ext>
                <a:ext uri="{FF2B5EF4-FFF2-40B4-BE49-F238E27FC236}">
                  <a16:creationId xmlns:a16="http://schemas.microsoft.com/office/drawing/2014/main" id="{00000000-0008-0000-1200-0000088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3</xdr:col>
      <xdr:colOff>25400</xdr:colOff>
      <xdr:row>14</xdr:row>
      <xdr:rowOff>19050</xdr:rowOff>
    </xdr:from>
    <xdr:to>
      <xdr:col>3</xdr:col>
      <xdr:colOff>209550</xdr:colOff>
      <xdr:row>14</xdr:row>
      <xdr:rowOff>177800</xdr:rowOff>
    </xdr:to>
    <xdr:pic>
      <xdr:nvPicPr>
        <xdr:cNvPr id="33" name="Obrázek 16" descr="Weight.gif">
          <a:extLst>
            <a:ext uri="{FF2B5EF4-FFF2-40B4-BE49-F238E27FC236}">
              <a16:creationId xmlns:a16="http://schemas.microsoft.com/office/drawing/2014/main" id="{00000000-0008-0000-1200-000021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320800" y="2603500"/>
          <a:ext cx="1841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25400</xdr:colOff>
      <xdr:row>25</xdr:row>
      <xdr:rowOff>19050</xdr:rowOff>
    </xdr:from>
    <xdr:to>
      <xdr:col>3</xdr:col>
      <xdr:colOff>209550</xdr:colOff>
      <xdr:row>25</xdr:row>
      <xdr:rowOff>177800</xdr:rowOff>
    </xdr:to>
    <xdr:pic>
      <xdr:nvPicPr>
        <xdr:cNvPr id="34" name="Obrázek 16" descr="Weight.gif">
          <a:extLst>
            <a:ext uri="{FF2B5EF4-FFF2-40B4-BE49-F238E27FC236}">
              <a16:creationId xmlns:a16="http://schemas.microsoft.com/office/drawing/2014/main" id="{00000000-0008-0000-1200-000022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320800" y="2603500"/>
          <a:ext cx="1841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6</xdr:col>
          <xdr:colOff>9525</xdr:colOff>
          <xdr:row>3</xdr:row>
          <xdr:rowOff>0</xdr:rowOff>
        </xdr:from>
        <xdr:to>
          <xdr:col>8</xdr:col>
          <xdr:colOff>571500</xdr:colOff>
          <xdr:row>4</xdr:row>
          <xdr:rowOff>0</xdr:rowOff>
        </xdr:to>
        <xdr:sp macro="" textlink="">
          <xdr:nvSpPr>
            <xdr:cNvPr id="164873" name="Drop Down 9" hidden="1">
              <a:extLst>
                <a:ext uri="{63B3BB69-23CF-44E3-9099-C40C66FF867C}">
                  <a14:compatExt spid="_x0000_s164873"/>
                </a:ext>
                <a:ext uri="{FF2B5EF4-FFF2-40B4-BE49-F238E27FC236}">
                  <a16:creationId xmlns:a16="http://schemas.microsoft.com/office/drawing/2014/main" id="{00000000-0008-0000-1200-0000098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xdr:row>
          <xdr:rowOff>0</xdr:rowOff>
        </xdr:from>
        <xdr:to>
          <xdr:col>9</xdr:col>
          <xdr:colOff>0</xdr:colOff>
          <xdr:row>4</xdr:row>
          <xdr:rowOff>9525</xdr:rowOff>
        </xdr:to>
        <xdr:sp macro="" textlink="">
          <xdr:nvSpPr>
            <xdr:cNvPr id="164874" name="Drop Down 10" hidden="1">
              <a:extLst>
                <a:ext uri="{63B3BB69-23CF-44E3-9099-C40C66FF867C}">
                  <a14:compatExt spid="_x0000_s164874"/>
                </a:ext>
                <a:ext uri="{FF2B5EF4-FFF2-40B4-BE49-F238E27FC236}">
                  <a16:creationId xmlns:a16="http://schemas.microsoft.com/office/drawing/2014/main" id="{00000000-0008-0000-1200-00000A8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oneCellAnchor>
    <xdr:from>
      <xdr:col>9</xdr:col>
      <xdr:colOff>323850</xdr:colOff>
      <xdr:row>4</xdr:row>
      <xdr:rowOff>12700</xdr:rowOff>
    </xdr:from>
    <xdr:ext cx="146050" cy="165100"/>
    <xdr:pic>
      <xdr:nvPicPr>
        <xdr:cNvPr id="29" name="Obrázek 28" descr="Info.gif">
          <a:extLst>
            <a:ext uri="{FF2B5EF4-FFF2-40B4-BE49-F238E27FC236}">
              <a16:creationId xmlns:a16="http://schemas.microsoft.com/office/drawing/2014/main" id="{00000000-0008-0000-1200-00001D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238750" y="565150"/>
          <a:ext cx="1460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10</xdr:col>
      <xdr:colOff>209550</xdr:colOff>
      <xdr:row>2</xdr:row>
      <xdr:rowOff>6350</xdr:rowOff>
    </xdr:from>
    <xdr:to>
      <xdr:col>11</xdr:col>
      <xdr:colOff>476250</xdr:colOff>
      <xdr:row>2</xdr:row>
      <xdr:rowOff>285750</xdr:rowOff>
    </xdr:to>
    <xdr:pic>
      <xdr:nvPicPr>
        <xdr:cNvPr id="2" name="Obrázek 13" descr="Blum_blumlogo_small.pn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91200" y="114300"/>
          <a:ext cx="1028700" cy="279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355600</xdr:colOff>
      <xdr:row>38</xdr:row>
      <xdr:rowOff>44450</xdr:rowOff>
    </xdr:from>
    <xdr:to>
      <xdr:col>1</xdr:col>
      <xdr:colOff>596900</xdr:colOff>
      <xdr:row>39</xdr:row>
      <xdr:rowOff>139700</xdr:rowOff>
    </xdr:to>
    <xdr:pic>
      <xdr:nvPicPr>
        <xdr:cNvPr id="11" name="Obrázek 22" descr="Notice.gif">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1650" y="6756400"/>
          <a:ext cx="241300" cy="25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609600</xdr:colOff>
      <xdr:row>29</xdr:row>
      <xdr:rowOff>19050</xdr:rowOff>
    </xdr:from>
    <xdr:to>
      <xdr:col>8</xdr:col>
      <xdr:colOff>720725</xdr:colOff>
      <xdr:row>29</xdr:row>
      <xdr:rowOff>177800</xdr:rowOff>
    </xdr:to>
    <xdr:pic>
      <xdr:nvPicPr>
        <xdr:cNvPr id="13" name="Obrázek 9" descr="Chng.gif">
          <a:extLst>
            <a:ext uri="{FF2B5EF4-FFF2-40B4-BE49-F238E27FC236}">
              <a16:creationId xmlns:a16="http://schemas.microsoft.com/office/drawing/2014/main" id="{00000000-0008-0000-0100-00000D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381750" y="5194300"/>
          <a:ext cx="1397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463550</xdr:colOff>
      <xdr:row>40</xdr:row>
      <xdr:rowOff>139700</xdr:rowOff>
    </xdr:from>
    <xdr:to>
      <xdr:col>1</xdr:col>
      <xdr:colOff>609600</xdr:colOff>
      <xdr:row>41</xdr:row>
      <xdr:rowOff>133350</xdr:rowOff>
    </xdr:to>
    <xdr:pic>
      <xdr:nvPicPr>
        <xdr:cNvPr id="16" name="Obrázek 28" descr="Info.gif">
          <a:extLst>
            <a:ext uri="{FF2B5EF4-FFF2-40B4-BE49-F238E27FC236}">
              <a16:creationId xmlns:a16="http://schemas.microsoft.com/office/drawing/2014/main" id="{00000000-0008-0000-0100-000010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09600" y="7143750"/>
          <a:ext cx="146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3</xdr:col>
          <xdr:colOff>9525</xdr:colOff>
          <xdr:row>27</xdr:row>
          <xdr:rowOff>0</xdr:rowOff>
        </xdr:from>
        <xdr:to>
          <xdr:col>4</xdr:col>
          <xdr:colOff>552450</xdr:colOff>
          <xdr:row>27</xdr:row>
          <xdr:rowOff>200025</xdr:rowOff>
        </xdr:to>
        <xdr:sp macro="" textlink="">
          <xdr:nvSpPr>
            <xdr:cNvPr id="86017" name="Drop Down 1" hidden="1">
              <a:extLst>
                <a:ext uri="{63B3BB69-23CF-44E3-9099-C40C66FF867C}">
                  <a14:compatExt spid="_x0000_s86017"/>
                </a:ext>
                <a:ext uri="{FF2B5EF4-FFF2-40B4-BE49-F238E27FC236}">
                  <a16:creationId xmlns:a16="http://schemas.microsoft.com/office/drawing/2014/main" id="{00000000-0008-0000-0100-0000015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xdr:col>
      <xdr:colOff>31751</xdr:colOff>
      <xdr:row>16</xdr:row>
      <xdr:rowOff>38100</xdr:rowOff>
    </xdr:from>
    <xdr:to>
      <xdr:col>2</xdr:col>
      <xdr:colOff>751206</xdr:colOff>
      <xdr:row>23</xdr:row>
      <xdr:rowOff>133033</xdr:rowOff>
    </xdr:to>
    <xdr:pic>
      <xdr:nvPicPr>
        <xdr:cNvPr id="20" name="Obrázek 4">
          <a:hlinkClick xmlns:r="http://schemas.openxmlformats.org/officeDocument/2006/relationships" r:id="rId5" tooltip="AVENTOS HK top"/>
          <a:extLst>
            <a:ext uri="{FF2B5EF4-FFF2-40B4-BE49-F238E27FC236}">
              <a16:creationId xmlns:a16="http://schemas.microsoft.com/office/drawing/2014/main" id="{00000000-0008-0000-0100-000014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bwMode="auto">
        <a:xfrm>
          <a:off x="177801" y="2692400"/>
          <a:ext cx="1525905" cy="15173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31750</xdr:colOff>
      <xdr:row>16</xdr:row>
      <xdr:rowOff>38100</xdr:rowOff>
    </xdr:from>
    <xdr:to>
      <xdr:col>4</xdr:col>
      <xdr:colOff>755333</xdr:colOff>
      <xdr:row>23</xdr:row>
      <xdr:rowOff>133033</xdr:rowOff>
    </xdr:to>
    <xdr:pic>
      <xdr:nvPicPr>
        <xdr:cNvPr id="21" name="Obrázek 6">
          <a:hlinkClick xmlns:r="http://schemas.openxmlformats.org/officeDocument/2006/relationships" r:id="rId7" tooltip="AVENTOS HK-S"/>
          <a:extLst>
            <a:ext uri="{FF2B5EF4-FFF2-40B4-BE49-F238E27FC236}">
              <a16:creationId xmlns:a16="http://schemas.microsoft.com/office/drawing/2014/main" id="{00000000-0008-0000-0100-000015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bwMode="auto">
        <a:xfrm>
          <a:off x="1778000" y="2692400"/>
          <a:ext cx="1517333" cy="15173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38101</xdr:colOff>
      <xdr:row>16</xdr:row>
      <xdr:rowOff>38101</xdr:rowOff>
    </xdr:from>
    <xdr:to>
      <xdr:col>6</xdr:col>
      <xdr:colOff>760731</xdr:colOff>
      <xdr:row>23</xdr:row>
      <xdr:rowOff>141606</xdr:rowOff>
    </xdr:to>
    <xdr:pic>
      <xdr:nvPicPr>
        <xdr:cNvPr id="22" name="Obrázek 8">
          <a:hlinkClick xmlns:r="http://schemas.openxmlformats.org/officeDocument/2006/relationships" r:id="rId9" tooltip="AVENTOS HK-XS"/>
          <a:extLst>
            <a:ext uri="{FF2B5EF4-FFF2-40B4-BE49-F238E27FC236}">
              <a16:creationId xmlns:a16="http://schemas.microsoft.com/office/drawing/2014/main" id="{00000000-0008-0000-0100-000016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bwMode="auto">
        <a:xfrm>
          <a:off x="3384551" y="2692401"/>
          <a:ext cx="1525905" cy="15259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50800</xdr:colOff>
      <xdr:row>5</xdr:row>
      <xdr:rowOff>50802</xdr:rowOff>
    </xdr:from>
    <xdr:to>
      <xdr:col>6</xdr:col>
      <xdr:colOff>789306</xdr:colOff>
      <xdr:row>12</xdr:row>
      <xdr:rowOff>117436</xdr:rowOff>
    </xdr:to>
    <xdr:pic>
      <xdr:nvPicPr>
        <xdr:cNvPr id="23" name="Obrázek 10">
          <a:hlinkClick xmlns:r="http://schemas.openxmlformats.org/officeDocument/2006/relationships" r:id="rId11" tooltip="AVENTOS HL"/>
          <a:extLst>
            <a:ext uri="{FF2B5EF4-FFF2-40B4-BE49-F238E27FC236}">
              <a16:creationId xmlns:a16="http://schemas.microsoft.com/office/drawing/2014/main" id="{00000000-0008-0000-0100-000017000000}"/>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bwMode="auto">
        <a:xfrm>
          <a:off x="3403600" y="584202"/>
          <a:ext cx="1538606" cy="14890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82550</xdr:colOff>
      <xdr:row>5</xdr:row>
      <xdr:rowOff>38101</xdr:rowOff>
    </xdr:from>
    <xdr:to>
      <xdr:col>4</xdr:col>
      <xdr:colOff>761687</xdr:colOff>
      <xdr:row>12</xdr:row>
      <xdr:rowOff>111652</xdr:rowOff>
    </xdr:to>
    <xdr:pic>
      <xdr:nvPicPr>
        <xdr:cNvPr id="24" name="Obrázek 12">
          <a:hlinkClick xmlns:r="http://schemas.openxmlformats.org/officeDocument/2006/relationships" r:id="rId13" tooltip="AVENTOS HS"/>
          <a:extLst>
            <a:ext uri="{FF2B5EF4-FFF2-40B4-BE49-F238E27FC236}">
              <a16:creationId xmlns:a16="http://schemas.microsoft.com/office/drawing/2014/main" id="{00000000-0008-0000-0100-0000180000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bwMode="auto">
        <a:xfrm>
          <a:off x="1835150" y="571501"/>
          <a:ext cx="1479237" cy="14959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38101</xdr:colOff>
      <xdr:row>5</xdr:row>
      <xdr:rowOff>50800</xdr:rowOff>
    </xdr:from>
    <xdr:to>
      <xdr:col>2</xdr:col>
      <xdr:colOff>764455</xdr:colOff>
      <xdr:row>12</xdr:row>
      <xdr:rowOff>120650</xdr:rowOff>
    </xdr:to>
    <xdr:pic>
      <xdr:nvPicPr>
        <xdr:cNvPr id="17" name="Obrázek 16">
          <a:hlinkClick xmlns:r="http://schemas.openxmlformats.org/officeDocument/2006/relationships" r:id="rId15" tooltip="AVENTOS HF"/>
          <a:extLst>
            <a:ext uri="{FF2B5EF4-FFF2-40B4-BE49-F238E27FC236}">
              <a16:creationId xmlns:a16="http://schemas.microsoft.com/office/drawing/2014/main" id="{00000000-0008-0000-0100-000011000000}"/>
            </a:ext>
          </a:extLst>
        </xdr:cNvPr>
        <xdr:cNvPicPr>
          <a:picLocks noChangeAspect="1"/>
        </xdr:cNvPicPr>
      </xdr:nvPicPr>
      <xdr:blipFill>
        <a:blip xmlns:r="http://schemas.openxmlformats.org/officeDocument/2006/relationships" r:embed="rId16"/>
        <a:stretch>
          <a:fillRect/>
        </a:stretch>
      </xdr:blipFill>
      <xdr:spPr>
        <a:xfrm>
          <a:off x="190501" y="584200"/>
          <a:ext cx="1526454" cy="1498600"/>
        </a:xfrm>
        <a:prstGeom prst="rect">
          <a:avLst/>
        </a:prstGeom>
      </xdr:spPr>
    </xdr:pic>
    <xdr:clientData/>
  </xdr:twoCellAnchor>
  <xdr:oneCellAnchor>
    <xdr:from>
      <xdr:col>10</xdr:col>
      <xdr:colOff>584200</xdr:colOff>
      <xdr:row>70</xdr:row>
      <xdr:rowOff>25400</xdr:rowOff>
    </xdr:from>
    <xdr:ext cx="152400" cy="165100"/>
    <xdr:pic>
      <xdr:nvPicPr>
        <xdr:cNvPr id="27" name="Obrázek 18" descr="Tip.gif">
          <a:extLst>
            <a:ext uri="{FF2B5EF4-FFF2-40B4-BE49-F238E27FC236}">
              <a16:creationId xmlns:a16="http://schemas.microsoft.com/office/drawing/2014/main" id="{00000000-0008-0000-0100-00001B000000}"/>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7118350" y="32105600"/>
          <a:ext cx="152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577850</xdr:colOff>
      <xdr:row>97</xdr:row>
      <xdr:rowOff>19050</xdr:rowOff>
    </xdr:from>
    <xdr:ext cx="152400" cy="165100"/>
    <xdr:pic>
      <xdr:nvPicPr>
        <xdr:cNvPr id="28" name="Obrázek 18" descr="Tip.gif">
          <a:extLst>
            <a:ext uri="{FF2B5EF4-FFF2-40B4-BE49-F238E27FC236}">
              <a16:creationId xmlns:a16="http://schemas.microsoft.com/office/drawing/2014/main" id="{00000000-0008-0000-0100-00001C000000}"/>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7112000" y="37522150"/>
          <a:ext cx="152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135</xdr:row>
      <xdr:rowOff>0</xdr:rowOff>
    </xdr:from>
    <xdr:ext cx="146050" cy="158750"/>
    <xdr:pic>
      <xdr:nvPicPr>
        <xdr:cNvPr id="29" name="Obrázek 11" descr="Chng.gif">
          <a:extLst>
            <a:ext uri="{FF2B5EF4-FFF2-40B4-BE49-F238E27FC236}">
              <a16:creationId xmlns:a16="http://schemas.microsoft.com/office/drawing/2014/main" id="{00000000-0008-0000-0100-00001D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50900" y="80702150"/>
          <a:ext cx="14605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136</xdr:row>
      <xdr:rowOff>38100</xdr:rowOff>
    </xdr:from>
    <xdr:ext cx="184150" cy="158750"/>
    <xdr:pic>
      <xdr:nvPicPr>
        <xdr:cNvPr id="30" name="Obrázek 12" descr="Weight.gif">
          <a:extLst>
            <a:ext uri="{FF2B5EF4-FFF2-40B4-BE49-F238E27FC236}">
              <a16:creationId xmlns:a16="http://schemas.microsoft.com/office/drawing/2014/main" id="{00000000-0008-0000-0100-00001E000000}"/>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946150" y="42792650"/>
          <a:ext cx="18415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749300</xdr:colOff>
      <xdr:row>137</xdr:row>
      <xdr:rowOff>120650</xdr:rowOff>
    </xdr:from>
    <xdr:ext cx="241300" cy="254000"/>
    <xdr:pic>
      <xdr:nvPicPr>
        <xdr:cNvPr id="31" name="Obrázek 16" descr="Notice.gif">
          <a:extLst>
            <a:ext uri="{FF2B5EF4-FFF2-40B4-BE49-F238E27FC236}">
              <a16:creationId xmlns:a16="http://schemas.microsoft.com/office/drawing/2014/main" id="{00000000-0008-0000-0100-00001F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95350" y="43770550"/>
          <a:ext cx="241300" cy="25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xdr:colOff>
      <xdr:row>139</xdr:row>
      <xdr:rowOff>38100</xdr:rowOff>
    </xdr:from>
    <xdr:ext cx="146050" cy="158750"/>
    <xdr:pic>
      <xdr:nvPicPr>
        <xdr:cNvPr id="32" name="Obrázek 19" descr="Info.gif">
          <a:extLst>
            <a:ext uri="{FF2B5EF4-FFF2-40B4-BE49-F238E27FC236}">
              <a16:creationId xmlns:a16="http://schemas.microsoft.com/office/drawing/2014/main" id="{00000000-0008-0000-0100-000020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869950" y="81394300"/>
          <a:ext cx="14605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119</xdr:row>
      <xdr:rowOff>19050</xdr:rowOff>
    </xdr:from>
    <xdr:ext cx="146050" cy="158750"/>
    <xdr:pic>
      <xdr:nvPicPr>
        <xdr:cNvPr id="33" name="Obrázek 20" descr="Help.gif">
          <a:extLst>
            <a:ext uri="{FF2B5EF4-FFF2-40B4-BE49-F238E27FC236}">
              <a16:creationId xmlns:a16="http://schemas.microsoft.com/office/drawing/2014/main" id="{00000000-0008-0000-0100-000021000000}"/>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946150" y="40030400"/>
          <a:ext cx="14605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xdr:colOff>
      <xdr:row>141</xdr:row>
      <xdr:rowOff>31750</xdr:rowOff>
    </xdr:from>
    <xdr:ext cx="146050" cy="158750"/>
    <xdr:pic>
      <xdr:nvPicPr>
        <xdr:cNvPr id="34" name="Obrázek 21" descr="Help.gif">
          <a:extLst>
            <a:ext uri="{FF2B5EF4-FFF2-40B4-BE49-F238E27FC236}">
              <a16:creationId xmlns:a16="http://schemas.microsoft.com/office/drawing/2014/main" id="{00000000-0008-0000-0100-000022000000}"/>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869950" y="81781650"/>
          <a:ext cx="14605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xdr:colOff>
      <xdr:row>140</xdr:row>
      <xdr:rowOff>31750</xdr:rowOff>
    </xdr:from>
    <xdr:ext cx="152400" cy="158750"/>
    <xdr:pic>
      <xdr:nvPicPr>
        <xdr:cNvPr id="35" name="Obrázek 18" descr="Tip.gif">
          <a:extLst>
            <a:ext uri="{FF2B5EF4-FFF2-40B4-BE49-F238E27FC236}">
              <a16:creationId xmlns:a16="http://schemas.microsoft.com/office/drawing/2014/main" id="{00000000-0008-0000-0100-000023000000}"/>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869950" y="81584800"/>
          <a:ext cx="1524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196850</xdr:colOff>
      <xdr:row>85</xdr:row>
      <xdr:rowOff>6350</xdr:rowOff>
    </xdr:from>
    <xdr:ext cx="450850" cy="184150"/>
    <xdr:pic>
      <xdr:nvPicPr>
        <xdr:cNvPr id="39" name="Obrázek 31" descr="Alu_narr.gif">
          <a:extLst>
            <a:ext uri="{FF2B5EF4-FFF2-40B4-BE49-F238E27FC236}">
              <a16:creationId xmlns:a16="http://schemas.microsoft.com/office/drawing/2014/main" id="{00000000-0008-0000-0100-000027000000}"/>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5143500" y="35121850"/>
          <a:ext cx="450850" cy="18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317500</xdr:colOff>
      <xdr:row>90</xdr:row>
      <xdr:rowOff>0</xdr:rowOff>
    </xdr:from>
    <xdr:ext cx="171450" cy="184150"/>
    <xdr:pic>
      <xdr:nvPicPr>
        <xdr:cNvPr id="40" name="Picture 1">
          <a:extLst>
            <a:ext uri="{FF2B5EF4-FFF2-40B4-BE49-F238E27FC236}">
              <a16:creationId xmlns:a16="http://schemas.microsoft.com/office/drawing/2014/main" id="{00000000-0008-0000-0100-000028000000}"/>
            </a:ext>
          </a:extLst>
        </xdr:cNvPr>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5264150" y="36099750"/>
          <a:ext cx="171450" cy="18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317500</xdr:colOff>
      <xdr:row>91</xdr:row>
      <xdr:rowOff>19050</xdr:rowOff>
    </xdr:from>
    <xdr:ext cx="165100" cy="184150"/>
    <xdr:pic>
      <xdr:nvPicPr>
        <xdr:cNvPr id="41" name="Picture 2">
          <a:extLst>
            <a:ext uri="{FF2B5EF4-FFF2-40B4-BE49-F238E27FC236}">
              <a16:creationId xmlns:a16="http://schemas.microsoft.com/office/drawing/2014/main" id="{00000000-0008-0000-0100-000029000000}"/>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5264150" y="36315650"/>
          <a:ext cx="165100" cy="18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196850</xdr:colOff>
      <xdr:row>86</xdr:row>
      <xdr:rowOff>25400</xdr:rowOff>
    </xdr:from>
    <xdr:ext cx="444500" cy="184150"/>
    <xdr:pic>
      <xdr:nvPicPr>
        <xdr:cNvPr id="42" name="Picture 15">
          <a:extLst>
            <a:ext uri="{FF2B5EF4-FFF2-40B4-BE49-F238E27FC236}">
              <a16:creationId xmlns:a16="http://schemas.microsoft.com/office/drawing/2014/main" id="{00000000-0008-0000-0100-00002A000000}"/>
            </a:ext>
          </a:extLst>
        </xdr:cNvPr>
        <xdr:cNvPicPr>
          <a:picLocks noChangeAspect="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5143500" y="35337750"/>
          <a:ext cx="444500" cy="18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609600</xdr:colOff>
      <xdr:row>34</xdr:row>
      <xdr:rowOff>19050</xdr:rowOff>
    </xdr:from>
    <xdr:ext cx="139700" cy="165100"/>
    <xdr:pic>
      <xdr:nvPicPr>
        <xdr:cNvPr id="43" name="Obrázek 9" descr="Chng.gif">
          <a:extLst>
            <a:ext uri="{FF2B5EF4-FFF2-40B4-BE49-F238E27FC236}">
              <a16:creationId xmlns:a16="http://schemas.microsoft.com/office/drawing/2014/main" id="{00000000-0008-0000-0100-00002B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381750" y="6210300"/>
          <a:ext cx="1397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25400</xdr:colOff>
      <xdr:row>124</xdr:row>
      <xdr:rowOff>171450</xdr:rowOff>
    </xdr:from>
    <xdr:ext cx="158750" cy="158750"/>
    <xdr:pic>
      <xdr:nvPicPr>
        <xdr:cNvPr id="36" name="Obrázek 18" descr="Tip.gif">
          <a:extLst>
            <a:ext uri="{FF2B5EF4-FFF2-40B4-BE49-F238E27FC236}">
              <a16:creationId xmlns:a16="http://schemas.microsoft.com/office/drawing/2014/main" id="{00000000-0008-0000-0100-000024000000}"/>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971550" y="45758100"/>
          <a:ext cx="15875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7</xdr:col>
      <xdr:colOff>31750</xdr:colOff>
      <xdr:row>16</xdr:row>
      <xdr:rowOff>19050</xdr:rowOff>
    </xdr:from>
    <xdr:to>
      <xdr:col>8</xdr:col>
      <xdr:colOff>755333</xdr:colOff>
      <xdr:row>23</xdr:row>
      <xdr:rowOff>113983</xdr:rowOff>
    </xdr:to>
    <xdr:pic>
      <xdr:nvPicPr>
        <xdr:cNvPr id="5" name="Obrázek 6">
          <a:hlinkClick xmlns:r="http://schemas.openxmlformats.org/officeDocument/2006/relationships" r:id="rId24" tooltip="AVENTOS HKi"/>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bwMode="auto">
        <a:xfrm>
          <a:off x="4991100" y="2673350"/>
          <a:ext cx="1517333" cy="15173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190500</xdr:colOff>
      <xdr:row>35</xdr:row>
      <xdr:rowOff>127000</xdr:rowOff>
    </xdr:from>
    <xdr:to>
      <xdr:col>1</xdr:col>
      <xdr:colOff>342900</xdr:colOff>
      <xdr:row>36</xdr:row>
      <xdr:rowOff>95250</xdr:rowOff>
    </xdr:to>
    <xdr:pic>
      <xdr:nvPicPr>
        <xdr:cNvPr id="14" name="Obrázek 19" descr="Info.gif">
          <a:extLst>
            <a:ext uri="{FF2B5EF4-FFF2-40B4-BE49-F238E27FC236}">
              <a16:creationId xmlns:a16="http://schemas.microsoft.com/office/drawing/2014/main" id="{00000000-0008-0000-1300-00000E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9400" y="5810250"/>
          <a:ext cx="1524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57150</xdr:colOff>
      <xdr:row>109</xdr:row>
      <xdr:rowOff>0</xdr:rowOff>
    </xdr:from>
    <xdr:to>
      <xdr:col>1</xdr:col>
      <xdr:colOff>200025</xdr:colOff>
      <xdr:row>109</xdr:row>
      <xdr:rowOff>161925</xdr:rowOff>
    </xdr:to>
    <xdr:pic>
      <xdr:nvPicPr>
        <xdr:cNvPr id="15" name="Obrázek 20" descr="Help.gif">
          <a:extLst>
            <a:ext uri="{FF2B5EF4-FFF2-40B4-BE49-F238E27FC236}">
              <a16:creationId xmlns:a16="http://schemas.microsoft.com/office/drawing/2014/main" id="{00000000-0008-0000-1300-00000F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050" y="61201300"/>
          <a:ext cx="1460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xdr:col>
          <xdr:colOff>590550</xdr:colOff>
          <xdr:row>6</xdr:row>
          <xdr:rowOff>9525</xdr:rowOff>
        </xdr:from>
        <xdr:to>
          <xdr:col>6</xdr:col>
          <xdr:colOff>0</xdr:colOff>
          <xdr:row>7</xdr:row>
          <xdr:rowOff>0</xdr:rowOff>
        </xdr:to>
        <xdr:sp macro="" textlink="">
          <xdr:nvSpPr>
            <xdr:cNvPr id="87043" name="Drop Down 3" hidden="1">
              <a:extLst>
                <a:ext uri="{63B3BB69-23CF-44E3-9099-C40C66FF867C}">
                  <a14:compatExt spid="_x0000_s87043"/>
                </a:ext>
                <a:ext uri="{FF2B5EF4-FFF2-40B4-BE49-F238E27FC236}">
                  <a16:creationId xmlns:a16="http://schemas.microsoft.com/office/drawing/2014/main" id="{00000000-0008-0000-1300-0000035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11</xdr:col>
      <xdr:colOff>101600</xdr:colOff>
      <xdr:row>5</xdr:row>
      <xdr:rowOff>184150</xdr:rowOff>
    </xdr:from>
    <xdr:to>
      <xdr:col>12</xdr:col>
      <xdr:colOff>0</xdr:colOff>
      <xdr:row>7</xdr:row>
      <xdr:rowOff>266700</xdr:rowOff>
    </xdr:to>
    <xdr:pic>
      <xdr:nvPicPr>
        <xdr:cNvPr id="20" name="Obrázek 4">
          <a:extLst>
            <a:ext uri="{FF2B5EF4-FFF2-40B4-BE49-F238E27FC236}">
              <a16:creationId xmlns:a16="http://schemas.microsoft.com/office/drawing/2014/main" id="{00000000-0008-0000-1300-00001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23000" y="914400"/>
          <a:ext cx="11049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0</xdr:colOff>
          <xdr:row>9</xdr:row>
          <xdr:rowOff>9525</xdr:rowOff>
        </xdr:from>
        <xdr:to>
          <xdr:col>3</xdr:col>
          <xdr:colOff>9525</xdr:colOff>
          <xdr:row>10</xdr:row>
          <xdr:rowOff>0</xdr:rowOff>
        </xdr:to>
        <xdr:sp macro="" textlink="">
          <xdr:nvSpPr>
            <xdr:cNvPr id="87045" name="Drop Down 5" hidden="1">
              <a:extLst>
                <a:ext uri="{63B3BB69-23CF-44E3-9099-C40C66FF867C}">
                  <a14:compatExt spid="_x0000_s87045"/>
                </a:ext>
                <a:ext uri="{FF2B5EF4-FFF2-40B4-BE49-F238E27FC236}">
                  <a16:creationId xmlns:a16="http://schemas.microsoft.com/office/drawing/2014/main" id="{00000000-0008-0000-1300-0000055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9525</xdr:rowOff>
        </xdr:from>
        <xdr:to>
          <xdr:col>3</xdr:col>
          <xdr:colOff>9525</xdr:colOff>
          <xdr:row>21</xdr:row>
          <xdr:rowOff>0</xdr:rowOff>
        </xdr:to>
        <xdr:sp macro="" textlink="">
          <xdr:nvSpPr>
            <xdr:cNvPr id="87046" name="Drop Down 6" hidden="1">
              <a:extLst>
                <a:ext uri="{63B3BB69-23CF-44E3-9099-C40C66FF867C}">
                  <a14:compatExt spid="_x0000_s87046"/>
                </a:ext>
                <a:ext uri="{FF2B5EF4-FFF2-40B4-BE49-F238E27FC236}">
                  <a16:creationId xmlns:a16="http://schemas.microsoft.com/office/drawing/2014/main" id="{00000000-0008-0000-1300-0000065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3</xdr:col>
      <xdr:colOff>25400</xdr:colOff>
      <xdr:row>14</xdr:row>
      <xdr:rowOff>19050</xdr:rowOff>
    </xdr:from>
    <xdr:to>
      <xdr:col>3</xdr:col>
      <xdr:colOff>209550</xdr:colOff>
      <xdr:row>14</xdr:row>
      <xdr:rowOff>180975</xdr:rowOff>
    </xdr:to>
    <xdr:pic>
      <xdr:nvPicPr>
        <xdr:cNvPr id="23" name="Obrázek 16" descr="Weight.gif">
          <a:extLst>
            <a:ext uri="{FF2B5EF4-FFF2-40B4-BE49-F238E27FC236}">
              <a16:creationId xmlns:a16="http://schemas.microsoft.com/office/drawing/2014/main" id="{00000000-0008-0000-1300-000017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20800" y="2603500"/>
          <a:ext cx="1841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25400</xdr:colOff>
      <xdr:row>25</xdr:row>
      <xdr:rowOff>19050</xdr:rowOff>
    </xdr:from>
    <xdr:to>
      <xdr:col>3</xdr:col>
      <xdr:colOff>209550</xdr:colOff>
      <xdr:row>25</xdr:row>
      <xdr:rowOff>180975</xdr:rowOff>
    </xdr:to>
    <xdr:pic>
      <xdr:nvPicPr>
        <xdr:cNvPr id="24" name="Obrázek 16" descr="Weight.gif">
          <a:extLst>
            <a:ext uri="{FF2B5EF4-FFF2-40B4-BE49-F238E27FC236}">
              <a16:creationId xmlns:a16="http://schemas.microsoft.com/office/drawing/2014/main" id="{00000000-0008-0000-1300-000018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20800" y="2603500"/>
          <a:ext cx="1841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5</xdr:col>
          <xdr:colOff>552450</xdr:colOff>
          <xdr:row>3</xdr:row>
          <xdr:rowOff>0</xdr:rowOff>
        </xdr:from>
        <xdr:to>
          <xdr:col>9</xdr:col>
          <xdr:colOff>0</xdr:colOff>
          <xdr:row>3</xdr:row>
          <xdr:rowOff>200025</xdr:rowOff>
        </xdr:to>
        <xdr:sp macro="" textlink="">
          <xdr:nvSpPr>
            <xdr:cNvPr id="87048" name="Drop Down 8" hidden="1">
              <a:extLst>
                <a:ext uri="{63B3BB69-23CF-44E3-9099-C40C66FF867C}">
                  <a14:compatExt spid="_x0000_s87048"/>
                </a:ext>
                <a:ext uri="{FF2B5EF4-FFF2-40B4-BE49-F238E27FC236}">
                  <a16:creationId xmlns:a16="http://schemas.microsoft.com/office/drawing/2014/main" id="{00000000-0008-0000-1300-0000085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oneCellAnchor>
    <xdr:from>
      <xdr:col>9</xdr:col>
      <xdr:colOff>292100</xdr:colOff>
      <xdr:row>4</xdr:row>
      <xdr:rowOff>19050</xdr:rowOff>
    </xdr:from>
    <xdr:ext cx="146050" cy="165100"/>
    <xdr:pic>
      <xdr:nvPicPr>
        <xdr:cNvPr id="27" name="Obrázek 28" descr="Info.gif">
          <a:extLst>
            <a:ext uri="{FF2B5EF4-FFF2-40B4-BE49-F238E27FC236}">
              <a16:creationId xmlns:a16="http://schemas.microsoft.com/office/drawing/2014/main" id="{00000000-0008-0000-1300-00001B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07000" y="571500"/>
          <a:ext cx="1460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1.xml><?xml version="1.0" encoding="utf-8"?>
<xdr:wsDr xmlns:xdr="http://schemas.openxmlformats.org/drawingml/2006/spreadsheetDrawing" xmlns:a="http://schemas.openxmlformats.org/drawingml/2006/main">
  <xdr:twoCellAnchor editAs="oneCell">
    <xdr:from>
      <xdr:col>10</xdr:col>
      <xdr:colOff>476250</xdr:colOff>
      <xdr:row>5</xdr:row>
      <xdr:rowOff>152400</xdr:rowOff>
    </xdr:from>
    <xdr:to>
      <xdr:col>11</xdr:col>
      <xdr:colOff>800100</xdr:colOff>
      <xdr:row>7</xdr:row>
      <xdr:rowOff>228600</xdr:rowOff>
    </xdr:to>
    <xdr:pic>
      <xdr:nvPicPr>
        <xdr:cNvPr id="2" name="Obrázek 6" descr="S_front_HK_w.gif">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10150" y="844550"/>
          <a:ext cx="1054100" cy="565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190500</xdr:colOff>
      <xdr:row>35</xdr:row>
      <xdr:rowOff>146050</xdr:rowOff>
    </xdr:from>
    <xdr:to>
      <xdr:col>1</xdr:col>
      <xdr:colOff>330200</xdr:colOff>
      <xdr:row>36</xdr:row>
      <xdr:rowOff>101600</xdr:rowOff>
    </xdr:to>
    <xdr:pic>
      <xdr:nvPicPr>
        <xdr:cNvPr id="14" name="Obrázek 19" descr="Info.gif">
          <a:extLst>
            <a:ext uri="{FF2B5EF4-FFF2-40B4-BE49-F238E27FC236}">
              <a16:creationId xmlns:a16="http://schemas.microsoft.com/office/drawing/2014/main" id="{00000000-0008-0000-1400-00000E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9400" y="5321300"/>
          <a:ext cx="14605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44450</xdr:colOff>
      <xdr:row>89</xdr:row>
      <xdr:rowOff>0</xdr:rowOff>
    </xdr:from>
    <xdr:to>
      <xdr:col>1</xdr:col>
      <xdr:colOff>190500</xdr:colOff>
      <xdr:row>89</xdr:row>
      <xdr:rowOff>158750</xdr:rowOff>
    </xdr:to>
    <xdr:pic>
      <xdr:nvPicPr>
        <xdr:cNvPr id="15" name="Obrázek 20" descr="Help.gif">
          <a:extLst>
            <a:ext uri="{FF2B5EF4-FFF2-40B4-BE49-F238E27FC236}">
              <a16:creationId xmlns:a16="http://schemas.microsoft.com/office/drawing/2014/main" id="{00000000-0008-0000-1400-00000F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3350" y="58699400"/>
          <a:ext cx="1460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3</xdr:col>
          <xdr:colOff>19050</xdr:colOff>
          <xdr:row>6</xdr:row>
          <xdr:rowOff>0</xdr:rowOff>
        </xdr:from>
        <xdr:to>
          <xdr:col>5</xdr:col>
          <xdr:colOff>571500</xdr:colOff>
          <xdr:row>7</xdr:row>
          <xdr:rowOff>0</xdr:rowOff>
        </xdr:to>
        <xdr:sp macro="" textlink="">
          <xdr:nvSpPr>
            <xdr:cNvPr id="165891" name="Drop Down 3" hidden="1">
              <a:extLst>
                <a:ext uri="{63B3BB69-23CF-44E3-9099-C40C66FF867C}">
                  <a14:compatExt spid="_x0000_s165891"/>
                </a:ext>
                <a:ext uri="{FF2B5EF4-FFF2-40B4-BE49-F238E27FC236}">
                  <a16:creationId xmlns:a16="http://schemas.microsoft.com/office/drawing/2014/main" id="{00000000-0008-0000-1400-0000038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0</xdr:rowOff>
        </xdr:from>
        <xdr:to>
          <xdr:col>3</xdr:col>
          <xdr:colOff>19050</xdr:colOff>
          <xdr:row>10</xdr:row>
          <xdr:rowOff>0</xdr:rowOff>
        </xdr:to>
        <xdr:sp macro="" textlink="">
          <xdr:nvSpPr>
            <xdr:cNvPr id="165896" name="Drop Down 8" hidden="1">
              <a:extLst>
                <a:ext uri="{63B3BB69-23CF-44E3-9099-C40C66FF867C}">
                  <a14:compatExt spid="_x0000_s165896"/>
                </a:ext>
                <a:ext uri="{FF2B5EF4-FFF2-40B4-BE49-F238E27FC236}">
                  <a16:creationId xmlns:a16="http://schemas.microsoft.com/office/drawing/2014/main" id="{00000000-0008-0000-1400-0000088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3</xdr:col>
          <xdr:colOff>9525</xdr:colOff>
          <xdr:row>21</xdr:row>
          <xdr:rowOff>0</xdr:rowOff>
        </xdr:to>
        <xdr:sp macro="" textlink="">
          <xdr:nvSpPr>
            <xdr:cNvPr id="165897" name="Drop Down 9" hidden="1">
              <a:extLst>
                <a:ext uri="{63B3BB69-23CF-44E3-9099-C40C66FF867C}">
                  <a14:compatExt spid="_x0000_s165897"/>
                </a:ext>
                <a:ext uri="{FF2B5EF4-FFF2-40B4-BE49-F238E27FC236}">
                  <a16:creationId xmlns:a16="http://schemas.microsoft.com/office/drawing/2014/main" id="{00000000-0008-0000-1400-0000098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3</xdr:col>
      <xdr:colOff>25400</xdr:colOff>
      <xdr:row>14</xdr:row>
      <xdr:rowOff>19050</xdr:rowOff>
    </xdr:from>
    <xdr:to>
      <xdr:col>3</xdr:col>
      <xdr:colOff>209550</xdr:colOff>
      <xdr:row>14</xdr:row>
      <xdr:rowOff>177800</xdr:rowOff>
    </xdr:to>
    <xdr:pic>
      <xdr:nvPicPr>
        <xdr:cNvPr id="22" name="Obrázek 16" descr="Weight.gif">
          <a:extLst>
            <a:ext uri="{FF2B5EF4-FFF2-40B4-BE49-F238E27FC236}">
              <a16:creationId xmlns:a16="http://schemas.microsoft.com/office/drawing/2014/main" id="{00000000-0008-0000-1400-000016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20800" y="2800350"/>
          <a:ext cx="1841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25400</xdr:colOff>
      <xdr:row>25</xdr:row>
      <xdr:rowOff>19050</xdr:rowOff>
    </xdr:from>
    <xdr:to>
      <xdr:col>3</xdr:col>
      <xdr:colOff>209550</xdr:colOff>
      <xdr:row>25</xdr:row>
      <xdr:rowOff>177800</xdr:rowOff>
    </xdr:to>
    <xdr:pic>
      <xdr:nvPicPr>
        <xdr:cNvPr id="23" name="Obrázek 16" descr="Weight.gif">
          <a:extLst>
            <a:ext uri="{FF2B5EF4-FFF2-40B4-BE49-F238E27FC236}">
              <a16:creationId xmlns:a16="http://schemas.microsoft.com/office/drawing/2014/main" id="{00000000-0008-0000-1400-000017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20800" y="2800350"/>
          <a:ext cx="1841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9</xdr:col>
      <xdr:colOff>323850</xdr:colOff>
      <xdr:row>4</xdr:row>
      <xdr:rowOff>6350</xdr:rowOff>
    </xdr:from>
    <xdr:ext cx="146050" cy="165100"/>
    <xdr:pic>
      <xdr:nvPicPr>
        <xdr:cNvPr id="24" name="Obrázek 28" descr="Info.gif">
          <a:extLst>
            <a:ext uri="{FF2B5EF4-FFF2-40B4-BE49-F238E27FC236}">
              <a16:creationId xmlns:a16="http://schemas.microsoft.com/office/drawing/2014/main" id="{00000000-0008-0000-1400-000018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32250" y="14592300"/>
          <a:ext cx="1460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mc:AlternateContent xmlns:mc="http://schemas.openxmlformats.org/markup-compatibility/2006">
    <mc:Choice xmlns:a14="http://schemas.microsoft.com/office/drawing/2010/main" Requires="a14">
      <xdr:twoCellAnchor editAs="oneCell">
        <xdr:from>
          <xdr:col>5</xdr:col>
          <xdr:colOff>590550</xdr:colOff>
          <xdr:row>3</xdr:row>
          <xdr:rowOff>0</xdr:rowOff>
        </xdr:from>
        <xdr:to>
          <xdr:col>8</xdr:col>
          <xdr:colOff>571500</xdr:colOff>
          <xdr:row>4</xdr:row>
          <xdr:rowOff>0</xdr:rowOff>
        </xdr:to>
        <xdr:sp macro="" textlink="">
          <xdr:nvSpPr>
            <xdr:cNvPr id="165898" name="Drop Down 10" hidden="1">
              <a:extLst>
                <a:ext uri="{63B3BB69-23CF-44E3-9099-C40C66FF867C}">
                  <a14:compatExt spid="_x0000_s165898"/>
                </a:ext>
                <a:ext uri="{FF2B5EF4-FFF2-40B4-BE49-F238E27FC236}">
                  <a16:creationId xmlns:a16="http://schemas.microsoft.com/office/drawing/2014/main" id="{00000000-0008-0000-1400-00000A8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11</xdr:col>
      <xdr:colOff>6350</xdr:colOff>
      <xdr:row>50</xdr:row>
      <xdr:rowOff>0</xdr:rowOff>
    </xdr:from>
    <xdr:to>
      <xdr:col>37</xdr:col>
      <xdr:colOff>514541</xdr:colOff>
      <xdr:row>64</xdr:row>
      <xdr:rowOff>57299</xdr:rowOff>
    </xdr:to>
    <xdr:pic>
      <xdr:nvPicPr>
        <xdr:cNvPr id="4" name="Picture 3">
          <a:extLst>
            <a:ext uri="{FF2B5EF4-FFF2-40B4-BE49-F238E27FC236}">
              <a16:creationId xmlns:a16="http://schemas.microsoft.com/office/drawing/2014/main" id="{00000000-0008-0000-1400-000004000000}"/>
            </a:ext>
          </a:extLst>
        </xdr:cNvPr>
        <xdr:cNvPicPr>
          <a:picLocks noChangeAspect="1"/>
        </xdr:cNvPicPr>
      </xdr:nvPicPr>
      <xdr:blipFill>
        <a:blip xmlns:r="http://schemas.openxmlformats.org/officeDocument/2006/relationships" r:embed="rId5"/>
        <a:stretch>
          <a:fillRect/>
        </a:stretch>
      </xdr:blipFill>
      <xdr:spPr>
        <a:xfrm>
          <a:off x="6076950" y="10153650"/>
          <a:ext cx="3714941" cy="2895749"/>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10</xdr:col>
      <xdr:colOff>488950</xdr:colOff>
      <xdr:row>6</xdr:row>
      <xdr:rowOff>0</xdr:rowOff>
    </xdr:from>
    <xdr:to>
      <xdr:col>11</xdr:col>
      <xdr:colOff>800100</xdr:colOff>
      <xdr:row>8</xdr:row>
      <xdr:rowOff>85725</xdr:rowOff>
    </xdr:to>
    <xdr:pic>
      <xdr:nvPicPr>
        <xdr:cNvPr id="13" name="Obrázek 17" descr="S_front_HK_wa.gif">
          <a:extLst>
            <a:ext uri="{FF2B5EF4-FFF2-40B4-BE49-F238E27FC236}">
              <a16:creationId xmlns:a16="http://schemas.microsoft.com/office/drawing/2014/main" id="{00000000-0008-0000-1500-00000D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2850" y="863600"/>
          <a:ext cx="104140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304800</xdr:colOff>
      <xdr:row>36</xdr:row>
      <xdr:rowOff>0</xdr:rowOff>
    </xdr:from>
    <xdr:to>
      <xdr:col>1</xdr:col>
      <xdr:colOff>447675</xdr:colOff>
      <xdr:row>36</xdr:row>
      <xdr:rowOff>161925</xdr:rowOff>
    </xdr:to>
    <xdr:pic>
      <xdr:nvPicPr>
        <xdr:cNvPr id="14" name="Obrázek 18" descr="Info.gif">
          <a:extLst>
            <a:ext uri="{FF2B5EF4-FFF2-40B4-BE49-F238E27FC236}">
              <a16:creationId xmlns:a16="http://schemas.microsoft.com/office/drawing/2014/main" id="{00000000-0008-0000-1500-00000E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3700" y="5327650"/>
          <a:ext cx="14605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44450</xdr:colOff>
      <xdr:row>99</xdr:row>
      <xdr:rowOff>0</xdr:rowOff>
    </xdr:from>
    <xdr:to>
      <xdr:col>1</xdr:col>
      <xdr:colOff>190500</xdr:colOff>
      <xdr:row>99</xdr:row>
      <xdr:rowOff>152400</xdr:rowOff>
    </xdr:to>
    <xdr:pic>
      <xdr:nvPicPr>
        <xdr:cNvPr id="15" name="Obrázek 20" descr="Help.gif">
          <a:extLst>
            <a:ext uri="{FF2B5EF4-FFF2-40B4-BE49-F238E27FC236}">
              <a16:creationId xmlns:a16="http://schemas.microsoft.com/office/drawing/2014/main" id="{00000000-0008-0000-1500-00000F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3350" y="58883550"/>
          <a:ext cx="146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38100</xdr:colOff>
      <xdr:row>4</xdr:row>
      <xdr:rowOff>171450</xdr:rowOff>
    </xdr:from>
    <xdr:to>
      <xdr:col>1</xdr:col>
      <xdr:colOff>276225</xdr:colOff>
      <xdr:row>5</xdr:row>
      <xdr:rowOff>238125</xdr:rowOff>
    </xdr:to>
    <xdr:pic>
      <xdr:nvPicPr>
        <xdr:cNvPr id="19" name="Obrázek 11" descr="Notice.gif">
          <a:extLst>
            <a:ext uri="{FF2B5EF4-FFF2-40B4-BE49-F238E27FC236}">
              <a16:creationId xmlns:a16="http://schemas.microsoft.com/office/drawing/2014/main" id="{00000000-0008-0000-1500-000013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27000" y="723900"/>
          <a:ext cx="2413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50800</xdr:colOff>
      <xdr:row>5</xdr:row>
      <xdr:rowOff>44450</xdr:rowOff>
    </xdr:from>
    <xdr:to>
      <xdr:col>2</xdr:col>
      <xdr:colOff>504825</xdr:colOff>
      <xdr:row>5</xdr:row>
      <xdr:rowOff>219075</xdr:rowOff>
    </xdr:to>
    <xdr:pic>
      <xdr:nvPicPr>
        <xdr:cNvPr id="20" name="Obrázek 25" descr="Alu_narr.gif">
          <a:extLst>
            <a:ext uri="{FF2B5EF4-FFF2-40B4-BE49-F238E27FC236}">
              <a16:creationId xmlns:a16="http://schemas.microsoft.com/office/drawing/2014/main" id="{00000000-0008-0000-1500-000014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42950" y="800100"/>
          <a:ext cx="450850" cy="17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57150</xdr:colOff>
      <xdr:row>5</xdr:row>
      <xdr:rowOff>12700</xdr:rowOff>
    </xdr:from>
    <xdr:to>
      <xdr:col>4</xdr:col>
      <xdr:colOff>504825</xdr:colOff>
      <xdr:row>5</xdr:row>
      <xdr:rowOff>219075</xdr:rowOff>
    </xdr:to>
    <xdr:pic>
      <xdr:nvPicPr>
        <xdr:cNvPr id="21" name="Obrázek 26" descr="Alu_wide.gif">
          <a:extLst>
            <a:ext uri="{FF2B5EF4-FFF2-40B4-BE49-F238E27FC236}">
              <a16:creationId xmlns:a16="http://schemas.microsoft.com/office/drawing/2014/main" id="{00000000-0008-0000-1500-000015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955800" y="768350"/>
          <a:ext cx="4445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38100</xdr:colOff>
      <xdr:row>113</xdr:row>
      <xdr:rowOff>0</xdr:rowOff>
    </xdr:from>
    <xdr:to>
      <xdr:col>1</xdr:col>
      <xdr:colOff>485775</xdr:colOff>
      <xdr:row>113</xdr:row>
      <xdr:rowOff>171450</xdr:rowOff>
    </xdr:to>
    <xdr:pic>
      <xdr:nvPicPr>
        <xdr:cNvPr id="23" name="Obrázek 21" descr="Alu_narr.gif">
          <a:extLst>
            <a:ext uri="{FF2B5EF4-FFF2-40B4-BE49-F238E27FC236}">
              <a16:creationId xmlns:a16="http://schemas.microsoft.com/office/drawing/2014/main" id="{00000000-0008-0000-1500-000017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27000" y="23539450"/>
          <a:ext cx="45085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38100</xdr:colOff>
      <xdr:row>114</xdr:row>
      <xdr:rowOff>171450</xdr:rowOff>
    </xdr:from>
    <xdr:to>
      <xdr:col>1</xdr:col>
      <xdr:colOff>476250</xdr:colOff>
      <xdr:row>115</xdr:row>
      <xdr:rowOff>161925</xdr:rowOff>
    </xdr:to>
    <xdr:pic>
      <xdr:nvPicPr>
        <xdr:cNvPr id="24" name="Picture 31">
          <a:extLst>
            <a:ext uri="{FF2B5EF4-FFF2-40B4-BE49-F238E27FC236}">
              <a16:creationId xmlns:a16="http://schemas.microsoft.com/office/drawing/2014/main" id="{00000000-0008-0000-1500-000018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27000" y="23901400"/>
          <a:ext cx="438150" cy="17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3</xdr:col>
          <xdr:colOff>9525</xdr:colOff>
          <xdr:row>6</xdr:row>
          <xdr:rowOff>9525</xdr:rowOff>
        </xdr:from>
        <xdr:to>
          <xdr:col>6</xdr:col>
          <xdr:colOff>0</xdr:colOff>
          <xdr:row>7</xdr:row>
          <xdr:rowOff>0</xdr:rowOff>
        </xdr:to>
        <xdr:sp macro="" textlink="">
          <xdr:nvSpPr>
            <xdr:cNvPr id="166915" name="Drop Down 3" hidden="1">
              <a:extLst>
                <a:ext uri="{63B3BB69-23CF-44E3-9099-C40C66FF867C}">
                  <a14:compatExt spid="_x0000_s166915"/>
                </a:ext>
                <a:ext uri="{FF2B5EF4-FFF2-40B4-BE49-F238E27FC236}">
                  <a16:creationId xmlns:a16="http://schemas.microsoft.com/office/drawing/2014/main" id="{00000000-0008-0000-1500-0000038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371475</xdr:colOff>
          <xdr:row>5</xdr:row>
          <xdr:rowOff>19050</xdr:rowOff>
        </xdr:from>
        <xdr:to>
          <xdr:col>2</xdr:col>
          <xdr:colOff>57150</xdr:colOff>
          <xdr:row>5</xdr:row>
          <xdr:rowOff>247650</xdr:rowOff>
        </xdr:to>
        <xdr:sp macro="" textlink="">
          <xdr:nvSpPr>
            <xdr:cNvPr id="166917" name="Option Button 5" hidden="1">
              <a:extLst>
                <a:ext uri="{63B3BB69-23CF-44E3-9099-C40C66FF867C}">
                  <a14:compatExt spid="_x0000_s166917"/>
                </a:ext>
                <a:ext uri="{FF2B5EF4-FFF2-40B4-BE49-F238E27FC236}">
                  <a16:creationId xmlns:a16="http://schemas.microsoft.com/office/drawing/2014/main" id="{00000000-0008-0000-1500-0000058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390525</xdr:colOff>
          <xdr:row>5</xdr:row>
          <xdr:rowOff>38100</xdr:rowOff>
        </xdr:from>
        <xdr:to>
          <xdr:col>4</xdr:col>
          <xdr:colOff>66675</xdr:colOff>
          <xdr:row>5</xdr:row>
          <xdr:rowOff>247650</xdr:rowOff>
        </xdr:to>
        <xdr:sp macro="" textlink="">
          <xdr:nvSpPr>
            <xdr:cNvPr id="166918" name="Option Button 6" hidden="1">
              <a:extLst>
                <a:ext uri="{63B3BB69-23CF-44E3-9099-C40C66FF867C}">
                  <a14:compatExt spid="_x0000_s166918"/>
                </a:ext>
                <a:ext uri="{FF2B5EF4-FFF2-40B4-BE49-F238E27FC236}">
                  <a16:creationId xmlns:a16="http://schemas.microsoft.com/office/drawing/2014/main" id="{00000000-0008-0000-1500-0000068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0</xdr:rowOff>
        </xdr:from>
        <xdr:to>
          <xdr:col>3</xdr:col>
          <xdr:colOff>9525</xdr:colOff>
          <xdr:row>10</xdr:row>
          <xdr:rowOff>0</xdr:rowOff>
        </xdr:to>
        <xdr:sp macro="" textlink="">
          <xdr:nvSpPr>
            <xdr:cNvPr id="166919" name="Drop Down 7" hidden="1">
              <a:extLst>
                <a:ext uri="{63B3BB69-23CF-44E3-9099-C40C66FF867C}">
                  <a14:compatExt spid="_x0000_s166919"/>
                </a:ext>
                <a:ext uri="{FF2B5EF4-FFF2-40B4-BE49-F238E27FC236}">
                  <a16:creationId xmlns:a16="http://schemas.microsoft.com/office/drawing/2014/main" id="{00000000-0008-0000-1500-0000078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3</xdr:col>
          <xdr:colOff>9525</xdr:colOff>
          <xdr:row>21</xdr:row>
          <xdr:rowOff>0</xdr:rowOff>
        </xdr:to>
        <xdr:sp macro="" textlink="">
          <xdr:nvSpPr>
            <xdr:cNvPr id="166920" name="Drop Down 8" hidden="1">
              <a:extLst>
                <a:ext uri="{63B3BB69-23CF-44E3-9099-C40C66FF867C}">
                  <a14:compatExt spid="_x0000_s166920"/>
                </a:ext>
                <a:ext uri="{FF2B5EF4-FFF2-40B4-BE49-F238E27FC236}">
                  <a16:creationId xmlns:a16="http://schemas.microsoft.com/office/drawing/2014/main" id="{00000000-0008-0000-1500-0000088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3</xdr:col>
      <xdr:colOff>25400</xdr:colOff>
      <xdr:row>14</xdr:row>
      <xdr:rowOff>19050</xdr:rowOff>
    </xdr:from>
    <xdr:to>
      <xdr:col>3</xdr:col>
      <xdr:colOff>209550</xdr:colOff>
      <xdr:row>14</xdr:row>
      <xdr:rowOff>180975</xdr:rowOff>
    </xdr:to>
    <xdr:pic>
      <xdr:nvPicPr>
        <xdr:cNvPr id="32" name="Obrázek 16" descr="Weight.gif">
          <a:extLst>
            <a:ext uri="{FF2B5EF4-FFF2-40B4-BE49-F238E27FC236}">
              <a16:creationId xmlns:a16="http://schemas.microsoft.com/office/drawing/2014/main" id="{00000000-0008-0000-1500-000020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320800" y="2800350"/>
          <a:ext cx="1841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25400</xdr:colOff>
      <xdr:row>25</xdr:row>
      <xdr:rowOff>19050</xdr:rowOff>
    </xdr:from>
    <xdr:ext cx="184150" cy="165100"/>
    <xdr:pic>
      <xdr:nvPicPr>
        <xdr:cNvPr id="33" name="Obrázek 16" descr="Weight.gif">
          <a:extLst>
            <a:ext uri="{FF2B5EF4-FFF2-40B4-BE49-F238E27FC236}">
              <a16:creationId xmlns:a16="http://schemas.microsoft.com/office/drawing/2014/main" id="{00000000-0008-0000-1500-000021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320800" y="2800350"/>
          <a:ext cx="1841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mc:AlternateContent xmlns:mc="http://schemas.openxmlformats.org/markup-compatibility/2006">
    <mc:Choice xmlns:a14="http://schemas.microsoft.com/office/drawing/2010/main" Requires="a14">
      <xdr:twoCellAnchor editAs="oneCell">
        <xdr:from>
          <xdr:col>6</xdr:col>
          <xdr:colOff>9525</xdr:colOff>
          <xdr:row>3</xdr:row>
          <xdr:rowOff>0</xdr:rowOff>
        </xdr:from>
        <xdr:to>
          <xdr:col>9</xdr:col>
          <xdr:colOff>0</xdr:colOff>
          <xdr:row>4</xdr:row>
          <xdr:rowOff>0</xdr:rowOff>
        </xdr:to>
        <xdr:sp macro="" textlink="">
          <xdr:nvSpPr>
            <xdr:cNvPr id="166922" name="Drop Down 10" hidden="1">
              <a:extLst>
                <a:ext uri="{63B3BB69-23CF-44E3-9099-C40C66FF867C}">
                  <a14:compatExt spid="_x0000_s166922"/>
                </a:ext>
                <a:ext uri="{FF2B5EF4-FFF2-40B4-BE49-F238E27FC236}">
                  <a16:creationId xmlns:a16="http://schemas.microsoft.com/office/drawing/2014/main" id="{00000000-0008-0000-1500-00000A8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oneCellAnchor>
    <xdr:from>
      <xdr:col>9</xdr:col>
      <xdr:colOff>323850</xdr:colOff>
      <xdr:row>4</xdr:row>
      <xdr:rowOff>6350</xdr:rowOff>
    </xdr:from>
    <xdr:ext cx="146050" cy="165100"/>
    <xdr:pic>
      <xdr:nvPicPr>
        <xdr:cNvPr id="28" name="Obrázek 28" descr="Info.gif">
          <a:extLst>
            <a:ext uri="{FF2B5EF4-FFF2-40B4-BE49-F238E27FC236}">
              <a16:creationId xmlns:a16="http://schemas.microsoft.com/office/drawing/2014/main" id="{00000000-0008-0000-1500-00001C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238750" y="558800"/>
          <a:ext cx="1460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10</xdr:col>
      <xdr:colOff>0</xdr:colOff>
      <xdr:row>50</xdr:row>
      <xdr:rowOff>0</xdr:rowOff>
    </xdr:from>
    <xdr:to>
      <xdr:col>36</xdr:col>
      <xdr:colOff>1419416</xdr:colOff>
      <xdr:row>64</xdr:row>
      <xdr:rowOff>57299</xdr:rowOff>
    </xdr:to>
    <xdr:pic>
      <xdr:nvPicPr>
        <xdr:cNvPr id="2" name="Picture 1">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9"/>
        <a:stretch>
          <a:fillRect/>
        </a:stretch>
      </xdr:blipFill>
      <xdr:spPr>
        <a:xfrm>
          <a:off x="5340350" y="10153650"/>
          <a:ext cx="3714941" cy="2895749"/>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10</xdr:col>
      <xdr:colOff>476250</xdr:colOff>
      <xdr:row>6</xdr:row>
      <xdr:rowOff>0</xdr:rowOff>
    </xdr:from>
    <xdr:to>
      <xdr:col>11</xdr:col>
      <xdr:colOff>787400</xdr:colOff>
      <xdr:row>8</xdr:row>
      <xdr:rowOff>76200</xdr:rowOff>
    </xdr:to>
    <xdr:pic>
      <xdr:nvPicPr>
        <xdr:cNvPr id="13" name="Obrázek 17" descr="S_front_HK_na.png">
          <a:extLst>
            <a:ext uri="{FF2B5EF4-FFF2-40B4-BE49-F238E27FC236}">
              <a16:creationId xmlns:a16="http://schemas.microsoft.com/office/drawing/2014/main" id="{00000000-0008-0000-1600-00000D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10150" y="863600"/>
          <a:ext cx="1047750" cy="596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304800</xdr:colOff>
      <xdr:row>35</xdr:row>
      <xdr:rowOff>146050</xdr:rowOff>
    </xdr:from>
    <xdr:to>
      <xdr:col>1</xdr:col>
      <xdr:colOff>444500</xdr:colOff>
      <xdr:row>36</xdr:row>
      <xdr:rowOff>101600</xdr:rowOff>
    </xdr:to>
    <xdr:pic>
      <xdr:nvPicPr>
        <xdr:cNvPr id="14" name="Obrázek 18" descr="Info.gif">
          <a:extLst>
            <a:ext uri="{FF2B5EF4-FFF2-40B4-BE49-F238E27FC236}">
              <a16:creationId xmlns:a16="http://schemas.microsoft.com/office/drawing/2014/main" id="{00000000-0008-0000-1600-00000E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3700" y="5321300"/>
          <a:ext cx="14605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44450</xdr:colOff>
      <xdr:row>99</xdr:row>
      <xdr:rowOff>0</xdr:rowOff>
    </xdr:from>
    <xdr:to>
      <xdr:col>1</xdr:col>
      <xdr:colOff>190500</xdr:colOff>
      <xdr:row>99</xdr:row>
      <xdr:rowOff>152400</xdr:rowOff>
    </xdr:to>
    <xdr:pic>
      <xdr:nvPicPr>
        <xdr:cNvPr id="15" name="Obrázek 20" descr="Help.gif">
          <a:extLst>
            <a:ext uri="{FF2B5EF4-FFF2-40B4-BE49-F238E27FC236}">
              <a16:creationId xmlns:a16="http://schemas.microsoft.com/office/drawing/2014/main" id="{00000000-0008-0000-1600-00000F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3350" y="58686700"/>
          <a:ext cx="146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25400</xdr:colOff>
      <xdr:row>4</xdr:row>
      <xdr:rowOff>177800</xdr:rowOff>
    </xdr:from>
    <xdr:to>
      <xdr:col>1</xdr:col>
      <xdr:colOff>266700</xdr:colOff>
      <xdr:row>5</xdr:row>
      <xdr:rowOff>234950</xdr:rowOff>
    </xdr:to>
    <xdr:pic>
      <xdr:nvPicPr>
        <xdr:cNvPr id="19" name="Obrázek 11" descr="Notice.gif">
          <a:extLst>
            <a:ext uri="{FF2B5EF4-FFF2-40B4-BE49-F238E27FC236}">
              <a16:creationId xmlns:a16="http://schemas.microsoft.com/office/drawing/2014/main" id="{00000000-0008-0000-1600-000013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14300" y="730250"/>
          <a:ext cx="2413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76200</xdr:colOff>
      <xdr:row>5</xdr:row>
      <xdr:rowOff>50800</xdr:rowOff>
    </xdr:from>
    <xdr:to>
      <xdr:col>2</xdr:col>
      <xdr:colOff>247650</xdr:colOff>
      <xdr:row>5</xdr:row>
      <xdr:rowOff>234950</xdr:rowOff>
    </xdr:to>
    <xdr:pic>
      <xdr:nvPicPr>
        <xdr:cNvPr id="20" name="Picture 1">
          <a:extLst>
            <a:ext uri="{FF2B5EF4-FFF2-40B4-BE49-F238E27FC236}">
              <a16:creationId xmlns:a16="http://schemas.microsoft.com/office/drawing/2014/main" id="{00000000-0008-0000-1600-000014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68350" y="806450"/>
          <a:ext cx="171450" cy="18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57150</xdr:colOff>
      <xdr:row>5</xdr:row>
      <xdr:rowOff>38100</xdr:rowOff>
    </xdr:from>
    <xdr:to>
      <xdr:col>4</xdr:col>
      <xdr:colOff>215900</xdr:colOff>
      <xdr:row>5</xdr:row>
      <xdr:rowOff>234950</xdr:rowOff>
    </xdr:to>
    <xdr:pic>
      <xdr:nvPicPr>
        <xdr:cNvPr id="21" name="Picture 2">
          <a:extLst>
            <a:ext uri="{FF2B5EF4-FFF2-40B4-BE49-F238E27FC236}">
              <a16:creationId xmlns:a16="http://schemas.microsoft.com/office/drawing/2014/main" id="{00000000-0008-0000-1600-000015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955800" y="793750"/>
          <a:ext cx="158750" cy="196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273050</xdr:colOff>
      <xdr:row>113</xdr:row>
      <xdr:rowOff>6350</xdr:rowOff>
    </xdr:from>
    <xdr:to>
      <xdr:col>1</xdr:col>
      <xdr:colOff>444500</xdr:colOff>
      <xdr:row>113</xdr:row>
      <xdr:rowOff>177800</xdr:rowOff>
    </xdr:to>
    <xdr:pic>
      <xdr:nvPicPr>
        <xdr:cNvPr id="23" name="Picture 31">
          <a:extLst>
            <a:ext uri="{FF2B5EF4-FFF2-40B4-BE49-F238E27FC236}">
              <a16:creationId xmlns:a16="http://schemas.microsoft.com/office/drawing/2014/main" id="{00000000-0008-0000-1600-000017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1950" y="23609300"/>
          <a:ext cx="17145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273050</xdr:colOff>
      <xdr:row>115</xdr:row>
      <xdr:rowOff>0</xdr:rowOff>
    </xdr:from>
    <xdr:to>
      <xdr:col>1</xdr:col>
      <xdr:colOff>425450</xdr:colOff>
      <xdr:row>115</xdr:row>
      <xdr:rowOff>177800</xdr:rowOff>
    </xdr:to>
    <xdr:pic>
      <xdr:nvPicPr>
        <xdr:cNvPr id="24" name="Picture 32">
          <a:extLst>
            <a:ext uri="{FF2B5EF4-FFF2-40B4-BE49-F238E27FC236}">
              <a16:creationId xmlns:a16="http://schemas.microsoft.com/office/drawing/2014/main" id="{00000000-0008-0000-1600-000018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361950" y="23983950"/>
          <a:ext cx="158750" cy="17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3</xdr:col>
          <xdr:colOff>19050</xdr:colOff>
          <xdr:row>6</xdr:row>
          <xdr:rowOff>9525</xdr:rowOff>
        </xdr:from>
        <xdr:to>
          <xdr:col>6</xdr:col>
          <xdr:colOff>0</xdr:colOff>
          <xdr:row>7</xdr:row>
          <xdr:rowOff>0</xdr:rowOff>
        </xdr:to>
        <xdr:sp macro="" textlink="">
          <xdr:nvSpPr>
            <xdr:cNvPr id="167939" name="Drop Down 3" hidden="1">
              <a:extLst>
                <a:ext uri="{63B3BB69-23CF-44E3-9099-C40C66FF867C}">
                  <a14:compatExt spid="_x0000_s167939"/>
                </a:ext>
                <a:ext uri="{FF2B5EF4-FFF2-40B4-BE49-F238E27FC236}">
                  <a16:creationId xmlns:a16="http://schemas.microsoft.com/office/drawing/2014/main" id="{00000000-0008-0000-1600-0000039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400050</xdr:colOff>
          <xdr:row>5</xdr:row>
          <xdr:rowOff>28575</xdr:rowOff>
        </xdr:from>
        <xdr:to>
          <xdr:col>2</xdr:col>
          <xdr:colOff>95250</xdr:colOff>
          <xdr:row>5</xdr:row>
          <xdr:rowOff>247650</xdr:rowOff>
        </xdr:to>
        <xdr:sp macro="" textlink="">
          <xdr:nvSpPr>
            <xdr:cNvPr id="167941" name="Option Button 5" hidden="1">
              <a:extLst>
                <a:ext uri="{63B3BB69-23CF-44E3-9099-C40C66FF867C}">
                  <a14:compatExt spid="_x0000_s167941"/>
                </a:ext>
                <a:ext uri="{FF2B5EF4-FFF2-40B4-BE49-F238E27FC236}">
                  <a16:creationId xmlns:a16="http://schemas.microsoft.com/office/drawing/2014/main" id="{00000000-0008-0000-1600-000005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361950</xdr:colOff>
          <xdr:row>5</xdr:row>
          <xdr:rowOff>38100</xdr:rowOff>
        </xdr:from>
        <xdr:to>
          <xdr:col>4</xdr:col>
          <xdr:colOff>57150</xdr:colOff>
          <xdr:row>5</xdr:row>
          <xdr:rowOff>247650</xdr:rowOff>
        </xdr:to>
        <xdr:sp macro="" textlink="">
          <xdr:nvSpPr>
            <xdr:cNvPr id="167942" name="Option Button 6" hidden="1">
              <a:extLst>
                <a:ext uri="{63B3BB69-23CF-44E3-9099-C40C66FF867C}">
                  <a14:compatExt spid="_x0000_s167942"/>
                </a:ext>
                <a:ext uri="{FF2B5EF4-FFF2-40B4-BE49-F238E27FC236}">
                  <a16:creationId xmlns:a16="http://schemas.microsoft.com/office/drawing/2014/main" id="{00000000-0008-0000-1600-000006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0</xdr:rowOff>
        </xdr:from>
        <xdr:to>
          <xdr:col>3</xdr:col>
          <xdr:colOff>9525</xdr:colOff>
          <xdr:row>10</xdr:row>
          <xdr:rowOff>0</xdr:rowOff>
        </xdr:to>
        <xdr:sp macro="" textlink="">
          <xdr:nvSpPr>
            <xdr:cNvPr id="167943" name="Drop Down 7" hidden="1">
              <a:extLst>
                <a:ext uri="{63B3BB69-23CF-44E3-9099-C40C66FF867C}">
                  <a14:compatExt spid="_x0000_s167943"/>
                </a:ext>
                <a:ext uri="{FF2B5EF4-FFF2-40B4-BE49-F238E27FC236}">
                  <a16:creationId xmlns:a16="http://schemas.microsoft.com/office/drawing/2014/main" id="{00000000-0008-0000-1600-0000079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3</xdr:col>
          <xdr:colOff>9525</xdr:colOff>
          <xdr:row>21</xdr:row>
          <xdr:rowOff>0</xdr:rowOff>
        </xdr:to>
        <xdr:sp macro="" textlink="">
          <xdr:nvSpPr>
            <xdr:cNvPr id="167944" name="Drop Down 8" hidden="1">
              <a:extLst>
                <a:ext uri="{63B3BB69-23CF-44E3-9099-C40C66FF867C}">
                  <a14:compatExt spid="_x0000_s167944"/>
                </a:ext>
                <a:ext uri="{FF2B5EF4-FFF2-40B4-BE49-F238E27FC236}">
                  <a16:creationId xmlns:a16="http://schemas.microsoft.com/office/drawing/2014/main" id="{00000000-0008-0000-1600-0000089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3</xdr:col>
      <xdr:colOff>25400</xdr:colOff>
      <xdr:row>14</xdr:row>
      <xdr:rowOff>19050</xdr:rowOff>
    </xdr:from>
    <xdr:to>
      <xdr:col>3</xdr:col>
      <xdr:colOff>209550</xdr:colOff>
      <xdr:row>14</xdr:row>
      <xdr:rowOff>177800</xdr:rowOff>
    </xdr:to>
    <xdr:pic>
      <xdr:nvPicPr>
        <xdr:cNvPr id="32" name="Obrázek 16" descr="Weight.gif">
          <a:extLst>
            <a:ext uri="{FF2B5EF4-FFF2-40B4-BE49-F238E27FC236}">
              <a16:creationId xmlns:a16="http://schemas.microsoft.com/office/drawing/2014/main" id="{00000000-0008-0000-1600-000020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320800" y="2800350"/>
          <a:ext cx="1841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25400</xdr:colOff>
      <xdr:row>25</xdr:row>
      <xdr:rowOff>19050</xdr:rowOff>
    </xdr:from>
    <xdr:to>
      <xdr:col>3</xdr:col>
      <xdr:colOff>209550</xdr:colOff>
      <xdr:row>25</xdr:row>
      <xdr:rowOff>177800</xdr:rowOff>
    </xdr:to>
    <xdr:pic>
      <xdr:nvPicPr>
        <xdr:cNvPr id="33" name="Obrázek 16" descr="Weight.gif">
          <a:extLst>
            <a:ext uri="{FF2B5EF4-FFF2-40B4-BE49-F238E27FC236}">
              <a16:creationId xmlns:a16="http://schemas.microsoft.com/office/drawing/2014/main" id="{00000000-0008-0000-1600-000021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320800" y="2800350"/>
          <a:ext cx="1841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6</xdr:col>
          <xdr:colOff>9525</xdr:colOff>
          <xdr:row>3</xdr:row>
          <xdr:rowOff>0</xdr:rowOff>
        </xdr:from>
        <xdr:to>
          <xdr:col>8</xdr:col>
          <xdr:colOff>571500</xdr:colOff>
          <xdr:row>4</xdr:row>
          <xdr:rowOff>0</xdr:rowOff>
        </xdr:to>
        <xdr:sp macro="" textlink="">
          <xdr:nvSpPr>
            <xdr:cNvPr id="167946" name="Drop Down 10" hidden="1">
              <a:extLst>
                <a:ext uri="{63B3BB69-23CF-44E3-9099-C40C66FF867C}">
                  <a14:compatExt spid="_x0000_s167946"/>
                </a:ext>
                <a:ext uri="{FF2B5EF4-FFF2-40B4-BE49-F238E27FC236}">
                  <a16:creationId xmlns:a16="http://schemas.microsoft.com/office/drawing/2014/main" id="{00000000-0008-0000-1600-00000A9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oneCellAnchor>
    <xdr:from>
      <xdr:col>9</xdr:col>
      <xdr:colOff>323850</xdr:colOff>
      <xdr:row>4</xdr:row>
      <xdr:rowOff>6350</xdr:rowOff>
    </xdr:from>
    <xdr:ext cx="146050" cy="165100"/>
    <xdr:pic>
      <xdr:nvPicPr>
        <xdr:cNvPr id="28" name="Obrázek 28" descr="Info.gif">
          <a:extLst>
            <a:ext uri="{FF2B5EF4-FFF2-40B4-BE49-F238E27FC236}">
              <a16:creationId xmlns:a16="http://schemas.microsoft.com/office/drawing/2014/main" id="{00000000-0008-0000-1600-00001C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238750" y="558800"/>
          <a:ext cx="1460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10</xdr:col>
      <xdr:colOff>0</xdr:colOff>
      <xdr:row>50</xdr:row>
      <xdr:rowOff>0</xdr:rowOff>
    </xdr:from>
    <xdr:to>
      <xdr:col>36</xdr:col>
      <xdr:colOff>1416241</xdr:colOff>
      <xdr:row>64</xdr:row>
      <xdr:rowOff>57299</xdr:rowOff>
    </xdr:to>
    <xdr:pic>
      <xdr:nvPicPr>
        <xdr:cNvPr id="2" name="Picture 1">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8"/>
        <a:stretch>
          <a:fillRect/>
        </a:stretch>
      </xdr:blipFill>
      <xdr:spPr>
        <a:xfrm>
          <a:off x="5340350" y="10153650"/>
          <a:ext cx="3714941" cy="2895749"/>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190500</xdr:colOff>
      <xdr:row>35</xdr:row>
      <xdr:rowOff>146050</xdr:rowOff>
    </xdr:from>
    <xdr:to>
      <xdr:col>1</xdr:col>
      <xdr:colOff>333375</xdr:colOff>
      <xdr:row>36</xdr:row>
      <xdr:rowOff>104775</xdr:rowOff>
    </xdr:to>
    <xdr:pic>
      <xdr:nvPicPr>
        <xdr:cNvPr id="13" name="Obrázek 19" descr="Info.gif">
          <a:extLst>
            <a:ext uri="{FF2B5EF4-FFF2-40B4-BE49-F238E27FC236}">
              <a16:creationId xmlns:a16="http://schemas.microsoft.com/office/drawing/2014/main" id="{00000000-0008-0000-1700-00000D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9400" y="5829300"/>
          <a:ext cx="14605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44450</xdr:colOff>
      <xdr:row>99</xdr:row>
      <xdr:rowOff>0</xdr:rowOff>
    </xdr:from>
    <xdr:to>
      <xdr:col>1</xdr:col>
      <xdr:colOff>190500</xdr:colOff>
      <xdr:row>99</xdr:row>
      <xdr:rowOff>161925</xdr:rowOff>
    </xdr:to>
    <xdr:pic>
      <xdr:nvPicPr>
        <xdr:cNvPr id="14" name="Obrázek 20" descr="Help.gif">
          <a:extLst>
            <a:ext uri="{FF2B5EF4-FFF2-40B4-BE49-F238E27FC236}">
              <a16:creationId xmlns:a16="http://schemas.microsoft.com/office/drawing/2014/main" id="{00000000-0008-0000-1700-00000E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3350" y="60928250"/>
          <a:ext cx="1460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3</xdr:col>
          <xdr:colOff>19050</xdr:colOff>
          <xdr:row>6</xdr:row>
          <xdr:rowOff>9525</xdr:rowOff>
        </xdr:from>
        <xdr:to>
          <xdr:col>6</xdr:col>
          <xdr:colOff>19050</xdr:colOff>
          <xdr:row>7</xdr:row>
          <xdr:rowOff>0</xdr:rowOff>
        </xdr:to>
        <xdr:sp macro="" textlink="">
          <xdr:nvSpPr>
            <xdr:cNvPr id="88067" name="Drop Down 3" hidden="1">
              <a:extLst>
                <a:ext uri="{63B3BB69-23CF-44E3-9099-C40C66FF867C}">
                  <a14:compatExt spid="_x0000_s88067"/>
                </a:ext>
                <a:ext uri="{FF2B5EF4-FFF2-40B4-BE49-F238E27FC236}">
                  <a16:creationId xmlns:a16="http://schemas.microsoft.com/office/drawing/2014/main" id="{00000000-0008-0000-1700-0000035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10</xdr:col>
      <xdr:colOff>539750</xdr:colOff>
      <xdr:row>5</xdr:row>
      <xdr:rowOff>266700</xdr:rowOff>
    </xdr:from>
    <xdr:to>
      <xdr:col>11</xdr:col>
      <xdr:colOff>914400</xdr:colOff>
      <xdr:row>8</xdr:row>
      <xdr:rowOff>28575</xdr:rowOff>
    </xdr:to>
    <xdr:pic>
      <xdr:nvPicPr>
        <xdr:cNvPr id="21" name="Obrázek 4">
          <a:extLst>
            <a:ext uri="{FF2B5EF4-FFF2-40B4-BE49-F238E27FC236}">
              <a16:creationId xmlns:a16="http://schemas.microsoft.com/office/drawing/2014/main" id="{00000000-0008-0000-1700-00001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80100" y="1022350"/>
          <a:ext cx="11049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9525</xdr:colOff>
          <xdr:row>9</xdr:row>
          <xdr:rowOff>9525</xdr:rowOff>
        </xdr:from>
        <xdr:to>
          <xdr:col>3</xdr:col>
          <xdr:colOff>19050</xdr:colOff>
          <xdr:row>10</xdr:row>
          <xdr:rowOff>0</xdr:rowOff>
        </xdr:to>
        <xdr:sp macro="" textlink="">
          <xdr:nvSpPr>
            <xdr:cNvPr id="88071" name="Drop Down 7" hidden="1">
              <a:extLst>
                <a:ext uri="{63B3BB69-23CF-44E3-9099-C40C66FF867C}">
                  <a14:compatExt spid="_x0000_s88071"/>
                </a:ext>
                <a:ext uri="{FF2B5EF4-FFF2-40B4-BE49-F238E27FC236}">
                  <a16:creationId xmlns:a16="http://schemas.microsoft.com/office/drawing/2014/main" id="{00000000-0008-0000-1700-0000075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3</xdr:col>
          <xdr:colOff>9525</xdr:colOff>
          <xdr:row>21</xdr:row>
          <xdr:rowOff>0</xdr:rowOff>
        </xdr:to>
        <xdr:sp macro="" textlink="">
          <xdr:nvSpPr>
            <xdr:cNvPr id="88072" name="Drop Down 8" hidden="1">
              <a:extLst>
                <a:ext uri="{63B3BB69-23CF-44E3-9099-C40C66FF867C}">
                  <a14:compatExt spid="_x0000_s88072"/>
                </a:ext>
                <a:ext uri="{FF2B5EF4-FFF2-40B4-BE49-F238E27FC236}">
                  <a16:creationId xmlns:a16="http://schemas.microsoft.com/office/drawing/2014/main" id="{00000000-0008-0000-1700-0000085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3</xdr:col>
      <xdr:colOff>25400</xdr:colOff>
      <xdr:row>14</xdr:row>
      <xdr:rowOff>19050</xdr:rowOff>
    </xdr:from>
    <xdr:to>
      <xdr:col>3</xdr:col>
      <xdr:colOff>209550</xdr:colOff>
      <xdr:row>14</xdr:row>
      <xdr:rowOff>180975</xdr:rowOff>
    </xdr:to>
    <xdr:pic>
      <xdr:nvPicPr>
        <xdr:cNvPr id="22" name="Obrázek 16" descr="Weight.gif">
          <a:extLst>
            <a:ext uri="{FF2B5EF4-FFF2-40B4-BE49-F238E27FC236}">
              <a16:creationId xmlns:a16="http://schemas.microsoft.com/office/drawing/2014/main" id="{00000000-0008-0000-1700-000016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20800" y="2800350"/>
          <a:ext cx="1841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25400</xdr:colOff>
      <xdr:row>25</xdr:row>
      <xdr:rowOff>19050</xdr:rowOff>
    </xdr:from>
    <xdr:to>
      <xdr:col>3</xdr:col>
      <xdr:colOff>209550</xdr:colOff>
      <xdr:row>25</xdr:row>
      <xdr:rowOff>180975</xdr:rowOff>
    </xdr:to>
    <xdr:pic>
      <xdr:nvPicPr>
        <xdr:cNvPr id="23" name="Obrázek 16" descr="Weight.gif">
          <a:extLst>
            <a:ext uri="{FF2B5EF4-FFF2-40B4-BE49-F238E27FC236}">
              <a16:creationId xmlns:a16="http://schemas.microsoft.com/office/drawing/2014/main" id="{00000000-0008-0000-1700-000017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20800" y="2800350"/>
          <a:ext cx="1841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9</xdr:col>
      <xdr:colOff>323850</xdr:colOff>
      <xdr:row>4</xdr:row>
      <xdr:rowOff>6350</xdr:rowOff>
    </xdr:from>
    <xdr:ext cx="146050" cy="165100"/>
    <xdr:pic>
      <xdr:nvPicPr>
        <xdr:cNvPr id="24" name="Obrázek 28" descr="Info.gif">
          <a:extLst>
            <a:ext uri="{FF2B5EF4-FFF2-40B4-BE49-F238E27FC236}">
              <a16:creationId xmlns:a16="http://schemas.microsoft.com/office/drawing/2014/main" id="{00000000-0008-0000-1700-000018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2250" y="14446250"/>
          <a:ext cx="1460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mc:AlternateContent xmlns:mc="http://schemas.openxmlformats.org/markup-compatibility/2006">
    <mc:Choice xmlns:a14="http://schemas.microsoft.com/office/drawing/2010/main" Requires="a14">
      <xdr:twoCellAnchor editAs="oneCell">
        <xdr:from>
          <xdr:col>5</xdr:col>
          <xdr:colOff>523875</xdr:colOff>
          <xdr:row>3</xdr:row>
          <xdr:rowOff>0</xdr:rowOff>
        </xdr:from>
        <xdr:to>
          <xdr:col>8</xdr:col>
          <xdr:colOff>571500</xdr:colOff>
          <xdr:row>3</xdr:row>
          <xdr:rowOff>200025</xdr:rowOff>
        </xdr:to>
        <xdr:sp macro="" textlink="">
          <xdr:nvSpPr>
            <xdr:cNvPr id="88073" name="Drop Down 9" hidden="1">
              <a:extLst>
                <a:ext uri="{63B3BB69-23CF-44E3-9099-C40C66FF867C}">
                  <a14:compatExt spid="_x0000_s88073"/>
                </a:ext>
                <a:ext uri="{FF2B5EF4-FFF2-40B4-BE49-F238E27FC236}">
                  <a16:creationId xmlns:a16="http://schemas.microsoft.com/office/drawing/2014/main" id="{00000000-0008-0000-1700-0000095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10</xdr:col>
      <xdr:colOff>0</xdr:colOff>
      <xdr:row>50</xdr:row>
      <xdr:rowOff>0</xdr:rowOff>
    </xdr:from>
    <xdr:to>
      <xdr:col>36</xdr:col>
      <xdr:colOff>1419416</xdr:colOff>
      <xdr:row>64</xdr:row>
      <xdr:rowOff>57299</xdr:rowOff>
    </xdr:to>
    <xdr:pic>
      <xdr:nvPicPr>
        <xdr:cNvPr id="2" name="Picture 1">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5"/>
        <a:stretch>
          <a:fillRect/>
        </a:stretch>
      </xdr:blipFill>
      <xdr:spPr>
        <a:xfrm>
          <a:off x="5340350" y="10153650"/>
          <a:ext cx="3714941" cy="2895749"/>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11</xdr:col>
      <xdr:colOff>158750</xdr:colOff>
      <xdr:row>6</xdr:row>
      <xdr:rowOff>0</xdr:rowOff>
    </xdr:from>
    <xdr:to>
      <xdr:col>12</xdr:col>
      <xdr:colOff>0</xdr:colOff>
      <xdr:row>8</xdr:row>
      <xdr:rowOff>44450</xdr:rowOff>
    </xdr:to>
    <xdr:pic>
      <xdr:nvPicPr>
        <xdr:cNvPr id="3" name="Obrázek 11" descr="S_front_HK_w.gif">
          <a:extLst>
            <a:ext uri="{FF2B5EF4-FFF2-40B4-BE49-F238E27FC236}">
              <a16:creationId xmlns:a16="http://schemas.microsoft.com/office/drawing/2014/main" id="{00000000-0008-0000-18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0150" y="958850"/>
          <a:ext cx="10541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120650</xdr:colOff>
      <xdr:row>33</xdr:row>
      <xdr:rowOff>31750</xdr:rowOff>
    </xdr:from>
    <xdr:to>
      <xdr:col>1</xdr:col>
      <xdr:colOff>361950</xdr:colOff>
      <xdr:row>34</xdr:row>
      <xdr:rowOff>95250</xdr:rowOff>
    </xdr:to>
    <xdr:pic>
      <xdr:nvPicPr>
        <xdr:cNvPr id="14" name="Obrázek 23" descr="Notice.gif">
          <a:extLst>
            <a:ext uri="{FF2B5EF4-FFF2-40B4-BE49-F238E27FC236}">
              <a16:creationId xmlns:a16="http://schemas.microsoft.com/office/drawing/2014/main" id="{00000000-0008-0000-1800-00000E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9550" y="4902200"/>
          <a:ext cx="2413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190500</xdr:colOff>
      <xdr:row>35</xdr:row>
      <xdr:rowOff>146050</xdr:rowOff>
    </xdr:from>
    <xdr:to>
      <xdr:col>1</xdr:col>
      <xdr:colOff>330200</xdr:colOff>
      <xdr:row>36</xdr:row>
      <xdr:rowOff>95250</xdr:rowOff>
    </xdr:to>
    <xdr:pic>
      <xdr:nvPicPr>
        <xdr:cNvPr id="16" name="Obrázek 25" descr="Info.gif">
          <a:extLst>
            <a:ext uri="{FF2B5EF4-FFF2-40B4-BE49-F238E27FC236}">
              <a16:creationId xmlns:a16="http://schemas.microsoft.com/office/drawing/2014/main" id="{00000000-0008-0000-1800-000010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9400" y="5321300"/>
          <a:ext cx="146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25400</xdr:colOff>
      <xdr:row>99</xdr:row>
      <xdr:rowOff>12700</xdr:rowOff>
    </xdr:from>
    <xdr:to>
      <xdr:col>1</xdr:col>
      <xdr:colOff>171450</xdr:colOff>
      <xdr:row>99</xdr:row>
      <xdr:rowOff>177800</xdr:rowOff>
    </xdr:to>
    <xdr:pic>
      <xdr:nvPicPr>
        <xdr:cNvPr id="17" name="Obrázek 26" descr="Help.gif">
          <a:extLst>
            <a:ext uri="{FF2B5EF4-FFF2-40B4-BE49-F238E27FC236}">
              <a16:creationId xmlns:a16="http://schemas.microsoft.com/office/drawing/2014/main" id="{00000000-0008-0000-1800-000011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14300" y="60058300"/>
          <a:ext cx="1460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3</xdr:col>
          <xdr:colOff>19050</xdr:colOff>
          <xdr:row>6</xdr:row>
          <xdr:rowOff>9525</xdr:rowOff>
        </xdr:from>
        <xdr:to>
          <xdr:col>5</xdr:col>
          <xdr:colOff>571500</xdr:colOff>
          <xdr:row>7</xdr:row>
          <xdr:rowOff>0</xdr:rowOff>
        </xdr:to>
        <xdr:sp macro="" textlink="">
          <xdr:nvSpPr>
            <xdr:cNvPr id="168961" name="Drop Down 1" hidden="1">
              <a:extLst>
                <a:ext uri="{63B3BB69-23CF-44E3-9099-C40C66FF867C}">
                  <a14:compatExt spid="_x0000_s168961"/>
                </a:ext>
                <a:ext uri="{FF2B5EF4-FFF2-40B4-BE49-F238E27FC236}">
                  <a16:creationId xmlns:a16="http://schemas.microsoft.com/office/drawing/2014/main" id="{00000000-0008-0000-1800-0000019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409575</xdr:colOff>
          <xdr:row>14</xdr:row>
          <xdr:rowOff>180975</xdr:rowOff>
        </xdr:from>
        <xdr:to>
          <xdr:col>3</xdr:col>
          <xdr:colOff>95250</xdr:colOff>
          <xdr:row>16</xdr:row>
          <xdr:rowOff>0</xdr:rowOff>
        </xdr:to>
        <xdr:sp macro="" textlink="">
          <xdr:nvSpPr>
            <xdr:cNvPr id="168963" name="Check Box 3" hidden="1">
              <a:extLst>
                <a:ext uri="{63B3BB69-23CF-44E3-9099-C40C66FF867C}">
                  <a14:compatExt spid="_x0000_s168963"/>
                </a:ext>
                <a:ext uri="{FF2B5EF4-FFF2-40B4-BE49-F238E27FC236}">
                  <a16:creationId xmlns:a16="http://schemas.microsoft.com/office/drawing/2014/main" id="{00000000-0008-0000-1800-000003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409575</xdr:colOff>
          <xdr:row>25</xdr:row>
          <xdr:rowOff>180975</xdr:rowOff>
        </xdr:from>
        <xdr:to>
          <xdr:col>3</xdr:col>
          <xdr:colOff>95250</xdr:colOff>
          <xdr:row>27</xdr:row>
          <xdr:rowOff>0</xdr:rowOff>
        </xdr:to>
        <xdr:sp macro="" textlink="">
          <xdr:nvSpPr>
            <xdr:cNvPr id="168964" name="Check Box 4" hidden="1">
              <a:extLst>
                <a:ext uri="{63B3BB69-23CF-44E3-9099-C40C66FF867C}">
                  <a14:compatExt spid="_x0000_s168964"/>
                </a:ext>
                <a:ext uri="{FF2B5EF4-FFF2-40B4-BE49-F238E27FC236}">
                  <a16:creationId xmlns:a16="http://schemas.microsoft.com/office/drawing/2014/main" id="{00000000-0008-0000-1800-000004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0</xdr:rowOff>
        </xdr:from>
        <xdr:to>
          <xdr:col>2</xdr:col>
          <xdr:colOff>571500</xdr:colOff>
          <xdr:row>10</xdr:row>
          <xdr:rowOff>0</xdr:rowOff>
        </xdr:to>
        <xdr:sp macro="" textlink="">
          <xdr:nvSpPr>
            <xdr:cNvPr id="168965" name="Drop Down 5" hidden="1">
              <a:extLst>
                <a:ext uri="{63B3BB69-23CF-44E3-9099-C40C66FF867C}">
                  <a14:compatExt spid="_x0000_s168965"/>
                </a:ext>
                <a:ext uri="{FF2B5EF4-FFF2-40B4-BE49-F238E27FC236}">
                  <a16:creationId xmlns:a16="http://schemas.microsoft.com/office/drawing/2014/main" id="{00000000-0008-0000-1800-0000059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571500</xdr:colOff>
          <xdr:row>21</xdr:row>
          <xdr:rowOff>0</xdr:rowOff>
        </xdr:to>
        <xdr:sp macro="" textlink="">
          <xdr:nvSpPr>
            <xdr:cNvPr id="168966" name="Drop Down 6" hidden="1">
              <a:extLst>
                <a:ext uri="{63B3BB69-23CF-44E3-9099-C40C66FF867C}">
                  <a14:compatExt spid="_x0000_s168966"/>
                </a:ext>
                <a:ext uri="{FF2B5EF4-FFF2-40B4-BE49-F238E27FC236}">
                  <a16:creationId xmlns:a16="http://schemas.microsoft.com/office/drawing/2014/main" id="{00000000-0008-0000-1800-0000069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3</xdr:col>
      <xdr:colOff>25400</xdr:colOff>
      <xdr:row>14</xdr:row>
      <xdr:rowOff>19050</xdr:rowOff>
    </xdr:from>
    <xdr:to>
      <xdr:col>3</xdr:col>
      <xdr:colOff>209550</xdr:colOff>
      <xdr:row>14</xdr:row>
      <xdr:rowOff>177800</xdr:rowOff>
    </xdr:to>
    <xdr:pic>
      <xdr:nvPicPr>
        <xdr:cNvPr id="25" name="Obrázek 16" descr="Weight.gif">
          <a:extLst>
            <a:ext uri="{FF2B5EF4-FFF2-40B4-BE49-F238E27FC236}">
              <a16:creationId xmlns:a16="http://schemas.microsoft.com/office/drawing/2014/main" id="{00000000-0008-0000-1800-000019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320800" y="2800350"/>
          <a:ext cx="1841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25400</xdr:colOff>
      <xdr:row>25</xdr:row>
      <xdr:rowOff>19050</xdr:rowOff>
    </xdr:from>
    <xdr:to>
      <xdr:col>3</xdr:col>
      <xdr:colOff>209550</xdr:colOff>
      <xdr:row>25</xdr:row>
      <xdr:rowOff>177800</xdr:rowOff>
    </xdr:to>
    <xdr:pic>
      <xdr:nvPicPr>
        <xdr:cNvPr id="26" name="Obrázek 16" descr="Weight.gif">
          <a:extLst>
            <a:ext uri="{FF2B5EF4-FFF2-40B4-BE49-F238E27FC236}">
              <a16:creationId xmlns:a16="http://schemas.microsoft.com/office/drawing/2014/main" id="{00000000-0008-0000-1800-00001A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320800" y="2800350"/>
          <a:ext cx="1841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9</xdr:col>
      <xdr:colOff>336550</xdr:colOff>
      <xdr:row>4</xdr:row>
      <xdr:rowOff>19050</xdr:rowOff>
    </xdr:from>
    <xdr:ext cx="139700" cy="158750"/>
    <xdr:pic>
      <xdr:nvPicPr>
        <xdr:cNvPr id="27" name="Obrázek 28" descr="Info.gif">
          <a:extLst>
            <a:ext uri="{FF2B5EF4-FFF2-40B4-BE49-F238E27FC236}">
              <a16:creationId xmlns:a16="http://schemas.microsoft.com/office/drawing/2014/main" id="{00000000-0008-0000-1800-00001B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44950" y="14465300"/>
          <a:ext cx="1397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mc:AlternateContent xmlns:mc="http://schemas.openxmlformats.org/markup-compatibility/2006">
    <mc:Choice xmlns:a14="http://schemas.microsoft.com/office/drawing/2010/main" Requires="a14">
      <xdr:twoCellAnchor editAs="oneCell">
        <xdr:from>
          <xdr:col>6</xdr:col>
          <xdr:colOff>9525</xdr:colOff>
          <xdr:row>3</xdr:row>
          <xdr:rowOff>0</xdr:rowOff>
        </xdr:from>
        <xdr:to>
          <xdr:col>9</xdr:col>
          <xdr:colOff>0</xdr:colOff>
          <xdr:row>4</xdr:row>
          <xdr:rowOff>0</xdr:rowOff>
        </xdr:to>
        <xdr:sp macro="" textlink="">
          <xdr:nvSpPr>
            <xdr:cNvPr id="168967" name="Drop Down 7" hidden="1">
              <a:extLst>
                <a:ext uri="{63B3BB69-23CF-44E3-9099-C40C66FF867C}">
                  <a14:compatExt spid="_x0000_s168967"/>
                </a:ext>
                <a:ext uri="{FF2B5EF4-FFF2-40B4-BE49-F238E27FC236}">
                  <a16:creationId xmlns:a16="http://schemas.microsoft.com/office/drawing/2014/main" id="{00000000-0008-0000-1800-0000079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6.xml><?xml version="1.0" encoding="utf-8"?>
<xdr:wsDr xmlns:xdr="http://schemas.openxmlformats.org/drawingml/2006/spreadsheetDrawing" xmlns:a="http://schemas.openxmlformats.org/drawingml/2006/main">
  <xdr:twoCellAnchor editAs="oneCell">
    <xdr:from>
      <xdr:col>11</xdr:col>
      <xdr:colOff>158750</xdr:colOff>
      <xdr:row>6</xdr:row>
      <xdr:rowOff>6350</xdr:rowOff>
    </xdr:from>
    <xdr:to>
      <xdr:col>12</xdr:col>
      <xdr:colOff>0</xdr:colOff>
      <xdr:row>8</xdr:row>
      <xdr:rowOff>95250</xdr:rowOff>
    </xdr:to>
    <xdr:pic>
      <xdr:nvPicPr>
        <xdr:cNvPr id="12" name="Obrázek 18" descr="S_front_HK_wa.gif">
          <a:extLst>
            <a:ext uri="{FF2B5EF4-FFF2-40B4-BE49-F238E27FC236}">
              <a16:creationId xmlns:a16="http://schemas.microsoft.com/office/drawing/2014/main" id="{00000000-0008-0000-1900-00000C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0150" y="965200"/>
          <a:ext cx="10477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317500</xdr:colOff>
      <xdr:row>34</xdr:row>
      <xdr:rowOff>146050</xdr:rowOff>
    </xdr:from>
    <xdr:to>
      <xdr:col>1</xdr:col>
      <xdr:colOff>466725</xdr:colOff>
      <xdr:row>35</xdr:row>
      <xdr:rowOff>104775</xdr:rowOff>
    </xdr:to>
    <xdr:pic>
      <xdr:nvPicPr>
        <xdr:cNvPr id="15" name="Obrázek 20" descr="Info.gif">
          <a:extLst>
            <a:ext uri="{FF2B5EF4-FFF2-40B4-BE49-F238E27FC236}">
              <a16:creationId xmlns:a16="http://schemas.microsoft.com/office/drawing/2014/main" id="{00000000-0008-0000-1900-00000F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6400" y="5168900"/>
          <a:ext cx="14605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25400</xdr:colOff>
      <xdr:row>99</xdr:row>
      <xdr:rowOff>12700</xdr:rowOff>
    </xdr:from>
    <xdr:to>
      <xdr:col>1</xdr:col>
      <xdr:colOff>171450</xdr:colOff>
      <xdr:row>99</xdr:row>
      <xdr:rowOff>161925</xdr:rowOff>
    </xdr:to>
    <xdr:pic>
      <xdr:nvPicPr>
        <xdr:cNvPr id="16" name="Obrázek 26" descr="Help.gif">
          <a:extLst>
            <a:ext uri="{FF2B5EF4-FFF2-40B4-BE49-F238E27FC236}">
              <a16:creationId xmlns:a16="http://schemas.microsoft.com/office/drawing/2014/main" id="{00000000-0008-0000-1900-000010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4300" y="60490100"/>
          <a:ext cx="1460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12700</xdr:colOff>
      <xdr:row>4</xdr:row>
      <xdr:rowOff>158750</xdr:rowOff>
    </xdr:from>
    <xdr:to>
      <xdr:col>1</xdr:col>
      <xdr:colOff>257175</xdr:colOff>
      <xdr:row>5</xdr:row>
      <xdr:rowOff>219075</xdr:rowOff>
    </xdr:to>
    <xdr:pic>
      <xdr:nvPicPr>
        <xdr:cNvPr id="20" name="Obrázek 11" descr="Notice.gif">
          <a:extLst>
            <a:ext uri="{FF2B5EF4-FFF2-40B4-BE49-F238E27FC236}">
              <a16:creationId xmlns:a16="http://schemas.microsoft.com/office/drawing/2014/main" id="{00000000-0008-0000-1900-000014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1600" y="711200"/>
          <a:ext cx="2413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95250</xdr:colOff>
      <xdr:row>5</xdr:row>
      <xdr:rowOff>50800</xdr:rowOff>
    </xdr:from>
    <xdr:to>
      <xdr:col>2</xdr:col>
      <xdr:colOff>542925</xdr:colOff>
      <xdr:row>5</xdr:row>
      <xdr:rowOff>228600</xdr:rowOff>
    </xdr:to>
    <xdr:pic>
      <xdr:nvPicPr>
        <xdr:cNvPr id="21" name="Obrázek 25" descr="Alu_narr.gif">
          <a:extLst>
            <a:ext uri="{FF2B5EF4-FFF2-40B4-BE49-F238E27FC236}">
              <a16:creationId xmlns:a16="http://schemas.microsoft.com/office/drawing/2014/main" id="{00000000-0008-0000-1900-000015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87400" y="806450"/>
          <a:ext cx="450850" cy="17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63500</xdr:colOff>
      <xdr:row>5</xdr:row>
      <xdr:rowOff>12700</xdr:rowOff>
    </xdr:from>
    <xdr:to>
      <xdr:col>4</xdr:col>
      <xdr:colOff>504825</xdr:colOff>
      <xdr:row>5</xdr:row>
      <xdr:rowOff>219075</xdr:rowOff>
    </xdr:to>
    <xdr:pic>
      <xdr:nvPicPr>
        <xdr:cNvPr id="22" name="Obrázek 26" descr="Alu_wide.gif">
          <a:extLst>
            <a:ext uri="{FF2B5EF4-FFF2-40B4-BE49-F238E27FC236}">
              <a16:creationId xmlns:a16="http://schemas.microsoft.com/office/drawing/2014/main" id="{00000000-0008-0000-1900-000016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962150" y="768350"/>
          <a:ext cx="4445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57150</xdr:colOff>
      <xdr:row>121</xdr:row>
      <xdr:rowOff>25400</xdr:rowOff>
    </xdr:from>
    <xdr:to>
      <xdr:col>1</xdr:col>
      <xdr:colOff>504825</xdr:colOff>
      <xdr:row>122</xdr:row>
      <xdr:rowOff>9525</xdr:rowOff>
    </xdr:to>
    <xdr:pic>
      <xdr:nvPicPr>
        <xdr:cNvPr id="24" name="Obrázek 21" descr="Alu_narr.gif">
          <a:extLst>
            <a:ext uri="{FF2B5EF4-FFF2-40B4-BE49-F238E27FC236}">
              <a16:creationId xmlns:a16="http://schemas.microsoft.com/office/drawing/2014/main" id="{00000000-0008-0000-1900-000018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46050" y="24669750"/>
          <a:ext cx="45085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63500</xdr:colOff>
      <xdr:row>122</xdr:row>
      <xdr:rowOff>177800</xdr:rowOff>
    </xdr:from>
    <xdr:to>
      <xdr:col>1</xdr:col>
      <xdr:colOff>504825</xdr:colOff>
      <xdr:row>123</xdr:row>
      <xdr:rowOff>161925</xdr:rowOff>
    </xdr:to>
    <xdr:pic>
      <xdr:nvPicPr>
        <xdr:cNvPr id="25" name="Picture 31">
          <a:extLst>
            <a:ext uri="{FF2B5EF4-FFF2-40B4-BE49-F238E27FC236}">
              <a16:creationId xmlns:a16="http://schemas.microsoft.com/office/drawing/2014/main" id="{00000000-0008-0000-1900-000019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52400" y="25012650"/>
          <a:ext cx="438150" cy="17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3</xdr:col>
          <xdr:colOff>9525</xdr:colOff>
          <xdr:row>6</xdr:row>
          <xdr:rowOff>9525</xdr:rowOff>
        </xdr:from>
        <xdr:to>
          <xdr:col>5</xdr:col>
          <xdr:colOff>571500</xdr:colOff>
          <xdr:row>7</xdr:row>
          <xdr:rowOff>0</xdr:rowOff>
        </xdr:to>
        <xdr:sp macro="" textlink="">
          <xdr:nvSpPr>
            <xdr:cNvPr id="169985" name="Drop Down 1" hidden="1">
              <a:extLst>
                <a:ext uri="{63B3BB69-23CF-44E3-9099-C40C66FF867C}">
                  <a14:compatExt spid="_x0000_s169985"/>
                </a:ext>
                <a:ext uri="{FF2B5EF4-FFF2-40B4-BE49-F238E27FC236}">
                  <a16:creationId xmlns:a16="http://schemas.microsoft.com/office/drawing/2014/main" id="{00000000-0008-0000-1900-0000019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0</xdr:rowOff>
        </xdr:from>
        <xdr:to>
          <xdr:col>2</xdr:col>
          <xdr:colOff>571500</xdr:colOff>
          <xdr:row>10</xdr:row>
          <xdr:rowOff>0</xdr:rowOff>
        </xdr:to>
        <xdr:sp macro="" textlink="">
          <xdr:nvSpPr>
            <xdr:cNvPr id="169987" name="Drop Down 3" hidden="1">
              <a:extLst>
                <a:ext uri="{63B3BB69-23CF-44E3-9099-C40C66FF867C}">
                  <a14:compatExt spid="_x0000_s169987"/>
                </a:ext>
                <a:ext uri="{FF2B5EF4-FFF2-40B4-BE49-F238E27FC236}">
                  <a16:creationId xmlns:a16="http://schemas.microsoft.com/office/drawing/2014/main" id="{00000000-0008-0000-1900-0000039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571500</xdr:colOff>
          <xdr:row>21</xdr:row>
          <xdr:rowOff>0</xdr:rowOff>
        </xdr:to>
        <xdr:sp macro="" textlink="">
          <xdr:nvSpPr>
            <xdr:cNvPr id="169988" name="Drop Down 4" hidden="1">
              <a:extLst>
                <a:ext uri="{63B3BB69-23CF-44E3-9099-C40C66FF867C}">
                  <a14:compatExt spid="_x0000_s169988"/>
                </a:ext>
                <a:ext uri="{FF2B5EF4-FFF2-40B4-BE49-F238E27FC236}">
                  <a16:creationId xmlns:a16="http://schemas.microsoft.com/office/drawing/2014/main" id="{00000000-0008-0000-1900-0000049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400050</xdr:colOff>
          <xdr:row>5</xdr:row>
          <xdr:rowOff>9525</xdr:rowOff>
        </xdr:from>
        <xdr:to>
          <xdr:col>2</xdr:col>
          <xdr:colOff>85725</xdr:colOff>
          <xdr:row>5</xdr:row>
          <xdr:rowOff>219075</xdr:rowOff>
        </xdr:to>
        <xdr:sp macro="" textlink="">
          <xdr:nvSpPr>
            <xdr:cNvPr id="169989" name="Option Button 5" hidden="1">
              <a:extLst>
                <a:ext uri="{63B3BB69-23CF-44E3-9099-C40C66FF867C}">
                  <a14:compatExt spid="_x0000_s169989"/>
                </a:ext>
                <a:ext uri="{FF2B5EF4-FFF2-40B4-BE49-F238E27FC236}">
                  <a16:creationId xmlns:a16="http://schemas.microsoft.com/office/drawing/2014/main" id="{00000000-0008-0000-1900-000005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390525</xdr:colOff>
          <xdr:row>5</xdr:row>
          <xdr:rowOff>19050</xdr:rowOff>
        </xdr:from>
        <xdr:to>
          <xdr:col>4</xdr:col>
          <xdr:colOff>66675</xdr:colOff>
          <xdr:row>5</xdr:row>
          <xdr:rowOff>247650</xdr:rowOff>
        </xdr:to>
        <xdr:sp macro="" textlink="">
          <xdr:nvSpPr>
            <xdr:cNvPr id="169990" name="Option Button 6" hidden="1">
              <a:extLst>
                <a:ext uri="{63B3BB69-23CF-44E3-9099-C40C66FF867C}">
                  <a14:compatExt spid="_x0000_s169990"/>
                </a:ext>
                <a:ext uri="{FF2B5EF4-FFF2-40B4-BE49-F238E27FC236}">
                  <a16:creationId xmlns:a16="http://schemas.microsoft.com/office/drawing/2014/main" id="{00000000-0008-0000-1900-000006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xdr:row>
          <xdr:rowOff>0</xdr:rowOff>
        </xdr:from>
        <xdr:to>
          <xdr:col>9</xdr:col>
          <xdr:colOff>0</xdr:colOff>
          <xdr:row>4</xdr:row>
          <xdr:rowOff>0</xdr:rowOff>
        </xdr:to>
        <xdr:sp macro="" textlink="">
          <xdr:nvSpPr>
            <xdr:cNvPr id="169991" name="Drop Down 7" hidden="1">
              <a:extLst>
                <a:ext uri="{63B3BB69-23CF-44E3-9099-C40C66FF867C}">
                  <a14:compatExt spid="_x0000_s169991"/>
                </a:ext>
                <a:ext uri="{FF2B5EF4-FFF2-40B4-BE49-F238E27FC236}">
                  <a16:creationId xmlns:a16="http://schemas.microsoft.com/office/drawing/2014/main" id="{00000000-0008-0000-1900-0000079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3</xdr:col>
      <xdr:colOff>25400</xdr:colOff>
      <xdr:row>14</xdr:row>
      <xdr:rowOff>19050</xdr:rowOff>
    </xdr:from>
    <xdr:to>
      <xdr:col>3</xdr:col>
      <xdr:colOff>209550</xdr:colOff>
      <xdr:row>14</xdr:row>
      <xdr:rowOff>180975</xdr:rowOff>
    </xdr:to>
    <xdr:pic>
      <xdr:nvPicPr>
        <xdr:cNvPr id="33" name="Obrázek 16" descr="Weight.gif">
          <a:extLst>
            <a:ext uri="{FF2B5EF4-FFF2-40B4-BE49-F238E27FC236}">
              <a16:creationId xmlns:a16="http://schemas.microsoft.com/office/drawing/2014/main" id="{00000000-0008-0000-1900-000021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320800" y="2800350"/>
          <a:ext cx="1841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25400</xdr:colOff>
      <xdr:row>25</xdr:row>
      <xdr:rowOff>19050</xdr:rowOff>
    </xdr:from>
    <xdr:to>
      <xdr:col>3</xdr:col>
      <xdr:colOff>209550</xdr:colOff>
      <xdr:row>25</xdr:row>
      <xdr:rowOff>180975</xdr:rowOff>
    </xdr:to>
    <xdr:pic>
      <xdr:nvPicPr>
        <xdr:cNvPr id="34" name="Obrázek 16" descr="Weight.gif">
          <a:extLst>
            <a:ext uri="{FF2B5EF4-FFF2-40B4-BE49-F238E27FC236}">
              <a16:creationId xmlns:a16="http://schemas.microsoft.com/office/drawing/2014/main" id="{00000000-0008-0000-1900-000022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320800" y="2800350"/>
          <a:ext cx="1841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9</xdr:col>
      <xdr:colOff>336550</xdr:colOff>
      <xdr:row>4</xdr:row>
      <xdr:rowOff>19050</xdr:rowOff>
    </xdr:from>
    <xdr:ext cx="139700" cy="158750"/>
    <xdr:pic>
      <xdr:nvPicPr>
        <xdr:cNvPr id="29" name="Obrázek 28" descr="Info.gif">
          <a:extLst>
            <a:ext uri="{FF2B5EF4-FFF2-40B4-BE49-F238E27FC236}">
              <a16:creationId xmlns:a16="http://schemas.microsoft.com/office/drawing/2014/main" id="{00000000-0008-0000-1900-00001D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251450" y="571500"/>
          <a:ext cx="1397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7.xml><?xml version="1.0" encoding="utf-8"?>
<xdr:wsDr xmlns:xdr="http://schemas.openxmlformats.org/drawingml/2006/spreadsheetDrawing" xmlns:a="http://schemas.openxmlformats.org/drawingml/2006/main">
  <xdr:twoCellAnchor editAs="oneCell">
    <xdr:from>
      <xdr:col>11</xdr:col>
      <xdr:colOff>171450</xdr:colOff>
      <xdr:row>6</xdr:row>
      <xdr:rowOff>0</xdr:rowOff>
    </xdr:from>
    <xdr:to>
      <xdr:col>12</xdr:col>
      <xdr:colOff>0</xdr:colOff>
      <xdr:row>8</xdr:row>
      <xdr:rowOff>76200</xdr:rowOff>
    </xdr:to>
    <xdr:pic>
      <xdr:nvPicPr>
        <xdr:cNvPr id="13" name="Obrázek 17" descr="S_front_HK_na.png">
          <a:extLst>
            <a:ext uri="{FF2B5EF4-FFF2-40B4-BE49-F238E27FC236}">
              <a16:creationId xmlns:a16="http://schemas.microsoft.com/office/drawing/2014/main" id="{00000000-0008-0000-1A00-00000D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850" y="958850"/>
          <a:ext cx="1035050" cy="596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292100</xdr:colOff>
      <xdr:row>34</xdr:row>
      <xdr:rowOff>146050</xdr:rowOff>
    </xdr:from>
    <xdr:to>
      <xdr:col>1</xdr:col>
      <xdr:colOff>428625</xdr:colOff>
      <xdr:row>35</xdr:row>
      <xdr:rowOff>104775</xdr:rowOff>
    </xdr:to>
    <xdr:pic>
      <xdr:nvPicPr>
        <xdr:cNvPr id="15" name="Obrázek 19" descr="Info.gif">
          <a:extLst>
            <a:ext uri="{FF2B5EF4-FFF2-40B4-BE49-F238E27FC236}">
              <a16:creationId xmlns:a16="http://schemas.microsoft.com/office/drawing/2014/main" id="{00000000-0008-0000-1A00-00000F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1000" y="5168900"/>
          <a:ext cx="1397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25400</xdr:colOff>
      <xdr:row>99</xdr:row>
      <xdr:rowOff>12700</xdr:rowOff>
    </xdr:from>
    <xdr:to>
      <xdr:col>1</xdr:col>
      <xdr:colOff>171450</xdr:colOff>
      <xdr:row>99</xdr:row>
      <xdr:rowOff>161925</xdr:rowOff>
    </xdr:to>
    <xdr:pic>
      <xdr:nvPicPr>
        <xdr:cNvPr id="16" name="Obrázek 26" descr="Help.gif">
          <a:extLst>
            <a:ext uri="{FF2B5EF4-FFF2-40B4-BE49-F238E27FC236}">
              <a16:creationId xmlns:a16="http://schemas.microsoft.com/office/drawing/2014/main" id="{00000000-0008-0000-1A00-000010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4300" y="60458350"/>
          <a:ext cx="1460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xdr:colOff>
      <xdr:row>4</xdr:row>
      <xdr:rowOff>171450</xdr:rowOff>
    </xdr:from>
    <xdr:to>
      <xdr:col>1</xdr:col>
      <xdr:colOff>257175</xdr:colOff>
      <xdr:row>5</xdr:row>
      <xdr:rowOff>238125</xdr:rowOff>
    </xdr:to>
    <xdr:pic>
      <xdr:nvPicPr>
        <xdr:cNvPr id="17" name="Obrázek 11" descr="Notice.gif">
          <a:extLst>
            <a:ext uri="{FF2B5EF4-FFF2-40B4-BE49-F238E27FC236}">
              <a16:creationId xmlns:a16="http://schemas.microsoft.com/office/drawing/2014/main" id="{00000000-0008-0000-1A00-000011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7950" y="723900"/>
          <a:ext cx="2413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114300</xdr:colOff>
      <xdr:row>5</xdr:row>
      <xdr:rowOff>31750</xdr:rowOff>
    </xdr:from>
    <xdr:to>
      <xdr:col>2</xdr:col>
      <xdr:colOff>285750</xdr:colOff>
      <xdr:row>5</xdr:row>
      <xdr:rowOff>219075</xdr:rowOff>
    </xdr:to>
    <xdr:pic>
      <xdr:nvPicPr>
        <xdr:cNvPr id="18" name="Picture 1">
          <a:extLst>
            <a:ext uri="{FF2B5EF4-FFF2-40B4-BE49-F238E27FC236}">
              <a16:creationId xmlns:a16="http://schemas.microsoft.com/office/drawing/2014/main" id="{00000000-0008-0000-1A00-000012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06450" y="787400"/>
          <a:ext cx="171450" cy="18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120650</xdr:colOff>
      <xdr:row>5</xdr:row>
      <xdr:rowOff>25400</xdr:rowOff>
    </xdr:from>
    <xdr:to>
      <xdr:col>4</xdr:col>
      <xdr:colOff>276225</xdr:colOff>
      <xdr:row>5</xdr:row>
      <xdr:rowOff>219075</xdr:rowOff>
    </xdr:to>
    <xdr:pic>
      <xdr:nvPicPr>
        <xdr:cNvPr id="19" name="Picture 2">
          <a:extLst>
            <a:ext uri="{FF2B5EF4-FFF2-40B4-BE49-F238E27FC236}">
              <a16:creationId xmlns:a16="http://schemas.microsoft.com/office/drawing/2014/main" id="{00000000-0008-0000-1A00-000013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19300" y="781050"/>
          <a:ext cx="158750" cy="196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273050</xdr:colOff>
      <xdr:row>120</xdr:row>
      <xdr:rowOff>127000</xdr:rowOff>
    </xdr:from>
    <xdr:to>
      <xdr:col>1</xdr:col>
      <xdr:colOff>447675</xdr:colOff>
      <xdr:row>121</xdr:row>
      <xdr:rowOff>142875</xdr:rowOff>
    </xdr:to>
    <xdr:pic>
      <xdr:nvPicPr>
        <xdr:cNvPr id="24" name="Picture 31">
          <a:extLst>
            <a:ext uri="{FF2B5EF4-FFF2-40B4-BE49-F238E27FC236}">
              <a16:creationId xmlns:a16="http://schemas.microsoft.com/office/drawing/2014/main" id="{00000000-0008-0000-1A00-000018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1950" y="63741300"/>
          <a:ext cx="17145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273050</xdr:colOff>
      <xdr:row>122</xdr:row>
      <xdr:rowOff>120650</xdr:rowOff>
    </xdr:from>
    <xdr:to>
      <xdr:col>1</xdr:col>
      <xdr:colOff>428625</xdr:colOff>
      <xdr:row>123</xdr:row>
      <xdr:rowOff>123825</xdr:rowOff>
    </xdr:to>
    <xdr:pic>
      <xdr:nvPicPr>
        <xdr:cNvPr id="25" name="Picture 32">
          <a:extLst>
            <a:ext uri="{FF2B5EF4-FFF2-40B4-BE49-F238E27FC236}">
              <a16:creationId xmlns:a16="http://schemas.microsoft.com/office/drawing/2014/main" id="{00000000-0008-0000-1A00-000019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361950" y="64027050"/>
          <a:ext cx="158750" cy="17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3</xdr:col>
          <xdr:colOff>9525</xdr:colOff>
          <xdr:row>6</xdr:row>
          <xdr:rowOff>9525</xdr:rowOff>
        </xdr:from>
        <xdr:to>
          <xdr:col>6</xdr:col>
          <xdr:colOff>0</xdr:colOff>
          <xdr:row>7</xdr:row>
          <xdr:rowOff>0</xdr:rowOff>
        </xdr:to>
        <xdr:sp macro="" textlink="">
          <xdr:nvSpPr>
            <xdr:cNvPr id="171009" name="Drop Down 1" hidden="1">
              <a:extLst>
                <a:ext uri="{63B3BB69-23CF-44E3-9099-C40C66FF867C}">
                  <a14:compatExt spid="_x0000_s171009"/>
                </a:ext>
                <a:ext uri="{FF2B5EF4-FFF2-40B4-BE49-F238E27FC236}">
                  <a16:creationId xmlns:a16="http://schemas.microsoft.com/office/drawing/2014/main" id="{00000000-0008-0000-1A00-0000019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0</xdr:rowOff>
        </xdr:from>
        <xdr:to>
          <xdr:col>2</xdr:col>
          <xdr:colOff>571500</xdr:colOff>
          <xdr:row>10</xdr:row>
          <xdr:rowOff>0</xdr:rowOff>
        </xdr:to>
        <xdr:sp macro="" textlink="">
          <xdr:nvSpPr>
            <xdr:cNvPr id="171011" name="Drop Down 3" hidden="1">
              <a:extLst>
                <a:ext uri="{63B3BB69-23CF-44E3-9099-C40C66FF867C}">
                  <a14:compatExt spid="_x0000_s171011"/>
                </a:ext>
                <a:ext uri="{FF2B5EF4-FFF2-40B4-BE49-F238E27FC236}">
                  <a16:creationId xmlns:a16="http://schemas.microsoft.com/office/drawing/2014/main" id="{00000000-0008-0000-1A00-0000039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571500</xdr:colOff>
          <xdr:row>21</xdr:row>
          <xdr:rowOff>0</xdr:rowOff>
        </xdr:to>
        <xdr:sp macro="" textlink="">
          <xdr:nvSpPr>
            <xdr:cNvPr id="171012" name="Drop Down 4" hidden="1">
              <a:extLst>
                <a:ext uri="{63B3BB69-23CF-44E3-9099-C40C66FF867C}">
                  <a14:compatExt spid="_x0000_s171012"/>
                </a:ext>
                <a:ext uri="{FF2B5EF4-FFF2-40B4-BE49-F238E27FC236}">
                  <a16:creationId xmlns:a16="http://schemas.microsoft.com/office/drawing/2014/main" id="{00000000-0008-0000-1A00-0000049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371475</xdr:colOff>
          <xdr:row>5</xdr:row>
          <xdr:rowOff>19050</xdr:rowOff>
        </xdr:from>
        <xdr:to>
          <xdr:col>2</xdr:col>
          <xdr:colOff>57150</xdr:colOff>
          <xdr:row>5</xdr:row>
          <xdr:rowOff>228600</xdr:rowOff>
        </xdr:to>
        <xdr:sp macro="" textlink="">
          <xdr:nvSpPr>
            <xdr:cNvPr id="171013" name="Option Button 5" hidden="1">
              <a:extLst>
                <a:ext uri="{63B3BB69-23CF-44E3-9099-C40C66FF867C}">
                  <a14:compatExt spid="_x0000_s171013"/>
                </a:ext>
                <a:ext uri="{FF2B5EF4-FFF2-40B4-BE49-F238E27FC236}">
                  <a16:creationId xmlns:a16="http://schemas.microsoft.com/office/drawing/2014/main" id="{00000000-0008-0000-1A00-0000059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390525</xdr:colOff>
          <xdr:row>5</xdr:row>
          <xdr:rowOff>47625</xdr:rowOff>
        </xdr:from>
        <xdr:to>
          <xdr:col>4</xdr:col>
          <xdr:colOff>66675</xdr:colOff>
          <xdr:row>5</xdr:row>
          <xdr:rowOff>257175</xdr:rowOff>
        </xdr:to>
        <xdr:sp macro="" textlink="">
          <xdr:nvSpPr>
            <xdr:cNvPr id="171014" name="Option Button 6" hidden="1">
              <a:extLst>
                <a:ext uri="{63B3BB69-23CF-44E3-9099-C40C66FF867C}">
                  <a14:compatExt spid="_x0000_s171014"/>
                </a:ext>
                <a:ext uri="{FF2B5EF4-FFF2-40B4-BE49-F238E27FC236}">
                  <a16:creationId xmlns:a16="http://schemas.microsoft.com/office/drawing/2014/main" id="{00000000-0008-0000-1A00-0000069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xdr:row>
          <xdr:rowOff>0</xdr:rowOff>
        </xdr:from>
        <xdr:to>
          <xdr:col>9</xdr:col>
          <xdr:colOff>0</xdr:colOff>
          <xdr:row>4</xdr:row>
          <xdr:rowOff>0</xdr:rowOff>
        </xdr:to>
        <xdr:sp macro="" textlink="">
          <xdr:nvSpPr>
            <xdr:cNvPr id="171015" name="Drop Down 7" hidden="1">
              <a:extLst>
                <a:ext uri="{63B3BB69-23CF-44E3-9099-C40C66FF867C}">
                  <a14:compatExt spid="_x0000_s171015"/>
                </a:ext>
                <a:ext uri="{FF2B5EF4-FFF2-40B4-BE49-F238E27FC236}">
                  <a16:creationId xmlns:a16="http://schemas.microsoft.com/office/drawing/2014/main" id="{00000000-0008-0000-1A00-0000079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3</xdr:col>
      <xdr:colOff>25400</xdr:colOff>
      <xdr:row>14</xdr:row>
      <xdr:rowOff>19050</xdr:rowOff>
    </xdr:from>
    <xdr:to>
      <xdr:col>3</xdr:col>
      <xdr:colOff>209550</xdr:colOff>
      <xdr:row>14</xdr:row>
      <xdr:rowOff>180975</xdr:rowOff>
    </xdr:to>
    <xdr:pic>
      <xdr:nvPicPr>
        <xdr:cNvPr id="33" name="Obrázek 16" descr="Weight.gif">
          <a:extLst>
            <a:ext uri="{FF2B5EF4-FFF2-40B4-BE49-F238E27FC236}">
              <a16:creationId xmlns:a16="http://schemas.microsoft.com/office/drawing/2014/main" id="{00000000-0008-0000-1A00-000021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320800" y="2800350"/>
          <a:ext cx="1841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25400</xdr:colOff>
      <xdr:row>25</xdr:row>
      <xdr:rowOff>19050</xdr:rowOff>
    </xdr:from>
    <xdr:to>
      <xdr:col>3</xdr:col>
      <xdr:colOff>209550</xdr:colOff>
      <xdr:row>25</xdr:row>
      <xdr:rowOff>180975</xdr:rowOff>
    </xdr:to>
    <xdr:pic>
      <xdr:nvPicPr>
        <xdr:cNvPr id="34" name="Obrázek 16" descr="Weight.gif">
          <a:extLst>
            <a:ext uri="{FF2B5EF4-FFF2-40B4-BE49-F238E27FC236}">
              <a16:creationId xmlns:a16="http://schemas.microsoft.com/office/drawing/2014/main" id="{00000000-0008-0000-1A00-000022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320800" y="2800350"/>
          <a:ext cx="1841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9</xdr:col>
      <xdr:colOff>336550</xdr:colOff>
      <xdr:row>4</xdr:row>
      <xdr:rowOff>19050</xdr:rowOff>
    </xdr:from>
    <xdr:ext cx="139700" cy="158750"/>
    <xdr:pic>
      <xdr:nvPicPr>
        <xdr:cNvPr id="28" name="Obrázek 27" descr="Info.gif">
          <a:extLst>
            <a:ext uri="{FF2B5EF4-FFF2-40B4-BE49-F238E27FC236}">
              <a16:creationId xmlns:a16="http://schemas.microsoft.com/office/drawing/2014/main" id="{00000000-0008-0000-1A00-00001C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251450" y="571500"/>
          <a:ext cx="1397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8.xml><?xml version="1.0" encoding="utf-8"?>
<xdr:wsDr xmlns:xdr="http://schemas.openxmlformats.org/drawingml/2006/spreadsheetDrawing" xmlns:a="http://schemas.openxmlformats.org/drawingml/2006/main">
  <xdr:twoCellAnchor editAs="oneCell">
    <xdr:from>
      <xdr:col>1</xdr:col>
      <xdr:colOff>120650</xdr:colOff>
      <xdr:row>33</xdr:row>
      <xdr:rowOff>31750</xdr:rowOff>
    </xdr:from>
    <xdr:to>
      <xdr:col>1</xdr:col>
      <xdr:colOff>361950</xdr:colOff>
      <xdr:row>34</xdr:row>
      <xdr:rowOff>95250</xdr:rowOff>
    </xdr:to>
    <xdr:pic>
      <xdr:nvPicPr>
        <xdr:cNvPr id="13" name="Obrázek 23" descr="Notice.gif">
          <a:extLst>
            <a:ext uri="{FF2B5EF4-FFF2-40B4-BE49-F238E27FC236}">
              <a16:creationId xmlns:a16="http://schemas.microsoft.com/office/drawing/2014/main" id="{00000000-0008-0000-1B00-00000D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 y="5334000"/>
          <a:ext cx="2413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190500</xdr:colOff>
      <xdr:row>35</xdr:row>
      <xdr:rowOff>146050</xdr:rowOff>
    </xdr:from>
    <xdr:to>
      <xdr:col>1</xdr:col>
      <xdr:colOff>330200</xdr:colOff>
      <xdr:row>36</xdr:row>
      <xdr:rowOff>101600</xdr:rowOff>
    </xdr:to>
    <xdr:pic>
      <xdr:nvPicPr>
        <xdr:cNvPr id="15" name="Obrázek 25" descr="Info.gif">
          <a:extLst>
            <a:ext uri="{FF2B5EF4-FFF2-40B4-BE49-F238E27FC236}">
              <a16:creationId xmlns:a16="http://schemas.microsoft.com/office/drawing/2014/main" id="{00000000-0008-0000-1B00-00000F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9400" y="5829300"/>
          <a:ext cx="14605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25400</xdr:colOff>
      <xdr:row>99</xdr:row>
      <xdr:rowOff>12700</xdr:rowOff>
    </xdr:from>
    <xdr:to>
      <xdr:col>1</xdr:col>
      <xdr:colOff>171450</xdr:colOff>
      <xdr:row>99</xdr:row>
      <xdr:rowOff>177800</xdr:rowOff>
    </xdr:to>
    <xdr:pic>
      <xdr:nvPicPr>
        <xdr:cNvPr id="16" name="Obrázek 26" descr="Help.gif">
          <a:extLst>
            <a:ext uri="{FF2B5EF4-FFF2-40B4-BE49-F238E27FC236}">
              <a16:creationId xmlns:a16="http://schemas.microsoft.com/office/drawing/2014/main" id="{00000000-0008-0000-1B00-000010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4300" y="60833000"/>
          <a:ext cx="1460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3</xdr:col>
          <xdr:colOff>9525</xdr:colOff>
          <xdr:row>6</xdr:row>
          <xdr:rowOff>9525</xdr:rowOff>
        </xdr:from>
        <xdr:to>
          <xdr:col>5</xdr:col>
          <xdr:colOff>571500</xdr:colOff>
          <xdr:row>7</xdr:row>
          <xdr:rowOff>0</xdr:rowOff>
        </xdr:to>
        <xdr:sp macro="" textlink="">
          <xdr:nvSpPr>
            <xdr:cNvPr id="90113" name="Drop Down 1" hidden="1">
              <a:extLst>
                <a:ext uri="{63B3BB69-23CF-44E3-9099-C40C66FF867C}">
                  <a14:compatExt spid="_x0000_s90113"/>
                </a:ext>
                <a:ext uri="{FF2B5EF4-FFF2-40B4-BE49-F238E27FC236}">
                  <a16:creationId xmlns:a16="http://schemas.microsoft.com/office/drawing/2014/main" id="{00000000-0008-0000-1B00-0000016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371475</xdr:colOff>
          <xdr:row>14</xdr:row>
          <xdr:rowOff>180975</xdr:rowOff>
        </xdr:from>
        <xdr:to>
          <xdr:col>2</xdr:col>
          <xdr:colOff>552450</xdr:colOff>
          <xdr:row>15</xdr:row>
          <xdr:rowOff>200025</xdr:rowOff>
        </xdr:to>
        <xdr:sp macro="" textlink="">
          <xdr:nvSpPr>
            <xdr:cNvPr id="90115" name="Check Box 3" hidden="1">
              <a:extLst>
                <a:ext uri="{63B3BB69-23CF-44E3-9099-C40C66FF867C}">
                  <a14:compatExt spid="_x0000_s90115"/>
                </a:ext>
                <a:ext uri="{FF2B5EF4-FFF2-40B4-BE49-F238E27FC236}">
                  <a16:creationId xmlns:a16="http://schemas.microsoft.com/office/drawing/2014/main" id="{00000000-0008-0000-1B00-000003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371475</xdr:colOff>
          <xdr:row>25</xdr:row>
          <xdr:rowOff>171450</xdr:rowOff>
        </xdr:from>
        <xdr:to>
          <xdr:col>2</xdr:col>
          <xdr:colOff>542925</xdr:colOff>
          <xdr:row>26</xdr:row>
          <xdr:rowOff>190500</xdr:rowOff>
        </xdr:to>
        <xdr:sp macro="" textlink="">
          <xdr:nvSpPr>
            <xdr:cNvPr id="90116" name="Check Box 4" hidden="1">
              <a:extLst>
                <a:ext uri="{63B3BB69-23CF-44E3-9099-C40C66FF867C}">
                  <a14:compatExt spid="_x0000_s90116"/>
                </a:ext>
                <a:ext uri="{FF2B5EF4-FFF2-40B4-BE49-F238E27FC236}">
                  <a16:creationId xmlns:a16="http://schemas.microsoft.com/office/drawing/2014/main" id="{00000000-0008-0000-1B00-000004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0</xdr:rowOff>
        </xdr:from>
        <xdr:to>
          <xdr:col>2</xdr:col>
          <xdr:colOff>571500</xdr:colOff>
          <xdr:row>10</xdr:row>
          <xdr:rowOff>0</xdr:rowOff>
        </xdr:to>
        <xdr:sp macro="" textlink="">
          <xdr:nvSpPr>
            <xdr:cNvPr id="90117" name="Drop Down 5" hidden="1">
              <a:extLst>
                <a:ext uri="{63B3BB69-23CF-44E3-9099-C40C66FF867C}">
                  <a14:compatExt spid="_x0000_s90117"/>
                </a:ext>
                <a:ext uri="{FF2B5EF4-FFF2-40B4-BE49-F238E27FC236}">
                  <a16:creationId xmlns:a16="http://schemas.microsoft.com/office/drawing/2014/main" id="{00000000-0008-0000-1B00-0000056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571500</xdr:colOff>
          <xdr:row>21</xdr:row>
          <xdr:rowOff>0</xdr:rowOff>
        </xdr:to>
        <xdr:sp macro="" textlink="">
          <xdr:nvSpPr>
            <xdr:cNvPr id="90118" name="Drop Down 6" hidden="1">
              <a:extLst>
                <a:ext uri="{63B3BB69-23CF-44E3-9099-C40C66FF867C}">
                  <a14:compatExt spid="_x0000_s90118"/>
                </a:ext>
                <a:ext uri="{FF2B5EF4-FFF2-40B4-BE49-F238E27FC236}">
                  <a16:creationId xmlns:a16="http://schemas.microsoft.com/office/drawing/2014/main" id="{00000000-0008-0000-1B00-0000066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11</xdr:col>
      <xdr:colOff>95250</xdr:colOff>
      <xdr:row>6</xdr:row>
      <xdr:rowOff>0</xdr:rowOff>
    </xdr:from>
    <xdr:to>
      <xdr:col>12</xdr:col>
      <xdr:colOff>0</xdr:colOff>
      <xdr:row>8</xdr:row>
      <xdr:rowOff>57150</xdr:rowOff>
    </xdr:to>
    <xdr:pic>
      <xdr:nvPicPr>
        <xdr:cNvPr id="24" name="Obrázek 4">
          <a:extLst>
            <a:ext uri="{FF2B5EF4-FFF2-40B4-BE49-F238E27FC236}">
              <a16:creationId xmlns:a16="http://schemas.microsoft.com/office/drawing/2014/main" id="{00000000-0008-0000-1B00-00001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216650" y="958850"/>
          <a:ext cx="1111250" cy="57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9</xdr:col>
      <xdr:colOff>336550</xdr:colOff>
      <xdr:row>4</xdr:row>
      <xdr:rowOff>19050</xdr:rowOff>
    </xdr:from>
    <xdr:ext cx="139700" cy="158750"/>
    <xdr:pic>
      <xdr:nvPicPr>
        <xdr:cNvPr id="25" name="Obrázek 28" descr="Info.gif">
          <a:extLst>
            <a:ext uri="{FF2B5EF4-FFF2-40B4-BE49-F238E27FC236}">
              <a16:creationId xmlns:a16="http://schemas.microsoft.com/office/drawing/2014/main" id="{00000000-0008-0000-1B00-000019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44950" y="14420850"/>
          <a:ext cx="1397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mc:AlternateContent xmlns:mc="http://schemas.openxmlformats.org/markup-compatibility/2006">
    <mc:Choice xmlns:a14="http://schemas.microsoft.com/office/drawing/2010/main" Requires="a14">
      <xdr:twoCellAnchor editAs="oneCell">
        <xdr:from>
          <xdr:col>5</xdr:col>
          <xdr:colOff>533400</xdr:colOff>
          <xdr:row>3</xdr:row>
          <xdr:rowOff>0</xdr:rowOff>
        </xdr:from>
        <xdr:to>
          <xdr:col>8</xdr:col>
          <xdr:colOff>571500</xdr:colOff>
          <xdr:row>3</xdr:row>
          <xdr:rowOff>200025</xdr:rowOff>
        </xdr:to>
        <xdr:sp macro="" textlink="">
          <xdr:nvSpPr>
            <xdr:cNvPr id="90119" name="Drop Down 7" hidden="1">
              <a:extLst>
                <a:ext uri="{63B3BB69-23CF-44E3-9099-C40C66FF867C}">
                  <a14:compatExt spid="_x0000_s90119"/>
                </a:ext>
                <a:ext uri="{FF2B5EF4-FFF2-40B4-BE49-F238E27FC236}">
                  <a16:creationId xmlns:a16="http://schemas.microsoft.com/office/drawing/2014/main" id="{00000000-0008-0000-1B00-0000076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3</xdr:col>
      <xdr:colOff>25400</xdr:colOff>
      <xdr:row>14</xdr:row>
      <xdr:rowOff>19050</xdr:rowOff>
    </xdr:from>
    <xdr:to>
      <xdr:col>3</xdr:col>
      <xdr:colOff>209550</xdr:colOff>
      <xdr:row>14</xdr:row>
      <xdr:rowOff>177800</xdr:rowOff>
    </xdr:to>
    <xdr:pic>
      <xdr:nvPicPr>
        <xdr:cNvPr id="28" name="Obrázek 16" descr="Weight.gif">
          <a:extLst>
            <a:ext uri="{FF2B5EF4-FFF2-40B4-BE49-F238E27FC236}">
              <a16:creationId xmlns:a16="http://schemas.microsoft.com/office/drawing/2014/main" id="{00000000-0008-0000-1B00-00001C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320800" y="2800350"/>
          <a:ext cx="1841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25400</xdr:colOff>
      <xdr:row>25</xdr:row>
      <xdr:rowOff>19050</xdr:rowOff>
    </xdr:from>
    <xdr:to>
      <xdr:col>3</xdr:col>
      <xdr:colOff>209550</xdr:colOff>
      <xdr:row>25</xdr:row>
      <xdr:rowOff>177800</xdr:rowOff>
    </xdr:to>
    <xdr:pic>
      <xdr:nvPicPr>
        <xdr:cNvPr id="30" name="Obrázek 16" descr="Weight.gif">
          <a:extLst>
            <a:ext uri="{FF2B5EF4-FFF2-40B4-BE49-F238E27FC236}">
              <a16:creationId xmlns:a16="http://schemas.microsoft.com/office/drawing/2014/main" id="{00000000-0008-0000-1B00-00001E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320800" y="2800350"/>
          <a:ext cx="1841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11</xdr:col>
      <xdr:colOff>152400</xdr:colOff>
      <xdr:row>6</xdr:row>
      <xdr:rowOff>0</xdr:rowOff>
    </xdr:from>
    <xdr:to>
      <xdr:col>12</xdr:col>
      <xdr:colOff>0</xdr:colOff>
      <xdr:row>8</xdr:row>
      <xdr:rowOff>85725</xdr:rowOff>
    </xdr:to>
    <xdr:pic>
      <xdr:nvPicPr>
        <xdr:cNvPr id="4" name="Obrázek 6" descr="S_front_HK_w.gif">
          <a:extLst>
            <a:ext uri="{FF2B5EF4-FFF2-40B4-BE49-F238E27FC236}">
              <a16:creationId xmlns:a16="http://schemas.microsoft.com/office/drawing/2014/main" id="{00000000-0008-0000-1C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73800" y="958850"/>
          <a:ext cx="10541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127000</xdr:colOff>
      <xdr:row>30</xdr:row>
      <xdr:rowOff>76200</xdr:rowOff>
    </xdr:from>
    <xdr:to>
      <xdr:col>1</xdr:col>
      <xdr:colOff>371475</xdr:colOff>
      <xdr:row>31</xdr:row>
      <xdr:rowOff>142875</xdr:rowOff>
    </xdr:to>
    <xdr:pic>
      <xdr:nvPicPr>
        <xdr:cNvPr id="15" name="Obrázek 17" descr="Notice.gif">
          <a:extLst>
            <a:ext uri="{FF2B5EF4-FFF2-40B4-BE49-F238E27FC236}">
              <a16:creationId xmlns:a16="http://schemas.microsoft.com/office/drawing/2014/main" id="{00000000-0008-0000-1C00-00000F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15900" y="4457700"/>
          <a:ext cx="2413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196850</xdr:colOff>
      <xdr:row>32</xdr:row>
      <xdr:rowOff>152400</xdr:rowOff>
    </xdr:from>
    <xdr:to>
      <xdr:col>1</xdr:col>
      <xdr:colOff>342900</xdr:colOff>
      <xdr:row>33</xdr:row>
      <xdr:rowOff>104775</xdr:rowOff>
    </xdr:to>
    <xdr:pic>
      <xdr:nvPicPr>
        <xdr:cNvPr id="16" name="Obrázek 18" descr="Info.gif">
          <a:extLst>
            <a:ext uri="{FF2B5EF4-FFF2-40B4-BE49-F238E27FC236}">
              <a16:creationId xmlns:a16="http://schemas.microsoft.com/office/drawing/2014/main" id="{00000000-0008-0000-1C00-000010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5750" y="4876800"/>
          <a:ext cx="146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44450</xdr:colOff>
      <xdr:row>99</xdr:row>
      <xdr:rowOff>12700</xdr:rowOff>
    </xdr:from>
    <xdr:to>
      <xdr:col>1</xdr:col>
      <xdr:colOff>190500</xdr:colOff>
      <xdr:row>99</xdr:row>
      <xdr:rowOff>180975</xdr:rowOff>
    </xdr:to>
    <xdr:pic>
      <xdr:nvPicPr>
        <xdr:cNvPr id="17" name="Obrázek 19" descr="Help.gif">
          <a:extLst>
            <a:ext uri="{FF2B5EF4-FFF2-40B4-BE49-F238E27FC236}">
              <a16:creationId xmlns:a16="http://schemas.microsoft.com/office/drawing/2014/main" id="{00000000-0008-0000-1C00-000011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3350" y="57981850"/>
          <a:ext cx="1460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3</xdr:col>
          <xdr:colOff>19050</xdr:colOff>
          <xdr:row>6</xdr:row>
          <xdr:rowOff>9525</xdr:rowOff>
        </xdr:from>
        <xdr:to>
          <xdr:col>6</xdr:col>
          <xdr:colOff>0</xdr:colOff>
          <xdr:row>7</xdr:row>
          <xdr:rowOff>0</xdr:rowOff>
        </xdr:to>
        <xdr:sp macro="" textlink="">
          <xdr:nvSpPr>
            <xdr:cNvPr id="172033" name="Drop Down 1" hidden="1">
              <a:extLst>
                <a:ext uri="{63B3BB69-23CF-44E3-9099-C40C66FF867C}">
                  <a14:compatExt spid="_x0000_s172033"/>
                </a:ext>
                <a:ext uri="{FF2B5EF4-FFF2-40B4-BE49-F238E27FC236}">
                  <a16:creationId xmlns:a16="http://schemas.microsoft.com/office/drawing/2014/main" id="{00000000-0008-0000-1C00-000001A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14</xdr:row>
          <xdr:rowOff>190500</xdr:rowOff>
        </xdr:from>
        <xdr:to>
          <xdr:col>3</xdr:col>
          <xdr:colOff>76200</xdr:colOff>
          <xdr:row>16</xdr:row>
          <xdr:rowOff>9525</xdr:rowOff>
        </xdr:to>
        <xdr:sp macro="" textlink="">
          <xdr:nvSpPr>
            <xdr:cNvPr id="172035" name="Check Box 3" hidden="1">
              <a:extLst>
                <a:ext uri="{63B3BB69-23CF-44E3-9099-C40C66FF867C}">
                  <a14:compatExt spid="_x0000_s172035"/>
                </a:ext>
                <a:ext uri="{FF2B5EF4-FFF2-40B4-BE49-F238E27FC236}">
                  <a16:creationId xmlns:a16="http://schemas.microsoft.com/office/drawing/2014/main" id="{00000000-0008-0000-1C00-000003A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25</xdr:row>
          <xdr:rowOff>180975</xdr:rowOff>
        </xdr:from>
        <xdr:to>
          <xdr:col>3</xdr:col>
          <xdr:colOff>76200</xdr:colOff>
          <xdr:row>27</xdr:row>
          <xdr:rowOff>0</xdr:rowOff>
        </xdr:to>
        <xdr:sp macro="" textlink="">
          <xdr:nvSpPr>
            <xdr:cNvPr id="172036" name="Check Box 4" hidden="1">
              <a:extLst>
                <a:ext uri="{63B3BB69-23CF-44E3-9099-C40C66FF867C}">
                  <a14:compatExt spid="_x0000_s172036"/>
                </a:ext>
                <a:ext uri="{FF2B5EF4-FFF2-40B4-BE49-F238E27FC236}">
                  <a16:creationId xmlns:a16="http://schemas.microsoft.com/office/drawing/2014/main" id="{00000000-0008-0000-1C00-000004A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9525</xdr:rowOff>
        </xdr:from>
        <xdr:to>
          <xdr:col>2</xdr:col>
          <xdr:colOff>571500</xdr:colOff>
          <xdr:row>10</xdr:row>
          <xdr:rowOff>9525</xdr:rowOff>
        </xdr:to>
        <xdr:sp macro="" textlink="">
          <xdr:nvSpPr>
            <xdr:cNvPr id="172037" name="Drop Down 5" hidden="1">
              <a:extLst>
                <a:ext uri="{63B3BB69-23CF-44E3-9099-C40C66FF867C}">
                  <a14:compatExt spid="_x0000_s172037"/>
                </a:ext>
                <a:ext uri="{FF2B5EF4-FFF2-40B4-BE49-F238E27FC236}">
                  <a16:creationId xmlns:a16="http://schemas.microsoft.com/office/drawing/2014/main" id="{00000000-0008-0000-1C00-000005A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9525</xdr:rowOff>
        </xdr:from>
        <xdr:to>
          <xdr:col>2</xdr:col>
          <xdr:colOff>571500</xdr:colOff>
          <xdr:row>21</xdr:row>
          <xdr:rowOff>9525</xdr:rowOff>
        </xdr:to>
        <xdr:sp macro="" textlink="">
          <xdr:nvSpPr>
            <xdr:cNvPr id="172038" name="Drop Down 6" hidden="1">
              <a:extLst>
                <a:ext uri="{63B3BB69-23CF-44E3-9099-C40C66FF867C}">
                  <a14:compatExt spid="_x0000_s172038"/>
                </a:ext>
                <a:ext uri="{FF2B5EF4-FFF2-40B4-BE49-F238E27FC236}">
                  <a16:creationId xmlns:a16="http://schemas.microsoft.com/office/drawing/2014/main" id="{00000000-0008-0000-1C00-000006A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3</xdr:col>
      <xdr:colOff>25400</xdr:colOff>
      <xdr:row>14</xdr:row>
      <xdr:rowOff>19050</xdr:rowOff>
    </xdr:from>
    <xdr:to>
      <xdr:col>3</xdr:col>
      <xdr:colOff>209550</xdr:colOff>
      <xdr:row>14</xdr:row>
      <xdr:rowOff>180975</xdr:rowOff>
    </xdr:to>
    <xdr:pic>
      <xdr:nvPicPr>
        <xdr:cNvPr id="26" name="Obrázek 16" descr="Weight.gif">
          <a:extLst>
            <a:ext uri="{FF2B5EF4-FFF2-40B4-BE49-F238E27FC236}">
              <a16:creationId xmlns:a16="http://schemas.microsoft.com/office/drawing/2014/main" id="{00000000-0008-0000-1C00-00001A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320800" y="2800350"/>
          <a:ext cx="1841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25400</xdr:colOff>
      <xdr:row>25</xdr:row>
      <xdr:rowOff>19050</xdr:rowOff>
    </xdr:from>
    <xdr:to>
      <xdr:col>3</xdr:col>
      <xdr:colOff>209550</xdr:colOff>
      <xdr:row>25</xdr:row>
      <xdr:rowOff>180975</xdr:rowOff>
    </xdr:to>
    <xdr:pic>
      <xdr:nvPicPr>
        <xdr:cNvPr id="28" name="Obrázek 16" descr="Weight.gif">
          <a:extLst>
            <a:ext uri="{FF2B5EF4-FFF2-40B4-BE49-F238E27FC236}">
              <a16:creationId xmlns:a16="http://schemas.microsoft.com/office/drawing/2014/main" id="{00000000-0008-0000-1C00-00001C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320800" y="2800350"/>
          <a:ext cx="1841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9</xdr:col>
      <xdr:colOff>336550</xdr:colOff>
      <xdr:row>4</xdr:row>
      <xdr:rowOff>19050</xdr:rowOff>
    </xdr:from>
    <xdr:ext cx="139700" cy="158750"/>
    <xdr:pic>
      <xdr:nvPicPr>
        <xdr:cNvPr id="27" name="Obrázek 28" descr="Info.gif">
          <a:extLst>
            <a:ext uri="{FF2B5EF4-FFF2-40B4-BE49-F238E27FC236}">
              <a16:creationId xmlns:a16="http://schemas.microsoft.com/office/drawing/2014/main" id="{00000000-0008-0000-1C00-00001B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44950" y="12319000"/>
          <a:ext cx="1397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mc:AlternateContent xmlns:mc="http://schemas.openxmlformats.org/markup-compatibility/2006">
    <mc:Choice xmlns:a14="http://schemas.microsoft.com/office/drawing/2010/main" Requires="a14">
      <xdr:twoCellAnchor editAs="oneCell">
        <xdr:from>
          <xdr:col>6</xdr:col>
          <xdr:colOff>9525</xdr:colOff>
          <xdr:row>3</xdr:row>
          <xdr:rowOff>0</xdr:rowOff>
        </xdr:from>
        <xdr:to>
          <xdr:col>9</xdr:col>
          <xdr:colOff>0</xdr:colOff>
          <xdr:row>4</xdr:row>
          <xdr:rowOff>0</xdr:rowOff>
        </xdr:to>
        <xdr:sp macro="" textlink="">
          <xdr:nvSpPr>
            <xdr:cNvPr id="172041" name="Drop Down 9" hidden="1">
              <a:extLst>
                <a:ext uri="{63B3BB69-23CF-44E3-9099-C40C66FF867C}">
                  <a14:compatExt spid="_x0000_s172041"/>
                </a:ext>
                <a:ext uri="{FF2B5EF4-FFF2-40B4-BE49-F238E27FC236}">
                  <a16:creationId xmlns:a16="http://schemas.microsoft.com/office/drawing/2014/main" id="{00000000-0008-0000-1C00-000009A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xdr:col>
      <xdr:colOff>0</xdr:colOff>
      <xdr:row>14</xdr:row>
      <xdr:rowOff>6350</xdr:rowOff>
    </xdr:from>
    <xdr:to>
      <xdr:col>3</xdr:col>
      <xdr:colOff>0</xdr:colOff>
      <xdr:row>19</xdr:row>
      <xdr:rowOff>165100</xdr:rowOff>
    </xdr:to>
    <xdr:pic>
      <xdr:nvPicPr>
        <xdr:cNvPr id="2" name="Obrázek 10" descr="P_front_HF_wa_wa.gif">
          <a:hlinkClick xmlns:r="http://schemas.openxmlformats.org/officeDocument/2006/relationships" r:id="rId1" tooltip=" "/>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6850" y="2273300"/>
          <a:ext cx="1447800" cy="1111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6350</xdr:colOff>
      <xdr:row>23</xdr:row>
      <xdr:rowOff>0</xdr:rowOff>
    </xdr:from>
    <xdr:to>
      <xdr:col>3</xdr:col>
      <xdr:colOff>6350</xdr:colOff>
      <xdr:row>28</xdr:row>
      <xdr:rowOff>146050</xdr:rowOff>
    </xdr:to>
    <xdr:pic>
      <xdr:nvPicPr>
        <xdr:cNvPr id="3" name="Obrázek 11" descr="P_front_HF_na_na.gif">
          <a:hlinkClick xmlns:r="http://schemas.openxmlformats.org/officeDocument/2006/relationships" r:id="rId3" tooltip=" "/>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03200" y="4140200"/>
          <a:ext cx="1447800" cy="1098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6350</xdr:colOff>
      <xdr:row>23</xdr:row>
      <xdr:rowOff>0</xdr:rowOff>
    </xdr:from>
    <xdr:to>
      <xdr:col>9</xdr:col>
      <xdr:colOff>0</xdr:colOff>
      <xdr:row>28</xdr:row>
      <xdr:rowOff>146050</xdr:rowOff>
    </xdr:to>
    <xdr:pic>
      <xdr:nvPicPr>
        <xdr:cNvPr id="4" name="Obrázek 12" descr="P_front_HF_na_w.gif">
          <a:hlinkClick xmlns:r="http://schemas.openxmlformats.org/officeDocument/2006/relationships" r:id="rId5" tooltip=" "/>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3644900" y="4000500"/>
          <a:ext cx="1447800" cy="1098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6350</xdr:colOff>
      <xdr:row>5</xdr:row>
      <xdr:rowOff>6350</xdr:rowOff>
    </xdr:from>
    <xdr:to>
      <xdr:col>3</xdr:col>
      <xdr:colOff>6350</xdr:colOff>
      <xdr:row>10</xdr:row>
      <xdr:rowOff>165100</xdr:rowOff>
    </xdr:to>
    <xdr:pic>
      <xdr:nvPicPr>
        <xdr:cNvPr id="5" name="Obrázek 13" descr="P_front_HF_w.gif">
          <a:hlinkClick xmlns:r="http://schemas.openxmlformats.org/officeDocument/2006/relationships" r:id="rId7" tooltip=" "/>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03200" y="654050"/>
          <a:ext cx="1447800"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6350</xdr:colOff>
      <xdr:row>23</xdr:row>
      <xdr:rowOff>0</xdr:rowOff>
    </xdr:from>
    <xdr:to>
      <xdr:col>6</xdr:col>
      <xdr:colOff>6350</xdr:colOff>
      <xdr:row>28</xdr:row>
      <xdr:rowOff>146050</xdr:rowOff>
    </xdr:to>
    <xdr:pic>
      <xdr:nvPicPr>
        <xdr:cNvPr id="6" name="Obrázek 14" descr="P_front_HF_w_na.gif">
          <a:hlinkClick xmlns:r="http://schemas.openxmlformats.org/officeDocument/2006/relationships" r:id="rId9" tooltip=" "/>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924050" y="4140200"/>
          <a:ext cx="1447800" cy="1098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6350</xdr:colOff>
      <xdr:row>14</xdr:row>
      <xdr:rowOff>0</xdr:rowOff>
    </xdr:from>
    <xdr:to>
      <xdr:col>6</xdr:col>
      <xdr:colOff>6350</xdr:colOff>
      <xdr:row>19</xdr:row>
      <xdr:rowOff>152400</xdr:rowOff>
    </xdr:to>
    <xdr:pic>
      <xdr:nvPicPr>
        <xdr:cNvPr id="7" name="Obrázek 15" descr="P_front_HF_w_wa.gif">
          <a:hlinkClick xmlns:r="http://schemas.openxmlformats.org/officeDocument/2006/relationships" r:id="rId11" tooltip=" "/>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924050" y="2266950"/>
          <a:ext cx="1447800" cy="1104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6350</xdr:colOff>
      <xdr:row>14</xdr:row>
      <xdr:rowOff>0</xdr:rowOff>
    </xdr:from>
    <xdr:to>
      <xdr:col>9</xdr:col>
      <xdr:colOff>0</xdr:colOff>
      <xdr:row>19</xdr:row>
      <xdr:rowOff>152400</xdr:rowOff>
    </xdr:to>
    <xdr:pic>
      <xdr:nvPicPr>
        <xdr:cNvPr id="8" name="Obrázek 16" descr="P_front_HF_wa_w.gif">
          <a:hlinkClick xmlns:r="http://schemas.openxmlformats.org/officeDocument/2006/relationships" r:id="rId13" tooltip=" "/>
          <a:extLst>
            <a:ext uri="{FF2B5EF4-FFF2-40B4-BE49-F238E27FC236}">
              <a16:creationId xmlns:a16="http://schemas.microsoft.com/office/drawing/2014/main" id="{00000000-0008-0000-0200-000008000000}"/>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3644900" y="2266950"/>
          <a:ext cx="1447800" cy="1104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69</xdr:row>
      <xdr:rowOff>0</xdr:rowOff>
    </xdr:from>
    <xdr:to>
      <xdr:col>2</xdr:col>
      <xdr:colOff>146050</xdr:colOff>
      <xdr:row>69</xdr:row>
      <xdr:rowOff>165100</xdr:rowOff>
    </xdr:to>
    <xdr:pic>
      <xdr:nvPicPr>
        <xdr:cNvPr id="11" name="Obrázek 11" descr="Help.gif">
          <a:extLst>
            <a:ext uri="{FF2B5EF4-FFF2-40B4-BE49-F238E27FC236}">
              <a16:creationId xmlns:a16="http://schemas.microsoft.com/office/drawing/2014/main" id="{00000000-0008-0000-0200-00000B000000}"/>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920750" y="58883550"/>
          <a:ext cx="1460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4</xdr:col>
          <xdr:colOff>0</xdr:colOff>
          <xdr:row>33</xdr:row>
          <xdr:rowOff>0</xdr:rowOff>
        </xdr:from>
        <xdr:to>
          <xdr:col>5</xdr:col>
          <xdr:colOff>695325</xdr:colOff>
          <xdr:row>34</xdr:row>
          <xdr:rowOff>0</xdr:rowOff>
        </xdr:to>
        <xdr:sp macro="" textlink="">
          <xdr:nvSpPr>
            <xdr:cNvPr id="149505" name="Drop Down 1" hidden="1">
              <a:extLst>
                <a:ext uri="{63B3BB69-23CF-44E3-9099-C40C66FF867C}">
                  <a14:compatExt spid="_x0000_s149505"/>
                </a:ext>
                <a:ext uri="{FF2B5EF4-FFF2-40B4-BE49-F238E27FC236}">
                  <a16:creationId xmlns:a16="http://schemas.microsoft.com/office/drawing/2014/main" id="{00000000-0008-0000-0200-0000014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34</xdr:row>
          <xdr:rowOff>0</xdr:rowOff>
        </xdr:from>
        <xdr:to>
          <xdr:col>5</xdr:col>
          <xdr:colOff>695325</xdr:colOff>
          <xdr:row>35</xdr:row>
          <xdr:rowOff>0</xdr:rowOff>
        </xdr:to>
        <xdr:sp macro="" textlink="">
          <xdr:nvSpPr>
            <xdr:cNvPr id="149506" name="Drop Down 2" hidden="1">
              <a:extLst>
                <a:ext uri="{63B3BB69-23CF-44E3-9099-C40C66FF867C}">
                  <a14:compatExt spid="_x0000_s149506"/>
                </a:ext>
                <a:ext uri="{FF2B5EF4-FFF2-40B4-BE49-F238E27FC236}">
                  <a16:creationId xmlns:a16="http://schemas.microsoft.com/office/drawing/2014/main" id="{00000000-0008-0000-0200-0000024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35</xdr:row>
          <xdr:rowOff>0</xdr:rowOff>
        </xdr:from>
        <xdr:to>
          <xdr:col>5</xdr:col>
          <xdr:colOff>695325</xdr:colOff>
          <xdr:row>36</xdr:row>
          <xdr:rowOff>9525</xdr:rowOff>
        </xdr:to>
        <xdr:sp macro="" textlink="">
          <xdr:nvSpPr>
            <xdr:cNvPr id="149507" name="Drop Down 3" hidden="1">
              <a:extLst>
                <a:ext uri="{63B3BB69-23CF-44E3-9099-C40C66FF867C}">
                  <a14:compatExt spid="_x0000_s149507"/>
                </a:ext>
                <a:ext uri="{FF2B5EF4-FFF2-40B4-BE49-F238E27FC236}">
                  <a16:creationId xmlns:a16="http://schemas.microsoft.com/office/drawing/2014/main" id="{00000000-0008-0000-0200-0000034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6</xdr:col>
      <xdr:colOff>171450</xdr:colOff>
      <xdr:row>4</xdr:row>
      <xdr:rowOff>88900</xdr:rowOff>
    </xdr:from>
    <xdr:to>
      <xdr:col>8</xdr:col>
      <xdr:colOff>692864</xdr:colOff>
      <xdr:row>12</xdr:row>
      <xdr:rowOff>89614</xdr:rowOff>
    </xdr:to>
    <xdr:pic>
      <xdr:nvPicPr>
        <xdr:cNvPr id="15" name="Obrázek 14">
          <a:extLst>
            <a:ext uri="{FF2B5EF4-FFF2-40B4-BE49-F238E27FC236}">
              <a16:creationId xmlns:a16="http://schemas.microsoft.com/office/drawing/2014/main" id="{00000000-0008-0000-0200-00000F000000}"/>
            </a:ext>
          </a:extLst>
        </xdr:cNvPr>
        <xdr:cNvPicPr>
          <a:picLocks noChangeAspect="1"/>
        </xdr:cNvPicPr>
      </xdr:nvPicPr>
      <xdr:blipFill>
        <a:blip xmlns:r="http://schemas.openxmlformats.org/officeDocument/2006/relationships" r:embed="rId16"/>
        <a:stretch>
          <a:fillRect/>
        </a:stretch>
      </xdr:blipFill>
      <xdr:spPr>
        <a:xfrm>
          <a:off x="3536950" y="596900"/>
          <a:ext cx="1537414" cy="1537414"/>
        </a:xfrm>
        <a:prstGeom prst="rect">
          <a:avLst/>
        </a:prstGeom>
        <a:ln w="3175">
          <a:solidFill>
            <a:schemeClr val="tx1"/>
          </a:solidFill>
        </a:ln>
      </xdr:spPr>
    </xdr:pic>
    <xdr:clientData/>
  </xdr:twoCellAnchor>
  <mc:AlternateContent xmlns:mc="http://schemas.openxmlformats.org/markup-compatibility/2006">
    <mc:Choice xmlns:a14="http://schemas.microsoft.com/office/drawing/2010/main" Requires="a14">
      <xdr:twoCellAnchor editAs="oneCell">
        <xdr:from>
          <xdr:col>4</xdr:col>
          <xdr:colOff>0</xdr:colOff>
          <xdr:row>36</xdr:row>
          <xdr:rowOff>0</xdr:rowOff>
        </xdr:from>
        <xdr:to>
          <xdr:col>5</xdr:col>
          <xdr:colOff>695325</xdr:colOff>
          <xdr:row>37</xdr:row>
          <xdr:rowOff>0</xdr:rowOff>
        </xdr:to>
        <xdr:sp macro="" textlink="">
          <xdr:nvSpPr>
            <xdr:cNvPr id="149508" name="Drop Down 4" hidden="1">
              <a:extLst>
                <a:ext uri="{63B3BB69-23CF-44E3-9099-C40C66FF867C}">
                  <a14:compatExt spid="_x0000_s149508"/>
                </a:ext>
                <a:ext uri="{FF2B5EF4-FFF2-40B4-BE49-F238E27FC236}">
                  <a16:creationId xmlns:a16="http://schemas.microsoft.com/office/drawing/2014/main" id="{00000000-0008-0000-0200-0000044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0.xml><?xml version="1.0" encoding="utf-8"?>
<xdr:wsDr xmlns:xdr="http://schemas.openxmlformats.org/drawingml/2006/spreadsheetDrawing" xmlns:a="http://schemas.openxmlformats.org/drawingml/2006/main">
  <xdr:twoCellAnchor editAs="oneCell">
    <xdr:from>
      <xdr:col>11</xdr:col>
      <xdr:colOff>165100</xdr:colOff>
      <xdr:row>5</xdr:row>
      <xdr:rowOff>196850</xdr:rowOff>
    </xdr:from>
    <xdr:to>
      <xdr:col>12</xdr:col>
      <xdr:colOff>0</xdr:colOff>
      <xdr:row>8</xdr:row>
      <xdr:rowOff>0</xdr:rowOff>
    </xdr:to>
    <xdr:pic>
      <xdr:nvPicPr>
        <xdr:cNvPr id="14" name="Obrázek 17" descr="S_front_HK_wa.gif">
          <a:extLst>
            <a:ext uri="{FF2B5EF4-FFF2-40B4-BE49-F238E27FC236}">
              <a16:creationId xmlns:a16="http://schemas.microsoft.com/office/drawing/2014/main" id="{00000000-0008-0000-1D00-00000E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0" y="952500"/>
          <a:ext cx="10477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298450</xdr:colOff>
      <xdr:row>33</xdr:row>
      <xdr:rowOff>0</xdr:rowOff>
    </xdr:from>
    <xdr:to>
      <xdr:col>1</xdr:col>
      <xdr:colOff>447675</xdr:colOff>
      <xdr:row>33</xdr:row>
      <xdr:rowOff>152400</xdr:rowOff>
    </xdr:to>
    <xdr:pic>
      <xdr:nvPicPr>
        <xdr:cNvPr id="15" name="Obrázek 18" descr="Info.gif">
          <a:extLst>
            <a:ext uri="{FF2B5EF4-FFF2-40B4-BE49-F238E27FC236}">
              <a16:creationId xmlns:a16="http://schemas.microsoft.com/office/drawing/2014/main" id="{00000000-0008-0000-1D00-00000F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7350" y="4876800"/>
          <a:ext cx="146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44450</xdr:colOff>
      <xdr:row>99</xdr:row>
      <xdr:rowOff>12700</xdr:rowOff>
    </xdr:from>
    <xdr:to>
      <xdr:col>1</xdr:col>
      <xdr:colOff>190500</xdr:colOff>
      <xdr:row>99</xdr:row>
      <xdr:rowOff>161925</xdr:rowOff>
    </xdr:to>
    <xdr:pic>
      <xdr:nvPicPr>
        <xdr:cNvPr id="16" name="Obrázek 19" descr="Help.gif">
          <a:extLst>
            <a:ext uri="{FF2B5EF4-FFF2-40B4-BE49-F238E27FC236}">
              <a16:creationId xmlns:a16="http://schemas.microsoft.com/office/drawing/2014/main" id="{00000000-0008-0000-1D00-000010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3350" y="58235850"/>
          <a:ext cx="1460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6350</xdr:colOff>
      <xdr:row>4</xdr:row>
      <xdr:rowOff>184150</xdr:rowOff>
    </xdr:from>
    <xdr:to>
      <xdr:col>1</xdr:col>
      <xdr:colOff>247650</xdr:colOff>
      <xdr:row>5</xdr:row>
      <xdr:rowOff>247650</xdr:rowOff>
    </xdr:to>
    <xdr:pic>
      <xdr:nvPicPr>
        <xdr:cNvPr id="17" name="Obrázek 11" descr="Notice.gif">
          <a:extLst>
            <a:ext uri="{FF2B5EF4-FFF2-40B4-BE49-F238E27FC236}">
              <a16:creationId xmlns:a16="http://schemas.microsoft.com/office/drawing/2014/main" id="{00000000-0008-0000-1D00-000011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5250" y="736600"/>
          <a:ext cx="2413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50800</xdr:colOff>
      <xdr:row>5</xdr:row>
      <xdr:rowOff>69850</xdr:rowOff>
    </xdr:from>
    <xdr:to>
      <xdr:col>2</xdr:col>
      <xdr:colOff>504825</xdr:colOff>
      <xdr:row>5</xdr:row>
      <xdr:rowOff>247650</xdr:rowOff>
    </xdr:to>
    <xdr:pic>
      <xdr:nvPicPr>
        <xdr:cNvPr id="18" name="Obrázek 25" descr="Alu_narr.gif">
          <a:extLst>
            <a:ext uri="{FF2B5EF4-FFF2-40B4-BE49-F238E27FC236}">
              <a16:creationId xmlns:a16="http://schemas.microsoft.com/office/drawing/2014/main" id="{00000000-0008-0000-1D00-000012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42950" y="825500"/>
          <a:ext cx="450850" cy="17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95250</xdr:colOff>
      <xdr:row>5</xdr:row>
      <xdr:rowOff>31750</xdr:rowOff>
    </xdr:from>
    <xdr:to>
      <xdr:col>4</xdr:col>
      <xdr:colOff>542925</xdr:colOff>
      <xdr:row>5</xdr:row>
      <xdr:rowOff>238125</xdr:rowOff>
    </xdr:to>
    <xdr:pic>
      <xdr:nvPicPr>
        <xdr:cNvPr id="19" name="Obrázek 26" descr="Alu_wide.gif">
          <a:extLst>
            <a:ext uri="{FF2B5EF4-FFF2-40B4-BE49-F238E27FC236}">
              <a16:creationId xmlns:a16="http://schemas.microsoft.com/office/drawing/2014/main" id="{00000000-0008-0000-1D00-000013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993900" y="787400"/>
          <a:ext cx="4445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63500</xdr:colOff>
      <xdr:row>121</xdr:row>
      <xdr:rowOff>25400</xdr:rowOff>
    </xdr:from>
    <xdr:to>
      <xdr:col>1</xdr:col>
      <xdr:colOff>514350</xdr:colOff>
      <xdr:row>122</xdr:row>
      <xdr:rowOff>9525</xdr:rowOff>
    </xdr:to>
    <xdr:pic>
      <xdr:nvPicPr>
        <xdr:cNvPr id="24" name="Obrázek 21" descr="Alu_narr.gif">
          <a:extLst>
            <a:ext uri="{FF2B5EF4-FFF2-40B4-BE49-F238E27FC236}">
              <a16:creationId xmlns:a16="http://schemas.microsoft.com/office/drawing/2014/main" id="{00000000-0008-0000-1D00-000018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52400" y="23710900"/>
          <a:ext cx="45085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63500</xdr:colOff>
      <xdr:row>123</xdr:row>
      <xdr:rowOff>6350</xdr:rowOff>
    </xdr:from>
    <xdr:to>
      <xdr:col>1</xdr:col>
      <xdr:colOff>504825</xdr:colOff>
      <xdr:row>123</xdr:row>
      <xdr:rowOff>180975</xdr:rowOff>
    </xdr:to>
    <xdr:pic>
      <xdr:nvPicPr>
        <xdr:cNvPr id="25" name="Picture 31">
          <a:extLst>
            <a:ext uri="{FF2B5EF4-FFF2-40B4-BE49-F238E27FC236}">
              <a16:creationId xmlns:a16="http://schemas.microsoft.com/office/drawing/2014/main" id="{00000000-0008-0000-1D00-000019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52400" y="24072850"/>
          <a:ext cx="438150" cy="17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xdr:col>
          <xdr:colOff>590550</xdr:colOff>
          <xdr:row>6</xdr:row>
          <xdr:rowOff>9525</xdr:rowOff>
        </xdr:from>
        <xdr:to>
          <xdr:col>6</xdr:col>
          <xdr:colOff>0</xdr:colOff>
          <xdr:row>7</xdr:row>
          <xdr:rowOff>0</xdr:rowOff>
        </xdr:to>
        <xdr:sp macro="" textlink="">
          <xdr:nvSpPr>
            <xdr:cNvPr id="173057" name="Drop Down 1" hidden="1">
              <a:extLst>
                <a:ext uri="{63B3BB69-23CF-44E3-9099-C40C66FF867C}">
                  <a14:compatExt spid="_x0000_s173057"/>
                </a:ext>
                <a:ext uri="{FF2B5EF4-FFF2-40B4-BE49-F238E27FC236}">
                  <a16:creationId xmlns:a16="http://schemas.microsoft.com/office/drawing/2014/main" id="{00000000-0008-0000-1D00-000001A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0</xdr:rowOff>
        </xdr:from>
        <xdr:to>
          <xdr:col>2</xdr:col>
          <xdr:colOff>571500</xdr:colOff>
          <xdr:row>10</xdr:row>
          <xdr:rowOff>0</xdr:rowOff>
        </xdr:to>
        <xdr:sp macro="" textlink="">
          <xdr:nvSpPr>
            <xdr:cNvPr id="173059" name="Drop Down 3" hidden="1">
              <a:extLst>
                <a:ext uri="{63B3BB69-23CF-44E3-9099-C40C66FF867C}">
                  <a14:compatExt spid="_x0000_s173059"/>
                </a:ext>
                <a:ext uri="{FF2B5EF4-FFF2-40B4-BE49-F238E27FC236}">
                  <a16:creationId xmlns:a16="http://schemas.microsoft.com/office/drawing/2014/main" id="{00000000-0008-0000-1D00-000003A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571500</xdr:colOff>
          <xdr:row>21</xdr:row>
          <xdr:rowOff>0</xdr:rowOff>
        </xdr:to>
        <xdr:sp macro="" textlink="">
          <xdr:nvSpPr>
            <xdr:cNvPr id="173060" name="Drop Down 4" hidden="1">
              <a:extLst>
                <a:ext uri="{63B3BB69-23CF-44E3-9099-C40C66FF867C}">
                  <a14:compatExt spid="_x0000_s173060"/>
                </a:ext>
                <a:ext uri="{FF2B5EF4-FFF2-40B4-BE49-F238E27FC236}">
                  <a16:creationId xmlns:a16="http://schemas.microsoft.com/office/drawing/2014/main" id="{00000000-0008-0000-1D00-000004A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400050</xdr:colOff>
          <xdr:row>5</xdr:row>
          <xdr:rowOff>47625</xdr:rowOff>
        </xdr:from>
        <xdr:to>
          <xdr:col>2</xdr:col>
          <xdr:colOff>95250</xdr:colOff>
          <xdr:row>5</xdr:row>
          <xdr:rowOff>257175</xdr:rowOff>
        </xdr:to>
        <xdr:sp macro="" textlink="">
          <xdr:nvSpPr>
            <xdr:cNvPr id="173061" name="Option Button 5" hidden="1">
              <a:extLst>
                <a:ext uri="{63B3BB69-23CF-44E3-9099-C40C66FF867C}">
                  <a14:compatExt spid="_x0000_s173061"/>
                </a:ext>
                <a:ext uri="{FF2B5EF4-FFF2-40B4-BE49-F238E27FC236}">
                  <a16:creationId xmlns:a16="http://schemas.microsoft.com/office/drawing/2014/main" id="{00000000-0008-0000-1D00-000005A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381000</xdr:colOff>
          <xdr:row>5</xdr:row>
          <xdr:rowOff>28575</xdr:rowOff>
        </xdr:from>
        <xdr:to>
          <xdr:col>4</xdr:col>
          <xdr:colOff>57150</xdr:colOff>
          <xdr:row>5</xdr:row>
          <xdr:rowOff>247650</xdr:rowOff>
        </xdr:to>
        <xdr:sp macro="" textlink="">
          <xdr:nvSpPr>
            <xdr:cNvPr id="173062" name="Option Button 6" hidden="1">
              <a:extLst>
                <a:ext uri="{63B3BB69-23CF-44E3-9099-C40C66FF867C}">
                  <a14:compatExt spid="_x0000_s173062"/>
                </a:ext>
                <a:ext uri="{FF2B5EF4-FFF2-40B4-BE49-F238E27FC236}">
                  <a16:creationId xmlns:a16="http://schemas.microsoft.com/office/drawing/2014/main" id="{00000000-0008-0000-1D00-000006A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3</xdr:col>
      <xdr:colOff>25400</xdr:colOff>
      <xdr:row>14</xdr:row>
      <xdr:rowOff>19050</xdr:rowOff>
    </xdr:from>
    <xdr:to>
      <xdr:col>3</xdr:col>
      <xdr:colOff>209550</xdr:colOff>
      <xdr:row>14</xdr:row>
      <xdr:rowOff>180975</xdr:rowOff>
    </xdr:to>
    <xdr:pic>
      <xdr:nvPicPr>
        <xdr:cNvPr id="32" name="Obrázek 16" descr="Weight.gif">
          <a:extLst>
            <a:ext uri="{FF2B5EF4-FFF2-40B4-BE49-F238E27FC236}">
              <a16:creationId xmlns:a16="http://schemas.microsoft.com/office/drawing/2014/main" id="{00000000-0008-0000-1D00-000020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320800" y="2800350"/>
          <a:ext cx="1841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25400</xdr:colOff>
      <xdr:row>25</xdr:row>
      <xdr:rowOff>19050</xdr:rowOff>
    </xdr:from>
    <xdr:to>
      <xdr:col>3</xdr:col>
      <xdr:colOff>209550</xdr:colOff>
      <xdr:row>25</xdr:row>
      <xdr:rowOff>180975</xdr:rowOff>
    </xdr:to>
    <xdr:pic>
      <xdr:nvPicPr>
        <xdr:cNvPr id="33" name="Obrázek 16" descr="Weight.gif">
          <a:extLst>
            <a:ext uri="{FF2B5EF4-FFF2-40B4-BE49-F238E27FC236}">
              <a16:creationId xmlns:a16="http://schemas.microsoft.com/office/drawing/2014/main" id="{00000000-0008-0000-1D00-000021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320800" y="2800350"/>
          <a:ext cx="1841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6</xdr:col>
          <xdr:colOff>9525</xdr:colOff>
          <xdr:row>3</xdr:row>
          <xdr:rowOff>0</xdr:rowOff>
        </xdr:from>
        <xdr:to>
          <xdr:col>9</xdr:col>
          <xdr:colOff>0</xdr:colOff>
          <xdr:row>4</xdr:row>
          <xdr:rowOff>0</xdr:rowOff>
        </xdr:to>
        <xdr:sp macro="" textlink="">
          <xdr:nvSpPr>
            <xdr:cNvPr id="173063" name="Drop Down 7" hidden="1">
              <a:extLst>
                <a:ext uri="{63B3BB69-23CF-44E3-9099-C40C66FF867C}">
                  <a14:compatExt spid="_x0000_s173063"/>
                </a:ext>
                <a:ext uri="{FF2B5EF4-FFF2-40B4-BE49-F238E27FC236}">
                  <a16:creationId xmlns:a16="http://schemas.microsoft.com/office/drawing/2014/main" id="{00000000-0008-0000-1D00-000007A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oneCellAnchor>
    <xdr:from>
      <xdr:col>9</xdr:col>
      <xdr:colOff>336550</xdr:colOff>
      <xdr:row>4</xdr:row>
      <xdr:rowOff>19050</xdr:rowOff>
    </xdr:from>
    <xdr:ext cx="139700" cy="158750"/>
    <xdr:pic>
      <xdr:nvPicPr>
        <xdr:cNvPr id="27" name="Obrázek 28" descr="Info.gif">
          <a:extLst>
            <a:ext uri="{FF2B5EF4-FFF2-40B4-BE49-F238E27FC236}">
              <a16:creationId xmlns:a16="http://schemas.microsoft.com/office/drawing/2014/main" id="{00000000-0008-0000-1D00-00001B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251450" y="571500"/>
          <a:ext cx="1397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1.xml><?xml version="1.0" encoding="utf-8"?>
<xdr:wsDr xmlns:xdr="http://schemas.openxmlformats.org/drawingml/2006/spreadsheetDrawing" xmlns:a="http://schemas.openxmlformats.org/drawingml/2006/main">
  <xdr:twoCellAnchor editAs="oneCell">
    <xdr:from>
      <xdr:col>11</xdr:col>
      <xdr:colOff>165100</xdr:colOff>
      <xdr:row>6</xdr:row>
      <xdr:rowOff>6350</xdr:rowOff>
    </xdr:from>
    <xdr:to>
      <xdr:col>12</xdr:col>
      <xdr:colOff>0</xdr:colOff>
      <xdr:row>8</xdr:row>
      <xdr:rowOff>114300</xdr:rowOff>
    </xdr:to>
    <xdr:pic>
      <xdr:nvPicPr>
        <xdr:cNvPr id="14" name="Obrázek 17" descr="S_front_HK_na.png">
          <a:extLst>
            <a:ext uri="{FF2B5EF4-FFF2-40B4-BE49-F238E27FC236}">
              <a16:creationId xmlns:a16="http://schemas.microsoft.com/office/drawing/2014/main" id="{00000000-0008-0000-1E00-00000E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0" y="965200"/>
          <a:ext cx="1047750" cy="596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298450</xdr:colOff>
      <xdr:row>33</xdr:row>
      <xdr:rowOff>0</xdr:rowOff>
    </xdr:from>
    <xdr:to>
      <xdr:col>1</xdr:col>
      <xdr:colOff>444500</xdr:colOff>
      <xdr:row>33</xdr:row>
      <xdr:rowOff>152400</xdr:rowOff>
    </xdr:to>
    <xdr:pic>
      <xdr:nvPicPr>
        <xdr:cNvPr id="15" name="Obrázek 18" descr="Info.gif">
          <a:extLst>
            <a:ext uri="{FF2B5EF4-FFF2-40B4-BE49-F238E27FC236}">
              <a16:creationId xmlns:a16="http://schemas.microsoft.com/office/drawing/2014/main" id="{00000000-0008-0000-1E00-00000F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7350" y="4876800"/>
          <a:ext cx="146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44450</xdr:colOff>
      <xdr:row>99</xdr:row>
      <xdr:rowOff>12700</xdr:rowOff>
    </xdr:from>
    <xdr:to>
      <xdr:col>1</xdr:col>
      <xdr:colOff>190500</xdr:colOff>
      <xdr:row>99</xdr:row>
      <xdr:rowOff>158750</xdr:rowOff>
    </xdr:to>
    <xdr:pic>
      <xdr:nvPicPr>
        <xdr:cNvPr id="16" name="Obrázek 19" descr="Help.gif">
          <a:extLst>
            <a:ext uri="{FF2B5EF4-FFF2-40B4-BE49-F238E27FC236}">
              <a16:creationId xmlns:a16="http://schemas.microsoft.com/office/drawing/2014/main" id="{00000000-0008-0000-1E00-000010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3350" y="58388250"/>
          <a:ext cx="14605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88900</xdr:colOff>
      <xdr:row>5</xdr:row>
      <xdr:rowOff>63500</xdr:rowOff>
    </xdr:from>
    <xdr:to>
      <xdr:col>2</xdr:col>
      <xdr:colOff>254000</xdr:colOff>
      <xdr:row>5</xdr:row>
      <xdr:rowOff>247650</xdr:rowOff>
    </xdr:to>
    <xdr:pic>
      <xdr:nvPicPr>
        <xdr:cNvPr id="21" name="Picture 1">
          <a:extLst>
            <a:ext uri="{FF2B5EF4-FFF2-40B4-BE49-F238E27FC236}">
              <a16:creationId xmlns:a16="http://schemas.microsoft.com/office/drawing/2014/main" id="{00000000-0008-0000-1E00-000015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81050" y="819150"/>
          <a:ext cx="171450" cy="18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82550</xdr:colOff>
      <xdr:row>5</xdr:row>
      <xdr:rowOff>63500</xdr:rowOff>
    </xdr:from>
    <xdr:to>
      <xdr:col>4</xdr:col>
      <xdr:colOff>234950</xdr:colOff>
      <xdr:row>5</xdr:row>
      <xdr:rowOff>254000</xdr:rowOff>
    </xdr:to>
    <xdr:pic>
      <xdr:nvPicPr>
        <xdr:cNvPr id="22" name="Picture 2">
          <a:extLst>
            <a:ext uri="{FF2B5EF4-FFF2-40B4-BE49-F238E27FC236}">
              <a16:creationId xmlns:a16="http://schemas.microsoft.com/office/drawing/2014/main" id="{00000000-0008-0000-1E00-000016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981200" y="819150"/>
          <a:ext cx="158750" cy="196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273050</xdr:colOff>
      <xdr:row>121</xdr:row>
      <xdr:rowOff>25400</xdr:rowOff>
    </xdr:from>
    <xdr:to>
      <xdr:col>1</xdr:col>
      <xdr:colOff>444500</xdr:colOff>
      <xdr:row>122</xdr:row>
      <xdr:rowOff>6350</xdr:rowOff>
    </xdr:to>
    <xdr:pic>
      <xdr:nvPicPr>
        <xdr:cNvPr id="24" name="Picture 30">
          <a:extLst>
            <a:ext uri="{FF2B5EF4-FFF2-40B4-BE49-F238E27FC236}">
              <a16:creationId xmlns:a16="http://schemas.microsoft.com/office/drawing/2014/main" id="{00000000-0008-0000-1E00-000018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61950" y="23710900"/>
          <a:ext cx="17145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273050</xdr:colOff>
      <xdr:row>123</xdr:row>
      <xdr:rowOff>19050</xdr:rowOff>
    </xdr:from>
    <xdr:to>
      <xdr:col>1</xdr:col>
      <xdr:colOff>425450</xdr:colOff>
      <xdr:row>124</xdr:row>
      <xdr:rowOff>6350</xdr:rowOff>
    </xdr:to>
    <xdr:pic>
      <xdr:nvPicPr>
        <xdr:cNvPr id="25" name="Picture 31">
          <a:extLst>
            <a:ext uri="{FF2B5EF4-FFF2-40B4-BE49-F238E27FC236}">
              <a16:creationId xmlns:a16="http://schemas.microsoft.com/office/drawing/2014/main" id="{00000000-0008-0000-1E00-000019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1950" y="24085550"/>
          <a:ext cx="158750" cy="17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3</xdr:col>
          <xdr:colOff>19050</xdr:colOff>
          <xdr:row>6</xdr:row>
          <xdr:rowOff>9525</xdr:rowOff>
        </xdr:from>
        <xdr:to>
          <xdr:col>5</xdr:col>
          <xdr:colOff>571500</xdr:colOff>
          <xdr:row>7</xdr:row>
          <xdr:rowOff>0</xdr:rowOff>
        </xdr:to>
        <xdr:sp macro="" textlink="">
          <xdr:nvSpPr>
            <xdr:cNvPr id="174081" name="Drop Down 1" hidden="1">
              <a:extLst>
                <a:ext uri="{63B3BB69-23CF-44E3-9099-C40C66FF867C}">
                  <a14:compatExt spid="_x0000_s174081"/>
                </a:ext>
                <a:ext uri="{FF2B5EF4-FFF2-40B4-BE49-F238E27FC236}">
                  <a16:creationId xmlns:a16="http://schemas.microsoft.com/office/drawing/2014/main" id="{00000000-0008-0000-1E00-000001A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0</xdr:rowOff>
        </xdr:from>
        <xdr:to>
          <xdr:col>2</xdr:col>
          <xdr:colOff>571500</xdr:colOff>
          <xdr:row>10</xdr:row>
          <xdr:rowOff>0</xdr:rowOff>
        </xdr:to>
        <xdr:sp macro="" textlink="">
          <xdr:nvSpPr>
            <xdr:cNvPr id="174083" name="Drop Down 3" hidden="1">
              <a:extLst>
                <a:ext uri="{63B3BB69-23CF-44E3-9099-C40C66FF867C}">
                  <a14:compatExt spid="_x0000_s174083"/>
                </a:ext>
                <a:ext uri="{FF2B5EF4-FFF2-40B4-BE49-F238E27FC236}">
                  <a16:creationId xmlns:a16="http://schemas.microsoft.com/office/drawing/2014/main" id="{00000000-0008-0000-1E00-000003A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20</xdr:row>
          <xdr:rowOff>0</xdr:rowOff>
        </xdr:from>
        <xdr:to>
          <xdr:col>3</xdr:col>
          <xdr:colOff>9525</xdr:colOff>
          <xdr:row>21</xdr:row>
          <xdr:rowOff>0</xdr:rowOff>
        </xdr:to>
        <xdr:sp macro="" textlink="">
          <xdr:nvSpPr>
            <xdr:cNvPr id="174084" name="Drop Down 4" hidden="1">
              <a:extLst>
                <a:ext uri="{63B3BB69-23CF-44E3-9099-C40C66FF867C}">
                  <a14:compatExt spid="_x0000_s174084"/>
                </a:ext>
                <a:ext uri="{FF2B5EF4-FFF2-40B4-BE49-F238E27FC236}">
                  <a16:creationId xmlns:a16="http://schemas.microsoft.com/office/drawing/2014/main" id="{00000000-0008-0000-1E00-000004A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390525</xdr:colOff>
          <xdr:row>5</xdr:row>
          <xdr:rowOff>57150</xdr:rowOff>
        </xdr:from>
        <xdr:to>
          <xdr:col>2</xdr:col>
          <xdr:colOff>76200</xdr:colOff>
          <xdr:row>5</xdr:row>
          <xdr:rowOff>266700</xdr:rowOff>
        </xdr:to>
        <xdr:sp macro="" textlink="">
          <xdr:nvSpPr>
            <xdr:cNvPr id="174085" name="Option Button 5" hidden="1">
              <a:extLst>
                <a:ext uri="{63B3BB69-23CF-44E3-9099-C40C66FF867C}">
                  <a14:compatExt spid="_x0000_s174085"/>
                </a:ext>
                <a:ext uri="{FF2B5EF4-FFF2-40B4-BE49-F238E27FC236}">
                  <a16:creationId xmlns:a16="http://schemas.microsoft.com/office/drawing/2014/main" id="{00000000-0008-0000-1E00-000005A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390525</xdr:colOff>
          <xdr:row>5</xdr:row>
          <xdr:rowOff>57150</xdr:rowOff>
        </xdr:from>
        <xdr:to>
          <xdr:col>4</xdr:col>
          <xdr:colOff>66675</xdr:colOff>
          <xdr:row>5</xdr:row>
          <xdr:rowOff>266700</xdr:rowOff>
        </xdr:to>
        <xdr:sp macro="" textlink="">
          <xdr:nvSpPr>
            <xdr:cNvPr id="174086" name="Option Button 6" hidden="1">
              <a:extLst>
                <a:ext uri="{63B3BB69-23CF-44E3-9099-C40C66FF867C}">
                  <a14:compatExt spid="_x0000_s174086"/>
                </a:ext>
                <a:ext uri="{FF2B5EF4-FFF2-40B4-BE49-F238E27FC236}">
                  <a16:creationId xmlns:a16="http://schemas.microsoft.com/office/drawing/2014/main" id="{00000000-0008-0000-1E00-000006A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3</xdr:col>
      <xdr:colOff>25400</xdr:colOff>
      <xdr:row>14</xdr:row>
      <xdr:rowOff>19050</xdr:rowOff>
    </xdr:from>
    <xdr:to>
      <xdr:col>3</xdr:col>
      <xdr:colOff>209550</xdr:colOff>
      <xdr:row>14</xdr:row>
      <xdr:rowOff>177800</xdr:rowOff>
    </xdr:to>
    <xdr:pic>
      <xdr:nvPicPr>
        <xdr:cNvPr id="32" name="Obrázek 16" descr="Weight.gif">
          <a:extLst>
            <a:ext uri="{FF2B5EF4-FFF2-40B4-BE49-F238E27FC236}">
              <a16:creationId xmlns:a16="http://schemas.microsoft.com/office/drawing/2014/main" id="{00000000-0008-0000-1E00-000020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320800" y="2800350"/>
          <a:ext cx="1841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25400</xdr:colOff>
      <xdr:row>25</xdr:row>
      <xdr:rowOff>19050</xdr:rowOff>
    </xdr:from>
    <xdr:to>
      <xdr:col>3</xdr:col>
      <xdr:colOff>209550</xdr:colOff>
      <xdr:row>25</xdr:row>
      <xdr:rowOff>177800</xdr:rowOff>
    </xdr:to>
    <xdr:pic>
      <xdr:nvPicPr>
        <xdr:cNvPr id="33" name="Obrázek 16" descr="Weight.gif">
          <a:extLst>
            <a:ext uri="{FF2B5EF4-FFF2-40B4-BE49-F238E27FC236}">
              <a16:creationId xmlns:a16="http://schemas.microsoft.com/office/drawing/2014/main" id="{00000000-0008-0000-1E00-000021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320800" y="2800350"/>
          <a:ext cx="1841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5</xdr:col>
          <xdr:colOff>590550</xdr:colOff>
          <xdr:row>3</xdr:row>
          <xdr:rowOff>0</xdr:rowOff>
        </xdr:from>
        <xdr:to>
          <xdr:col>9</xdr:col>
          <xdr:colOff>0</xdr:colOff>
          <xdr:row>4</xdr:row>
          <xdr:rowOff>0</xdr:rowOff>
        </xdr:to>
        <xdr:sp macro="" textlink="">
          <xdr:nvSpPr>
            <xdr:cNvPr id="174087" name="Drop Down 7" hidden="1">
              <a:extLst>
                <a:ext uri="{63B3BB69-23CF-44E3-9099-C40C66FF867C}">
                  <a14:compatExt spid="_x0000_s174087"/>
                </a:ext>
                <a:ext uri="{FF2B5EF4-FFF2-40B4-BE49-F238E27FC236}">
                  <a16:creationId xmlns:a16="http://schemas.microsoft.com/office/drawing/2014/main" id="{00000000-0008-0000-1E00-000007A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oneCellAnchor>
    <xdr:from>
      <xdr:col>9</xdr:col>
      <xdr:colOff>336550</xdr:colOff>
      <xdr:row>4</xdr:row>
      <xdr:rowOff>19050</xdr:rowOff>
    </xdr:from>
    <xdr:ext cx="139700" cy="158750"/>
    <xdr:pic>
      <xdr:nvPicPr>
        <xdr:cNvPr id="26" name="Obrázek 28" descr="Info.gif">
          <a:extLst>
            <a:ext uri="{FF2B5EF4-FFF2-40B4-BE49-F238E27FC236}">
              <a16:creationId xmlns:a16="http://schemas.microsoft.com/office/drawing/2014/main" id="{00000000-0008-0000-1E00-00001A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251450" y="571500"/>
          <a:ext cx="1397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2.xml><?xml version="1.0" encoding="utf-8"?>
<xdr:wsDr xmlns:xdr="http://schemas.openxmlformats.org/drawingml/2006/spreadsheetDrawing" xmlns:a="http://schemas.openxmlformats.org/drawingml/2006/main">
  <xdr:twoCellAnchor editAs="oneCell">
    <xdr:from>
      <xdr:col>1</xdr:col>
      <xdr:colOff>127000</xdr:colOff>
      <xdr:row>30</xdr:row>
      <xdr:rowOff>76200</xdr:rowOff>
    </xdr:from>
    <xdr:to>
      <xdr:col>1</xdr:col>
      <xdr:colOff>371475</xdr:colOff>
      <xdr:row>31</xdr:row>
      <xdr:rowOff>133350</xdr:rowOff>
    </xdr:to>
    <xdr:pic>
      <xdr:nvPicPr>
        <xdr:cNvPr id="14" name="Obrázek 17" descr="Notice.gif">
          <a:extLst>
            <a:ext uri="{FF2B5EF4-FFF2-40B4-BE49-F238E27FC236}">
              <a16:creationId xmlns:a16="http://schemas.microsoft.com/office/drawing/2014/main" id="{00000000-0008-0000-1F00-00000E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5900" y="4806950"/>
          <a:ext cx="241300" cy="260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196850</xdr:colOff>
      <xdr:row>32</xdr:row>
      <xdr:rowOff>152400</xdr:rowOff>
    </xdr:from>
    <xdr:to>
      <xdr:col>1</xdr:col>
      <xdr:colOff>342900</xdr:colOff>
      <xdr:row>33</xdr:row>
      <xdr:rowOff>104775</xdr:rowOff>
    </xdr:to>
    <xdr:pic>
      <xdr:nvPicPr>
        <xdr:cNvPr id="15" name="Obrázek 18" descr="Info.gif">
          <a:extLst>
            <a:ext uri="{FF2B5EF4-FFF2-40B4-BE49-F238E27FC236}">
              <a16:creationId xmlns:a16="http://schemas.microsoft.com/office/drawing/2014/main" id="{00000000-0008-0000-1F00-00000F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5750" y="5264150"/>
          <a:ext cx="14605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44450</xdr:colOff>
      <xdr:row>99</xdr:row>
      <xdr:rowOff>12700</xdr:rowOff>
    </xdr:from>
    <xdr:to>
      <xdr:col>1</xdr:col>
      <xdr:colOff>190500</xdr:colOff>
      <xdr:row>99</xdr:row>
      <xdr:rowOff>180975</xdr:rowOff>
    </xdr:to>
    <xdr:pic>
      <xdr:nvPicPr>
        <xdr:cNvPr id="16" name="Obrázek 19" descr="Help.gif">
          <a:extLst>
            <a:ext uri="{FF2B5EF4-FFF2-40B4-BE49-F238E27FC236}">
              <a16:creationId xmlns:a16="http://schemas.microsoft.com/office/drawing/2014/main" id="{00000000-0008-0000-1F00-000010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3350" y="60833000"/>
          <a:ext cx="1460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3</xdr:col>
          <xdr:colOff>9525</xdr:colOff>
          <xdr:row>6</xdr:row>
          <xdr:rowOff>9525</xdr:rowOff>
        </xdr:from>
        <xdr:to>
          <xdr:col>5</xdr:col>
          <xdr:colOff>571500</xdr:colOff>
          <xdr:row>7</xdr:row>
          <xdr:rowOff>0</xdr:rowOff>
        </xdr:to>
        <xdr:sp macro="" textlink="">
          <xdr:nvSpPr>
            <xdr:cNvPr id="91137" name="Drop Down 1" hidden="1">
              <a:extLst>
                <a:ext uri="{63B3BB69-23CF-44E3-9099-C40C66FF867C}">
                  <a14:compatExt spid="_x0000_s91137"/>
                </a:ext>
                <a:ext uri="{FF2B5EF4-FFF2-40B4-BE49-F238E27FC236}">
                  <a16:creationId xmlns:a16="http://schemas.microsoft.com/office/drawing/2014/main" id="{00000000-0008-0000-1F00-0000016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15</xdr:row>
          <xdr:rowOff>9525</xdr:rowOff>
        </xdr:from>
        <xdr:to>
          <xdr:col>3</xdr:col>
          <xdr:colOff>19050</xdr:colOff>
          <xdr:row>16</xdr:row>
          <xdr:rowOff>19050</xdr:rowOff>
        </xdr:to>
        <xdr:sp macro="" textlink="">
          <xdr:nvSpPr>
            <xdr:cNvPr id="91139" name="Check Box 3" hidden="1">
              <a:extLst>
                <a:ext uri="{63B3BB69-23CF-44E3-9099-C40C66FF867C}">
                  <a14:compatExt spid="_x0000_s91139"/>
                </a:ext>
                <a:ext uri="{FF2B5EF4-FFF2-40B4-BE49-F238E27FC236}">
                  <a16:creationId xmlns:a16="http://schemas.microsoft.com/office/drawing/2014/main" id="{00000000-0008-0000-1F00-000003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26</xdr:row>
          <xdr:rowOff>0</xdr:rowOff>
        </xdr:from>
        <xdr:to>
          <xdr:col>2</xdr:col>
          <xdr:colOff>571500</xdr:colOff>
          <xdr:row>27</xdr:row>
          <xdr:rowOff>19050</xdr:rowOff>
        </xdr:to>
        <xdr:sp macro="" textlink="">
          <xdr:nvSpPr>
            <xdr:cNvPr id="91140" name="Check Box 4" hidden="1">
              <a:extLst>
                <a:ext uri="{63B3BB69-23CF-44E3-9099-C40C66FF867C}">
                  <a14:compatExt spid="_x0000_s91140"/>
                </a:ext>
                <a:ext uri="{FF2B5EF4-FFF2-40B4-BE49-F238E27FC236}">
                  <a16:creationId xmlns:a16="http://schemas.microsoft.com/office/drawing/2014/main" id="{00000000-0008-0000-1F00-000004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0</xdr:rowOff>
        </xdr:from>
        <xdr:to>
          <xdr:col>2</xdr:col>
          <xdr:colOff>571500</xdr:colOff>
          <xdr:row>10</xdr:row>
          <xdr:rowOff>0</xdr:rowOff>
        </xdr:to>
        <xdr:sp macro="" textlink="">
          <xdr:nvSpPr>
            <xdr:cNvPr id="91141" name="Drop Down 5" hidden="1">
              <a:extLst>
                <a:ext uri="{63B3BB69-23CF-44E3-9099-C40C66FF867C}">
                  <a14:compatExt spid="_x0000_s91141"/>
                </a:ext>
                <a:ext uri="{FF2B5EF4-FFF2-40B4-BE49-F238E27FC236}">
                  <a16:creationId xmlns:a16="http://schemas.microsoft.com/office/drawing/2014/main" id="{00000000-0008-0000-1F00-0000056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571500</xdr:colOff>
          <xdr:row>21</xdr:row>
          <xdr:rowOff>0</xdr:rowOff>
        </xdr:to>
        <xdr:sp macro="" textlink="">
          <xdr:nvSpPr>
            <xdr:cNvPr id="91142" name="Drop Down 6" hidden="1">
              <a:extLst>
                <a:ext uri="{63B3BB69-23CF-44E3-9099-C40C66FF867C}">
                  <a14:compatExt spid="_x0000_s91142"/>
                </a:ext>
                <a:ext uri="{FF2B5EF4-FFF2-40B4-BE49-F238E27FC236}">
                  <a16:creationId xmlns:a16="http://schemas.microsoft.com/office/drawing/2014/main" id="{00000000-0008-0000-1F00-0000066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11</xdr:col>
      <xdr:colOff>107950</xdr:colOff>
      <xdr:row>5</xdr:row>
      <xdr:rowOff>196850</xdr:rowOff>
    </xdr:from>
    <xdr:to>
      <xdr:col>12</xdr:col>
      <xdr:colOff>0</xdr:colOff>
      <xdr:row>7</xdr:row>
      <xdr:rowOff>247650</xdr:rowOff>
    </xdr:to>
    <xdr:pic>
      <xdr:nvPicPr>
        <xdr:cNvPr id="24" name="Obrázek 4">
          <a:extLst>
            <a:ext uri="{FF2B5EF4-FFF2-40B4-BE49-F238E27FC236}">
              <a16:creationId xmlns:a16="http://schemas.microsoft.com/office/drawing/2014/main" id="{00000000-0008-0000-1F00-00001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229350" y="952500"/>
          <a:ext cx="11049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xdr:col>
          <xdr:colOff>409575</xdr:colOff>
          <xdr:row>14</xdr:row>
          <xdr:rowOff>180975</xdr:rowOff>
        </xdr:from>
        <xdr:to>
          <xdr:col>3</xdr:col>
          <xdr:colOff>95250</xdr:colOff>
          <xdr:row>16</xdr:row>
          <xdr:rowOff>0</xdr:rowOff>
        </xdr:to>
        <xdr:sp macro="" textlink="">
          <xdr:nvSpPr>
            <xdr:cNvPr id="91143" name="Check Box 7" hidden="1">
              <a:extLst>
                <a:ext uri="{63B3BB69-23CF-44E3-9099-C40C66FF867C}">
                  <a14:compatExt spid="_x0000_s91143"/>
                </a:ext>
                <a:ext uri="{FF2B5EF4-FFF2-40B4-BE49-F238E27FC236}">
                  <a16:creationId xmlns:a16="http://schemas.microsoft.com/office/drawing/2014/main" id="{00000000-0008-0000-1F00-000007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3</xdr:col>
      <xdr:colOff>25400</xdr:colOff>
      <xdr:row>14</xdr:row>
      <xdr:rowOff>19050</xdr:rowOff>
    </xdr:from>
    <xdr:to>
      <xdr:col>3</xdr:col>
      <xdr:colOff>209550</xdr:colOff>
      <xdr:row>14</xdr:row>
      <xdr:rowOff>180975</xdr:rowOff>
    </xdr:to>
    <xdr:pic>
      <xdr:nvPicPr>
        <xdr:cNvPr id="26" name="Obrázek 16" descr="Weight.gif">
          <a:extLst>
            <a:ext uri="{FF2B5EF4-FFF2-40B4-BE49-F238E27FC236}">
              <a16:creationId xmlns:a16="http://schemas.microsoft.com/office/drawing/2014/main" id="{00000000-0008-0000-1F00-00001A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320800" y="2800350"/>
          <a:ext cx="1841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xdr:col>
          <xdr:colOff>409575</xdr:colOff>
          <xdr:row>25</xdr:row>
          <xdr:rowOff>180975</xdr:rowOff>
        </xdr:from>
        <xdr:to>
          <xdr:col>3</xdr:col>
          <xdr:colOff>95250</xdr:colOff>
          <xdr:row>27</xdr:row>
          <xdr:rowOff>0</xdr:rowOff>
        </xdr:to>
        <xdr:sp macro="" textlink="">
          <xdr:nvSpPr>
            <xdr:cNvPr id="91144" name="Check Box 8" hidden="1">
              <a:extLst>
                <a:ext uri="{63B3BB69-23CF-44E3-9099-C40C66FF867C}">
                  <a14:compatExt spid="_x0000_s91144"/>
                </a:ext>
                <a:ext uri="{FF2B5EF4-FFF2-40B4-BE49-F238E27FC236}">
                  <a16:creationId xmlns:a16="http://schemas.microsoft.com/office/drawing/2014/main" id="{00000000-0008-0000-1F00-000008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3</xdr:col>
      <xdr:colOff>25400</xdr:colOff>
      <xdr:row>25</xdr:row>
      <xdr:rowOff>19050</xdr:rowOff>
    </xdr:from>
    <xdr:to>
      <xdr:col>3</xdr:col>
      <xdr:colOff>209550</xdr:colOff>
      <xdr:row>25</xdr:row>
      <xdr:rowOff>180975</xdr:rowOff>
    </xdr:to>
    <xdr:pic>
      <xdr:nvPicPr>
        <xdr:cNvPr id="28" name="Obrázek 16" descr="Weight.gif">
          <a:extLst>
            <a:ext uri="{FF2B5EF4-FFF2-40B4-BE49-F238E27FC236}">
              <a16:creationId xmlns:a16="http://schemas.microsoft.com/office/drawing/2014/main" id="{00000000-0008-0000-1F00-00001C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320800" y="2800350"/>
          <a:ext cx="1841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9</xdr:col>
      <xdr:colOff>336550</xdr:colOff>
      <xdr:row>4</xdr:row>
      <xdr:rowOff>19050</xdr:rowOff>
    </xdr:from>
    <xdr:ext cx="139700" cy="158750"/>
    <xdr:pic>
      <xdr:nvPicPr>
        <xdr:cNvPr id="25" name="Obrázek 28" descr="Info.gif">
          <a:extLst>
            <a:ext uri="{FF2B5EF4-FFF2-40B4-BE49-F238E27FC236}">
              <a16:creationId xmlns:a16="http://schemas.microsoft.com/office/drawing/2014/main" id="{00000000-0008-0000-1F00-000019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44950" y="12319000"/>
          <a:ext cx="1397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mc:AlternateContent xmlns:mc="http://schemas.openxmlformats.org/markup-compatibility/2006">
    <mc:Choice xmlns:a14="http://schemas.microsoft.com/office/drawing/2010/main" Requires="a14">
      <xdr:twoCellAnchor editAs="oneCell">
        <xdr:from>
          <xdr:col>6</xdr:col>
          <xdr:colOff>0</xdr:colOff>
          <xdr:row>3</xdr:row>
          <xdr:rowOff>0</xdr:rowOff>
        </xdr:from>
        <xdr:to>
          <xdr:col>8</xdr:col>
          <xdr:colOff>571500</xdr:colOff>
          <xdr:row>4</xdr:row>
          <xdr:rowOff>0</xdr:rowOff>
        </xdr:to>
        <xdr:sp macro="" textlink="">
          <xdr:nvSpPr>
            <xdr:cNvPr id="91145" name="Drop Down 9" hidden="1">
              <a:extLst>
                <a:ext uri="{63B3BB69-23CF-44E3-9099-C40C66FF867C}">
                  <a14:compatExt spid="_x0000_s91145"/>
                </a:ext>
                <a:ext uri="{FF2B5EF4-FFF2-40B4-BE49-F238E27FC236}">
                  <a16:creationId xmlns:a16="http://schemas.microsoft.com/office/drawing/2014/main" id="{00000000-0008-0000-1F00-0000096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3.xml><?xml version="1.0" encoding="utf-8"?>
<xdr:wsDr xmlns:xdr="http://schemas.openxmlformats.org/drawingml/2006/spreadsheetDrawing" xmlns:a="http://schemas.openxmlformats.org/drawingml/2006/main">
  <xdr:twoCellAnchor editAs="oneCell">
    <xdr:from>
      <xdr:col>11</xdr:col>
      <xdr:colOff>158750</xdr:colOff>
      <xdr:row>6</xdr:row>
      <xdr:rowOff>0</xdr:rowOff>
    </xdr:from>
    <xdr:to>
      <xdr:col>12</xdr:col>
      <xdr:colOff>0</xdr:colOff>
      <xdr:row>8</xdr:row>
      <xdr:rowOff>76200</xdr:rowOff>
    </xdr:to>
    <xdr:pic>
      <xdr:nvPicPr>
        <xdr:cNvPr id="4" name="Obrázek 6" descr="S_front_HK_w.gif">
          <a:extLst>
            <a:ext uri="{FF2B5EF4-FFF2-40B4-BE49-F238E27FC236}">
              <a16:creationId xmlns:a16="http://schemas.microsoft.com/office/drawing/2014/main" id="{00000000-0008-0000-2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0150" y="958850"/>
          <a:ext cx="1054100" cy="565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31750</xdr:colOff>
      <xdr:row>14</xdr:row>
      <xdr:rowOff>25400</xdr:rowOff>
    </xdr:from>
    <xdr:to>
      <xdr:col>3</xdr:col>
      <xdr:colOff>215900</xdr:colOff>
      <xdr:row>14</xdr:row>
      <xdr:rowOff>190500</xdr:rowOff>
    </xdr:to>
    <xdr:pic>
      <xdr:nvPicPr>
        <xdr:cNvPr id="6" name="Obrázek 8" descr="Weight.gif">
          <a:extLst>
            <a:ext uri="{FF2B5EF4-FFF2-40B4-BE49-F238E27FC236}">
              <a16:creationId xmlns:a16="http://schemas.microsoft.com/office/drawing/2014/main" id="{00000000-0008-0000-20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27150" y="2806700"/>
          <a:ext cx="1841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196850</xdr:colOff>
      <xdr:row>32</xdr:row>
      <xdr:rowOff>152400</xdr:rowOff>
    </xdr:from>
    <xdr:to>
      <xdr:col>1</xdr:col>
      <xdr:colOff>342900</xdr:colOff>
      <xdr:row>33</xdr:row>
      <xdr:rowOff>101600</xdr:rowOff>
    </xdr:to>
    <xdr:pic>
      <xdr:nvPicPr>
        <xdr:cNvPr id="15" name="Obrázek 18" descr="Info.gif">
          <a:extLst>
            <a:ext uri="{FF2B5EF4-FFF2-40B4-BE49-F238E27FC236}">
              <a16:creationId xmlns:a16="http://schemas.microsoft.com/office/drawing/2014/main" id="{00000000-0008-0000-2000-00000F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5750" y="4876800"/>
          <a:ext cx="146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44450</xdr:colOff>
      <xdr:row>99</xdr:row>
      <xdr:rowOff>12700</xdr:rowOff>
    </xdr:from>
    <xdr:to>
      <xdr:col>1</xdr:col>
      <xdr:colOff>190500</xdr:colOff>
      <xdr:row>99</xdr:row>
      <xdr:rowOff>177800</xdr:rowOff>
    </xdr:to>
    <xdr:pic>
      <xdr:nvPicPr>
        <xdr:cNvPr id="16" name="Obrázek 19" descr="Help.gif">
          <a:extLst>
            <a:ext uri="{FF2B5EF4-FFF2-40B4-BE49-F238E27FC236}">
              <a16:creationId xmlns:a16="http://schemas.microsoft.com/office/drawing/2014/main" id="{00000000-0008-0000-2000-000010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3350" y="58127900"/>
          <a:ext cx="1460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4</xdr:col>
          <xdr:colOff>19050</xdr:colOff>
          <xdr:row>6</xdr:row>
          <xdr:rowOff>9525</xdr:rowOff>
        </xdr:from>
        <xdr:to>
          <xdr:col>6</xdr:col>
          <xdr:colOff>571500</xdr:colOff>
          <xdr:row>7</xdr:row>
          <xdr:rowOff>9525</xdr:rowOff>
        </xdr:to>
        <xdr:sp macro="" textlink="">
          <xdr:nvSpPr>
            <xdr:cNvPr id="175105" name="Drop Down 1" hidden="1">
              <a:extLst>
                <a:ext uri="{63B3BB69-23CF-44E3-9099-C40C66FF867C}">
                  <a14:compatExt spid="_x0000_s175105"/>
                </a:ext>
                <a:ext uri="{FF2B5EF4-FFF2-40B4-BE49-F238E27FC236}">
                  <a16:creationId xmlns:a16="http://schemas.microsoft.com/office/drawing/2014/main" id="{00000000-0008-0000-2000-000001A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381000</xdr:colOff>
          <xdr:row>14</xdr:row>
          <xdr:rowOff>190500</xdr:rowOff>
        </xdr:from>
        <xdr:to>
          <xdr:col>4</xdr:col>
          <xdr:colOff>57150</xdr:colOff>
          <xdr:row>16</xdr:row>
          <xdr:rowOff>9525</xdr:rowOff>
        </xdr:to>
        <xdr:sp macro="" textlink="">
          <xdr:nvSpPr>
            <xdr:cNvPr id="175107" name="Check Box 3" hidden="1">
              <a:extLst>
                <a:ext uri="{63B3BB69-23CF-44E3-9099-C40C66FF867C}">
                  <a14:compatExt spid="_x0000_s175107"/>
                </a:ext>
                <a:ext uri="{FF2B5EF4-FFF2-40B4-BE49-F238E27FC236}">
                  <a16:creationId xmlns:a16="http://schemas.microsoft.com/office/drawing/2014/main" id="{00000000-0008-0000-2000-000003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400050</xdr:colOff>
          <xdr:row>26</xdr:row>
          <xdr:rowOff>0</xdr:rowOff>
        </xdr:from>
        <xdr:to>
          <xdr:col>4</xdr:col>
          <xdr:colOff>95250</xdr:colOff>
          <xdr:row>27</xdr:row>
          <xdr:rowOff>19050</xdr:rowOff>
        </xdr:to>
        <xdr:sp macro="" textlink="">
          <xdr:nvSpPr>
            <xdr:cNvPr id="175108" name="Check Box 4" hidden="1">
              <a:extLst>
                <a:ext uri="{63B3BB69-23CF-44E3-9099-C40C66FF867C}">
                  <a14:compatExt spid="_x0000_s175108"/>
                </a:ext>
                <a:ext uri="{FF2B5EF4-FFF2-40B4-BE49-F238E27FC236}">
                  <a16:creationId xmlns:a16="http://schemas.microsoft.com/office/drawing/2014/main" id="{00000000-0008-0000-2000-000004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0</xdr:rowOff>
        </xdr:from>
        <xdr:to>
          <xdr:col>3</xdr:col>
          <xdr:colOff>0</xdr:colOff>
          <xdr:row>10</xdr:row>
          <xdr:rowOff>0</xdr:rowOff>
        </xdr:to>
        <xdr:sp macro="" textlink="">
          <xdr:nvSpPr>
            <xdr:cNvPr id="175109" name="Drop Down 5" hidden="1">
              <a:extLst>
                <a:ext uri="{63B3BB69-23CF-44E3-9099-C40C66FF867C}">
                  <a14:compatExt spid="_x0000_s175109"/>
                </a:ext>
                <a:ext uri="{FF2B5EF4-FFF2-40B4-BE49-F238E27FC236}">
                  <a16:creationId xmlns:a16="http://schemas.microsoft.com/office/drawing/2014/main" id="{00000000-0008-0000-2000-000005A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571500</xdr:colOff>
          <xdr:row>21</xdr:row>
          <xdr:rowOff>0</xdr:rowOff>
        </xdr:to>
        <xdr:sp macro="" textlink="">
          <xdr:nvSpPr>
            <xdr:cNvPr id="175110" name="Drop Down 6" hidden="1">
              <a:extLst>
                <a:ext uri="{63B3BB69-23CF-44E3-9099-C40C66FF867C}">
                  <a14:compatExt spid="_x0000_s175110"/>
                </a:ext>
                <a:ext uri="{FF2B5EF4-FFF2-40B4-BE49-F238E27FC236}">
                  <a16:creationId xmlns:a16="http://schemas.microsoft.com/office/drawing/2014/main" id="{00000000-0008-0000-2000-000006A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oneCellAnchor>
    <xdr:from>
      <xdr:col>9</xdr:col>
      <xdr:colOff>317500</xdr:colOff>
      <xdr:row>4</xdr:row>
      <xdr:rowOff>19050</xdr:rowOff>
    </xdr:from>
    <xdr:ext cx="139700" cy="158750"/>
    <xdr:pic>
      <xdr:nvPicPr>
        <xdr:cNvPr id="26" name="Obrázek 28" descr="Info.gif">
          <a:extLst>
            <a:ext uri="{FF2B5EF4-FFF2-40B4-BE49-F238E27FC236}">
              <a16:creationId xmlns:a16="http://schemas.microsoft.com/office/drawing/2014/main" id="{00000000-0008-0000-2000-00001A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32400" y="571500"/>
          <a:ext cx="1397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mc:AlternateContent xmlns:mc="http://schemas.openxmlformats.org/markup-compatibility/2006">
    <mc:Choice xmlns:a14="http://schemas.microsoft.com/office/drawing/2010/main" Requires="a14">
      <xdr:twoCellAnchor editAs="oneCell">
        <xdr:from>
          <xdr:col>6</xdr:col>
          <xdr:colOff>9525</xdr:colOff>
          <xdr:row>3</xdr:row>
          <xdr:rowOff>0</xdr:rowOff>
        </xdr:from>
        <xdr:to>
          <xdr:col>9</xdr:col>
          <xdr:colOff>0</xdr:colOff>
          <xdr:row>4</xdr:row>
          <xdr:rowOff>0</xdr:rowOff>
        </xdr:to>
        <xdr:sp macro="" textlink="">
          <xdr:nvSpPr>
            <xdr:cNvPr id="175112" name="Drop Down 8" hidden="1">
              <a:extLst>
                <a:ext uri="{63B3BB69-23CF-44E3-9099-C40C66FF867C}">
                  <a14:compatExt spid="_x0000_s175112"/>
                </a:ext>
                <a:ext uri="{FF2B5EF4-FFF2-40B4-BE49-F238E27FC236}">
                  <a16:creationId xmlns:a16="http://schemas.microsoft.com/office/drawing/2014/main" id="{00000000-0008-0000-2000-000008A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oneCellAnchor>
    <xdr:from>
      <xdr:col>3</xdr:col>
      <xdr:colOff>31750</xdr:colOff>
      <xdr:row>25</xdr:row>
      <xdr:rowOff>25400</xdr:rowOff>
    </xdr:from>
    <xdr:ext cx="184150" cy="165100"/>
    <xdr:pic>
      <xdr:nvPicPr>
        <xdr:cNvPr id="28" name="Obrázek 8" descr="Weight.gif">
          <a:extLst>
            <a:ext uri="{FF2B5EF4-FFF2-40B4-BE49-F238E27FC236}">
              <a16:creationId xmlns:a16="http://schemas.microsoft.com/office/drawing/2014/main" id="{00000000-0008-0000-2000-00001C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27150" y="2806700"/>
          <a:ext cx="1841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4.xml><?xml version="1.0" encoding="utf-8"?>
<xdr:wsDr xmlns:xdr="http://schemas.openxmlformats.org/drawingml/2006/spreadsheetDrawing" xmlns:a="http://schemas.openxmlformats.org/drawingml/2006/main">
  <xdr:twoCellAnchor editAs="oneCell">
    <xdr:from>
      <xdr:col>1</xdr:col>
      <xdr:colOff>273050</xdr:colOff>
      <xdr:row>33</xdr:row>
      <xdr:rowOff>0</xdr:rowOff>
    </xdr:from>
    <xdr:to>
      <xdr:col>1</xdr:col>
      <xdr:colOff>409575</xdr:colOff>
      <xdr:row>33</xdr:row>
      <xdr:rowOff>152400</xdr:rowOff>
    </xdr:to>
    <xdr:pic>
      <xdr:nvPicPr>
        <xdr:cNvPr id="13" name="Obrázek 18" descr="Info.gif">
          <a:extLst>
            <a:ext uri="{FF2B5EF4-FFF2-40B4-BE49-F238E27FC236}">
              <a16:creationId xmlns:a16="http://schemas.microsoft.com/office/drawing/2014/main" id="{00000000-0008-0000-2100-00000D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1950" y="4876800"/>
          <a:ext cx="1397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44450</xdr:colOff>
      <xdr:row>99</xdr:row>
      <xdr:rowOff>12700</xdr:rowOff>
    </xdr:from>
    <xdr:to>
      <xdr:col>1</xdr:col>
      <xdr:colOff>190500</xdr:colOff>
      <xdr:row>99</xdr:row>
      <xdr:rowOff>180975</xdr:rowOff>
    </xdr:to>
    <xdr:pic>
      <xdr:nvPicPr>
        <xdr:cNvPr id="14" name="Obrázek 19" descr="Help.gif">
          <a:extLst>
            <a:ext uri="{FF2B5EF4-FFF2-40B4-BE49-F238E27FC236}">
              <a16:creationId xmlns:a16="http://schemas.microsoft.com/office/drawing/2014/main" id="{00000000-0008-0000-2100-00000E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3350" y="62134750"/>
          <a:ext cx="1460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4</xdr:col>
          <xdr:colOff>19050</xdr:colOff>
          <xdr:row>6</xdr:row>
          <xdr:rowOff>9525</xdr:rowOff>
        </xdr:from>
        <xdr:to>
          <xdr:col>6</xdr:col>
          <xdr:colOff>571500</xdr:colOff>
          <xdr:row>7</xdr:row>
          <xdr:rowOff>0</xdr:rowOff>
        </xdr:to>
        <xdr:sp macro="" textlink="">
          <xdr:nvSpPr>
            <xdr:cNvPr id="176129" name="Drop Down 1" hidden="1">
              <a:extLst>
                <a:ext uri="{63B3BB69-23CF-44E3-9099-C40C66FF867C}">
                  <a14:compatExt spid="_x0000_s176129"/>
                </a:ext>
                <a:ext uri="{FF2B5EF4-FFF2-40B4-BE49-F238E27FC236}">
                  <a16:creationId xmlns:a16="http://schemas.microsoft.com/office/drawing/2014/main" id="{00000000-0008-0000-2100-000001B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400050</xdr:colOff>
          <xdr:row>14</xdr:row>
          <xdr:rowOff>200025</xdr:rowOff>
        </xdr:from>
        <xdr:to>
          <xdr:col>4</xdr:col>
          <xdr:colOff>85725</xdr:colOff>
          <xdr:row>16</xdr:row>
          <xdr:rowOff>19050</xdr:rowOff>
        </xdr:to>
        <xdr:sp macro="" textlink="">
          <xdr:nvSpPr>
            <xdr:cNvPr id="176131" name="Check Box 3" hidden="1">
              <a:extLst>
                <a:ext uri="{63B3BB69-23CF-44E3-9099-C40C66FF867C}">
                  <a14:compatExt spid="_x0000_s176131"/>
                </a:ext>
                <a:ext uri="{FF2B5EF4-FFF2-40B4-BE49-F238E27FC236}">
                  <a16:creationId xmlns:a16="http://schemas.microsoft.com/office/drawing/2014/main" id="{00000000-0008-0000-2100-000003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400050</xdr:colOff>
          <xdr:row>25</xdr:row>
          <xdr:rowOff>200025</xdr:rowOff>
        </xdr:from>
        <xdr:to>
          <xdr:col>4</xdr:col>
          <xdr:colOff>76200</xdr:colOff>
          <xdr:row>27</xdr:row>
          <xdr:rowOff>19050</xdr:rowOff>
        </xdr:to>
        <xdr:sp macro="" textlink="">
          <xdr:nvSpPr>
            <xdr:cNvPr id="176132" name="Check Box 4" hidden="1">
              <a:extLst>
                <a:ext uri="{63B3BB69-23CF-44E3-9099-C40C66FF867C}">
                  <a14:compatExt spid="_x0000_s176132"/>
                </a:ext>
                <a:ext uri="{FF2B5EF4-FFF2-40B4-BE49-F238E27FC236}">
                  <a16:creationId xmlns:a16="http://schemas.microsoft.com/office/drawing/2014/main" id="{00000000-0008-0000-2100-000004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0</xdr:rowOff>
        </xdr:from>
        <xdr:to>
          <xdr:col>3</xdr:col>
          <xdr:colOff>209550</xdr:colOff>
          <xdr:row>10</xdr:row>
          <xdr:rowOff>0</xdr:rowOff>
        </xdr:to>
        <xdr:sp macro="" textlink="">
          <xdr:nvSpPr>
            <xdr:cNvPr id="176133" name="Drop Down 5" hidden="1">
              <a:extLst>
                <a:ext uri="{63B3BB69-23CF-44E3-9099-C40C66FF867C}">
                  <a14:compatExt spid="_x0000_s176133"/>
                </a:ext>
                <a:ext uri="{FF2B5EF4-FFF2-40B4-BE49-F238E27FC236}">
                  <a16:creationId xmlns:a16="http://schemas.microsoft.com/office/drawing/2014/main" id="{00000000-0008-0000-2100-000005B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3</xdr:col>
          <xdr:colOff>209550</xdr:colOff>
          <xdr:row>21</xdr:row>
          <xdr:rowOff>0</xdr:rowOff>
        </xdr:to>
        <xdr:sp macro="" textlink="">
          <xdr:nvSpPr>
            <xdr:cNvPr id="176134" name="Drop Down 6" hidden="1">
              <a:extLst>
                <a:ext uri="{63B3BB69-23CF-44E3-9099-C40C66FF867C}">
                  <a14:compatExt spid="_x0000_s176134"/>
                </a:ext>
                <a:ext uri="{FF2B5EF4-FFF2-40B4-BE49-F238E27FC236}">
                  <a16:creationId xmlns:a16="http://schemas.microsoft.com/office/drawing/2014/main" id="{00000000-0008-0000-2100-000006B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xdr:col>
      <xdr:colOff>50800</xdr:colOff>
      <xdr:row>4</xdr:row>
      <xdr:rowOff>190500</xdr:rowOff>
    </xdr:from>
    <xdr:to>
      <xdr:col>1</xdr:col>
      <xdr:colOff>295275</xdr:colOff>
      <xdr:row>5</xdr:row>
      <xdr:rowOff>257175</xdr:rowOff>
    </xdr:to>
    <xdr:pic>
      <xdr:nvPicPr>
        <xdr:cNvPr id="23" name="Obrázek 11" descr="Notice.gif">
          <a:extLst>
            <a:ext uri="{FF2B5EF4-FFF2-40B4-BE49-F238E27FC236}">
              <a16:creationId xmlns:a16="http://schemas.microsoft.com/office/drawing/2014/main" id="{00000000-0008-0000-2100-000017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9700" y="742950"/>
          <a:ext cx="2413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69850</xdr:colOff>
      <xdr:row>5</xdr:row>
      <xdr:rowOff>76200</xdr:rowOff>
    </xdr:from>
    <xdr:to>
      <xdr:col>2</xdr:col>
      <xdr:colOff>523875</xdr:colOff>
      <xdr:row>5</xdr:row>
      <xdr:rowOff>257175</xdr:rowOff>
    </xdr:to>
    <xdr:pic>
      <xdr:nvPicPr>
        <xdr:cNvPr id="24" name="Obrázek 25" descr="Alu_narr.gif">
          <a:extLst>
            <a:ext uri="{FF2B5EF4-FFF2-40B4-BE49-F238E27FC236}">
              <a16:creationId xmlns:a16="http://schemas.microsoft.com/office/drawing/2014/main" id="{00000000-0008-0000-2100-000018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62000" y="831850"/>
          <a:ext cx="450850" cy="17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63500</xdr:colOff>
      <xdr:row>5</xdr:row>
      <xdr:rowOff>38100</xdr:rowOff>
    </xdr:from>
    <xdr:to>
      <xdr:col>4</xdr:col>
      <xdr:colOff>504825</xdr:colOff>
      <xdr:row>5</xdr:row>
      <xdr:rowOff>247650</xdr:rowOff>
    </xdr:to>
    <xdr:pic>
      <xdr:nvPicPr>
        <xdr:cNvPr id="25" name="Obrázek 26" descr="Alu_wide.gif">
          <a:extLst>
            <a:ext uri="{FF2B5EF4-FFF2-40B4-BE49-F238E27FC236}">
              <a16:creationId xmlns:a16="http://schemas.microsoft.com/office/drawing/2014/main" id="{00000000-0008-0000-2100-000019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962150" y="793750"/>
          <a:ext cx="4445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371475</xdr:colOff>
          <xdr:row>5</xdr:row>
          <xdr:rowOff>57150</xdr:rowOff>
        </xdr:from>
        <xdr:to>
          <xdr:col>2</xdr:col>
          <xdr:colOff>57150</xdr:colOff>
          <xdr:row>5</xdr:row>
          <xdr:rowOff>276225</xdr:rowOff>
        </xdr:to>
        <xdr:sp macro="" textlink="">
          <xdr:nvSpPr>
            <xdr:cNvPr id="176135" name="Option Button 7" hidden="1">
              <a:extLst>
                <a:ext uri="{63B3BB69-23CF-44E3-9099-C40C66FF867C}">
                  <a14:compatExt spid="_x0000_s176135"/>
                </a:ext>
                <a:ext uri="{FF2B5EF4-FFF2-40B4-BE49-F238E27FC236}">
                  <a16:creationId xmlns:a16="http://schemas.microsoft.com/office/drawing/2014/main" id="{00000000-0008-0000-2100-000007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400050</xdr:colOff>
          <xdr:row>5</xdr:row>
          <xdr:rowOff>57150</xdr:rowOff>
        </xdr:from>
        <xdr:to>
          <xdr:col>4</xdr:col>
          <xdr:colOff>76200</xdr:colOff>
          <xdr:row>5</xdr:row>
          <xdr:rowOff>276225</xdr:rowOff>
        </xdr:to>
        <xdr:sp macro="" textlink="">
          <xdr:nvSpPr>
            <xdr:cNvPr id="176136" name="Option Button 8" hidden="1">
              <a:extLst>
                <a:ext uri="{63B3BB69-23CF-44E3-9099-C40C66FF867C}">
                  <a14:compatExt spid="_x0000_s176136"/>
                </a:ext>
                <a:ext uri="{FF2B5EF4-FFF2-40B4-BE49-F238E27FC236}">
                  <a16:creationId xmlns:a16="http://schemas.microsoft.com/office/drawing/2014/main" id="{00000000-0008-0000-2100-000008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11</xdr:col>
      <xdr:colOff>165100</xdr:colOff>
      <xdr:row>6</xdr:row>
      <xdr:rowOff>6350</xdr:rowOff>
    </xdr:from>
    <xdr:to>
      <xdr:col>12</xdr:col>
      <xdr:colOff>0</xdr:colOff>
      <xdr:row>8</xdr:row>
      <xdr:rowOff>123825</xdr:rowOff>
    </xdr:to>
    <xdr:pic>
      <xdr:nvPicPr>
        <xdr:cNvPr id="32" name="Obrázek 17" descr="S_front_HK_wa.gif">
          <a:extLst>
            <a:ext uri="{FF2B5EF4-FFF2-40B4-BE49-F238E27FC236}">
              <a16:creationId xmlns:a16="http://schemas.microsoft.com/office/drawing/2014/main" id="{00000000-0008-0000-2100-000020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6286500" y="965200"/>
          <a:ext cx="1047750" cy="603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31750</xdr:colOff>
      <xdr:row>14</xdr:row>
      <xdr:rowOff>25400</xdr:rowOff>
    </xdr:from>
    <xdr:to>
      <xdr:col>3</xdr:col>
      <xdr:colOff>219075</xdr:colOff>
      <xdr:row>14</xdr:row>
      <xdr:rowOff>190500</xdr:rowOff>
    </xdr:to>
    <xdr:pic>
      <xdr:nvPicPr>
        <xdr:cNvPr id="33" name="Obrázek 8" descr="Weight.gif">
          <a:extLst>
            <a:ext uri="{FF2B5EF4-FFF2-40B4-BE49-F238E27FC236}">
              <a16:creationId xmlns:a16="http://schemas.microsoft.com/office/drawing/2014/main" id="{00000000-0008-0000-2100-000021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327150" y="2806700"/>
          <a:ext cx="1841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31750</xdr:colOff>
      <xdr:row>25</xdr:row>
      <xdr:rowOff>25400</xdr:rowOff>
    </xdr:from>
    <xdr:to>
      <xdr:col>3</xdr:col>
      <xdr:colOff>219075</xdr:colOff>
      <xdr:row>25</xdr:row>
      <xdr:rowOff>190500</xdr:rowOff>
    </xdr:to>
    <xdr:pic>
      <xdr:nvPicPr>
        <xdr:cNvPr id="34" name="Obrázek 8" descr="Weight.gif">
          <a:extLst>
            <a:ext uri="{FF2B5EF4-FFF2-40B4-BE49-F238E27FC236}">
              <a16:creationId xmlns:a16="http://schemas.microsoft.com/office/drawing/2014/main" id="{00000000-0008-0000-2100-000022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327150" y="2806700"/>
          <a:ext cx="1841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9</xdr:col>
      <xdr:colOff>311150</xdr:colOff>
      <xdr:row>4</xdr:row>
      <xdr:rowOff>38100</xdr:rowOff>
    </xdr:from>
    <xdr:ext cx="139700" cy="158750"/>
    <xdr:pic>
      <xdr:nvPicPr>
        <xdr:cNvPr id="35" name="Obrázek 28" descr="Info.gif">
          <a:extLst>
            <a:ext uri="{FF2B5EF4-FFF2-40B4-BE49-F238E27FC236}">
              <a16:creationId xmlns:a16="http://schemas.microsoft.com/office/drawing/2014/main" id="{00000000-0008-0000-2100-00002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26050" y="590550"/>
          <a:ext cx="1397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mc:AlternateContent xmlns:mc="http://schemas.openxmlformats.org/markup-compatibility/2006">
    <mc:Choice xmlns:a14="http://schemas.microsoft.com/office/drawing/2010/main" Requires="a14">
      <xdr:twoCellAnchor editAs="oneCell">
        <xdr:from>
          <xdr:col>5</xdr:col>
          <xdr:colOff>533400</xdr:colOff>
          <xdr:row>3</xdr:row>
          <xdr:rowOff>0</xdr:rowOff>
        </xdr:from>
        <xdr:to>
          <xdr:col>8</xdr:col>
          <xdr:colOff>571500</xdr:colOff>
          <xdr:row>3</xdr:row>
          <xdr:rowOff>200025</xdr:rowOff>
        </xdr:to>
        <xdr:sp macro="" textlink="">
          <xdr:nvSpPr>
            <xdr:cNvPr id="176137" name="Drop Down 9" hidden="1">
              <a:extLst>
                <a:ext uri="{63B3BB69-23CF-44E3-9099-C40C66FF867C}">
                  <a14:compatExt spid="_x0000_s176137"/>
                </a:ext>
                <a:ext uri="{FF2B5EF4-FFF2-40B4-BE49-F238E27FC236}">
                  <a16:creationId xmlns:a16="http://schemas.microsoft.com/office/drawing/2014/main" id="{00000000-0008-0000-2100-000009B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xdr:col>
      <xdr:colOff>63500</xdr:colOff>
      <xdr:row>124</xdr:row>
      <xdr:rowOff>25400</xdr:rowOff>
    </xdr:from>
    <xdr:to>
      <xdr:col>1</xdr:col>
      <xdr:colOff>514350</xdr:colOff>
      <xdr:row>125</xdr:row>
      <xdr:rowOff>9525</xdr:rowOff>
    </xdr:to>
    <xdr:pic>
      <xdr:nvPicPr>
        <xdr:cNvPr id="26" name="Obrázek 21" descr="Alu_narr.gif">
          <a:extLst>
            <a:ext uri="{FF2B5EF4-FFF2-40B4-BE49-F238E27FC236}">
              <a16:creationId xmlns:a16="http://schemas.microsoft.com/office/drawing/2014/main" id="{00000000-0008-0000-2100-00001A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2400" y="23710900"/>
          <a:ext cx="45085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63500</xdr:colOff>
      <xdr:row>126</xdr:row>
      <xdr:rowOff>6350</xdr:rowOff>
    </xdr:from>
    <xdr:to>
      <xdr:col>1</xdr:col>
      <xdr:colOff>504825</xdr:colOff>
      <xdr:row>126</xdr:row>
      <xdr:rowOff>180975</xdr:rowOff>
    </xdr:to>
    <xdr:pic>
      <xdr:nvPicPr>
        <xdr:cNvPr id="27" name="Picture 31">
          <a:extLst>
            <a:ext uri="{FF2B5EF4-FFF2-40B4-BE49-F238E27FC236}">
              <a16:creationId xmlns:a16="http://schemas.microsoft.com/office/drawing/2014/main" id="{00000000-0008-0000-2100-00001B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52400" y="24072850"/>
          <a:ext cx="438150" cy="17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xdr:col>
      <xdr:colOff>273050</xdr:colOff>
      <xdr:row>33</xdr:row>
      <xdr:rowOff>0</xdr:rowOff>
    </xdr:from>
    <xdr:to>
      <xdr:col>1</xdr:col>
      <xdr:colOff>406400</xdr:colOff>
      <xdr:row>33</xdr:row>
      <xdr:rowOff>152400</xdr:rowOff>
    </xdr:to>
    <xdr:pic>
      <xdr:nvPicPr>
        <xdr:cNvPr id="13" name="Obrázek 18" descr="Info.gif">
          <a:extLst>
            <a:ext uri="{FF2B5EF4-FFF2-40B4-BE49-F238E27FC236}">
              <a16:creationId xmlns:a16="http://schemas.microsoft.com/office/drawing/2014/main" id="{00000000-0008-0000-2200-00000D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1950" y="4876800"/>
          <a:ext cx="1397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44450</xdr:colOff>
      <xdr:row>99</xdr:row>
      <xdr:rowOff>12700</xdr:rowOff>
    </xdr:from>
    <xdr:to>
      <xdr:col>1</xdr:col>
      <xdr:colOff>190500</xdr:colOff>
      <xdr:row>99</xdr:row>
      <xdr:rowOff>177800</xdr:rowOff>
    </xdr:to>
    <xdr:pic>
      <xdr:nvPicPr>
        <xdr:cNvPr id="14" name="Obrázek 19" descr="Help.gif">
          <a:extLst>
            <a:ext uri="{FF2B5EF4-FFF2-40B4-BE49-F238E27FC236}">
              <a16:creationId xmlns:a16="http://schemas.microsoft.com/office/drawing/2014/main" id="{00000000-0008-0000-2200-00000E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3350" y="59067700"/>
          <a:ext cx="1460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3</xdr:col>
          <xdr:colOff>590550</xdr:colOff>
          <xdr:row>6</xdr:row>
          <xdr:rowOff>0</xdr:rowOff>
        </xdr:from>
        <xdr:to>
          <xdr:col>7</xdr:col>
          <xdr:colOff>0</xdr:colOff>
          <xdr:row>7</xdr:row>
          <xdr:rowOff>0</xdr:rowOff>
        </xdr:to>
        <xdr:sp macro="" textlink="">
          <xdr:nvSpPr>
            <xdr:cNvPr id="177153" name="Drop Down 1" hidden="1">
              <a:extLst>
                <a:ext uri="{63B3BB69-23CF-44E3-9099-C40C66FF867C}">
                  <a14:compatExt spid="_x0000_s177153"/>
                </a:ext>
                <a:ext uri="{FF2B5EF4-FFF2-40B4-BE49-F238E27FC236}">
                  <a16:creationId xmlns:a16="http://schemas.microsoft.com/office/drawing/2014/main" id="{00000000-0008-0000-2200-000001B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390525</xdr:colOff>
          <xdr:row>15</xdr:row>
          <xdr:rowOff>0</xdr:rowOff>
        </xdr:from>
        <xdr:to>
          <xdr:col>4</xdr:col>
          <xdr:colOff>66675</xdr:colOff>
          <xdr:row>16</xdr:row>
          <xdr:rowOff>19050</xdr:rowOff>
        </xdr:to>
        <xdr:sp macro="" textlink="">
          <xdr:nvSpPr>
            <xdr:cNvPr id="177155" name="Check Box 3" hidden="1">
              <a:extLst>
                <a:ext uri="{63B3BB69-23CF-44E3-9099-C40C66FF867C}">
                  <a14:compatExt spid="_x0000_s177155"/>
                </a:ext>
                <a:ext uri="{FF2B5EF4-FFF2-40B4-BE49-F238E27FC236}">
                  <a16:creationId xmlns:a16="http://schemas.microsoft.com/office/drawing/2014/main" id="{00000000-0008-0000-2200-000003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400050</xdr:colOff>
          <xdr:row>25</xdr:row>
          <xdr:rowOff>180975</xdr:rowOff>
        </xdr:from>
        <xdr:to>
          <xdr:col>4</xdr:col>
          <xdr:colOff>95250</xdr:colOff>
          <xdr:row>27</xdr:row>
          <xdr:rowOff>0</xdr:rowOff>
        </xdr:to>
        <xdr:sp macro="" textlink="">
          <xdr:nvSpPr>
            <xdr:cNvPr id="177156" name="Check Box 4" hidden="1">
              <a:extLst>
                <a:ext uri="{63B3BB69-23CF-44E3-9099-C40C66FF867C}">
                  <a14:compatExt spid="_x0000_s177156"/>
                </a:ext>
                <a:ext uri="{FF2B5EF4-FFF2-40B4-BE49-F238E27FC236}">
                  <a16:creationId xmlns:a16="http://schemas.microsoft.com/office/drawing/2014/main" id="{00000000-0008-0000-2200-000004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0</xdr:rowOff>
        </xdr:from>
        <xdr:to>
          <xdr:col>3</xdr:col>
          <xdr:colOff>209550</xdr:colOff>
          <xdr:row>10</xdr:row>
          <xdr:rowOff>0</xdr:rowOff>
        </xdr:to>
        <xdr:sp macro="" textlink="">
          <xdr:nvSpPr>
            <xdr:cNvPr id="177157" name="Drop Down 5" hidden="1">
              <a:extLst>
                <a:ext uri="{63B3BB69-23CF-44E3-9099-C40C66FF867C}">
                  <a14:compatExt spid="_x0000_s177157"/>
                </a:ext>
                <a:ext uri="{FF2B5EF4-FFF2-40B4-BE49-F238E27FC236}">
                  <a16:creationId xmlns:a16="http://schemas.microsoft.com/office/drawing/2014/main" id="{00000000-0008-0000-2200-000005B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3</xdr:col>
          <xdr:colOff>209550</xdr:colOff>
          <xdr:row>21</xdr:row>
          <xdr:rowOff>0</xdr:rowOff>
        </xdr:to>
        <xdr:sp macro="" textlink="">
          <xdr:nvSpPr>
            <xdr:cNvPr id="177158" name="Drop Down 6" hidden="1">
              <a:extLst>
                <a:ext uri="{63B3BB69-23CF-44E3-9099-C40C66FF867C}">
                  <a14:compatExt spid="_x0000_s177158"/>
                </a:ext>
                <a:ext uri="{FF2B5EF4-FFF2-40B4-BE49-F238E27FC236}">
                  <a16:creationId xmlns:a16="http://schemas.microsoft.com/office/drawing/2014/main" id="{00000000-0008-0000-2200-000006B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xdr:col>
      <xdr:colOff>6350</xdr:colOff>
      <xdr:row>4</xdr:row>
      <xdr:rowOff>184150</xdr:rowOff>
    </xdr:from>
    <xdr:to>
      <xdr:col>1</xdr:col>
      <xdr:colOff>247650</xdr:colOff>
      <xdr:row>5</xdr:row>
      <xdr:rowOff>247650</xdr:rowOff>
    </xdr:to>
    <xdr:pic>
      <xdr:nvPicPr>
        <xdr:cNvPr id="25" name="Obrázek 11" descr="Notice.gif">
          <a:extLst>
            <a:ext uri="{FF2B5EF4-FFF2-40B4-BE49-F238E27FC236}">
              <a16:creationId xmlns:a16="http://schemas.microsoft.com/office/drawing/2014/main" id="{00000000-0008-0000-2200-000019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5250" y="736600"/>
          <a:ext cx="2413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88900</xdr:colOff>
      <xdr:row>5</xdr:row>
      <xdr:rowOff>63500</xdr:rowOff>
    </xdr:from>
    <xdr:to>
      <xdr:col>2</xdr:col>
      <xdr:colOff>254000</xdr:colOff>
      <xdr:row>5</xdr:row>
      <xdr:rowOff>247650</xdr:rowOff>
    </xdr:to>
    <xdr:pic>
      <xdr:nvPicPr>
        <xdr:cNvPr id="26" name="Picture 1">
          <a:extLst>
            <a:ext uri="{FF2B5EF4-FFF2-40B4-BE49-F238E27FC236}">
              <a16:creationId xmlns:a16="http://schemas.microsoft.com/office/drawing/2014/main" id="{00000000-0008-0000-2200-00001A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81050" y="819150"/>
          <a:ext cx="171450" cy="18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31750</xdr:colOff>
      <xdr:row>5</xdr:row>
      <xdr:rowOff>57150</xdr:rowOff>
    </xdr:from>
    <xdr:to>
      <xdr:col>4</xdr:col>
      <xdr:colOff>190500</xdr:colOff>
      <xdr:row>5</xdr:row>
      <xdr:rowOff>254000</xdr:rowOff>
    </xdr:to>
    <xdr:pic>
      <xdr:nvPicPr>
        <xdr:cNvPr id="27" name="Picture 2">
          <a:extLst>
            <a:ext uri="{FF2B5EF4-FFF2-40B4-BE49-F238E27FC236}">
              <a16:creationId xmlns:a16="http://schemas.microsoft.com/office/drawing/2014/main" id="{00000000-0008-0000-2200-00001B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930400" y="812800"/>
          <a:ext cx="158750" cy="196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390525</xdr:colOff>
          <xdr:row>5</xdr:row>
          <xdr:rowOff>57150</xdr:rowOff>
        </xdr:from>
        <xdr:to>
          <xdr:col>2</xdr:col>
          <xdr:colOff>76200</xdr:colOff>
          <xdr:row>5</xdr:row>
          <xdr:rowOff>266700</xdr:rowOff>
        </xdr:to>
        <xdr:sp macro="" textlink="">
          <xdr:nvSpPr>
            <xdr:cNvPr id="177159" name="Option Button 7" hidden="1">
              <a:extLst>
                <a:ext uri="{63B3BB69-23CF-44E3-9099-C40C66FF867C}">
                  <a14:compatExt spid="_x0000_s177159"/>
                </a:ext>
                <a:ext uri="{FF2B5EF4-FFF2-40B4-BE49-F238E27FC236}">
                  <a16:creationId xmlns:a16="http://schemas.microsoft.com/office/drawing/2014/main" id="{00000000-0008-0000-2200-000007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361950</xdr:colOff>
          <xdr:row>5</xdr:row>
          <xdr:rowOff>57150</xdr:rowOff>
        </xdr:from>
        <xdr:to>
          <xdr:col>4</xdr:col>
          <xdr:colOff>38100</xdr:colOff>
          <xdr:row>5</xdr:row>
          <xdr:rowOff>276225</xdr:rowOff>
        </xdr:to>
        <xdr:sp macro="" textlink="">
          <xdr:nvSpPr>
            <xdr:cNvPr id="177160" name="Option Button 8" hidden="1">
              <a:extLst>
                <a:ext uri="{63B3BB69-23CF-44E3-9099-C40C66FF867C}">
                  <a14:compatExt spid="_x0000_s177160"/>
                </a:ext>
                <a:ext uri="{FF2B5EF4-FFF2-40B4-BE49-F238E27FC236}">
                  <a16:creationId xmlns:a16="http://schemas.microsoft.com/office/drawing/2014/main" id="{00000000-0008-0000-2200-000008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11</xdr:col>
      <xdr:colOff>158750</xdr:colOff>
      <xdr:row>6</xdr:row>
      <xdr:rowOff>0</xdr:rowOff>
    </xdr:from>
    <xdr:to>
      <xdr:col>12</xdr:col>
      <xdr:colOff>0</xdr:colOff>
      <xdr:row>8</xdr:row>
      <xdr:rowOff>101600</xdr:rowOff>
    </xdr:to>
    <xdr:pic>
      <xdr:nvPicPr>
        <xdr:cNvPr id="32" name="Obrázek 17" descr="S_front_HK_na.png">
          <a:extLst>
            <a:ext uri="{FF2B5EF4-FFF2-40B4-BE49-F238E27FC236}">
              <a16:creationId xmlns:a16="http://schemas.microsoft.com/office/drawing/2014/main" id="{00000000-0008-0000-2200-000020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6280150" y="958850"/>
          <a:ext cx="1047750" cy="596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31750</xdr:colOff>
      <xdr:row>14</xdr:row>
      <xdr:rowOff>25400</xdr:rowOff>
    </xdr:from>
    <xdr:to>
      <xdr:col>3</xdr:col>
      <xdr:colOff>215900</xdr:colOff>
      <xdr:row>14</xdr:row>
      <xdr:rowOff>190500</xdr:rowOff>
    </xdr:to>
    <xdr:pic>
      <xdr:nvPicPr>
        <xdr:cNvPr id="33" name="Obrázek 8" descr="Weight.gif">
          <a:extLst>
            <a:ext uri="{FF2B5EF4-FFF2-40B4-BE49-F238E27FC236}">
              <a16:creationId xmlns:a16="http://schemas.microsoft.com/office/drawing/2014/main" id="{00000000-0008-0000-2200-000021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327150" y="2806700"/>
          <a:ext cx="1841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31750</xdr:colOff>
      <xdr:row>25</xdr:row>
      <xdr:rowOff>25400</xdr:rowOff>
    </xdr:from>
    <xdr:to>
      <xdr:col>3</xdr:col>
      <xdr:colOff>215900</xdr:colOff>
      <xdr:row>25</xdr:row>
      <xdr:rowOff>190500</xdr:rowOff>
    </xdr:to>
    <xdr:pic>
      <xdr:nvPicPr>
        <xdr:cNvPr id="34" name="Obrázek 8" descr="Weight.gif">
          <a:extLst>
            <a:ext uri="{FF2B5EF4-FFF2-40B4-BE49-F238E27FC236}">
              <a16:creationId xmlns:a16="http://schemas.microsoft.com/office/drawing/2014/main" id="{00000000-0008-0000-2200-000022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327150" y="2806700"/>
          <a:ext cx="1841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9</xdr:col>
      <xdr:colOff>336550</xdr:colOff>
      <xdr:row>4</xdr:row>
      <xdr:rowOff>19050</xdr:rowOff>
    </xdr:from>
    <xdr:ext cx="139700" cy="158750"/>
    <xdr:pic>
      <xdr:nvPicPr>
        <xdr:cNvPr id="35" name="Obrázek 28" descr="Info.gif">
          <a:extLst>
            <a:ext uri="{FF2B5EF4-FFF2-40B4-BE49-F238E27FC236}">
              <a16:creationId xmlns:a16="http://schemas.microsoft.com/office/drawing/2014/main" id="{00000000-0008-0000-2200-00002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8200" y="13017500"/>
          <a:ext cx="1397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mc:AlternateContent xmlns:mc="http://schemas.openxmlformats.org/markup-compatibility/2006">
    <mc:Choice xmlns:a14="http://schemas.microsoft.com/office/drawing/2010/main" Requires="a14">
      <xdr:twoCellAnchor editAs="oneCell">
        <xdr:from>
          <xdr:col>6</xdr:col>
          <xdr:colOff>19050</xdr:colOff>
          <xdr:row>3</xdr:row>
          <xdr:rowOff>0</xdr:rowOff>
        </xdr:from>
        <xdr:to>
          <xdr:col>8</xdr:col>
          <xdr:colOff>571500</xdr:colOff>
          <xdr:row>4</xdr:row>
          <xdr:rowOff>0</xdr:rowOff>
        </xdr:to>
        <xdr:sp macro="" textlink="">
          <xdr:nvSpPr>
            <xdr:cNvPr id="177161" name="Drop Down 9" hidden="1">
              <a:extLst>
                <a:ext uri="{63B3BB69-23CF-44E3-9099-C40C66FF867C}">
                  <a14:compatExt spid="_x0000_s177161"/>
                </a:ext>
                <a:ext uri="{FF2B5EF4-FFF2-40B4-BE49-F238E27FC236}">
                  <a16:creationId xmlns:a16="http://schemas.microsoft.com/office/drawing/2014/main" id="{00000000-0008-0000-2200-000009B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xdr:col>
      <xdr:colOff>273050</xdr:colOff>
      <xdr:row>122</xdr:row>
      <xdr:rowOff>25400</xdr:rowOff>
    </xdr:from>
    <xdr:to>
      <xdr:col>1</xdr:col>
      <xdr:colOff>444500</xdr:colOff>
      <xdr:row>123</xdr:row>
      <xdr:rowOff>6350</xdr:rowOff>
    </xdr:to>
    <xdr:pic>
      <xdr:nvPicPr>
        <xdr:cNvPr id="30" name="Picture 30">
          <a:extLst>
            <a:ext uri="{FF2B5EF4-FFF2-40B4-BE49-F238E27FC236}">
              <a16:creationId xmlns:a16="http://schemas.microsoft.com/office/drawing/2014/main" id="{00000000-0008-0000-2200-00001E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61950" y="23710900"/>
          <a:ext cx="17145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273050</xdr:colOff>
      <xdr:row>124</xdr:row>
      <xdr:rowOff>19050</xdr:rowOff>
    </xdr:from>
    <xdr:to>
      <xdr:col>1</xdr:col>
      <xdr:colOff>425450</xdr:colOff>
      <xdr:row>125</xdr:row>
      <xdr:rowOff>19050</xdr:rowOff>
    </xdr:to>
    <xdr:pic>
      <xdr:nvPicPr>
        <xdr:cNvPr id="31" name="Picture 31">
          <a:extLst>
            <a:ext uri="{FF2B5EF4-FFF2-40B4-BE49-F238E27FC236}">
              <a16:creationId xmlns:a16="http://schemas.microsoft.com/office/drawing/2014/main" id="{00000000-0008-0000-2200-00001F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1950" y="24085550"/>
          <a:ext cx="158750" cy="17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xdr:col>
      <xdr:colOff>196850</xdr:colOff>
      <xdr:row>32</xdr:row>
      <xdr:rowOff>152400</xdr:rowOff>
    </xdr:from>
    <xdr:to>
      <xdr:col>1</xdr:col>
      <xdr:colOff>342900</xdr:colOff>
      <xdr:row>33</xdr:row>
      <xdr:rowOff>101600</xdr:rowOff>
    </xdr:to>
    <xdr:pic>
      <xdr:nvPicPr>
        <xdr:cNvPr id="14" name="Obrázek 18" descr="Info.gif">
          <a:extLst>
            <a:ext uri="{FF2B5EF4-FFF2-40B4-BE49-F238E27FC236}">
              <a16:creationId xmlns:a16="http://schemas.microsoft.com/office/drawing/2014/main" id="{00000000-0008-0000-2300-00000E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0" y="5264150"/>
          <a:ext cx="14605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44450</xdr:colOff>
      <xdr:row>99</xdr:row>
      <xdr:rowOff>12700</xdr:rowOff>
    </xdr:from>
    <xdr:to>
      <xdr:col>1</xdr:col>
      <xdr:colOff>190500</xdr:colOff>
      <xdr:row>99</xdr:row>
      <xdr:rowOff>177800</xdr:rowOff>
    </xdr:to>
    <xdr:pic>
      <xdr:nvPicPr>
        <xdr:cNvPr id="15" name="Obrázek 19" descr="Help.gif">
          <a:extLst>
            <a:ext uri="{FF2B5EF4-FFF2-40B4-BE49-F238E27FC236}">
              <a16:creationId xmlns:a16="http://schemas.microsoft.com/office/drawing/2014/main" id="{00000000-0008-0000-2300-00000F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3350" y="61309250"/>
          <a:ext cx="1460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4</xdr:col>
          <xdr:colOff>9525</xdr:colOff>
          <xdr:row>6</xdr:row>
          <xdr:rowOff>0</xdr:rowOff>
        </xdr:from>
        <xdr:to>
          <xdr:col>7</xdr:col>
          <xdr:colOff>0</xdr:colOff>
          <xdr:row>7</xdr:row>
          <xdr:rowOff>0</xdr:rowOff>
        </xdr:to>
        <xdr:sp macro="" textlink="">
          <xdr:nvSpPr>
            <xdr:cNvPr id="92161" name="Drop Down 1" hidden="1">
              <a:extLst>
                <a:ext uri="{63B3BB69-23CF-44E3-9099-C40C66FF867C}">
                  <a14:compatExt spid="_x0000_s92161"/>
                </a:ext>
                <a:ext uri="{FF2B5EF4-FFF2-40B4-BE49-F238E27FC236}">
                  <a16:creationId xmlns:a16="http://schemas.microsoft.com/office/drawing/2014/main" id="{00000000-0008-0000-2300-0000016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361950</xdr:colOff>
          <xdr:row>14</xdr:row>
          <xdr:rowOff>200025</xdr:rowOff>
        </xdr:from>
        <xdr:to>
          <xdr:col>3</xdr:col>
          <xdr:colOff>542925</xdr:colOff>
          <xdr:row>16</xdr:row>
          <xdr:rowOff>19050</xdr:rowOff>
        </xdr:to>
        <xdr:sp macro="" textlink="">
          <xdr:nvSpPr>
            <xdr:cNvPr id="92163" name="Check Box 3" hidden="1">
              <a:extLst>
                <a:ext uri="{63B3BB69-23CF-44E3-9099-C40C66FF867C}">
                  <a14:compatExt spid="_x0000_s92163"/>
                </a:ext>
                <a:ext uri="{FF2B5EF4-FFF2-40B4-BE49-F238E27FC236}">
                  <a16:creationId xmlns:a16="http://schemas.microsoft.com/office/drawing/2014/main" id="{00000000-0008-0000-2300-000003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25</xdr:row>
          <xdr:rowOff>180975</xdr:rowOff>
        </xdr:from>
        <xdr:to>
          <xdr:col>3</xdr:col>
          <xdr:colOff>533400</xdr:colOff>
          <xdr:row>27</xdr:row>
          <xdr:rowOff>0</xdr:rowOff>
        </xdr:to>
        <xdr:sp macro="" textlink="">
          <xdr:nvSpPr>
            <xdr:cNvPr id="92164" name="Check Box 4" hidden="1">
              <a:extLst>
                <a:ext uri="{63B3BB69-23CF-44E3-9099-C40C66FF867C}">
                  <a14:compatExt spid="_x0000_s92164"/>
                </a:ext>
                <a:ext uri="{FF2B5EF4-FFF2-40B4-BE49-F238E27FC236}">
                  <a16:creationId xmlns:a16="http://schemas.microsoft.com/office/drawing/2014/main" id="{00000000-0008-0000-2300-000004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0</xdr:rowOff>
        </xdr:from>
        <xdr:to>
          <xdr:col>3</xdr:col>
          <xdr:colOff>209550</xdr:colOff>
          <xdr:row>10</xdr:row>
          <xdr:rowOff>0</xdr:rowOff>
        </xdr:to>
        <xdr:sp macro="" textlink="">
          <xdr:nvSpPr>
            <xdr:cNvPr id="92165" name="Drop Down 5" hidden="1">
              <a:extLst>
                <a:ext uri="{63B3BB69-23CF-44E3-9099-C40C66FF867C}">
                  <a14:compatExt spid="_x0000_s92165"/>
                </a:ext>
                <a:ext uri="{FF2B5EF4-FFF2-40B4-BE49-F238E27FC236}">
                  <a16:creationId xmlns:a16="http://schemas.microsoft.com/office/drawing/2014/main" id="{00000000-0008-0000-2300-0000056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3</xdr:col>
          <xdr:colOff>209550</xdr:colOff>
          <xdr:row>21</xdr:row>
          <xdr:rowOff>0</xdr:rowOff>
        </xdr:to>
        <xdr:sp macro="" textlink="">
          <xdr:nvSpPr>
            <xdr:cNvPr id="92166" name="Drop Down 6" hidden="1">
              <a:extLst>
                <a:ext uri="{63B3BB69-23CF-44E3-9099-C40C66FF867C}">
                  <a14:compatExt spid="_x0000_s92166"/>
                </a:ext>
                <a:ext uri="{FF2B5EF4-FFF2-40B4-BE49-F238E27FC236}">
                  <a16:creationId xmlns:a16="http://schemas.microsoft.com/office/drawing/2014/main" id="{00000000-0008-0000-2300-0000066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11</xdr:col>
      <xdr:colOff>101600</xdr:colOff>
      <xdr:row>6</xdr:row>
      <xdr:rowOff>0</xdr:rowOff>
    </xdr:from>
    <xdr:to>
      <xdr:col>12</xdr:col>
      <xdr:colOff>0</xdr:colOff>
      <xdr:row>8</xdr:row>
      <xdr:rowOff>82550</xdr:rowOff>
    </xdr:to>
    <xdr:pic>
      <xdr:nvPicPr>
        <xdr:cNvPr id="23" name="Obrázek 4">
          <a:extLst>
            <a:ext uri="{FF2B5EF4-FFF2-40B4-BE49-F238E27FC236}">
              <a16:creationId xmlns:a16="http://schemas.microsoft.com/office/drawing/2014/main" id="{00000000-0008-0000-2300-00001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23000" y="958850"/>
          <a:ext cx="11049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31750</xdr:colOff>
      <xdr:row>14</xdr:row>
      <xdr:rowOff>25400</xdr:rowOff>
    </xdr:from>
    <xdr:to>
      <xdr:col>3</xdr:col>
      <xdr:colOff>215900</xdr:colOff>
      <xdr:row>14</xdr:row>
      <xdr:rowOff>190500</xdr:rowOff>
    </xdr:to>
    <xdr:pic>
      <xdr:nvPicPr>
        <xdr:cNvPr id="24" name="Obrázek 8" descr="Weight.gif">
          <a:extLst>
            <a:ext uri="{FF2B5EF4-FFF2-40B4-BE49-F238E27FC236}">
              <a16:creationId xmlns:a16="http://schemas.microsoft.com/office/drawing/2014/main" id="{00000000-0008-0000-2300-000018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27150" y="2806700"/>
          <a:ext cx="1841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31750</xdr:colOff>
      <xdr:row>25</xdr:row>
      <xdr:rowOff>25400</xdr:rowOff>
    </xdr:from>
    <xdr:to>
      <xdr:col>3</xdr:col>
      <xdr:colOff>215900</xdr:colOff>
      <xdr:row>25</xdr:row>
      <xdr:rowOff>190500</xdr:rowOff>
    </xdr:to>
    <xdr:pic>
      <xdr:nvPicPr>
        <xdr:cNvPr id="25" name="Obrázek 8" descr="Weight.gif">
          <a:extLst>
            <a:ext uri="{FF2B5EF4-FFF2-40B4-BE49-F238E27FC236}">
              <a16:creationId xmlns:a16="http://schemas.microsoft.com/office/drawing/2014/main" id="{00000000-0008-0000-2300-000019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27150" y="2806700"/>
          <a:ext cx="1841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9</xdr:col>
      <xdr:colOff>323850</xdr:colOff>
      <xdr:row>4</xdr:row>
      <xdr:rowOff>25400</xdr:rowOff>
    </xdr:from>
    <xdr:ext cx="139700" cy="158750"/>
    <xdr:pic>
      <xdr:nvPicPr>
        <xdr:cNvPr id="26" name="Obrázek 28" descr="Info.gif">
          <a:extLst>
            <a:ext uri="{FF2B5EF4-FFF2-40B4-BE49-F238E27FC236}">
              <a16:creationId xmlns:a16="http://schemas.microsoft.com/office/drawing/2014/main" id="{00000000-0008-0000-2300-00001A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38750" y="577850"/>
          <a:ext cx="1397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mc:AlternateContent xmlns:mc="http://schemas.openxmlformats.org/markup-compatibility/2006">
    <mc:Choice xmlns:a14="http://schemas.microsoft.com/office/drawing/2010/main" Requires="a14">
      <xdr:twoCellAnchor editAs="oneCell">
        <xdr:from>
          <xdr:col>6</xdr:col>
          <xdr:colOff>9525</xdr:colOff>
          <xdr:row>3</xdr:row>
          <xdr:rowOff>0</xdr:rowOff>
        </xdr:from>
        <xdr:to>
          <xdr:col>9</xdr:col>
          <xdr:colOff>9525</xdr:colOff>
          <xdr:row>4</xdr:row>
          <xdr:rowOff>0</xdr:rowOff>
        </xdr:to>
        <xdr:sp macro="" textlink="">
          <xdr:nvSpPr>
            <xdr:cNvPr id="92167" name="Drop Down 7" hidden="1">
              <a:extLst>
                <a:ext uri="{63B3BB69-23CF-44E3-9099-C40C66FF867C}">
                  <a14:compatExt spid="_x0000_s92167"/>
                </a:ext>
                <a:ext uri="{FF2B5EF4-FFF2-40B4-BE49-F238E27FC236}">
                  <a16:creationId xmlns:a16="http://schemas.microsoft.com/office/drawing/2014/main" id="{00000000-0008-0000-2300-0000076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7.xml><?xml version="1.0" encoding="utf-8"?>
<xdr:wsDr xmlns:xdr="http://schemas.openxmlformats.org/drawingml/2006/spreadsheetDrawing" xmlns:a="http://schemas.openxmlformats.org/drawingml/2006/main">
  <xdr:twoCellAnchor editAs="oneCell">
    <xdr:from>
      <xdr:col>11</xdr:col>
      <xdr:colOff>76200</xdr:colOff>
      <xdr:row>7</xdr:row>
      <xdr:rowOff>146050</xdr:rowOff>
    </xdr:from>
    <xdr:to>
      <xdr:col>11</xdr:col>
      <xdr:colOff>1123950</xdr:colOff>
      <xdr:row>10</xdr:row>
      <xdr:rowOff>0</xdr:rowOff>
    </xdr:to>
    <xdr:pic>
      <xdr:nvPicPr>
        <xdr:cNvPr id="2" name="Obrázek 11" descr="S_front_HK_w.gif">
          <a:extLst>
            <a:ext uri="{FF2B5EF4-FFF2-40B4-BE49-F238E27FC236}">
              <a16:creationId xmlns:a16="http://schemas.microsoft.com/office/drawing/2014/main" id="{00000000-0008-0000-2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46800" y="1390650"/>
          <a:ext cx="104775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114300</xdr:colOff>
      <xdr:row>33</xdr:row>
      <xdr:rowOff>114300</xdr:rowOff>
    </xdr:from>
    <xdr:to>
      <xdr:col>1</xdr:col>
      <xdr:colOff>352425</xdr:colOff>
      <xdr:row>34</xdr:row>
      <xdr:rowOff>180975</xdr:rowOff>
    </xdr:to>
    <xdr:pic>
      <xdr:nvPicPr>
        <xdr:cNvPr id="3" name="Obrázek 23" descr="Notice.gif">
          <a:extLst>
            <a:ext uri="{FF2B5EF4-FFF2-40B4-BE49-F238E27FC236}">
              <a16:creationId xmlns:a16="http://schemas.microsoft.com/office/drawing/2014/main" id="{00000000-0008-0000-24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0025" y="6781800"/>
          <a:ext cx="2381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190500</xdr:colOff>
      <xdr:row>35</xdr:row>
      <xdr:rowOff>146050</xdr:rowOff>
    </xdr:from>
    <xdr:to>
      <xdr:col>1</xdr:col>
      <xdr:colOff>330200</xdr:colOff>
      <xdr:row>36</xdr:row>
      <xdr:rowOff>95250</xdr:rowOff>
    </xdr:to>
    <xdr:pic>
      <xdr:nvPicPr>
        <xdr:cNvPr id="4" name="Obrázek 25" descr="Info.gif">
          <a:extLst>
            <a:ext uri="{FF2B5EF4-FFF2-40B4-BE49-F238E27FC236}">
              <a16:creationId xmlns:a16="http://schemas.microsoft.com/office/drawing/2014/main" id="{00000000-0008-0000-24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9400" y="7308850"/>
          <a:ext cx="146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25400</xdr:colOff>
      <xdr:row>99</xdr:row>
      <xdr:rowOff>12700</xdr:rowOff>
    </xdr:from>
    <xdr:to>
      <xdr:col>1</xdr:col>
      <xdr:colOff>171450</xdr:colOff>
      <xdr:row>99</xdr:row>
      <xdr:rowOff>177800</xdr:rowOff>
    </xdr:to>
    <xdr:pic>
      <xdr:nvPicPr>
        <xdr:cNvPr id="5" name="Obrázek 26" descr="Help.gif">
          <a:extLst>
            <a:ext uri="{FF2B5EF4-FFF2-40B4-BE49-F238E27FC236}">
              <a16:creationId xmlns:a16="http://schemas.microsoft.com/office/drawing/2014/main" id="{00000000-0008-0000-2400-000005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14300" y="18796000"/>
          <a:ext cx="1460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3</xdr:col>
          <xdr:colOff>19050</xdr:colOff>
          <xdr:row>6</xdr:row>
          <xdr:rowOff>9525</xdr:rowOff>
        </xdr:from>
        <xdr:to>
          <xdr:col>5</xdr:col>
          <xdr:colOff>571500</xdr:colOff>
          <xdr:row>7</xdr:row>
          <xdr:rowOff>0</xdr:rowOff>
        </xdr:to>
        <xdr:sp macro="" textlink="">
          <xdr:nvSpPr>
            <xdr:cNvPr id="192513" name="Drop Down 1" hidden="1">
              <a:extLst>
                <a:ext uri="{63B3BB69-23CF-44E3-9099-C40C66FF867C}">
                  <a14:compatExt spid="_x0000_s192513"/>
                </a:ext>
                <a:ext uri="{FF2B5EF4-FFF2-40B4-BE49-F238E27FC236}">
                  <a16:creationId xmlns:a16="http://schemas.microsoft.com/office/drawing/2014/main" id="{00000000-0008-0000-2400-000001F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409575</xdr:colOff>
          <xdr:row>14</xdr:row>
          <xdr:rowOff>180975</xdr:rowOff>
        </xdr:from>
        <xdr:to>
          <xdr:col>3</xdr:col>
          <xdr:colOff>95250</xdr:colOff>
          <xdr:row>16</xdr:row>
          <xdr:rowOff>0</xdr:rowOff>
        </xdr:to>
        <xdr:sp macro="" textlink="">
          <xdr:nvSpPr>
            <xdr:cNvPr id="192514" name="Check Box 2" hidden="1">
              <a:extLst>
                <a:ext uri="{63B3BB69-23CF-44E3-9099-C40C66FF867C}">
                  <a14:compatExt spid="_x0000_s192514"/>
                </a:ext>
                <a:ext uri="{FF2B5EF4-FFF2-40B4-BE49-F238E27FC236}">
                  <a16:creationId xmlns:a16="http://schemas.microsoft.com/office/drawing/2014/main" id="{00000000-0008-0000-2400-000002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409575</xdr:colOff>
          <xdr:row>25</xdr:row>
          <xdr:rowOff>180975</xdr:rowOff>
        </xdr:from>
        <xdr:to>
          <xdr:col>3</xdr:col>
          <xdr:colOff>95250</xdr:colOff>
          <xdr:row>27</xdr:row>
          <xdr:rowOff>0</xdr:rowOff>
        </xdr:to>
        <xdr:sp macro="" textlink="">
          <xdr:nvSpPr>
            <xdr:cNvPr id="192515" name="Check Box 3" hidden="1">
              <a:extLst>
                <a:ext uri="{63B3BB69-23CF-44E3-9099-C40C66FF867C}">
                  <a14:compatExt spid="_x0000_s192515"/>
                </a:ext>
                <a:ext uri="{FF2B5EF4-FFF2-40B4-BE49-F238E27FC236}">
                  <a16:creationId xmlns:a16="http://schemas.microsoft.com/office/drawing/2014/main" id="{00000000-0008-0000-2400-000003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0</xdr:rowOff>
        </xdr:from>
        <xdr:to>
          <xdr:col>2</xdr:col>
          <xdr:colOff>571500</xdr:colOff>
          <xdr:row>10</xdr:row>
          <xdr:rowOff>0</xdr:rowOff>
        </xdr:to>
        <xdr:sp macro="" textlink="">
          <xdr:nvSpPr>
            <xdr:cNvPr id="192516" name="Drop Down 4" hidden="1">
              <a:extLst>
                <a:ext uri="{63B3BB69-23CF-44E3-9099-C40C66FF867C}">
                  <a14:compatExt spid="_x0000_s192516"/>
                </a:ext>
                <a:ext uri="{FF2B5EF4-FFF2-40B4-BE49-F238E27FC236}">
                  <a16:creationId xmlns:a16="http://schemas.microsoft.com/office/drawing/2014/main" id="{00000000-0008-0000-2400-000004F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571500</xdr:colOff>
          <xdr:row>21</xdr:row>
          <xdr:rowOff>0</xdr:rowOff>
        </xdr:to>
        <xdr:sp macro="" textlink="">
          <xdr:nvSpPr>
            <xdr:cNvPr id="192517" name="Drop Down 5" hidden="1">
              <a:extLst>
                <a:ext uri="{63B3BB69-23CF-44E3-9099-C40C66FF867C}">
                  <a14:compatExt spid="_x0000_s192517"/>
                </a:ext>
                <a:ext uri="{FF2B5EF4-FFF2-40B4-BE49-F238E27FC236}">
                  <a16:creationId xmlns:a16="http://schemas.microsoft.com/office/drawing/2014/main" id="{00000000-0008-0000-2400-000005F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3</xdr:col>
      <xdr:colOff>25400</xdr:colOff>
      <xdr:row>14</xdr:row>
      <xdr:rowOff>19050</xdr:rowOff>
    </xdr:from>
    <xdr:to>
      <xdr:col>3</xdr:col>
      <xdr:colOff>209550</xdr:colOff>
      <xdr:row>14</xdr:row>
      <xdr:rowOff>177800</xdr:rowOff>
    </xdr:to>
    <xdr:pic>
      <xdr:nvPicPr>
        <xdr:cNvPr id="6" name="Obrázek 16" descr="Weight.gif">
          <a:extLst>
            <a:ext uri="{FF2B5EF4-FFF2-40B4-BE49-F238E27FC236}">
              <a16:creationId xmlns:a16="http://schemas.microsoft.com/office/drawing/2014/main" id="{00000000-0008-0000-2400-000006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308100" y="2800350"/>
          <a:ext cx="1841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25400</xdr:colOff>
      <xdr:row>25</xdr:row>
      <xdr:rowOff>19050</xdr:rowOff>
    </xdr:from>
    <xdr:to>
      <xdr:col>3</xdr:col>
      <xdr:colOff>209550</xdr:colOff>
      <xdr:row>25</xdr:row>
      <xdr:rowOff>177800</xdr:rowOff>
    </xdr:to>
    <xdr:pic>
      <xdr:nvPicPr>
        <xdr:cNvPr id="7" name="Obrázek 16" descr="Weight.gif">
          <a:extLst>
            <a:ext uri="{FF2B5EF4-FFF2-40B4-BE49-F238E27FC236}">
              <a16:creationId xmlns:a16="http://schemas.microsoft.com/office/drawing/2014/main" id="{00000000-0008-0000-2400-000007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308100" y="5149850"/>
          <a:ext cx="1841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9</xdr:col>
      <xdr:colOff>336550</xdr:colOff>
      <xdr:row>4</xdr:row>
      <xdr:rowOff>19050</xdr:rowOff>
    </xdr:from>
    <xdr:ext cx="139700" cy="158750"/>
    <xdr:pic>
      <xdr:nvPicPr>
        <xdr:cNvPr id="8" name="Obrázek 28" descr="Info.gif">
          <a:extLst>
            <a:ext uri="{FF2B5EF4-FFF2-40B4-BE49-F238E27FC236}">
              <a16:creationId xmlns:a16="http://schemas.microsoft.com/office/drawing/2014/main" id="{00000000-0008-0000-2400-000008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00650" y="571500"/>
          <a:ext cx="1397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mc:AlternateContent xmlns:mc="http://schemas.openxmlformats.org/markup-compatibility/2006">
    <mc:Choice xmlns:a14="http://schemas.microsoft.com/office/drawing/2010/main" Requires="a14">
      <xdr:twoCellAnchor editAs="oneCell">
        <xdr:from>
          <xdr:col>6</xdr:col>
          <xdr:colOff>9525</xdr:colOff>
          <xdr:row>3</xdr:row>
          <xdr:rowOff>0</xdr:rowOff>
        </xdr:from>
        <xdr:to>
          <xdr:col>9</xdr:col>
          <xdr:colOff>0</xdr:colOff>
          <xdr:row>4</xdr:row>
          <xdr:rowOff>0</xdr:rowOff>
        </xdr:to>
        <xdr:sp macro="" textlink="">
          <xdr:nvSpPr>
            <xdr:cNvPr id="192518" name="Drop Down 6" hidden="1">
              <a:extLst>
                <a:ext uri="{63B3BB69-23CF-44E3-9099-C40C66FF867C}">
                  <a14:compatExt spid="_x0000_s192518"/>
                </a:ext>
                <a:ext uri="{FF2B5EF4-FFF2-40B4-BE49-F238E27FC236}">
                  <a16:creationId xmlns:a16="http://schemas.microsoft.com/office/drawing/2014/main" id="{00000000-0008-0000-2400-000006F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8.xml><?xml version="1.0" encoding="utf-8"?>
<xdr:wsDr xmlns:xdr="http://schemas.openxmlformats.org/drawingml/2006/spreadsheetDrawing" xmlns:a="http://schemas.openxmlformats.org/drawingml/2006/main">
  <xdr:twoCellAnchor editAs="oneCell">
    <xdr:from>
      <xdr:col>11</xdr:col>
      <xdr:colOff>76200</xdr:colOff>
      <xdr:row>7</xdr:row>
      <xdr:rowOff>146050</xdr:rowOff>
    </xdr:from>
    <xdr:to>
      <xdr:col>11</xdr:col>
      <xdr:colOff>1123950</xdr:colOff>
      <xdr:row>10</xdr:row>
      <xdr:rowOff>28575</xdr:rowOff>
    </xdr:to>
    <xdr:pic>
      <xdr:nvPicPr>
        <xdr:cNvPr id="12" name="Obrázek 18" descr="S_front_HK_wa.gif">
          <a:extLst>
            <a:ext uri="{FF2B5EF4-FFF2-40B4-BE49-F238E27FC236}">
              <a16:creationId xmlns:a16="http://schemas.microsoft.com/office/drawing/2014/main" id="{00000000-0008-0000-2500-00000C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46800" y="1390650"/>
          <a:ext cx="10477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400050</xdr:colOff>
      <xdr:row>35</xdr:row>
      <xdr:rowOff>19050</xdr:rowOff>
    </xdr:from>
    <xdr:to>
      <xdr:col>1</xdr:col>
      <xdr:colOff>542925</xdr:colOff>
      <xdr:row>35</xdr:row>
      <xdr:rowOff>171450</xdr:rowOff>
    </xdr:to>
    <xdr:pic>
      <xdr:nvPicPr>
        <xdr:cNvPr id="4" name="Obrázek 25" descr="Info.gif">
          <a:extLst>
            <a:ext uri="{FF2B5EF4-FFF2-40B4-BE49-F238E27FC236}">
              <a16:creationId xmlns:a16="http://schemas.microsoft.com/office/drawing/2014/main" id="{00000000-0008-0000-25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950" y="8197850"/>
          <a:ext cx="146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25400</xdr:colOff>
      <xdr:row>99</xdr:row>
      <xdr:rowOff>12700</xdr:rowOff>
    </xdr:from>
    <xdr:to>
      <xdr:col>1</xdr:col>
      <xdr:colOff>171450</xdr:colOff>
      <xdr:row>99</xdr:row>
      <xdr:rowOff>180975</xdr:rowOff>
    </xdr:to>
    <xdr:pic>
      <xdr:nvPicPr>
        <xdr:cNvPr id="5" name="Obrázek 26" descr="Help.gif">
          <a:extLst>
            <a:ext uri="{FF2B5EF4-FFF2-40B4-BE49-F238E27FC236}">
              <a16:creationId xmlns:a16="http://schemas.microsoft.com/office/drawing/2014/main" id="{00000000-0008-0000-2500-000005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4300" y="18796000"/>
          <a:ext cx="1460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3</xdr:col>
          <xdr:colOff>19050</xdr:colOff>
          <xdr:row>6</xdr:row>
          <xdr:rowOff>9525</xdr:rowOff>
        </xdr:from>
        <xdr:to>
          <xdr:col>5</xdr:col>
          <xdr:colOff>571500</xdr:colOff>
          <xdr:row>7</xdr:row>
          <xdr:rowOff>0</xdr:rowOff>
        </xdr:to>
        <xdr:sp macro="" textlink="">
          <xdr:nvSpPr>
            <xdr:cNvPr id="201729" name="Drop Down 1" hidden="1">
              <a:extLst>
                <a:ext uri="{63B3BB69-23CF-44E3-9099-C40C66FF867C}">
                  <a14:compatExt spid="_x0000_s201729"/>
                </a:ext>
                <a:ext uri="{FF2B5EF4-FFF2-40B4-BE49-F238E27FC236}">
                  <a16:creationId xmlns:a16="http://schemas.microsoft.com/office/drawing/2014/main" id="{00000000-0008-0000-2500-00000114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0</xdr:rowOff>
        </xdr:from>
        <xdr:to>
          <xdr:col>2</xdr:col>
          <xdr:colOff>571500</xdr:colOff>
          <xdr:row>10</xdr:row>
          <xdr:rowOff>0</xdr:rowOff>
        </xdr:to>
        <xdr:sp macro="" textlink="">
          <xdr:nvSpPr>
            <xdr:cNvPr id="201732" name="Drop Down 4" hidden="1">
              <a:extLst>
                <a:ext uri="{63B3BB69-23CF-44E3-9099-C40C66FF867C}">
                  <a14:compatExt spid="_x0000_s201732"/>
                </a:ext>
                <a:ext uri="{FF2B5EF4-FFF2-40B4-BE49-F238E27FC236}">
                  <a16:creationId xmlns:a16="http://schemas.microsoft.com/office/drawing/2014/main" id="{00000000-0008-0000-2500-00000414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571500</xdr:colOff>
          <xdr:row>21</xdr:row>
          <xdr:rowOff>0</xdr:rowOff>
        </xdr:to>
        <xdr:sp macro="" textlink="">
          <xdr:nvSpPr>
            <xdr:cNvPr id="201733" name="Drop Down 5" hidden="1">
              <a:extLst>
                <a:ext uri="{63B3BB69-23CF-44E3-9099-C40C66FF867C}">
                  <a14:compatExt spid="_x0000_s201733"/>
                </a:ext>
                <a:ext uri="{FF2B5EF4-FFF2-40B4-BE49-F238E27FC236}">
                  <a16:creationId xmlns:a16="http://schemas.microsoft.com/office/drawing/2014/main" id="{00000000-0008-0000-2500-00000514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3</xdr:col>
      <xdr:colOff>25400</xdr:colOff>
      <xdr:row>14</xdr:row>
      <xdr:rowOff>19050</xdr:rowOff>
    </xdr:from>
    <xdr:to>
      <xdr:col>3</xdr:col>
      <xdr:colOff>209550</xdr:colOff>
      <xdr:row>14</xdr:row>
      <xdr:rowOff>180975</xdr:rowOff>
    </xdr:to>
    <xdr:pic>
      <xdr:nvPicPr>
        <xdr:cNvPr id="6" name="Obrázek 16" descr="Weight.gif">
          <a:extLst>
            <a:ext uri="{FF2B5EF4-FFF2-40B4-BE49-F238E27FC236}">
              <a16:creationId xmlns:a16="http://schemas.microsoft.com/office/drawing/2014/main" id="{00000000-0008-0000-2500-000006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08100" y="2800350"/>
          <a:ext cx="1841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25400</xdr:colOff>
      <xdr:row>25</xdr:row>
      <xdr:rowOff>19050</xdr:rowOff>
    </xdr:from>
    <xdr:to>
      <xdr:col>3</xdr:col>
      <xdr:colOff>209550</xdr:colOff>
      <xdr:row>25</xdr:row>
      <xdr:rowOff>180975</xdr:rowOff>
    </xdr:to>
    <xdr:pic>
      <xdr:nvPicPr>
        <xdr:cNvPr id="7" name="Obrázek 16" descr="Weight.gif">
          <a:extLst>
            <a:ext uri="{FF2B5EF4-FFF2-40B4-BE49-F238E27FC236}">
              <a16:creationId xmlns:a16="http://schemas.microsoft.com/office/drawing/2014/main" id="{00000000-0008-0000-2500-000007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08100" y="5149850"/>
          <a:ext cx="1841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9</xdr:col>
      <xdr:colOff>336550</xdr:colOff>
      <xdr:row>4</xdr:row>
      <xdr:rowOff>19050</xdr:rowOff>
    </xdr:from>
    <xdr:ext cx="139700" cy="158750"/>
    <xdr:pic>
      <xdr:nvPicPr>
        <xdr:cNvPr id="8" name="Obrázek 28" descr="Info.gif">
          <a:extLst>
            <a:ext uri="{FF2B5EF4-FFF2-40B4-BE49-F238E27FC236}">
              <a16:creationId xmlns:a16="http://schemas.microsoft.com/office/drawing/2014/main" id="{00000000-0008-0000-2500-000008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200650" y="571500"/>
          <a:ext cx="1397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mc:AlternateContent xmlns:mc="http://schemas.openxmlformats.org/markup-compatibility/2006">
    <mc:Choice xmlns:a14="http://schemas.microsoft.com/office/drawing/2010/main" Requires="a14">
      <xdr:twoCellAnchor editAs="oneCell">
        <xdr:from>
          <xdr:col>6</xdr:col>
          <xdr:colOff>9525</xdr:colOff>
          <xdr:row>3</xdr:row>
          <xdr:rowOff>0</xdr:rowOff>
        </xdr:from>
        <xdr:to>
          <xdr:col>9</xdr:col>
          <xdr:colOff>0</xdr:colOff>
          <xdr:row>4</xdr:row>
          <xdr:rowOff>0</xdr:rowOff>
        </xdr:to>
        <xdr:sp macro="" textlink="">
          <xdr:nvSpPr>
            <xdr:cNvPr id="201734" name="Drop Down 6" hidden="1">
              <a:extLst>
                <a:ext uri="{63B3BB69-23CF-44E3-9099-C40C66FF867C}">
                  <a14:compatExt spid="_x0000_s201734"/>
                </a:ext>
                <a:ext uri="{FF2B5EF4-FFF2-40B4-BE49-F238E27FC236}">
                  <a16:creationId xmlns:a16="http://schemas.microsoft.com/office/drawing/2014/main" id="{00000000-0008-0000-2500-00000614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xdr:col>
      <xdr:colOff>12700</xdr:colOff>
      <xdr:row>4</xdr:row>
      <xdr:rowOff>158750</xdr:rowOff>
    </xdr:from>
    <xdr:to>
      <xdr:col>1</xdr:col>
      <xdr:colOff>257175</xdr:colOff>
      <xdr:row>5</xdr:row>
      <xdr:rowOff>219075</xdr:rowOff>
    </xdr:to>
    <xdr:pic>
      <xdr:nvPicPr>
        <xdr:cNvPr id="9" name="Obrázek 11" descr="Notice.gif">
          <a:extLst>
            <a:ext uri="{FF2B5EF4-FFF2-40B4-BE49-F238E27FC236}">
              <a16:creationId xmlns:a16="http://schemas.microsoft.com/office/drawing/2014/main" id="{00000000-0008-0000-2500-000009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1600" y="711200"/>
          <a:ext cx="2413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95250</xdr:colOff>
      <xdr:row>5</xdr:row>
      <xdr:rowOff>50800</xdr:rowOff>
    </xdr:from>
    <xdr:to>
      <xdr:col>2</xdr:col>
      <xdr:colOff>542925</xdr:colOff>
      <xdr:row>5</xdr:row>
      <xdr:rowOff>228600</xdr:rowOff>
    </xdr:to>
    <xdr:pic>
      <xdr:nvPicPr>
        <xdr:cNvPr id="10" name="Obrázek 25" descr="Alu_narr.gif">
          <a:extLst>
            <a:ext uri="{FF2B5EF4-FFF2-40B4-BE49-F238E27FC236}">
              <a16:creationId xmlns:a16="http://schemas.microsoft.com/office/drawing/2014/main" id="{00000000-0008-0000-2500-00000A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81050" y="806450"/>
          <a:ext cx="450850" cy="17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63500</xdr:colOff>
      <xdr:row>5</xdr:row>
      <xdr:rowOff>12700</xdr:rowOff>
    </xdr:from>
    <xdr:to>
      <xdr:col>4</xdr:col>
      <xdr:colOff>504825</xdr:colOff>
      <xdr:row>5</xdr:row>
      <xdr:rowOff>219075</xdr:rowOff>
    </xdr:to>
    <xdr:pic>
      <xdr:nvPicPr>
        <xdr:cNvPr id="11" name="Obrázek 26" descr="Alu_wide.gif">
          <a:extLst>
            <a:ext uri="{FF2B5EF4-FFF2-40B4-BE49-F238E27FC236}">
              <a16:creationId xmlns:a16="http://schemas.microsoft.com/office/drawing/2014/main" id="{00000000-0008-0000-2500-00000B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943100" y="768350"/>
          <a:ext cx="4445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400050</xdr:colOff>
          <xdr:row>5</xdr:row>
          <xdr:rowOff>9525</xdr:rowOff>
        </xdr:from>
        <xdr:to>
          <xdr:col>2</xdr:col>
          <xdr:colOff>85725</xdr:colOff>
          <xdr:row>5</xdr:row>
          <xdr:rowOff>219075</xdr:rowOff>
        </xdr:to>
        <xdr:sp macro="" textlink="">
          <xdr:nvSpPr>
            <xdr:cNvPr id="201735" name="Option Button 7" hidden="1">
              <a:extLst>
                <a:ext uri="{63B3BB69-23CF-44E3-9099-C40C66FF867C}">
                  <a14:compatExt spid="_x0000_s201735"/>
                </a:ext>
                <a:ext uri="{FF2B5EF4-FFF2-40B4-BE49-F238E27FC236}">
                  <a16:creationId xmlns:a16="http://schemas.microsoft.com/office/drawing/2014/main" id="{00000000-0008-0000-2500-0000071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390525</xdr:colOff>
          <xdr:row>5</xdr:row>
          <xdr:rowOff>19050</xdr:rowOff>
        </xdr:from>
        <xdr:to>
          <xdr:col>4</xdr:col>
          <xdr:colOff>66675</xdr:colOff>
          <xdr:row>5</xdr:row>
          <xdr:rowOff>247650</xdr:rowOff>
        </xdr:to>
        <xdr:sp macro="" textlink="">
          <xdr:nvSpPr>
            <xdr:cNvPr id="201736" name="Option Button 8" hidden="1">
              <a:extLst>
                <a:ext uri="{63B3BB69-23CF-44E3-9099-C40C66FF867C}">
                  <a14:compatExt spid="_x0000_s201736"/>
                </a:ext>
                <a:ext uri="{FF2B5EF4-FFF2-40B4-BE49-F238E27FC236}">
                  <a16:creationId xmlns:a16="http://schemas.microsoft.com/office/drawing/2014/main" id="{00000000-0008-0000-2500-0000081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57150</xdr:colOff>
      <xdr:row>121</xdr:row>
      <xdr:rowOff>25400</xdr:rowOff>
    </xdr:from>
    <xdr:to>
      <xdr:col>1</xdr:col>
      <xdr:colOff>504825</xdr:colOff>
      <xdr:row>122</xdr:row>
      <xdr:rowOff>9525</xdr:rowOff>
    </xdr:to>
    <xdr:pic>
      <xdr:nvPicPr>
        <xdr:cNvPr id="13" name="Obrázek 21" descr="Alu_narr.gif">
          <a:extLst>
            <a:ext uri="{FF2B5EF4-FFF2-40B4-BE49-F238E27FC236}">
              <a16:creationId xmlns:a16="http://schemas.microsoft.com/office/drawing/2014/main" id="{00000000-0008-0000-2500-00000D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46050" y="23209250"/>
          <a:ext cx="45085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63500</xdr:colOff>
      <xdr:row>122</xdr:row>
      <xdr:rowOff>177800</xdr:rowOff>
    </xdr:from>
    <xdr:to>
      <xdr:col>1</xdr:col>
      <xdr:colOff>504825</xdr:colOff>
      <xdr:row>124</xdr:row>
      <xdr:rowOff>9525</xdr:rowOff>
    </xdr:to>
    <xdr:pic>
      <xdr:nvPicPr>
        <xdr:cNvPr id="14" name="Picture 31">
          <a:extLst>
            <a:ext uri="{FF2B5EF4-FFF2-40B4-BE49-F238E27FC236}">
              <a16:creationId xmlns:a16="http://schemas.microsoft.com/office/drawing/2014/main" id="{00000000-0008-0000-2500-00000E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52400" y="23552150"/>
          <a:ext cx="438150" cy="17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11</xdr:col>
      <xdr:colOff>88900</xdr:colOff>
      <xdr:row>7</xdr:row>
      <xdr:rowOff>146050</xdr:rowOff>
    </xdr:from>
    <xdr:to>
      <xdr:col>11</xdr:col>
      <xdr:colOff>1123950</xdr:colOff>
      <xdr:row>10</xdr:row>
      <xdr:rowOff>19050</xdr:rowOff>
    </xdr:to>
    <xdr:pic>
      <xdr:nvPicPr>
        <xdr:cNvPr id="13" name="Obrázek 17" descr="S_front_HK_na.png">
          <a:extLst>
            <a:ext uri="{FF2B5EF4-FFF2-40B4-BE49-F238E27FC236}">
              <a16:creationId xmlns:a16="http://schemas.microsoft.com/office/drawing/2014/main" id="{00000000-0008-0000-2600-00000D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9500" y="1390650"/>
          <a:ext cx="1035050" cy="596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400050</xdr:colOff>
      <xdr:row>35</xdr:row>
      <xdr:rowOff>19050</xdr:rowOff>
    </xdr:from>
    <xdr:to>
      <xdr:col>1</xdr:col>
      <xdr:colOff>539750</xdr:colOff>
      <xdr:row>35</xdr:row>
      <xdr:rowOff>171450</xdr:rowOff>
    </xdr:to>
    <xdr:pic>
      <xdr:nvPicPr>
        <xdr:cNvPr id="3" name="Obrázek 25" descr="Info.gif">
          <a:extLst>
            <a:ext uri="{FF2B5EF4-FFF2-40B4-BE49-F238E27FC236}">
              <a16:creationId xmlns:a16="http://schemas.microsoft.com/office/drawing/2014/main" id="{00000000-0008-0000-26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950" y="6775450"/>
          <a:ext cx="146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25400</xdr:colOff>
      <xdr:row>99</xdr:row>
      <xdr:rowOff>12700</xdr:rowOff>
    </xdr:from>
    <xdr:to>
      <xdr:col>1</xdr:col>
      <xdr:colOff>171450</xdr:colOff>
      <xdr:row>99</xdr:row>
      <xdr:rowOff>177800</xdr:rowOff>
    </xdr:to>
    <xdr:pic>
      <xdr:nvPicPr>
        <xdr:cNvPr id="4" name="Obrázek 26" descr="Help.gif">
          <a:extLst>
            <a:ext uri="{FF2B5EF4-FFF2-40B4-BE49-F238E27FC236}">
              <a16:creationId xmlns:a16="http://schemas.microsoft.com/office/drawing/2014/main" id="{00000000-0008-0000-26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4300" y="18808700"/>
          <a:ext cx="1460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3</xdr:col>
          <xdr:colOff>19050</xdr:colOff>
          <xdr:row>6</xdr:row>
          <xdr:rowOff>9525</xdr:rowOff>
        </xdr:from>
        <xdr:to>
          <xdr:col>5</xdr:col>
          <xdr:colOff>571500</xdr:colOff>
          <xdr:row>7</xdr:row>
          <xdr:rowOff>0</xdr:rowOff>
        </xdr:to>
        <xdr:sp macro="" textlink="">
          <xdr:nvSpPr>
            <xdr:cNvPr id="202753" name="Drop Down 1" hidden="1">
              <a:extLst>
                <a:ext uri="{63B3BB69-23CF-44E3-9099-C40C66FF867C}">
                  <a14:compatExt spid="_x0000_s202753"/>
                </a:ext>
                <a:ext uri="{FF2B5EF4-FFF2-40B4-BE49-F238E27FC236}">
                  <a16:creationId xmlns:a16="http://schemas.microsoft.com/office/drawing/2014/main" id="{00000000-0008-0000-2600-00000118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0</xdr:rowOff>
        </xdr:from>
        <xdr:to>
          <xdr:col>2</xdr:col>
          <xdr:colOff>571500</xdr:colOff>
          <xdr:row>10</xdr:row>
          <xdr:rowOff>0</xdr:rowOff>
        </xdr:to>
        <xdr:sp macro="" textlink="">
          <xdr:nvSpPr>
            <xdr:cNvPr id="202754" name="Drop Down 2" hidden="1">
              <a:extLst>
                <a:ext uri="{63B3BB69-23CF-44E3-9099-C40C66FF867C}">
                  <a14:compatExt spid="_x0000_s202754"/>
                </a:ext>
                <a:ext uri="{FF2B5EF4-FFF2-40B4-BE49-F238E27FC236}">
                  <a16:creationId xmlns:a16="http://schemas.microsoft.com/office/drawing/2014/main" id="{00000000-0008-0000-2600-00000218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571500</xdr:colOff>
          <xdr:row>21</xdr:row>
          <xdr:rowOff>0</xdr:rowOff>
        </xdr:to>
        <xdr:sp macro="" textlink="">
          <xdr:nvSpPr>
            <xdr:cNvPr id="202755" name="Drop Down 3" hidden="1">
              <a:extLst>
                <a:ext uri="{63B3BB69-23CF-44E3-9099-C40C66FF867C}">
                  <a14:compatExt spid="_x0000_s202755"/>
                </a:ext>
                <a:ext uri="{FF2B5EF4-FFF2-40B4-BE49-F238E27FC236}">
                  <a16:creationId xmlns:a16="http://schemas.microsoft.com/office/drawing/2014/main" id="{00000000-0008-0000-2600-00000318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3</xdr:col>
      <xdr:colOff>25400</xdr:colOff>
      <xdr:row>14</xdr:row>
      <xdr:rowOff>19050</xdr:rowOff>
    </xdr:from>
    <xdr:to>
      <xdr:col>3</xdr:col>
      <xdr:colOff>209550</xdr:colOff>
      <xdr:row>14</xdr:row>
      <xdr:rowOff>177800</xdr:rowOff>
    </xdr:to>
    <xdr:pic>
      <xdr:nvPicPr>
        <xdr:cNvPr id="5" name="Obrázek 16" descr="Weight.gif">
          <a:extLst>
            <a:ext uri="{FF2B5EF4-FFF2-40B4-BE49-F238E27FC236}">
              <a16:creationId xmlns:a16="http://schemas.microsoft.com/office/drawing/2014/main" id="{00000000-0008-0000-2600-000005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08100" y="2800350"/>
          <a:ext cx="1841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25400</xdr:colOff>
      <xdr:row>25</xdr:row>
      <xdr:rowOff>19050</xdr:rowOff>
    </xdr:from>
    <xdr:to>
      <xdr:col>3</xdr:col>
      <xdr:colOff>209550</xdr:colOff>
      <xdr:row>25</xdr:row>
      <xdr:rowOff>177800</xdr:rowOff>
    </xdr:to>
    <xdr:pic>
      <xdr:nvPicPr>
        <xdr:cNvPr id="6" name="Obrázek 16" descr="Weight.gif">
          <a:extLst>
            <a:ext uri="{FF2B5EF4-FFF2-40B4-BE49-F238E27FC236}">
              <a16:creationId xmlns:a16="http://schemas.microsoft.com/office/drawing/2014/main" id="{00000000-0008-0000-2600-000006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08100" y="5149850"/>
          <a:ext cx="1841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9</xdr:col>
      <xdr:colOff>336550</xdr:colOff>
      <xdr:row>4</xdr:row>
      <xdr:rowOff>19050</xdr:rowOff>
    </xdr:from>
    <xdr:ext cx="139700" cy="158750"/>
    <xdr:pic>
      <xdr:nvPicPr>
        <xdr:cNvPr id="7" name="Obrázek 28" descr="Info.gif">
          <a:extLst>
            <a:ext uri="{FF2B5EF4-FFF2-40B4-BE49-F238E27FC236}">
              <a16:creationId xmlns:a16="http://schemas.microsoft.com/office/drawing/2014/main" id="{00000000-0008-0000-2600-000007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200650" y="571500"/>
          <a:ext cx="1397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mc:AlternateContent xmlns:mc="http://schemas.openxmlformats.org/markup-compatibility/2006">
    <mc:Choice xmlns:a14="http://schemas.microsoft.com/office/drawing/2010/main" Requires="a14">
      <xdr:twoCellAnchor editAs="oneCell">
        <xdr:from>
          <xdr:col>6</xdr:col>
          <xdr:colOff>9525</xdr:colOff>
          <xdr:row>3</xdr:row>
          <xdr:rowOff>0</xdr:rowOff>
        </xdr:from>
        <xdr:to>
          <xdr:col>9</xdr:col>
          <xdr:colOff>0</xdr:colOff>
          <xdr:row>4</xdr:row>
          <xdr:rowOff>0</xdr:rowOff>
        </xdr:to>
        <xdr:sp macro="" textlink="">
          <xdr:nvSpPr>
            <xdr:cNvPr id="202756" name="Drop Down 4" hidden="1">
              <a:extLst>
                <a:ext uri="{63B3BB69-23CF-44E3-9099-C40C66FF867C}">
                  <a14:compatExt spid="_x0000_s202756"/>
                </a:ext>
                <a:ext uri="{FF2B5EF4-FFF2-40B4-BE49-F238E27FC236}">
                  <a16:creationId xmlns:a16="http://schemas.microsoft.com/office/drawing/2014/main" id="{00000000-0008-0000-2600-00000418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xdr:col>
      <xdr:colOff>12700</xdr:colOff>
      <xdr:row>4</xdr:row>
      <xdr:rowOff>158750</xdr:rowOff>
    </xdr:from>
    <xdr:to>
      <xdr:col>1</xdr:col>
      <xdr:colOff>254000</xdr:colOff>
      <xdr:row>5</xdr:row>
      <xdr:rowOff>215900</xdr:rowOff>
    </xdr:to>
    <xdr:pic>
      <xdr:nvPicPr>
        <xdr:cNvPr id="8" name="Obrázek 11" descr="Notice.gif">
          <a:extLst>
            <a:ext uri="{FF2B5EF4-FFF2-40B4-BE49-F238E27FC236}">
              <a16:creationId xmlns:a16="http://schemas.microsoft.com/office/drawing/2014/main" id="{00000000-0008-0000-2600-000008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1600" y="711200"/>
          <a:ext cx="2413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400050</xdr:colOff>
          <xdr:row>5</xdr:row>
          <xdr:rowOff>9525</xdr:rowOff>
        </xdr:from>
        <xdr:to>
          <xdr:col>2</xdr:col>
          <xdr:colOff>85725</xdr:colOff>
          <xdr:row>5</xdr:row>
          <xdr:rowOff>219075</xdr:rowOff>
        </xdr:to>
        <xdr:sp macro="" textlink="">
          <xdr:nvSpPr>
            <xdr:cNvPr id="202757" name="Option Button 5" hidden="1">
              <a:extLst>
                <a:ext uri="{63B3BB69-23CF-44E3-9099-C40C66FF867C}">
                  <a14:compatExt spid="_x0000_s202757"/>
                </a:ext>
                <a:ext uri="{FF2B5EF4-FFF2-40B4-BE49-F238E27FC236}">
                  <a16:creationId xmlns:a16="http://schemas.microsoft.com/office/drawing/2014/main" id="{00000000-0008-0000-2600-0000051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390525</xdr:colOff>
          <xdr:row>5</xdr:row>
          <xdr:rowOff>19050</xdr:rowOff>
        </xdr:from>
        <xdr:to>
          <xdr:col>4</xdr:col>
          <xdr:colOff>66675</xdr:colOff>
          <xdr:row>5</xdr:row>
          <xdr:rowOff>247650</xdr:rowOff>
        </xdr:to>
        <xdr:sp macro="" textlink="">
          <xdr:nvSpPr>
            <xdr:cNvPr id="202758" name="Option Button 6" hidden="1">
              <a:extLst>
                <a:ext uri="{63B3BB69-23CF-44E3-9099-C40C66FF867C}">
                  <a14:compatExt spid="_x0000_s202758"/>
                </a:ext>
                <a:ext uri="{FF2B5EF4-FFF2-40B4-BE49-F238E27FC236}">
                  <a16:creationId xmlns:a16="http://schemas.microsoft.com/office/drawing/2014/main" id="{00000000-0008-0000-2600-0000061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57150</xdr:colOff>
      <xdr:row>121</xdr:row>
      <xdr:rowOff>25400</xdr:rowOff>
    </xdr:from>
    <xdr:to>
      <xdr:col>1</xdr:col>
      <xdr:colOff>501650</xdr:colOff>
      <xdr:row>122</xdr:row>
      <xdr:rowOff>6350</xdr:rowOff>
    </xdr:to>
    <xdr:pic>
      <xdr:nvPicPr>
        <xdr:cNvPr id="11" name="Obrázek 21" descr="Alu_narr.gif">
          <a:extLst>
            <a:ext uri="{FF2B5EF4-FFF2-40B4-BE49-F238E27FC236}">
              <a16:creationId xmlns:a16="http://schemas.microsoft.com/office/drawing/2014/main" id="{00000000-0008-0000-2600-00000B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46050" y="23158450"/>
          <a:ext cx="45085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63500</xdr:colOff>
      <xdr:row>122</xdr:row>
      <xdr:rowOff>177800</xdr:rowOff>
    </xdr:from>
    <xdr:to>
      <xdr:col>1</xdr:col>
      <xdr:colOff>501650</xdr:colOff>
      <xdr:row>124</xdr:row>
      <xdr:rowOff>6350</xdr:rowOff>
    </xdr:to>
    <xdr:pic>
      <xdr:nvPicPr>
        <xdr:cNvPr id="12" name="Picture 31">
          <a:extLst>
            <a:ext uri="{FF2B5EF4-FFF2-40B4-BE49-F238E27FC236}">
              <a16:creationId xmlns:a16="http://schemas.microsoft.com/office/drawing/2014/main" id="{00000000-0008-0000-2600-00000C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52400" y="23501350"/>
          <a:ext cx="438150" cy="17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95250</xdr:colOff>
      <xdr:row>5</xdr:row>
      <xdr:rowOff>31750</xdr:rowOff>
    </xdr:from>
    <xdr:to>
      <xdr:col>2</xdr:col>
      <xdr:colOff>266700</xdr:colOff>
      <xdr:row>5</xdr:row>
      <xdr:rowOff>215900</xdr:rowOff>
    </xdr:to>
    <xdr:pic>
      <xdr:nvPicPr>
        <xdr:cNvPr id="16" name="Picture 1">
          <a:extLst>
            <a:ext uri="{FF2B5EF4-FFF2-40B4-BE49-F238E27FC236}">
              <a16:creationId xmlns:a16="http://schemas.microsoft.com/office/drawing/2014/main" id="{00000000-0008-0000-2600-000010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781050" y="787400"/>
          <a:ext cx="171450" cy="18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101600</xdr:colOff>
      <xdr:row>5</xdr:row>
      <xdr:rowOff>25400</xdr:rowOff>
    </xdr:from>
    <xdr:to>
      <xdr:col>4</xdr:col>
      <xdr:colOff>254000</xdr:colOff>
      <xdr:row>5</xdr:row>
      <xdr:rowOff>215900</xdr:rowOff>
    </xdr:to>
    <xdr:pic>
      <xdr:nvPicPr>
        <xdr:cNvPr id="17" name="Picture 2">
          <a:extLst>
            <a:ext uri="{FF2B5EF4-FFF2-40B4-BE49-F238E27FC236}">
              <a16:creationId xmlns:a16="http://schemas.microsoft.com/office/drawing/2014/main" id="{00000000-0008-0000-2600-000011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981200" y="781050"/>
          <a:ext cx="158750" cy="196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0</xdr:colOff>
      <xdr:row>17</xdr:row>
      <xdr:rowOff>0</xdr:rowOff>
    </xdr:from>
    <xdr:to>
      <xdr:col>6</xdr:col>
      <xdr:colOff>6350</xdr:colOff>
      <xdr:row>20</xdr:row>
      <xdr:rowOff>165100</xdr:rowOff>
    </xdr:to>
    <xdr:pic>
      <xdr:nvPicPr>
        <xdr:cNvPr id="2" name="Obrázek 10" descr="P_front_HK_wa.gif">
          <a:hlinkClick xmlns:r="http://schemas.openxmlformats.org/officeDocument/2006/relationships" r:id="rId1" tooltip=" "/>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17700" y="2781300"/>
          <a:ext cx="1454150" cy="736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6350</xdr:colOff>
      <xdr:row>17</xdr:row>
      <xdr:rowOff>0</xdr:rowOff>
    </xdr:from>
    <xdr:to>
      <xdr:col>9</xdr:col>
      <xdr:colOff>6350</xdr:colOff>
      <xdr:row>20</xdr:row>
      <xdr:rowOff>165100</xdr:rowOff>
    </xdr:to>
    <xdr:pic>
      <xdr:nvPicPr>
        <xdr:cNvPr id="4" name="Obrázek 12" descr="P_front_HK_na.gif">
          <a:hlinkClick xmlns:r="http://schemas.openxmlformats.org/officeDocument/2006/relationships" r:id="rId3" tooltip=" "/>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644900" y="2781300"/>
          <a:ext cx="1447800" cy="736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6350</xdr:colOff>
      <xdr:row>17</xdr:row>
      <xdr:rowOff>0</xdr:rowOff>
    </xdr:from>
    <xdr:to>
      <xdr:col>3</xdr:col>
      <xdr:colOff>6350</xdr:colOff>
      <xdr:row>20</xdr:row>
      <xdr:rowOff>165100</xdr:rowOff>
    </xdr:to>
    <xdr:pic>
      <xdr:nvPicPr>
        <xdr:cNvPr id="5" name="Obrázek 13" descr="P_front_HK_w.gif">
          <a:hlinkClick xmlns:r="http://schemas.openxmlformats.org/officeDocument/2006/relationships" r:id="rId5" tooltip=" "/>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3200" y="2781300"/>
          <a:ext cx="1447800" cy="736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69</xdr:row>
      <xdr:rowOff>0</xdr:rowOff>
    </xdr:from>
    <xdr:to>
      <xdr:col>2</xdr:col>
      <xdr:colOff>146050</xdr:colOff>
      <xdr:row>69</xdr:row>
      <xdr:rowOff>165100</xdr:rowOff>
    </xdr:to>
    <xdr:pic>
      <xdr:nvPicPr>
        <xdr:cNvPr id="7" name="Obrázek 7" descr="Help.gif">
          <a:extLst>
            <a:ext uri="{FF2B5EF4-FFF2-40B4-BE49-F238E27FC236}">
              <a16:creationId xmlns:a16="http://schemas.microsoft.com/office/drawing/2014/main" id="{00000000-0008-0000-0300-000007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920750" y="58781950"/>
          <a:ext cx="1460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4</xdr:col>
          <xdr:colOff>0</xdr:colOff>
          <xdr:row>25</xdr:row>
          <xdr:rowOff>0</xdr:rowOff>
        </xdr:from>
        <xdr:to>
          <xdr:col>6</xdr:col>
          <xdr:colOff>0</xdr:colOff>
          <xdr:row>26</xdr:row>
          <xdr:rowOff>9525</xdr:rowOff>
        </xdr:to>
        <xdr:sp macro="" textlink="">
          <xdr:nvSpPr>
            <xdr:cNvPr id="150529" name="Drop Down 1" hidden="1">
              <a:extLst>
                <a:ext uri="{63B3BB69-23CF-44E3-9099-C40C66FF867C}">
                  <a14:compatExt spid="_x0000_s150529"/>
                </a:ext>
                <a:ext uri="{FF2B5EF4-FFF2-40B4-BE49-F238E27FC236}">
                  <a16:creationId xmlns:a16="http://schemas.microsoft.com/office/drawing/2014/main" id="{00000000-0008-0000-0300-0000014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10</xdr:col>
      <xdr:colOff>0</xdr:colOff>
      <xdr:row>17</xdr:row>
      <xdr:rowOff>6349</xdr:rowOff>
    </xdr:from>
    <xdr:to>
      <xdr:col>12</xdr:col>
      <xdr:colOff>0</xdr:colOff>
      <xdr:row>20</xdr:row>
      <xdr:rowOff>173858</xdr:rowOff>
    </xdr:to>
    <xdr:pic>
      <xdr:nvPicPr>
        <xdr:cNvPr id="9" name="Obrázek 4">
          <a:hlinkClick xmlns:r="http://schemas.openxmlformats.org/officeDocument/2006/relationships" r:id="rId8"/>
          <a:extLst>
            <a:ext uri="{FF2B5EF4-FFF2-40B4-BE49-F238E27FC236}">
              <a16:creationId xmlns:a16="http://schemas.microsoft.com/office/drawing/2014/main" id="{00000000-0008-0000-0300-000009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5359400" y="2787649"/>
          <a:ext cx="1428750" cy="7390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196850</xdr:colOff>
      <xdr:row>5</xdr:row>
      <xdr:rowOff>31750</xdr:rowOff>
    </xdr:from>
    <xdr:to>
      <xdr:col>12</xdr:col>
      <xdr:colOff>0</xdr:colOff>
      <xdr:row>13</xdr:row>
      <xdr:rowOff>42228</xdr:rowOff>
    </xdr:to>
    <xdr:pic>
      <xdr:nvPicPr>
        <xdr:cNvPr id="10" name="Obrázek 12">
          <a:extLst>
            <a:ext uri="{FF2B5EF4-FFF2-40B4-BE49-F238E27FC236}">
              <a16:creationId xmlns:a16="http://schemas.microsoft.com/office/drawing/2014/main" id="{00000000-0008-0000-0300-00000A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bwMode="auto">
        <a:xfrm>
          <a:off x="5283200" y="717550"/>
          <a:ext cx="1517333" cy="1534478"/>
        </a:xfrm>
        <a:prstGeom prst="rect">
          <a:avLst/>
        </a:prstGeom>
        <a:noFill/>
        <a:ln w="317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4</xdr:col>
          <xdr:colOff>0</xdr:colOff>
          <xdr:row>26</xdr:row>
          <xdr:rowOff>0</xdr:rowOff>
        </xdr:from>
        <xdr:to>
          <xdr:col>6</xdr:col>
          <xdr:colOff>0</xdr:colOff>
          <xdr:row>27</xdr:row>
          <xdr:rowOff>0</xdr:rowOff>
        </xdr:to>
        <xdr:sp macro="" textlink="">
          <xdr:nvSpPr>
            <xdr:cNvPr id="150530" name="Drop Down 2" hidden="1">
              <a:extLst>
                <a:ext uri="{63B3BB69-23CF-44E3-9099-C40C66FF867C}">
                  <a14:compatExt spid="_x0000_s150530"/>
                </a:ext>
                <a:ext uri="{FF2B5EF4-FFF2-40B4-BE49-F238E27FC236}">
                  <a16:creationId xmlns:a16="http://schemas.microsoft.com/office/drawing/2014/main" id="{00000000-0008-0000-0300-0000024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0.xml><?xml version="1.0" encoding="utf-8"?>
<xdr:wsDr xmlns:xdr="http://schemas.openxmlformats.org/drawingml/2006/spreadsheetDrawing" xmlns:a="http://schemas.openxmlformats.org/drawingml/2006/main">
  <xdr:twoCellAnchor editAs="oneCell">
    <xdr:from>
      <xdr:col>1</xdr:col>
      <xdr:colOff>6350</xdr:colOff>
      <xdr:row>51</xdr:row>
      <xdr:rowOff>95249</xdr:rowOff>
    </xdr:from>
    <xdr:to>
      <xdr:col>2</xdr:col>
      <xdr:colOff>314325</xdr:colOff>
      <xdr:row>51</xdr:row>
      <xdr:rowOff>883691</xdr:rowOff>
    </xdr:to>
    <xdr:pic>
      <xdr:nvPicPr>
        <xdr:cNvPr id="4" name="Obrázek 19" descr="Wall_unit.gif">
          <a:extLst>
            <a:ext uri="{FF2B5EF4-FFF2-40B4-BE49-F238E27FC236}">
              <a16:creationId xmlns:a16="http://schemas.microsoft.com/office/drawing/2014/main" id="{00000000-0008-0000-27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11550649"/>
          <a:ext cx="952500" cy="7852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279400</xdr:colOff>
      <xdr:row>51</xdr:row>
      <xdr:rowOff>44449</xdr:rowOff>
    </xdr:from>
    <xdr:to>
      <xdr:col>8</xdr:col>
      <xdr:colOff>504825</xdr:colOff>
      <xdr:row>51</xdr:row>
      <xdr:rowOff>810853</xdr:rowOff>
    </xdr:to>
    <xdr:pic>
      <xdr:nvPicPr>
        <xdr:cNvPr id="6" name="Obrázek 21" descr="Holder.gif">
          <a:extLst>
            <a:ext uri="{FF2B5EF4-FFF2-40B4-BE49-F238E27FC236}">
              <a16:creationId xmlns:a16="http://schemas.microsoft.com/office/drawing/2014/main" id="{00000000-0008-0000-2700-000006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254500" y="11499849"/>
          <a:ext cx="876300" cy="7632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273050</xdr:colOff>
      <xdr:row>51</xdr:row>
      <xdr:rowOff>120650</xdr:rowOff>
    </xdr:from>
    <xdr:to>
      <xdr:col>10</xdr:col>
      <xdr:colOff>428625</xdr:colOff>
      <xdr:row>51</xdr:row>
      <xdr:rowOff>809625</xdr:rowOff>
    </xdr:to>
    <xdr:pic>
      <xdr:nvPicPr>
        <xdr:cNvPr id="7" name="Obrázek 22" descr="Bumper.gif">
          <a:extLst>
            <a:ext uri="{FF2B5EF4-FFF2-40B4-BE49-F238E27FC236}">
              <a16:creationId xmlns:a16="http://schemas.microsoft.com/office/drawing/2014/main" id="{00000000-0008-0000-2700-000007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933950" y="12509500"/>
          <a:ext cx="72390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254000</xdr:colOff>
      <xdr:row>51</xdr:row>
      <xdr:rowOff>95250</xdr:rowOff>
    </xdr:from>
    <xdr:to>
      <xdr:col>4</xdr:col>
      <xdr:colOff>448733</xdr:colOff>
      <xdr:row>51</xdr:row>
      <xdr:rowOff>838200</xdr:rowOff>
    </xdr:to>
    <xdr:pic>
      <xdr:nvPicPr>
        <xdr:cNvPr id="8" name="Obrázek 23" descr="Cable.gif">
          <a:extLst>
            <a:ext uri="{FF2B5EF4-FFF2-40B4-BE49-F238E27FC236}">
              <a16:creationId xmlns:a16="http://schemas.microsoft.com/office/drawing/2014/main" id="{00000000-0008-0000-2700-000008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638300" y="11550650"/>
          <a:ext cx="839258"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57150</xdr:colOff>
      <xdr:row>298</xdr:row>
      <xdr:rowOff>0</xdr:rowOff>
    </xdr:from>
    <xdr:to>
      <xdr:col>1</xdr:col>
      <xdr:colOff>200025</xdr:colOff>
      <xdr:row>298</xdr:row>
      <xdr:rowOff>161925</xdr:rowOff>
    </xdr:to>
    <xdr:pic>
      <xdr:nvPicPr>
        <xdr:cNvPr id="9" name="Obrázek 13" descr="Help.gif">
          <a:extLst>
            <a:ext uri="{FF2B5EF4-FFF2-40B4-BE49-F238E27FC236}">
              <a16:creationId xmlns:a16="http://schemas.microsoft.com/office/drawing/2014/main" id="{00000000-0008-0000-2700-000009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46050" y="69138800"/>
          <a:ext cx="14605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425450</xdr:colOff>
      <xdr:row>51</xdr:row>
      <xdr:rowOff>101600</xdr:rowOff>
    </xdr:from>
    <xdr:to>
      <xdr:col>6</xdr:col>
      <xdr:colOff>504825</xdr:colOff>
      <xdr:row>51</xdr:row>
      <xdr:rowOff>742950</xdr:rowOff>
    </xdr:to>
    <xdr:pic>
      <xdr:nvPicPr>
        <xdr:cNvPr id="10" name="Obrázek 20" descr="Connect_new.gif">
          <a:extLst>
            <a:ext uri="{FF2B5EF4-FFF2-40B4-BE49-F238E27FC236}">
              <a16:creationId xmlns:a16="http://schemas.microsoft.com/office/drawing/2014/main" id="{00000000-0008-0000-2700-00000A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800350" y="12490450"/>
          <a:ext cx="723900" cy="641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254000</xdr:colOff>
      <xdr:row>6</xdr:row>
      <xdr:rowOff>57150</xdr:rowOff>
    </xdr:from>
    <xdr:to>
      <xdr:col>4</xdr:col>
      <xdr:colOff>8154</xdr:colOff>
      <xdr:row>10</xdr:row>
      <xdr:rowOff>0</xdr:rowOff>
    </xdr:to>
    <xdr:pic>
      <xdr:nvPicPr>
        <xdr:cNvPr id="14" name="Picture 9158" descr="AVS HKS omezovač">
          <a:extLst>
            <a:ext uri="{FF2B5EF4-FFF2-40B4-BE49-F238E27FC236}">
              <a16:creationId xmlns:a16="http://schemas.microsoft.com/office/drawing/2014/main" id="{00000000-0008-0000-2700-00000E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t="19499" b="17500"/>
        <a:stretch>
          <a:fillRect/>
        </a:stretch>
      </xdr:blipFill>
      <xdr:spPr bwMode="auto">
        <a:xfrm>
          <a:off x="990600" y="730250"/>
          <a:ext cx="1052729"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564444</xdr:colOff>
      <xdr:row>6</xdr:row>
      <xdr:rowOff>177800</xdr:rowOff>
    </xdr:from>
    <xdr:to>
      <xdr:col>10</xdr:col>
      <xdr:colOff>19050</xdr:colOff>
      <xdr:row>9</xdr:row>
      <xdr:rowOff>161925</xdr:rowOff>
    </xdr:to>
    <xdr:pic>
      <xdr:nvPicPr>
        <xdr:cNvPr id="16" name="Picture 9160" descr="70T3553">
          <a:extLst>
            <a:ext uri="{FF2B5EF4-FFF2-40B4-BE49-F238E27FC236}">
              <a16:creationId xmlns:a16="http://schemas.microsoft.com/office/drawing/2014/main" id="{00000000-0008-0000-2700-000010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l="12500" t="20313" r="15625" b="20833"/>
        <a:stretch>
          <a:fillRect/>
        </a:stretch>
      </xdr:blipFill>
      <xdr:spPr bwMode="auto">
        <a:xfrm>
          <a:off x="5187244" y="850900"/>
          <a:ext cx="673806" cy="55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304800</xdr:colOff>
      <xdr:row>22</xdr:row>
      <xdr:rowOff>276225</xdr:rowOff>
    </xdr:from>
    <xdr:to>
      <xdr:col>4</xdr:col>
      <xdr:colOff>6350</xdr:colOff>
      <xdr:row>22</xdr:row>
      <xdr:rowOff>762000</xdr:rowOff>
    </xdr:to>
    <xdr:pic>
      <xdr:nvPicPr>
        <xdr:cNvPr id="17" name="Obrázek 1">
          <a:extLst>
            <a:ext uri="{FF2B5EF4-FFF2-40B4-BE49-F238E27FC236}">
              <a16:creationId xmlns:a16="http://schemas.microsoft.com/office/drawing/2014/main" id="{00000000-0008-0000-2700-000011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685925" y="4000500"/>
          <a:ext cx="349250"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508000</xdr:colOff>
      <xdr:row>34</xdr:row>
      <xdr:rowOff>171449</xdr:rowOff>
    </xdr:from>
    <xdr:to>
      <xdr:col>8</xdr:col>
      <xdr:colOff>180975</xdr:colOff>
      <xdr:row>34</xdr:row>
      <xdr:rowOff>930410</xdr:rowOff>
    </xdr:to>
    <xdr:pic>
      <xdr:nvPicPr>
        <xdr:cNvPr id="18" name="Picture 9153" descr="k_9561201-grau">
          <a:extLst>
            <a:ext uri="{FF2B5EF4-FFF2-40B4-BE49-F238E27FC236}">
              <a16:creationId xmlns:a16="http://schemas.microsoft.com/office/drawing/2014/main" id="{00000000-0008-0000-2700-000012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3835400" y="6965949"/>
          <a:ext cx="965200" cy="7589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63500</xdr:colOff>
      <xdr:row>34</xdr:row>
      <xdr:rowOff>82549</xdr:rowOff>
    </xdr:from>
    <xdr:to>
      <xdr:col>2</xdr:col>
      <xdr:colOff>333375</xdr:colOff>
      <xdr:row>34</xdr:row>
      <xdr:rowOff>877308</xdr:rowOff>
    </xdr:to>
    <xdr:pic>
      <xdr:nvPicPr>
        <xdr:cNvPr id="19" name="Picture 9154" descr="9561004-grau">
          <a:extLst>
            <a:ext uri="{FF2B5EF4-FFF2-40B4-BE49-F238E27FC236}">
              <a16:creationId xmlns:a16="http://schemas.microsoft.com/office/drawing/2014/main" id="{00000000-0008-0000-2700-00001300000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52400" y="6877049"/>
          <a:ext cx="914400" cy="7947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425450</xdr:colOff>
      <xdr:row>34</xdr:row>
      <xdr:rowOff>38099</xdr:rowOff>
    </xdr:from>
    <xdr:to>
      <xdr:col>5</xdr:col>
      <xdr:colOff>438150</xdr:colOff>
      <xdr:row>34</xdr:row>
      <xdr:rowOff>1067550</xdr:rowOff>
    </xdr:to>
    <xdr:pic>
      <xdr:nvPicPr>
        <xdr:cNvPr id="20" name="Picture 9155" descr="956a1004-grau">
          <a:extLst>
            <a:ext uri="{FF2B5EF4-FFF2-40B4-BE49-F238E27FC236}">
              <a16:creationId xmlns:a16="http://schemas.microsoft.com/office/drawing/2014/main" id="{00000000-0008-0000-2700-000014000000}"/>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809750" y="6832599"/>
          <a:ext cx="1308100" cy="1029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476250</xdr:colOff>
      <xdr:row>34</xdr:row>
      <xdr:rowOff>95249</xdr:rowOff>
    </xdr:from>
    <xdr:to>
      <xdr:col>11</xdr:col>
      <xdr:colOff>314325</xdr:colOff>
      <xdr:row>34</xdr:row>
      <xdr:rowOff>980653</xdr:rowOff>
    </xdr:to>
    <xdr:pic>
      <xdr:nvPicPr>
        <xdr:cNvPr id="21" name="Picture 9156" descr="956a1201-grau">
          <a:extLst>
            <a:ext uri="{FF2B5EF4-FFF2-40B4-BE49-F238E27FC236}">
              <a16:creationId xmlns:a16="http://schemas.microsoft.com/office/drawing/2014/main" id="{00000000-0008-0000-2700-000015000000}"/>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5746750" y="6889749"/>
          <a:ext cx="1200150" cy="8822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31750</xdr:colOff>
      <xdr:row>51</xdr:row>
      <xdr:rowOff>44449</xdr:rowOff>
    </xdr:from>
    <xdr:to>
      <xdr:col>11</xdr:col>
      <xdr:colOff>618969</xdr:colOff>
      <xdr:row>51</xdr:row>
      <xdr:rowOff>866669</xdr:rowOff>
    </xdr:to>
    <xdr:pic>
      <xdr:nvPicPr>
        <xdr:cNvPr id="2" name="Obrázek 1">
          <a:extLst>
            <a:ext uri="{FF2B5EF4-FFF2-40B4-BE49-F238E27FC236}">
              <a16:creationId xmlns:a16="http://schemas.microsoft.com/office/drawing/2014/main" id="{00000000-0008-0000-2700-000002000000}"/>
            </a:ext>
          </a:extLst>
        </xdr:cNvPr>
        <xdr:cNvPicPr>
          <a:picLocks noChangeAspect="1"/>
        </xdr:cNvPicPr>
      </xdr:nvPicPr>
      <xdr:blipFill>
        <a:blip xmlns:r="http://schemas.openxmlformats.org/officeDocument/2006/relationships" r:embed="rId14"/>
        <a:stretch>
          <a:fillRect/>
        </a:stretch>
      </xdr:blipFill>
      <xdr:spPr>
        <a:xfrm>
          <a:off x="6667500" y="11499849"/>
          <a:ext cx="590394" cy="819045"/>
        </a:xfrm>
        <a:prstGeom prst="rect">
          <a:avLst/>
        </a:prstGeom>
      </xdr:spPr>
    </xdr:pic>
    <xdr:clientData/>
  </xdr:twoCellAnchor>
  <xdr:twoCellAnchor editAs="oneCell">
    <xdr:from>
      <xdr:col>6</xdr:col>
      <xdr:colOff>76201</xdr:colOff>
      <xdr:row>22</xdr:row>
      <xdr:rowOff>187325</xdr:rowOff>
    </xdr:from>
    <xdr:to>
      <xdr:col>6</xdr:col>
      <xdr:colOff>619721</xdr:colOff>
      <xdr:row>22</xdr:row>
      <xdr:rowOff>723976</xdr:rowOff>
    </xdr:to>
    <xdr:pic>
      <xdr:nvPicPr>
        <xdr:cNvPr id="3" name="Obrázek 2">
          <a:extLst>
            <a:ext uri="{FF2B5EF4-FFF2-40B4-BE49-F238E27FC236}">
              <a16:creationId xmlns:a16="http://schemas.microsoft.com/office/drawing/2014/main" id="{00000000-0008-0000-2700-000003000000}"/>
            </a:ext>
          </a:extLst>
        </xdr:cNvPr>
        <xdr:cNvPicPr>
          <a:picLocks noChangeAspect="1"/>
        </xdr:cNvPicPr>
      </xdr:nvPicPr>
      <xdr:blipFill>
        <a:blip xmlns:r="http://schemas.openxmlformats.org/officeDocument/2006/relationships" r:embed="rId15"/>
        <a:stretch>
          <a:fillRect/>
        </a:stretch>
      </xdr:blipFill>
      <xdr:spPr>
        <a:xfrm>
          <a:off x="3400426" y="3911600"/>
          <a:ext cx="543520" cy="536651"/>
        </a:xfrm>
        <a:prstGeom prst="rect">
          <a:avLst/>
        </a:prstGeom>
      </xdr:spPr>
    </xdr:pic>
    <xdr:clientData/>
  </xdr:twoCellAnchor>
  <xdr:twoCellAnchor editAs="oneCell">
    <xdr:from>
      <xdr:col>1</xdr:col>
      <xdr:colOff>114300</xdr:colOff>
      <xdr:row>28</xdr:row>
      <xdr:rowOff>63501</xdr:rowOff>
    </xdr:from>
    <xdr:to>
      <xdr:col>3</xdr:col>
      <xdr:colOff>114300</xdr:colOff>
      <xdr:row>28</xdr:row>
      <xdr:rowOff>1017502</xdr:rowOff>
    </xdr:to>
    <xdr:pic>
      <xdr:nvPicPr>
        <xdr:cNvPr id="24" name="Picture 23">
          <a:extLst>
            <a:ext uri="{FF2B5EF4-FFF2-40B4-BE49-F238E27FC236}">
              <a16:creationId xmlns:a16="http://schemas.microsoft.com/office/drawing/2014/main" id="{00000000-0008-0000-2700-000018000000}"/>
            </a:ext>
          </a:extLst>
        </xdr:cNvPr>
        <xdr:cNvPicPr>
          <a:picLocks noChangeAspect="1"/>
        </xdr:cNvPicPr>
      </xdr:nvPicPr>
      <xdr:blipFill>
        <a:blip xmlns:r="http://schemas.openxmlformats.org/officeDocument/2006/relationships" r:embed="rId16">
          <a:clrChange>
            <a:clrFrom>
              <a:srgbClr val="FFFFFF"/>
            </a:clrFrom>
            <a:clrTo>
              <a:srgbClr val="FFFFFF">
                <a:alpha val="0"/>
              </a:srgbClr>
            </a:clrTo>
          </a:clrChange>
        </a:blip>
        <a:stretch>
          <a:fillRect/>
        </a:stretch>
      </xdr:blipFill>
      <xdr:spPr>
        <a:xfrm>
          <a:off x="203200" y="6858001"/>
          <a:ext cx="1295400" cy="957176"/>
        </a:xfrm>
        <a:prstGeom prst="rect">
          <a:avLst/>
        </a:prstGeom>
      </xdr:spPr>
    </xdr:pic>
    <xdr:clientData/>
  </xdr:twoCellAnchor>
  <xdr:twoCellAnchor editAs="oneCell">
    <xdr:from>
      <xdr:col>4</xdr:col>
      <xdr:colOff>438150</xdr:colOff>
      <xdr:row>28</xdr:row>
      <xdr:rowOff>95250</xdr:rowOff>
    </xdr:from>
    <xdr:to>
      <xdr:col>6</xdr:col>
      <xdr:colOff>476250</xdr:colOff>
      <xdr:row>28</xdr:row>
      <xdr:rowOff>1010943</xdr:rowOff>
    </xdr:to>
    <xdr:pic>
      <xdr:nvPicPr>
        <xdr:cNvPr id="25" name="Picture 24">
          <a:extLst>
            <a:ext uri="{FF2B5EF4-FFF2-40B4-BE49-F238E27FC236}">
              <a16:creationId xmlns:a16="http://schemas.microsoft.com/office/drawing/2014/main" id="{00000000-0008-0000-2700-000019000000}"/>
            </a:ext>
          </a:extLst>
        </xdr:cNvPr>
        <xdr:cNvPicPr>
          <a:picLocks noChangeAspect="1"/>
        </xdr:cNvPicPr>
      </xdr:nvPicPr>
      <xdr:blipFill>
        <a:blip xmlns:r="http://schemas.openxmlformats.org/officeDocument/2006/relationships" r:embed="rId17"/>
        <a:stretch>
          <a:fillRect/>
        </a:stretch>
      </xdr:blipFill>
      <xdr:spPr>
        <a:xfrm>
          <a:off x="2470150" y="6889750"/>
          <a:ext cx="1333500" cy="915693"/>
        </a:xfrm>
        <a:prstGeom prst="rect">
          <a:avLst/>
        </a:prstGeom>
      </xdr:spPr>
    </xdr:pic>
    <xdr:clientData/>
  </xdr:twoCellAnchor>
  <xdr:twoCellAnchor editAs="oneCell">
    <xdr:from>
      <xdr:col>5</xdr:col>
      <xdr:colOff>371419</xdr:colOff>
      <xdr:row>62</xdr:row>
      <xdr:rowOff>54676</xdr:rowOff>
    </xdr:from>
    <xdr:to>
      <xdr:col>7</xdr:col>
      <xdr:colOff>333375</xdr:colOff>
      <xdr:row>62</xdr:row>
      <xdr:rowOff>971550</xdr:rowOff>
    </xdr:to>
    <xdr:pic>
      <xdr:nvPicPr>
        <xdr:cNvPr id="5" name="Picture 4">
          <a:extLst>
            <a:ext uri="{FF2B5EF4-FFF2-40B4-BE49-F238E27FC236}">
              <a16:creationId xmlns:a16="http://schemas.microsoft.com/office/drawing/2014/main" id="{00000000-0008-0000-2700-000005000000}"/>
            </a:ext>
          </a:extLst>
        </xdr:cNvPr>
        <xdr:cNvPicPr>
          <a:picLocks noChangeAspect="1"/>
        </xdr:cNvPicPr>
      </xdr:nvPicPr>
      <xdr:blipFill>
        <a:blip xmlns:r="http://schemas.openxmlformats.org/officeDocument/2006/relationships" r:embed="rId18">
          <a:clrChange>
            <a:clrFrom>
              <a:srgbClr val="FFFFFF"/>
            </a:clrFrom>
            <a:clrTo>
              <a:srgbClr val="FFFFFF">
                <a:alpha val="0"/>
              </a:srgbClr>
            </a:clrTo>
          </a:clrChange>
        </a:blip>
        <a:stretch>
          <a:fillRect/>
        </a:stretch>
      </xdr:blipFill>
      <xdr:spPr>
        <a:xfrm>
          <a:off x="3047944" y="16371001"/>
          <a:ext cx="1257356" cy="916874"/>
        </a:xfrm>
        <a:prstGeom prst="rect">
          <a:avLst/>
        </a:prstGeom>
      </xdr:spPr>
    </xdr:pic>
    <xdr:clientData/>
  </xdr:twoCellAnchor>
  <xdr:twoCellAnchor editAs="oneCell">
    <xdr:from>
      <xdr:col>2</xdr:col>
      <xdr:colOff>171451</xdr:colOff>
      <xdr:row>62</xdr:row>
      <xdr:rowOff>101600</xdr:rowOff>
    </xdr:from>
    <xdr:to>
      <xdr:col>3</xdr:col>
      <xdr:colOff>543024</xdr:colOff>
      <xdr:row>62</xdr:row>
      <xdr:rowOff>958850</xdr:rowOff>
    </xdr:to>
    <xdr:pic>
      <xdr:nvPicPr>
        <xdr:cNvPr id="11" name="Picture 10">
          <a:extLst>
            <a:ext uri="{FF2B5EF4-FFF2-40B4-BE49-F238E27FC236}">
              <a16:creationId xmlns:a16="http://schemas.microsoft.com/office/drawing/2014/main" id="{00000000-0008-0000-2700-00000B000000}"/>
            </a:ext>
          </a:extLst>
        </xdr:cNvPr>
        <xdr:cNvPicPr>
          <a:picLocks noChangeAspect="1"/>
        </xdr:cNvPicPr>
      </xdr:nvPicPr>
      <xdr:blipFill>
        <a:blip xmlns:r="http://schemas.openxmlformats.org/officeDocument/2006/relationships" r:embed="rId19"/>
        <a:stretch>
          <a:fillRect/>
        </a:stretch>
      </xdr:blipFill>
      <xdr:spPr>
        <a:xfrm>
          <a:off x="904876" y="16417925"/>
          <a:ext cx="1016098" cy="860425"/>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2</xdr:col>
      <xdr:colOff>44450</xdr:colOff>
      <xdr:row>302</xdr:row>
      <xdr:rowOff>6350</xdr:rowOff>
    </xdr:from>
    <xdr:to>
      <xdr:col>2</xdr:col>
      <xdr:colOff>190500</xdr:colOff>
      <xdr:row>302</xdr:row>
      <xdr:rowOff>161925</xdr:rowOff>
    </xdr:to>
    <xdr:pic>
      <xdr:nvPicPr>
        <xdr:cNvPr id="2" name="Obrázek 3" descr="Help.gif">
          <a:extLst>
            <a:ext uri="{FF2B5EF4-FFF2-40B4-BE49-F238E27FC236}">
              <a16:creationId xmlns:a16="http://schemas.microsoft.com/office/drawing/2014/main" id="{00000000-0008-0000-28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9400" y="58940700"/>
          <a:ext cx="14605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xdr:col>
      <xdr:colOff>25400</xdr:colOff>
      <xdr:row>209</xdr:row>
      <xdr:rowOff>139700</xdr:rowOff>
    </xdr:from>
    <xdr:to>
      <xdr:col>1</xdr:col>
      <xdr:colOff>180975</xdr:colOff>
      <xdr:row>211</xdr:row>
      <xdr:rowOff>0</xdr:rowOff>
    </xdr:to>
    <xdr:pic>
      <xdr:nvPicPr>
        <xdr:cNvPr id="2" name="Obrázek 1" descr="Tip.gif">
          <a:extLst>
            <a:ext uri="{FF2B5EF4-FFF2-40B4-BE49-F238E27FC236}">
              <a16:creationId xmlns:a16="http://schemas.microsoft.com/office/drawing/2014/main" id="{00000000-0008-0000-29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41770300"/>
          <a:ext cx="1524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63500</xdr:colOff>
      <xdr:row>303</xdr:row>
      <xdr:rowOff>12700</xdr:rowOff>
    </xdr:from>
    <xdr:to>
      <xdr:col>1</xdr:col>
      <xdr:colOff>209550</xdr:colOff>
      <xdr:row>303</xdr:row>
      <xdr:rowOff>180975</xdr:rowOff>
    </xdr:to>
    <xdr:pic>
      <xdr:nvPicPr>
        <xdr:cNvPr id="3" name="Obrázek 4" descr="Help.gif">
          <a:extLst>
            <a:ext uri="{FF2B5EF4-FFF2-40B4-BE49-F238E27FC236}">
              <a16:creationId xmlns:a16="http://schemas.microsoft.com/office/drawing/2014/main" id="{00000000-0008-0000-29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3350" y="60629800"/>
          <a:ext cx="1460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6350</xdr:colOff>
      <xdr:row>213</xdr:row>
      <xdr:rowOff>133350</xdr:rowOff>
    </xdr:from>
    <xdr:to>
      <xdr:col>11</xdr:col>
      <xdr:colOff>12700</xdr:colOff>
      <xdr:row>215</xdr:row>
      <xdr:rowOff>19050</xdr:rowOff>
    </xdr:to>
    <xdr:sp macro="[0]!Ordering_AVS" textlink="">
      <xdr:nvSpPr>
        <xdr:cNvPr id="4" name="Rectangle 1582">
          <a:extLst>
            <a:ext uri="{FF2B5EF4-FFF2-40B4-BE49-F238E27FC236}">
              <a16:creationId xmlns:a16="http://schemas.microsoft.com/office/drawing/2014/main" id="{00000000-0008-0000-2900-000004000000}"/>
            </a:ext>
          </a:extLst>
        </xdr:cNvPr>
        <xdr:cNvSpPr>
          <a:spLocks noChangeArrowheads="1"/>
        </xdr:cNvSpPr>
      </xdr:nvSpPr>
      <xdr:spPr bwMode="auto">
        <a:xfrm>
          <a:off x="6242050" y="42214800"/>
          <a:ext cx="1384300" cy="2349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43.xml><?xml version="1.0" encoding="utf-8"?>
<xdr:wsDr xmlns:xdr="http://schemas.openxmlformats.org/drawingml/2006/spreadsheetDrawing" xmlns:a="http://schemas.openxmlformats.org/drawingml/2006/main">
  <xdr:twoCellAnchor editAs="oneCell">
    <xdr:from>
      <xdr:col>2</xdr:col>
      <xdr:colOff>2292350</xdr:colOff>
      <xdr:row>423</xdr:row>
      <xdr:rowOff>19050</xdr:rowOff>
    </xdr:from>
    <xdr:to>
      <xdr:col>2</xdr:col>
      <xdr:colOff>2466975</xdr:colOff>
      <xdr:row>424</xdr:row>
      <xdr:rowOff>9525</xdr:rowOff>
    </xdr:to>
    <xdr:pic>
      <xdr:nvPicPr>
        <xdr:cNvPr id="2" name="Picture 1">
          <a:extLst>
            <a:ext uri="{FF2B5EF4-FFF2-40B4-BE49-F238E27FC236}">
              <a16:creationId xmlns:a16="http://schemas.microsoft.com/office/drawing/2014/main" id="{00000000-0008-0000-2A00-000002000000}"/>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883400" y="57607200"/>
          <a:ext cx="171450" cy="17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2305050</xdr:colOff>
      <xdr:row>424</xdr:row>
      <xdr:rowOff>19050</xdr:rowOff>
    </xdr:from>
    <xdr:to>
      <xdr:col>2</xdr:col>
      <xdr:colOff>2466975</xdr:colOff>
      <xdr:row>425</xdr:row>
      <xdr:rowOff>9525</xdr:rowOff>
    </xdr:to>
    <xdr:pic>
      <xdr:nvPicPr>
        <xdr:cNvPr id="3" name="Picture 2">
          <a:extLst>
            <a:ext uri="{FF2B5EF4-FFF2-40B4-BE49-F238E27FC236}">
              <a16:creationId xmlns:a16="http://schemas.microsoft.com/office/drawing/2014/main" id="{00000000-0008-0000-2A00-000003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896100" y="57804050"/>
          <a:ext cx="158750" cy="18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2286000</xdr:colOff>
      <xdr:row>421</xdr:row>
      <xdr:rowOff>19050</xdr:rowOff>
    </xdr:from>
    <xdr:to>
      <xdr:col>2</xdr:col>
      <xdr:colOff>2743200</xdr:colOff>
      <xdr:row>422</xdr:row>
      <xdr:rowOff>9525</xdr:rowOff>
    </xdr:to>
    <xdr:pic>
      <xdr:nvPicPr>
        <xdr:cNvPr id="4" name="Picture 3">
          <a:extLst>
            <a:ext uri="{FF2B5EF4-FFF2-40B4-BE49-F238E27FC236}">
              <a16:creationId xmlns:a16="http://schemas.microsoft.com/office/drawing/2014/main" id="{00000000-0008-0000-2A00-000004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877050" y="57213500"/>
          <a:ext cx="457200" cy="17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2292350</xdr:colOff>
      <xdr:row>422</xdr:row>
      <xdr:rowOff>19050</xdr:rowOff>
    </xdr:from>
    <xdr:to>
      <xdr:col>2</xdr:col>
      <xdr:colOff>2743200</xdr:colOff>
      <xdr:row>423</xdr:row>
      <xdr:rowOff>9525</xdr:rowOff>
    </xdr:to>
    <xdr:pic>
      <xdr:nvPicPr>
        <xdr:cNvPr id="5" name="Picture 4">
          <a:extLst>
            <a:ext uri="{FF2B5EF4-FFF2-40B4-BE49-F238E27FC236}">
              <a16:creationId xmlns:a16="http://schemas.microsoft.com/office/drawing/2014/main" id="{00000000-0008-0000-2A00-000005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883400" y="57410350"/>
          <a:ext cx="450850" cy="18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7</xdr:col>
      <xdr:colOff>9525</xdr:colOff>
      <xdr:row>2</xdr:row>
      <xdr:rowOff>9525</xdr:rowOff>
    </xdr:from>
    <xdr:to>
      <xdr:col>8</xdr:col>
      <xdr:colOff>571500</xdr:colOff>
      <xdr:row>7</xdr:row>
      <xdr:rowOff>247650</xdr:rowOff>
    </xdr:to>
    <xdr:pic>
      <xdr:nvPicPr>
        <xdr:cNvPr id="176338" name="Picture 2">
          <a:extLst>
            <a:ext uri="{FF2B5EF4-FFF2-40B4-BE49-F238E27FC236}">
              <a16:creationId xmlns:a16="http://schemas.microsoft.com/office/drawing/2014/main" id="{00000000-0008-0000-2B00-0000D2B002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9575" y="371475"/>
          <a:ext cx="1143000"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9525</xdr:colOff>
      <xdr:row>2</xdr:row>
      <xdr:rowOff>0</xdr:rowOff>
    </xdr:from>
    <xdr:to>
      <xdr:col>15</xdr:col>
      <xdr:colOff>0</xdr:colOff>
      <xdr:row>7</xdr:row>
      <xdr:rowOff>247650</xdr:rowOff>
    </xdr:to>
    <xdr:pic>
      <xdr:nvPicPr>
        <xdr:cNvPr id="176339" name="Picture 3">
          <a:extLst>
            <a:ext uri="{FF2B5EF4-FFF2-40B4-BE49-F238E27FC236}">
              <a16:creationId xmlns:a16="http://schemas.microsoft.com/office/drawing/2014/main" id="{00000000-0008-0000-2B00-0000D3B002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05725" y="361950"/>
          <a:ext cx="1152525"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xdr:row>
      <xdr:rowOff>0</xdr:rowOff>
    </xdr:from>
    <xdr:to>
      <xdr:col>6</xdr:col>
      <xdr:colOff>571500</xdr:colOff>
      <xdr:row>7</xdr:row>
      <xdr:rowOff>247650</xdr:rowOff>
    </xdr:to>
    <xdr:pic>
      <xdr:nvPicPr>
        <xdr:cNvPr id="176340" name="Picture 4">
          <a:extLst>
            <a:ext uri="{FF2B5EF4-FFF2-40B4-BE49-F238E27FC236}">
              <a16:creationId xmlns:a16="http://schemas.microsoft.com/office/drawing/2014/main" id="{00000000-0008-0000-2B00-0000D4B002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048000" y="361950"/>
          <a:ext cx="1152525"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9525</xdr:colOff>
      <xdr:row>2</xdr:row>
      <xdr:rowOff>9525</xdr:rowOff>
    </xdr:from>
    <xdr:to>
      <xdr:col>10</xdr:col>
      <xdr:colOff>571500</xdr:colOff>
      <xdr:row>7</xdr:row>
      <xdr:rowOff>247650</xdr:rowOff>
    </xdr:to>
    <xdr:pic>
      <xdr:nvPicPr>
        <xdr:cNvPr id="176341" name="Picture 5">
          <a:extLst>
            <a:ext uri="{FF2B5EF4-FFF2-40B4-BE49-F238E27FC236}">
              <a16:creationId xmlns:a16="http://schemas.microsoft.com/office/drawing/2014/main" id="{00000000-0008-0000-2B00-0000D5B002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381625" y="371475"/>
          <a:ext cx="1143000"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9525</xdr:colOff>
      <xdr:row>2</xdr:row>
      <xdr:rowOff>9525</xdr:rowOff>
    </xdr:from>
    <xdr:to>
      <xdr:col>12</xdr:col>
      <xdr:colOff>571500</xdr:colOff>
      <xdr:row>7</xdr:row>
      <xdr:rowOff>247650</xdr:rowOff>
    </xdr:to>
    <xdr:pic>
      <xdr:nvPicPr>
        <xdr:cNvPr id="176342" name="Picture 6">
          <a:extLst>
            <a:ext uri="{FF2B5EF4-FFF2-40B4-BE49-F238E27FC236}">
              <a16:creationId xmlns:a16="http://schemas.microsoft.com/office/drawing/2014/main" id="{00000000-0008-0000-2B00-0000D6B002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543675" y="371475"/>
          <a:ext cx="1143000"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0</xdr:colOff>
      <xdr:row>17</xdr:row>
      <xdr:rowOff>0</xdr:rowOff>
    </xdr:from>
    <xdr:to>
      <xdr:col>6</xdr:col>
      <xdr:colOff>6350</xdr:colOff>
      <xdr:row>20</xdr:row>
      <xdr:rowOff>171450</xdr:rowOff>
    </xdr:to>
    <xdr:pic>
      <xdr:nvPicPr>
        <xdr:cNvPr id="2" name="Obrázek 10" descr="P_front_HK_wa.gif">
          <a:hlinkClick xmlns:r="http://schemas.openxmlformats.org/officeDocument/2006/relationships" r:id="rId1" tooltip=" "/>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11350" y="2781300"/>
          <a:ext cx="1454150"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6350</xdr:colOff>
      <xdr:row>17</xdr:row>
      <xdr:rowOff>0</xdr:rowOff>
    </xdr:from>
    <xdr:to>
      <xdr:col>9</xdr:col>
      <xdr:colOff>6350</xdr:colOff>
      <xdr:row>20</xdr:row>
      <xdr:rowOff>171450</xdr:rowOff>
    </xdr:to>
    <xdr:pic>
      <xdr:nvPicPr>
        <xdr:cNvPr id="3" name="Obrázek 12" descr="P_front_HK_na.gif">
          <a:hlinkClick xmlns:r="http://schemas.openxmlformats.org/officeDocument/2006/relationships" r:id="rId3" tooltip=" "/>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638550" y="2781300"/>
          <a:ext cx="1447800"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6350</xdr:colOff>
      <xdr:row>17</xdr:row>
      <xdr:rowOff>0</xdr:rowOff>
    </xdr:from>
    <xdr:to>
      <xdr:col>3</xdr:col>
      <xdr:colOff>6350</xdr:colOff>
      <xdr:row>20</xdr:row>
      <xdr:rowOff>171450</xdr:rowOff>
    </xdr:to>
    <xdr:pic>
      <xdr:nvPicPr>
        <xdr:cNvPr id="4" name="Obrázek 13" descr="P_front_HK_w.gif">
          <a:hlinkClick xmlns:r="http://schemas.openxmlformats.org/officeDocument/2006/relationships" r:id="rId5" tooltip=" "/>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3200" y="2781300"/>
          <a:ext cx="1454150"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57</xdr:row>
      <xdr:rowOff>0</xdr:rowOff>
    </xdr:from>
    <xdr:to>
      <xdr:col>2</xdr:col>
      <xdr:colOff>146050</xdr:colOff>
      <xdr:row>57</xdr:row>
      <xdr:rowOff>165100</xdr:rowOff>
    </xdr:to>
    <xdr:pic>
      <xdr:nvPicPr>
        <xdr:cNvPr id="7" name="Obrázek 6" descr="Help.gif">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016000" y="58737500"/>
          <a:ext cx="1460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4</xdr:col>
          <xdr:colOff>0</xdr:colOff>
          <xdr:row>25</xdr:row>
          <xdr:rowOff>0</xdr:rowOff>
        </xdr:from>
        <xdr:to>
          <xdr:col>6</xdr:col>
          <xdr:colOff>0</xdr:colOff>
          <xdr:row>26</xdr:row>
          <xdr:rowOff>0</xdr:rowOff>
        </xdr:to>
        <xdr:sp macro="" textlink="">
          <xdr:nvSpPr>
            <xdr:cNvPr id="151553" name="Drop Down 1" hidden="1">
              <a:extLst>
                <a:ext uri="{63B3BB69-23CF-44E3-9099-C40C66FF867C}">
                  <a14:compatExt spid="_x0000_s151553"/>
                </a:ext>
                <a:ext uri="{FF2B5EF4-FFF2-40B4-BE49-F238E27FC236}">
                  <a16:creationId xmlns:a16="http://schemas.microsoft.com/office/drawing/2014/main" id="{00000000-0008-0000-0400-0000015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10</xdr:col>
      <xdr:colOff>12700</xdr:colOff>
      <xdr:row>17</xdr:row>
      <xdr:rowOff>12700</xdr:rowOff>
    </xdr:from>
    <xdr:to>
      <xdr:col>12</xdr:col>
      <xdr:colOff>0</xdr:colOff>
      <xdr:row>20</xdr:row>
      <xdr:rowOff>180209</xdr:rowOff>
    </xdr:to>
    <xdr:pic>
      <xdr:nvPicPr>
        <xdr:cNvPr id="11" name="Obrázek 4">
          <a:hlinkClick xmlns:r="http://schemas.openxmlformats.org/officeDocument/2006/relationships" r:id="rId8"/>
          <a:extLst>
            <a:ext uri="{FF2B5EF4-FFF2-40B4-BE49-F238E27FC236}">
              <a16:creationId xmlns:a16="http://schemas.microsoft.com/office/drawing/2014/main" id="{00000000-0008-0000-0400-00000B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5365750" y="2794000"/>
          <a:ext cx="1428750" cy="7390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190500</xdr:colOff>
      <xdr:row>4</xdr:row>
      <xdr:rowOff>133350</xdr:rowOff>
    </xdr:from>
    <xdr:to>
      <xdr:col>11</xdr:col>
      <xdr:colOff>690880</xdr:colOff>
      <xdr:row>12</xdr:row>
      <xdr:rowOff>135255</xdr:rowOff>
    </xdr:to>
    <xdr:pic>
      <xdr:nvPicPr>
        <xdr:cNvPr id="12" name="Obrázek 10">
          <a:extLst>
            <a:ext uri="{FF2B5EF4-FFF2-40B4-BE49-F238E27FC236}">
              <a16:creationId xmlns:a16="http://schemas.microsoft.com/office/drawing/2014/main" id="{00000000-0008-0000-0400-00000C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bwMode="auto">
        <a:xfrm>
          <a:off x="5270500" y="641350"/>
          <a:ext cx="1525905" cy="1525905"/>
        </a:xfrm>
        <a:prstGeom prst="rect">
          <a:avLst/>
        </a:prstGeom>
        <a:noFill/>
        <a:ln w="317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3</xdr:col>
          <xdr:colOff>257175</xdr:colOff>
          <xdr:row>26</xdr:row>
          <xdr:rowOff>0</xdr:rowOff>
        </xdr:from>
        <xdr:to>
          <xdr:col>5</xdr:col>
          <xdr:colOff>733425</xdr:colOff>
          <xdr:row>26</xdr:row>
          <xdr:rowOff>200025</xdr:rowOff>
        </xdr:to>
        <xdr:sp macro="" textlink="">
          <xdr:nvSpPr>
            <xdr:cNvPr id="151554" name="Drop Down 2" hidden="1">
              <a:extLst>
                <a:ext uri="{63B3BB69-23CF-44E3-9099-C40C66FF867C}">
                  <a14:compatExt spid="_x0000_s151554"/>
                </a:ext>
                <a:ext uri="{FF2B5EF4-FFF2-40B4-BE49-F238E27FC236}">
                  <a16:creationId xmlns:a16="http://schemas.microsoft.com/office/drawing/2014/main" id="{00000000-0008-0000-0400-0000025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xdr:col>
      <xdr:colOff>0</xdr:colOff>
      <xdr:row>99</xdr:row>
      <xdr:rowOff>0</xdr:rowOff>
    </xdr:from>
    <xdr:to>
      <xdr:col>9</xdr:col>
      <xdr:colOff>0</xdr:colOff>
      <xdr:row>131</xdr:row>
      <xdr:rowOff>45284</xdr:rowOff>
    </xdr:to>
    <xdr:pic>
      <xdr:nvPicPr>
        <xdr:cNvPr id="6" name="Picture 5">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11"/>
        <a:stretch>
          <a:fillRect/>
        </a:stretch>
      </xdr:blipFill>
      <xdr:spPr>
        <a:xfrm>
          <a:off x="196850" y="16421100"/>
          <a:ext cx="4908550" cy="471888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17</xdr:row>
      <xdr:rowOff>0</xdr:rowOff>
    </xdr:from>
    <xdr:to>
      <xdr:col>6</xdr:col>
      <xdr:colOff>6350</xdr:colOff>
      <xdr:row>21</xdr:row>
      <xdr:rowOff>0</xdr:rowOff>
    </xdr:to>
    <xdr:pic>
      <xdr:nvPicPr>
        <xdr:cNvPr id="2" name="Obrázek 10" descr="P_front_HK_wa.gif">
          <a:hlinkClick xmlns:r="http://schemas.openxmlformats.org/officeDocument/2006/relationships" r:id="rId1" tooltip=" "/>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17700" y="2781300"/>
          <a:ext cx="14541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6350</xdr:colOff>
      <xdr:row>17</xdr:row>
      <xdr:rowOff>0</xdr:rowOff>
    </xdr:from>
    <xdr:to>
      <xdr:col>9</xdr:col>
      <xdr:colOff>6350</xdr:colOff>
      <xdr:row>21</xdr:row>
      <xdr:rowOff>0</xdr:rowOff>
    </xdr:to>
    <xdr:pic>
      <xdr:nvPicPr>
        <xdr:cNvPr id="3" name="Obrázek 12" descr="P_front_HK_na.gif">
          <a:hlinkClick xmlns:r="http://schemas.openxmlformats.org/officeDocument/2006/relationships" r:id="rId3" tooltip=" "/>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644900" y="2781300"/>
          <a:ext cx="144780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6350</xdr:colOff>
      <xdr:row>17</xdr:row>
      <xdr:rowOff>0</xdr:rowOff>
    </xdr:from>
    <xdr:to>
      <xdr:col>3</xdr:col>
      <xdr:colOff>6350</xdr:colOff>
      <xdr:row>21</xdr:row>
      <xdr:rowOff>0</xdr:rowOff>
    </xdr:to>
    <xdr:pic>
      <xdr:nvPicPr>
        <xdr:cNvPr id="4" name="Obrázek 13" descr="P_front_HK_w.gif">
          <a:hlinkClick xmlns:r="http://schemas.openxmlformats.org/officeDocument/2006/relationships" r:id="rId5" tooltip=" "/>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3200" y="2781300"/>
          <a:ext cx="144780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69</xdr:row>
      <xdr:rowOff>0</xdr:rowOff>
    </xdr:from>
    <xdr:to>
      <xdr:col>2</xdr:col>
      <xdr:colOff>146050</xdr:colOff>
      <xdr:row>69</xdr:row>
      <xdr:rowOff>165100</xdr:rowOff>
    </xdr:to>
    <xdr:pic>
      <xdr:nvPicPr>
        <xdr:cNvPr id="6" name="Obrázek 7" descr="Help.gif">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920750" y="58845450"/>
          <a:ext cx="1460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63500</xdr:colOff>
      <xdr:row>5</xdr:row>
      <xdr:rowOff>57150</xdr:rowOff>
    </xdr:from>
    <xdr:to>
      <xdr:col>6</xdr:col>
      <xdr:colOff>152400</xdr:colOff>
      <xdr:row>6</xdr:row>
      <xdr:rowOff>171450</xdr:rowOff>
    </xdr:to>
    <xdr:pic>
      <xdr:nvPicPr>
        <xdr:cNvPr id="7" name="Obrázek 8" descr="Logo_ServoDrive.png">
          <a:extLst>
            <a:ext uri="{FF2B5EF4-FFF2-40B4-BE49-F238E27FC236}">
              <a16:creationId xmlns:a16="http://schemas.microsoft.com/office/drawing/2014/main" id="{00000000-0008-0000-0500-000007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705100" y="704850"/>
          <a:ext cx="812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63500</xdr:colOff>
      <xdr:row>7</xdr:row>
      <xdr:rowOff>44450</xdr:rowOff>
    </xdr:from>
    <xdr:to>
      <xdr:col>6</xdr:col>
      <xdr:colOff>152400</xdr:colOff>
      <xdr:row>8</xdr:row>
      <xdr:rowOff>165100</xdr:rowOff>
    </xdr:to>
    <xdr:pic>
      <xdr:nvPicPr>
        <xdr:cNvPr id="8" name="Obrázek 9" descr="Logo_TipOn.png">
          <a:extLst>
            <a:ext uri="{FF2B5EF4-FFF2-40B4-BE49-F238E27FC236}">
              <a16:creationId xmlns:a16="http://schemas.microsoft.com/office/drawing/2014/main" id="{00000000-0008-0000-0500-000008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2705100" y="1047750"/>
          <a:ext cx="812800" cy="311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3</xdr:col>
          <xdr:colOff>266700</xdr:colOff>
          <xdr:row>25</xdr:row>
          <xdr:rowOff>0</xdr:rowOff>
        </xdr:from>
        <xdr:to>
          <xdr:col>5</xdr:col>
          <xdr:colOff>723900</xdr:colOff>
          <xdr:row>26</xdr:row>
          <xdr:rowOff>0</xdr:rowOff>
        </xdr:to>
        <xdr:sp macro="" textlink="">
          <xdr:nvSpPr>
            <xdr:cNvPr id="152577" name="Drop Down 1" hidden="1">
              <a:extLst>
                <a:ext uri="{63B3BB69-23CF-44E3-9099-C40C66FF867C}">
                  <a14:compatExt spid="_x0000_s152577"/>
                </a:ext>
                <a:ext uri="{FF2B5EF4-FFF2-40B4-BE49-F238E27FC236}">
                  <a16:creationId xmlns:a16="http://schemas.microsoft.com/office/drawing/2014/main" id="{00000000-0008-0000-0500-0000015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26</xdr:row>
          <xdr:rowOff>0</xdr:rowOff>
        </xdr:from>
        <xdr:to>
          <xdr:col>5</xdr:col>
          <xdr:colOff>723900</xdr:colOff>
          <xdr:row>26</xdr:row>
          <xdr:rowOff>200025</xdr:rowOff>
        </xdr:to>
        <xdr:sp macro="" textlink="">
          <xdr:nvSpPr>
            <xdr:cNvPr id="152578" name="Drop Down 2" hidden="1">
              <a:extLst>
                <a:ext uri="{63B3BB69-23CF-44E3-9099-C40C66FF867C}">
                  <a14:compatExt spid="_x0000_s152578"/>
                </a:ext>
                <a:ext uri="{FF2B5EF4-FFF2-40B4-BE49-F238E27FC236}">
                  <a16:creationId xmlns:a16="http://schemas.microsoft.com/office/drawing/2014/main" id="{00000000-0008-0000-0500-0000025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10</xdr:col>
      <xdr:colOff>0</xdr:colOff>
      <xdr:row>17</xdr:row>
      <xdr:rowOff>0</xdr:rowOff>
    </xdr:from>
    <xdr:to>
      <xdr:col>12</xdr:col>
      <xdr:colOff>0</xdr:colOff>
      <xdr:row>20</xdr:row>
      <xdr:rowOff>167509</xdr:rowOff>
    </xdr:to>
    <xdr:pic>
      <xdr:nvPicPr>
        <xdr:cNvPr id="11" name="Obrázek 4">
          <a:hlinkClick xmlns:r="http://schemas.openxmlformats.org/officeDocument/2006/relationships" r:id="rId10"/>
          <a:extLst>
            <a:ext uri="{FF2B5EF4-FFF2-40B4-BE49-F238E27FC236}">
              <a16:creationId xmlns:a16="http://schemas.microsoft.com/office/drawing/2014/main" id="{00000000-0008-0000-0500-00000B00000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5359400" y="2781300"/>
          <a:ext cx="1428750" cy="7390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190500</xdr:colOff>
      <xdr:row>4</xdr:row>
      <xdr:rowOff>133350</xdr:rowOff>
    </xdr:from>
    <xdr:to>
      <xdr:col>11</xdr:col>
      <xdr:colOff>690880</xdr:colOff>
      <xdr:row>12</xdr:row>
      <xdr:rowOff>126683</xdr:rowOff>
    </xdr:to>
    <xdr:pic>
      <xdr:nvPicPr>
        <xdr:cNvPr id="12" name="Obrázek 4">
          <a:extLst>
            <a:ext uri="{FF2B5EF4-FFF2-40B4-BE49-F238E27FC236}">
              <a16:creationId xmlns:a16="http://schemas.microsoft.com/office/drawing/2014/main" id="{00000000-0008-0000-0500-00000C000000}"/>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bwMode="auto">
        <a:xfrm>
          <a:off x="5276850" y="641350"/>
          <a:ext cx="1525905" cy="1517333"/>
        </a:xfrm>
        <a:prstGeom prst="rect">
          <a:avLst/>
        </a:prstGeom>
        <a:noFill/>
        <a:ln w="317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0</xdr:colOff>
      <xdr:row>17</xdr:row>
      <xdr:rowOff>0</xdr:rowOff>
    </xdr:from>
    <xdr:to>
      <xdr:col>6</xdr:col>
      <xdr:colOff>6350</xdr:colOff>
      <xdr:row>21</xdr:row>
      <xdr:rowOff>0</xdr:rowOff>
    </xdr:to>
    <xdr:pic>
      <xdr:nvPicPr>
        <xdr:cNvPr id="2" name="Obrázek 10" descr="P_front_HK_wa.gif">
          <a:hlinkClick xmlns:r="http://schemas.openxmlformats.org/officeDocument/2006/relationships" r:id="rId1" tooltip=" "/>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17700" y="2781300"/>
          <a:ext cx="14541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6350</xdr:colOff>
      <xdr:row>17</xdr:row>
      <xdr:rowOff>0</xdr:rowOff>
    </xdr:from>
    <xdr:to>
      <xdr:col>9</xdr:col>
      <xdr:colOff>6350</xdr:colOff>
      <xdr:row>21</xdr:row>
      <xdr:rowOff>0</xdr:rowOff>
    </xdr:to>
    <xdr:pic>
      <xdr:nvPicPr>
        <xdr:cNvPr id="3" name="Obrázek 12" descr="P_front_HK_na.gif">
          <a:hlinkClick xmlns:r="http://schemas.openxmlformats.org/officeDocument/2006/relationships" r:id="rId3" tooltip=" "/>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644900" y="2781300"/>
          <a:ext cx="144780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6350</xdr:colOff>
      <xdr:row>17</xdr:row>
      <xdr:rowOff>0</xdr:rowOff>
    </xdr:from>
    <xdr:to>
      <xdr:col>3</xdr:col>
      <xdr:colOff>6350</xdr:colOff>
      <xdr:row>21</xdr:row>
      <xdr:rowOff>0</xdr:rowOff>
    </xdr:to>
    <xdr:pic>
      <xdr:nvPicPr>
        <xdr:cNvPr id="4" name="Obrázek 13" descr="P_front_HK_w.gif">
          <a:hlinkClick xmlns:r="http://schemas.openxmlformats.org/officeDocument/2006/relationships" r:id="rId5" tooltip=" "/>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3200" y="2781300"/>
          <a:ext cx="144780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69</xdr:row>
      <xdr:rowOff>0</xdr:rowOff>
    </xdr:from>
    <xdr:to>
      <xdr:col>2</xdr:col>
      <xdr:colOff>146050</xdr:colOff>
      <xdr:row>69</xdr:row>
      <xdr:rowOff>165100</xdr:rowOff>
    </xdr:to>
    <xdr:pic>
      <xdr:nvPicPr>
        <xdr:cNvPr id="6" name="Obrázek 6" descr="Help.gif">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920750" y="58864500"/>
          <a:ext cx="1460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4</xdr:col>
          <xdr:colOff>0</xdr:colOff>
          <xdr:row>25</xdr:row>
          <xdr:rowOff>0</xdr:rowOff>
        </xdr:from>
        <xdr:to>
          <xdr:col>5</xdr:col>
          <xdr:colOff>209550</xdr:colOff>
          <xdr:row>26</xdr:row>
          <xdr:rowOff>0</xdr:rowOff>
        </xdr:to>
        <xdr:sp macro="" textlink="">
          <xdr:nvSpPr>
            <xdr:cNvPr id="153601" name="Drop Down 1" hidden="1">
              <a:extLst>
                <a:ext uri="{63B3BB69-23CF-44E3-9099-C40C66FF867C}">
                  <a14:compatExt spid="_x0000_s153601"/>
                </a:ext>
                <a:ext uri="{FF2B5EF4-FFF2-40B4-BE49-F238E27FC236}">
                  <a16:creationId xmlns:a16="http://schemas.microsoft.com/office/drawing/2014/main" id="{00000000-0008-0000-0600-0000015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10</xdr:col>
      <xdr:colOff>0</xdr:colOff>
      <xdr:row>17</xdr:row>
      <xdr:rowOff>0</xdr:rowOff>
    </xdr:from>
    <xdr:to>
      <xdr:col>12</xdr:col>
      <xdr:colOff>0</xdr:colOff>
      <xdr:row>20</xdr:row>
      <xdr:rowOff>167509</xdr:rowOff>
    </xdr:to>
    <xdr:pic>
      <xdr:nvPicPr>
        <xdr:cNvPr id="8" name="Obrázek 4">
          <a:hlinkClick xmlns:r="http://schemas.openxmlformats.org/officeDocument/2006/relationships" r:id="rId8"/>
          <a:extLst>
            <a:ext uri="{FF2B5EF4-FFF2-40B4-BE49-F238E27FC236}">
              <a16:creationId xmlns:a16="http://schemas.microsoft.com/office/drawing/2014/main" id="{00000000-0008-0000-0600-000008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5359400" y="2781300"/>
          <a:ext cx="1428750" cy="7390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177800</xdr:colOff>
      <xdr:row>4</xdr:row>
      <xdr:rowOff>114300</xdr:rowOff>
    </xdr:from>
    <xdr:to>
      <xdr:col>12</xdr:col>
      <xdr:colOff>0</xdr:colOff>
      <xdr:row>12</xdr:row>
      <xdr:rowOff>107633</xdr:rowOff>
    </xdr:to>
    <xdr:pic>
      <xdr:nvPicPr>
        <xdr:cNvPr id="9" name="Obrázek 6">
          <a:extLst>
            <a:ext uri="{FF2B5EF4-FFF2-40B4-BE49-F238E27FC236}">
              <a16:creationId xmlns:a16="http://schemas.microsoft.com/office/drawing/2014/main" id="{00000000-0008-0000-0600-000009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bwMode="auto">
        <a:xfrm>
          <a:off x="5264150" y="622300"/>
          <a:ext cx="1517333" cy="1517333"/>
        </a:xfrm>
        <a:prstGeom prst="rect">
          <a:avLst/>
        </a:prstGeom>
        <a:noFill/>
        <a:ln w="317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0</xdr:colOff>
      <xdr:row>16</xdr:row>
      <xdr:rowOff>0</xdr:rowOff>
    </xdr:from>
    <xdr:to>
      <xdr:col>6</xdr:col>
      <xdr:colOff>6350</xdr:colOff>
      <xdr:row>20</xdr:row>
      <xdr:rowOff>107950</xdr:rowOff>
    </xdr:to>
    <xdr:pic>
      <xdr:nvPicPr>
        <xdr:cNvPr id="2" name="Obrázek 10" descr="P_front_HK_wa.gif">
          <a:hlinkClick xmlns:r="http://schemas.openxmlformats.org/officeDocument/2006/relationships" r:id="rId1" tooltip=" "/>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17700" y="2603500"/>
          <a:ext cx="14541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6350</xdr:colOff>
      <xdr:row>16</xdr:row>
      <xdr:rowOff>0</xdr:rowOff>
    </xdr:from>
    <xdr:to>
      <xdr:col>9</xdr:col>
      <xdr:colOff>6350</xdr:colOff>
      <xdr:row>20</xdr:row>
      <xdr:rowOff>107950</xdr:rowOff>
    </xdr:to>
    <xdr:pic>
      <xdr:nvPicPr>
        <xdr:cNvPr id="3" name="Obrázek 12" descr="P_front_HK_na.gif">
          <a:hlinkClick xmlns:r="http://schemas.openxmlformats.org/officeDocument/2006/relationships" r:id="rId3" tooltip=" "/>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644900" y="2603500"/>
          <a:ext cx="144780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6350</xdr:colOff>
      <xdr:row>16</xdr:row>
      <xdr:rowOff>0</xdr:rowOff>
    </xdr:from>
    <xdr:to>
      <xdr:col>3</xdr:col>
      <xdr:colOff>6350</xdr:colOff>
      <xdr:row>20</xdr:row>
      <xdr:rowOff>107950</xdr:rowOff>
    </xdr:to>
    <xdr:pic>
      <xdr:nvPicPr>
        <xdr:cNvPr id="4" name="Obrázek 13" descr="P_front_HK_w.gif">
          <a:hlinkClick xmlns:r="http://schemas.openxmlformats.org/officeDocument/2006/relationships" r:id="rId5" tooltip=" "/>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3200" y="2603500"/>
          <a:ext cx="144780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69</xdr:row>
      <xdr:rowOff>0</xdr:rowOff>
    </xdr:from>
    <xdr:to>
      <xdr:col>2</xdr:col>
      <xdr:colOff>146050</xdr:colOff>
      <xdr:row>69</xdr:row>
      <xdr:rowOff>165100</xdr:rowOff>
    </xdr:to>
    <xdr:pic>
      <xdr:nvPicPr>
        <xdr:cNvPr id="5" name="Obrázek 6" descr="Help.gif">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920750" y="58743850"/>
          <a:ext cx="1460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4</xdr:col>
          <xdr:colOff>0</xdr:colOff>
          <xdr:row>25</xdr:row>
          <xdr:rowOff>0</xdr:rowOff>
        </xdr:from>
        <xdr:to>
          <xdr:col>5</xdr:col>
          <xdr:colOff>209550</xdr:colOff>
          <xdr:row>26</xdr:row>
          <xdr:rowOff>0</xdr:rowOff>
        </xdr:to>
        <xdr:sp macro="" textlink="">
          <xdr:nvSpPr>
            <xdr:cNvPr id="154625" name="Drop Down 1" hidden="1">
              <a:extLst>
                <a:ext uri="{63B3BB69-23CF-44E3-9099-C40C66FF867C}">
                  <a14:compatExt spid="_x0000_s154625"/>
                </a:ext>
                <a:ext uri="{FF2B5EF4-FFF2-40B4-BE49-F238E27FC236}">
                  <a16:creationId xmlns:a16="http://schemas.microsoft.com/office/drawing/2014/main" id="{00000000-0008-0000-0700-0000015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26</xdr:row>
          <xdr:rowOff>0</xdr:rowOff>
        </xdr:from>
        <xdr:to>
          <xdr:col>5</xdr:col>
          <xdr:colOff>209550</xdr:colOff>
          <xdr:row>27</xdr:row>
          <xdr:rowOff>0</xdr:rowOff>
        </xdr:to>
        <xdr:sp macro="" textlink="">
          <xdr:nvSpPr>
            <xdr:cNvPr id="154626" name="Drop Down 2" hidden="1">
              <a:extLst>
                <a:ext uri="{63B3BB69-23CF-44E3-9099-C40C66FF867C}">
                  <a14:compatExt spid="_x0000_s154626"/>
                </a:ext>
                <a:ext uri="{FF2B5EF4-FFF2-40B4-BE49-F238E27FC236}">
                  <a16:creationId xmlns:a16="http://schemas.microsoft.com/office/drawing/2014/main" id="{00000000-0008-0000-0700-0000025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27</xdr:row>
          <xdr:rowOff>0</xdr:rowOff>
        </xdr:from>
        <xdr:to>
          <xdr:col>5</xdr:col>
          <xdr:colOff>209550</xdr:colOff>
          <xdr:row>28</xdr:row>
          <xdr:rowOff>0</xdr:rowOff>
        </xdr:to>
        <xdr:sp macro="" textlink="">
          <xdr:nvSpPr>
            <xdr:cNvPr id="154627" name="Drop Down 3" hidden="1">
              <a:extLst>
                <a:ext uri="{63B3BB69-23CF-44E3-9099-C40C66FF867C}">
                  <a14:compatExt spid="_x0000_s154627"/>
                </a:ext>
                <a:ext uri="{FF2B5EF4-FFF2-40B4-BE49-F238E27FC236}">
                  <a16:creationId xmlns:a16="http://schemas.microsoft.com/office/drawing/2014/main" id="{00000000-0008-0000-0700-0000035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28</xdr:row>
          <xdr:rowOff>0</xdr:rowOff>
        </xdr:from>
        <xdr:to>
          <xdr:col>5</xdr:col>
          <xdr:colOff>209550</xdr:colOff>
          <xdr:row>29</xdr:row>
          <xdr:rowOff>0</xdr:rowOff>
        </xdr:to>
        <xdr:sp macro="" textlink="">
          <xdr:nvSpPr>
            <xdr:cNvPr id="154628" name="Drop Down 4" hidden="1">
              <a:extLst>
                <a:ext uri="{63B3BB69-23CF-44E3-9099-C40C66FF867C}">
                  <a14:compatExt spid="_x0000_s154628"/>
                </a:ext>
                <a:ext uri="{FF2B5EF4-FFF2-40B4-BE49-F238E27FC236}">
                  <a16:creationId xmlns:a16="http://schemas.microsoft.com/office/drawing/2014/main" id="{00000000-0008-0000-0700-0000045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10</xdr:col>
      <xdr:colOff>0</xdr:colOff>
      <xdr:row>16</xdr:row>
      <xdr:rowOff>0</xdr:rowOff>
    </xdr:from>
    <xdr:to>
      <xdr:col>12</xdr:col>
      <xdr:colOff>0</xdr:colOff>
      <xdr:row>20</xdr:row>
      <xdr:rowOff>84959</xdr:rowOff>
    </xdr:to>
    <xdr:pic>
      <xdr:nvPicPr>
        <xdr:cNvPr id="11" name="Obrázek 4">
          <a:hlinkClick xmlns:r="http://schemas.openxmlformats.org/officeDocument/2006/relationships" r:id="rId8"/>
          <a:extLst>
            <a:ext uri="{FF2B5EF4-FFF2-40B4-BE49-F238E27FC236}">
              <a16:creationId xmlns:a16="http://schemas.microsoft.com/office/drawing/2014/main" id="{00000000-0008-0000-0700-00000B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5359400" y="2603500"/>
          <a:ext cx="1428750" cy="7390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152400</xdr:colOff>
      <xdr:row>4</xdr:row>
      <xdr:rowOff>139700</xdr:rowOff>
    </xdr:from>
    <xdr:to>
      <xdr:col>11</xdr:col>
      <xdr:colOff>681355</xdr:colOff>
      <xdr:row>13</xdr:row>
      <xdr:rowOff>65405</xdr:rowOff>
    </xdr:to>
    <xdr:pic>
      <xdr:nvPicPr>
        <xdr:cNvPr id="12" name="Obrázek 8">
          <a:extLst>
            <a:ext uri="{FF2B5EF4-FFF2-40B4-BE49-F238E27FC236}">
              <a16:creationId xmlns:a16="http://schemas.microsoft.com/office/drawing/2014/main" id="{00000000-0008-0000-0700-00000C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bwMode="auto">
        <a:xfrm>
          <a:off x="5238750" y="647700"/>
          <a:ext cx="1525905" cy="1525905"/>
        </a:xfrm>
        <a:prstGeom prst="rect">
          <a:avLst/>
        </a:prstGeom>
        <a:noFill/>
        <a:ln w="317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xdr:col>
      <xdr:colOff>0</xdr:colOff>
      <xdr:row>17</xdr:row>
      <xdr:rowOff>0</xdr:rowOff>
    </xdr:from>
    <xdr:to>
      <xdr:col>5</xdr:col>
      <xdr:colOff>549275</xdr:colOff>
      <xdr:row>21</xdr:row>
      <xdr:rowOff>0</xdr:rowOff>
    </xdr:to>
    <xdr:pic>
      <xdr:nvPicPr>
        <xdr:cNvPr id="2" name="Obrázek 10" descr="P_front_HK_wa.gif">
          <a:hlinkClick xmlns:r="http://schemas.openxmlformats.org/officeDocument/2006/relationships" r:id="rId1" tooltip=" "/>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24050" y="2984500"/>
          <a:ext cx="14668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6350</xdr:colOff>
      <xdr:row>17</xdr:row>
      <xdr:rowOff>0</xdr:rowOff>
    </xdr:from>
    <xdr:to>
      <xdr:col>8</xdr:col>
      <xdr:colOff>701675</xdr:colOff>
      <xdr:row>21</xdr:row>
      <xdr:rowOff>0</xdr:rowOff>
    </xdr:to>
    <xdr:pic>
      <xdr:nvPicPr>
        <xdr:cNvPr id="3" name="Obrázek 12" descr="P_front_HK_na.gif">
          <a:hlinkClick xmlns:r="http://schemas.openxmlformats.org/officeDocument/2006/relationships" r:id="rId3" tooltip=" "/>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657600" y="2984500"/>
          <a:ext cx="146050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6350</xdr:colOff>
      <xdr:row>17</xdr:row>
      <xdr:rowOff>0</xdr:rowOff>
    </xdr:from>
    <xdr:to>
      <xdr:col>3</xdr:col>
      <xdr:colOff>6350</xdr:colOff>
      <xdr:row>21</xdr:row>
      <xdr:rowOff>0</xdr:rowOff>
    </xdr:to>
    <xdr:pic>
      <xdr:nvPicPr>
        <xdr:cNvPr id="4" name="Obrázek 13" descr="P_front_HK_w.gif">
          <a:hlinkClick xmlns:r="http://schemas.openxmlformats.org/officeDocument/2006/relationships" r:id="rId5" tooltip=" "/>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3200" y="2984500"/>
          <a:ext cx="146050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69</xdr:row>
      <xdr:rowOff>0</xdr:rowOff>
    </xdr:from>
    <xdr:to>
      <xdr:col>2</xdr:col>
      <xdr:colOff>146050</xdr:colOff>
      <xdr:row>69</xdr:row>
      <xdr:rowOff>165100</xdr:rowOff>
    </xdr:to>
    <xdr:pic>
      <xdr:nvPicPr>
        <xdr:cNvPr id="5" name="Obrázek 6" descr="Help.gif">
          <a:extLst>
            <a:ext uri="{FF2B5EF4-FFF2-40B4-BE49-F238E27FC236}">
              <a16:creationId xmlns:a16="http://schemas.microsoft.com/office/drawing/2014/main" id="{00000000-0008-0000-0800-000005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927100" y="10947400"/>
          <a:ext cx="1460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177800</xdr:colOff>
      <xdr:row>4</xdr:row>
      <xdr:rowOff>114300</xdr:rowOff>
    </xdr:from>
    <xdr:to>
      <xdr:col>12</xdr:col>
      <xdr:colOff>0</xdr:colOff>
      <xdr:row>12</xdr:row>
      <xdr:rowOff>107633</xdr:rowOff>
    </xdr:to>
    <xdr:pic>
      <xdr:nvPicPr>
        <xdr:cNvPr id="7" name="Obrázek 6">
          <a:extLst>
            <a:ext uri="{FF2B5EF4-FFF2-40B4-BE49-F238E27FC236}">
              <a16:creationId xmlns:a16="http://schemas.microsoft.com/office/drawing/2014/main" id="{00000000-0008-0000-0800-000007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bwMode="auto">
        <a:xfrm>
          <a:off x="5289550" y="622300"/>
          <a:ext cx="1549400" cy="1517333"/>
        </a:xfrm>
        <a:prstGeom prst="rect">
          <a:avLst/>
        </a:prstGeom>
        <a:noFill/>
        <a:ln w="317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4</xdr:col>
          <xdr:colOff>0</xdr:colOff>
          <xdr:row>25</xdr:row>
          <xdr:rowOff>0</xdr:rowOff>
        </xdr:from>
        <xdr:to>
          <xdr:col>5</xdr:col>
          <xdr:colOff>790575</xdr:colOff>
          <xdr:row>26</xdr:row>
          <xdr:rowOff>9525</xdr:rowOff>
        </xdr:to>
        <xdr:sp macro="" textlink="">
          <xdr:nvSpPr>
            <xdr:cNvPr id="178177" name="Drop Down 1" hidden="1">
              <a:extLst>
                <a:ext uri="{63B3BB69-23CF-44E3-9099-C40C66FF867C}">
                  <a14:compatExt spid="_x0000_s178177"/>
                </a:ext>
                <a:ext uri="{FF2B5EF4-FFF2-40B4-BE49-F238E27FC236}">
                  <a16:creationId xmlns:a16="http://schemas.microsoft.com/office/drawing/2014/main" id="{00000000-0008-0000-0800-000001B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7" Type="http://schemas.openxmlformats.org/officeDocument/2006/relationships/ctrlProp" Target="../ctrlProps/ctrlProp22.xml"/><Relationship Id="rId2" Type="http://schemas.openxmlformats.org/officeDocument/2006/relationships/drawing" Target="../drawings/drawing10.xml"/><Relationship Id="rId1" Type="http://schemas.openxmlformats.org/officeDocument/2006/relationships/printerSettings" Target="../printerSettings/printerSettings10.bin"/><Relationship Id="rId6" Type="http://schemas.openxmlformats.org/officeDocument/2006/relationships/ctrlProp" Target="../ctrlProps/ctrlProp21.xml"/><Relationship Id="rId5" Type="http://schemas.openxmlformats.org/officeDocument/2006/relationships/ctrlProp" Target="../ctrlProps/ctrlProp20.xml"/><Relationship Id="rId4" Type="http://schemas.openxmlformats.org/officeDocument/2006/relationships/ctrlProp" Target="../ctrlProps/ctrlProp19.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27.xml"/><Relationship Id="rId3" Type="http://schemas.openxmlformats.org/officeDocument/2006/relationships/vmlDrawing" Target="../drawings/vmlDrawing11.vml"/><Relationship Id="rId7" Type="http://schemas.openxmlformats.org/officeDocument/2006/relationships/ctrlProp" Target="../ctrlProps/ctrlProp26.xml"/><Relationship Id="rId2" Type="http://schemas.openxmlformats.org/officeDocument/2006/relationships/drawing" Target="../drawings/drawing11.xml"/><Relationship Id="rId1" Type="http://schemas.openxmlformats.org/officeDocument/2006/relationships/printerSettings" Target="../printerSettings/printerSettings11.bin"/><Relationship Id="rId6" Type="http://schemas.openxmlformats.org/officeDocument/2006/relationships/ctrlProp" Target="../ctrlProps/ctrlProp25.xml"/><Relationship Id="rId5" Type="http://schemas.openxmlformats.org/officeDocument/2006/relationships/ctrlProp" Target="../ctrlProps/ctrlProp24.xml"/><Relationship Id="rId4" Type="http://schemas.openxmlformats.org/officeDocument/2006/relationships/ctrlProp" Target="../ctrlProps/ctrlProp23.xml"/><Relationship Id="rId9" Type="http://schemas.openxmlformats.org/officeDocument/2006/relationships/ctrlProp" Target="../ctrlProps/ctrlProp28.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33.xml"/><Relationship Id="rId3" Type="http://schemas.openxmlformats.org/officeDocument/2006/relationships/vmlDrawing" Target="../drawings/vmlDrawing12.vml"/><Relationship Id="rId7" Type="http://schemas.openxmlformats.org/officeDocument/2006/relationships/ctrlProp" Target="../ctrlProps/ctrlProp32.xml"/><Relationship Id="rId2" Type="http://schemas.openxmlformats.org/officeDocument/2006/relationships/drawing" Target="../drawings/drawing12.xml"/><Relationship Id="rId1" Type="http://schemas.openxmlformats.org/officeDocument/2006/relationships/printerSettings" Target="../printerSettings/printerSettings12.bin"/><Relationship Id="rId6" Type="http://schemas.openxmlformats.org/officeDocument/2006/relationships/ctrlProp" Target="../ctrlProps/ctrlProp31.xml"/><Relationship Id="rId5" Type="http://schemas.openxmlformats.org/officeDocument/2006/relationships/ctrlProp" Target="../ctrlProps/ctrlProp30.xml"/><Relationship Id="rId10" Type="http://schemas.openxmlformats.org/officeDocument/2006/relationships/ctrlProp" Target="../ctrlProps/ctrlProp35.xml"/><Relationship Id="rId4" Type="http://schemas.openxmlformats.org/officeDocument/2006/relationships/ctrlProp" Target="../ctrlProps/ctrlProp29.xml"/><Relationship Id="rId9" Type="http://schemas.openxmlformats.org/officeDocument/2006/relationships/ctrlProp" Target="../ctrlProps/ctrlProp34.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40.xml"/><Relationship Id="rId3" Type="http://schemas.openxmlformats.org/officeDocument/2006/relationships/vmlDrawing" Target="../drawings/vmlDrawing13.vml"/><Relationship Id="rId7" Type="http://schemas.openxmlformats.org/officeDocument/2006/relationships/ctrlProp" Target="../ctrlProps/ctrlProp39.xml"/><Relationship Id="rId2" Type="http://schemas.openxmlformats.org/officeDocument/2006/relationships/drawing" Target="../drawings/drawing13.xml"/><Relationship Id="rId1" Type="http://schemas.openxmlformats.org/officeDocument/2006/relationships/printerSettings" Target="../printerSettings/printerSettings13.bin"/><Relationship Id="rId6" Type="http://schemas.openxmlformats.org/officeDocument/2006/relationships/ctrlProp" Target="../ctrlProps/ctrlProp38.xml"/><Relationship Id="rId5" Type="http://schemas.openxmlformats.org/officeDocument/2006/relationships/ctrlProp" Target="../ctrlProps/ctrlProp37.xml"/><Relationship Id="rId10" Type="http://schemas.openxmlformats.org/officeDocument/2006/relationships/ctrlProp" Target="../ctrlProps/ctrlProp42.xml"/><Relationship Id="rId4" Type="http://schemas.openxmlformats.org/officeDocument/2006/relationships/ctrlProp" Target="../ctrlProps/ctrlProp36.xml"/><Relationship Id="rId9" Type="http://schemas.openxmlformats.org/officeDocument/2006/relationships/ctrlProp" Target="../ctrlProps/ctrlProp41.xml"/></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47.xml"/><Relationship Id="rId3" Type="http://schemas.openxmlformats.org/officeDocument/2006/relationships/vmlDrawing" Target="../drawings/vmlDrawing14.vml"/><Relationship Id="rId7" Type="http://schemas.openxmlformats.org/officeDocument/2006/relationships/ctrlProp" Target="../ctrlProps/ctrlProp46.xml"/><Relationship Id="rId2" Type="http://schemas.openxmlformats.org/officeDocument/2006/relationships/drawing" Target="../drawings/drawing14.xml"/><Relationship Id="rId1" Type="http://schemas.openxmlformats.org/officeDocument/2006/relationships/printerSettings" Target="../printerSettings/printerSettings14.bin"/><Relationship Id="rId6" Type="http://schemas.openxmlformats.org/officeDocument/2006/relationships/ctrlProp" Target="../ctrlProps/ctrlProp45.xml"/><Relationship Id="rId5" Type="http://schemas.openxmlformats.org/officeDocument/2006/relationships/ctrlProp" Target="../ctrlProps/ctrlProp44.xml"/><Relationship Id="rId4" Type="http://schemas.openxmlformats.org/officeDocument/2006/relationships/ctrlProp" Target="../ctrlProps/ctrlProp43.xml"/><Relationship Id="rId9" Type="http://schemas.openxmlformats.org/officeDocument/2006/relationships/ctrlProp" Target="../ctrlProps/ctrlProp48.xml"/></Relationships>
</file>

<file path=xl/worksheets/_rels/sheet15.xml.rels><?xml version="1.0" encoding="UTF-8" standalone="yes"?>
<Relationships xmlns="http://schemas.openxmlformats.org/package/2006/relationships"><Relationship Id="rId8" Type="http://schemas.openxmlformats.org/officeDocument/2006/relationships/ctrlProp" Target="../ctrlProps/ctrlProp53.xml"/><Relationship Id="rId3" Type="http://schemas.openxmlformats.org/officeDocument/2006/relationships/vmlDrawing" Target="../drawings/vmlDrawing15.vml"/><Relationship Id="rId7" Type="http://schemas.openxmlformats.org/officeDocument/2006/relationships/ctrlProp" Target="../ctrlProps/ctrlProp52.xml"/><Relationship Id="rId2" Type="http://schemas.openxmlformats.org/officeDocument/2006/relationships/drawing" Target="../drawings/drawing15.xml"/><Relationship Id="rId1" Type="http://schemas.openxmlformats.org/officeDocument/2006/relationships/printerSettings" Target="../printerSettings/printerSettings15.bin"/><Relationship Id="rId6" Type="http://schemas.openxmlformats.org/officeDocument/2006/relationships/ctrlProp" Target="../ctrlProps/ctrlProp51.xml"/><Relationship Id="rId5" Type="http://schemas.openxmlformats.org/officeDocument/2006/relationships/ctrlProp" Target="../ctrlProps/ctrlProp50.xml"/><Relationship Id="rId10" Type="http://schemas.openxmlformats.org/officeDocument/2006/relationships/ctrlProp" Target="../ctrlProps/ctrlProp55.xml"/><Relationship Id="rId4" Type="http://schemas.openxmlformats.org/officeDocument/2006/relationships/ctrlProp" Target="../ctrlProps/ctrlProp49.xml"/><Relationship Id="rId9" Type="http://schemas.openxmlformats.org/officeDocument/2006/relationships/ctrlProp" Target="../ctrlProps/ctrlProp54.xml"/></Relationships>
</file>

<file path=xl/worksheets/_rels/sheet16.xml.rels><?xml version="1.0" encoding="UTF-8" standalone="yes"?>
<Relationships xmlns="http://schemas.openxmlformats.org/package/2006/relationships"><Relationship Id="rId8" Type="http://schemas.openxmlformats.org/officeDocument/2006/relationships/ctrlProp" Target="../ctrlProps/ctrlProp60.xml"/><Relationship Id="rId3" Type="http://schemas.openxmlformats.org/officeDocument/2006/relationships/vmlDrawing" Target="../drawings/vmlDrawing16.vml"/><Relationship Id="rId7" Type="http://schemas.openxmlformats.org/officeDocument/2006/relationships/ctrlProp" Target="../ctrlProps/ctrlProp59.xml"/><Relationship Id="rId2" Type="http://schemas.openxmlformats.org/officeDocument/2006/relationships/drawing" Target="../drawings/drawing16.xml"/><Relationship Id="rId1" Type="http://schemas.openxmlformats.org/officeDocument/2006/relationships/printerSettings" Target="../printerSettings/printerSettings16.bin"/><Relationship Id="rId6" Type="http://schemas.openxmlformats.org/officeDocument/2006/relationships/ctrlProp" Target="../ctrlProps/ctrlProp58.xml"/><Relationship Id="rId5" Type="http://schemas.openxmlformats.org/officeDocument/2006/relationships/ctrlProp" Target="../ctrlProps/ctrlProp57.xml"/><Relationship Id="rId10" Type="http://schemas.openxmlformats.org/officeDocument/2006/relationships/ctrlProp" Target="../ctrlProps/ctrlProp62.xml"/><Relationship Id="rId4" Type="http://schemas.openxmlformats.org/officeDocument/2006/relationships/ctrlProp" Target="../ctrlProps/ctrlProp56.xml"/><Relationship Id="rId9" Type="http://schemas.openxmlformats.org/officeDocument/2006/relationships/ctrlProp" Target="../ctrlProps/ctrlProp61.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7" Type="http://schemas.openxmlformats.org/officeDocument/2006/relationships/ctrlProp" Target="../ctrlProps/ctrlProp66.xml"/><Relationship Id="rId2" Type="http://schemas.openxmlformats.org/officeDocument/2006/relationships/drawing" Target="../drawings/drawing17.xml"/><Relationship Id="rId1" Type="http://schemas.openxmlformats.org/officeDocument/2006/relationships/printerSettings" Target="../printerSettings/printerSettings17.bin"/><Relationship Id="rId6" Type="http://schemas.openxmlformats.org/officeDocument/2006/relationships/ctrlProp" Target="../ctrlProps/ctrlProp65.xml"/><Relationship Id="rId5" Type="http://schemas.openxmlformats.org/officeDocument/2006/relationships/ctrlProp" Target="../ctrlProps/ctrlProp64.xml"/><Relationship Id="rId4" Type="http://schemas.openxmlformats.org/officeDocument/2006/relationships/ctrlProp" Target="../ctrlProps/ctrlProp63.xml"/></Relationships>
</file>

<file path=xl/worksheets/_rels/sheet18.xml.rels><?xml version="1.0" encoding="UTF-8" standalone="yes"?>
<Relationships xmlns="http://schemas.openxmlformats.org/package/2006/relationships"><Relationship Id="rId8" Type="http://schemas.openxmlformats.org/officeDocument/2006/relationships/ctrlProp" Target="../ctrlProps/ctrlProp71.xml"/><Relationship Id="rId3" Type="http://schemas.openxmlformats.org/officeDocument/2006/relationships/vmlDrawing" Target="../drawings/vmlDrawing18.vml"/><Relationship Id="rId7" Type="http://schemas.openxmlformats.org/officeDocument/2006/relationships/ctrlProp" Target="../ctrlProps/ctrlProp70.xml"/><Relationship Id="rId2" Type="http://schemas.openxmlformats.org/officeDocument/2006/relationships/drawing" Target="../drawings/drawing18.xml"/><Relationship Id="rId1" Type="http://schemas.openxmlformats.org/officeDocument/2006/relationships/printerSettings" Target="../printerSettings/printerSettings18.bin"/><Relationship Id="rId6" Type="http://schemas.openxmlformats.org/officeDocument/2006/relationships/ctrlProp" Target="../ctrlProps/ctrlProp69.xml"/><Relationship Id="rId5" Type="http://schemas.openxmlformats.org/officeDocument/2006/relationships/ctrlProp" Target="../ctrlProps/ctrlProp68.xml"/><Relationship Id="rId4" Type="http://schemas.openxmlformats.org/officeDocument/2006/relationships/ctrlProp" Target="../ctrlProps/ctrlProp67.xml"/><Relationship Id="rId9" Type="http://schemas.openxmlformats.org/officeDocument/2006/relationships/ctrlProp" Target="../ctrlProps/ctrlProp72.xml"/></Relationships>
</file>

<file path=xl/worksheets/_rels/sheet19.xml.rels><?xml version="1.0" encoding="UTF-8" standalone="yes"?>
<Relationships xmlns="http://schemas.openxmlformats.org/package/2006/relationships"><Relationship Id="rId8" Type="http://schemas.openxmlformats.org/officeDocument/2006/relationships/ctrlProp" Target="../ctrlProps/ctrlProp77.xml"/><Relationship Id="rId3" Type="http://schemas.openxmlformats.org/officeDocument/2006/relationships/vmlDrawing" Target="../drawings/vmlDrawing19.vml"/><Relationship Id="rId7" Type="http://schemas.openxmlformats.org/officeDocument/2006/relationships/ctrlProp" Target="../ctrlProps/ctrlProp76.xml"/><Relationship Id="rId2" Type="http://schemas.openxmlformats.org/officeDocument/2006/relationships/drawing" Target="../drawings/drawing19.xml"/><Relationship Id="rId1" Type="http://schemas.openxmlformats.org/officeDocument/2006/relationships/printerSettings" Target="../printerSettings/printerSettings19.bin"/><Relationship Id="rId6" Type="http://schemas.openxmlformats.org/officeDocument/2006/relationships/ctrlProp" Target="../ctrlProps/ctrlProp75.xml"/><Relationship Id="rId5" Type="http://schemas.openxmlformats.org/officeDocument/2006/relationships/ctrlProp" Target="../ctrlProps/ctrlProp74.xml"/><Relationship Id="rId10" Type="http://schemas.openxmlformats.org/officeDocument/2006/relationships/ctrlProp" Target="../ctrlProps/ctrlProp79.xml"/><Relationship Id="rId4" Type="http://schemas.openxmlformats.org/officeDocument/2006/relationships/ctrlProp" Target="../ctrlProps/ctrlProp73.xml"/><Relationship Id="rId9" Type="http://schemas.openxmlformats.org/officeDocument/2006/relationships/ctrlProp" Target="../ctrlProps/ctrlProp78.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2.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20.vml"/><Relationship Id="rId7" Type="http://schemas.openxmlformats.org/officeDocument/2006/relationships/ctrlProp" Target="../ctrlProps/ctrlProp83.xml"/><Relationship Id="rId2" Type="http://schemas.openxmlformats.org/officeDocument/2006/relationships/drawing" Target="../drawings/drawing20.xml"/><Relationship Id="rId1" Type="http://schemas.openxmlformats.org/officeDocument/2006/relationships/printerSettings" Target="../printerSettings/printerSettings20.bin"/><Relationship Id="rId6" Type="http://schemas.openxmlformats.org/officeDocument/2006/relationships/ctrlProp" Target="../ctrlProps/ctrlProp82.xml"/><Relationship Id="rId5" Type="http://schemas.openxmlformats.org/officeDocument/2006/relationships/ctrlProp" Target="../ctrlProps/ctrlProp81.xml"/><Relationship Id="rId4" Type="http://schemas.openxmlformats.org/officeDocument/2006/relationships/ctrlProp" Target="../ctrlProps/ctrlProp80.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1.vml"/><Relationship Id="rId7" Type="http://schemas.openxmlformats.org/officeDocument/2006/relationships/ctrlProp" Target="../ctrlProps/ctrlProp87.xml"/><Relationship Id="rId2" Type="http://schemas.openxmlformats.org/officeDocument/2006/relationships/drawing" Target="../drawings/drawing21.xml"/><Relationship Id="rId1" Type="http://schemas.openxmlformats.org/officeDocument/2006/relationships/printerSettings" Target="../printerSettings/printerSettings21.bin"/><Relationship Id="rId6" Type="http://schemas.openxmlformats.org/officeDocument/2006/relationships/ctrlProp" Target="../ctrlProps/ctrlProp86.xml"/><Relationship Id="rId5" Type="http://schemas.openxmlformats.org/officeDocument/2006/relationships/ctrlProp" Target="../ctrlProps/ctrlProp85.xml"/><Relationship Id="rId4" Type="http://schemas.openxmlformats.org/officeDocument/2006/relationships/ctrlProp" Target="../ctrlProps/ctrlProp84.xml"/></Relationships>
</file>

<file path=xl/worksheets/_rels/sheet22.xml.rels><?xml version="1.0" encoding="UTF-8" standalone="yes"?>
<Relationships xmlns="http://schemas.openxmlformats.org/package/2006/relationships"><Relationship Id="rId8" Type="http://schemas.openxmlformats.org/officeDocument/2006/relationships/ctrlProp" Target="../ctrlProps/ctrlProp92.xml"/><Relationship Id="rId3" Type="http://schemas.openxmlformats.org/officeDocument/2006/relationships/vmlDrawing" Target="../drawings/vmlDrawing22.vml"/><Relationship Id="rId7" Type="http://schemas.openxmlformats.org/officeDocument/2006/relationships/ctrlProp" Target="../ctrlProps/ctrlProp91.xml"/><Relationship Id="rId2" Type="http://schemas.openxmlformats.org/officeDocument/2006/relationships/drawing" Target="../drawings/drawing22.xml"/><Relationship Id="rId1" Type="http://schemas.openxmlformats.org/officeDocument/2006/relationships/printerSettings" Target="../printerSettings/printerSettings22.bin"/><Relationship Id="rId6" Type="http://schemas.openxmlformats.org/officeDocument/2006/relationships/ctrlProp" Target="../ctrlProps/ctrlProp90.xml"/><Relationship Id="rId5" Type="http://schemas.openxmlformats.org/officeDocument/2006/relationships/ctrlProp" Target="../ctrlProps/ctrlProp89.xml"/><Relationship Id="rId4" Type="http://schemas.openxmlformats.org/officeDocument/2006/relationships/ctrlProp" Target="../ctrlProps/ctrlProp88.xml"/><Relationship Id="rId9" Type="http://schemas.openxmlformats.org/officeDocument/2006/relationships/ctrlProp" Target="../ctrlProps/ctrlProp93.xml"/></Relationships>
</file>

<file path=xl/worksheets/_rels/sheet23.xml.rels><?xml version="1.0" encoding="UTF-8" standalone="yes"?>
<Relationships xmlns="http://schemas.openxmlformats.org/package/2006/relationships"><Relationship Id="rId8" Type="http://schemas.openxmlformats.org/officeDocument/2006/relationships/ctrlProp" Target="../ctrlProps/ctrlProp98.xml"/><Relationship Id="rId3" Type="http://schemas.openxmlformats.org/officeDocument/2006/relationships/vmlDrawing" Target="../drawings/vmlDrawing23.vml"/><Relationship Id="rId7" Type="http://schemas.openxmlformats.org/officeDocument/2006/relationships/ctrlProp" Target="../ctrlProps/ctrlProp97.xml"/><Relationship Id="rId2" Type="http://schemas.openxmlformats.org/officeDocument/2006/relationships/drawing" Target="../drawings/drawing23.xml"/><Relationship Id="rId1" Type="http://schemas.openxmlformats.org/officeDocument/2006/relationships/printerSettings" Target="../printerSettings/printerSettings23.bin"/><Relationship Id="rId6" Type="http://schemas.openxmlformats.org/officeDocument/2006/relationships/ctrlProp" Target="../ctrlProps/ctrlProp96.xml"/><Relationship Id="rId5" Type="http://schemas.openxmlformats.org/officeDocument/2006/relationships/ctrlProp" Target="../ctrlProps/ctrlProp95.xml"/><Relationship Id="rId4" Type="http://schemas.openxmlformats.org/officeDocument/2006/relationships/ctrlProp" Target="../ctrlProps/ctrlProp94.xml"/><Relationship Id="rId9" Type="http://schemas.openxmlformats.org/officeDocument/2006/relationships/ctrlProp" Target="../ctrlProps/ctrlProp99.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4.vml"/><Relationship Id="rId7" Type="http://schemas.openxmlformats.org/officeDocument/2006/relationships/ctrlProp" Target="../ctrlProps/ctrlProp103.xml"/><Relationship Id="rId2" Type="http://schemas.openxmlformats.org/officeDocument/2006/relationships/drawing" Target="../drawings/drawing24.xml"/><Relationship Id="rId1" Type="http://schemas.openxmlformats.org/officeDocument/2006/relationships/printerSettings" Target="../printerSettings/printerSettings24.bin"/><Relationship Id="rId6" Type="http://schemas.openxmlformats.org/officeDocument/2006/relationships/ctrlProp" Target="../ctrlProps/ctrlProp102.xml"/><Relationship Id="rId5" Type="http://schemas.openxmlformats.org/officeDocument/2006/relationships/ctrlProp" Target="../ctrlProps/ctrlProp101.xml"/><Relationship Id="rId4" Type="http://schemas.openxmlformats.org/officeDocument/2006/relationships/ctrlProp" Target="../ctrlProps/ctrlProp100.xml"/></Relationships>
</file>

<file path=xl/worksheets/_rels/sheet25.xml.rels><?xml version="1.0" encoding="UTF-8" standalone="yes"?>
<Relationships xmlns="http://schemas.openxmlformats.org/package/2006/relationships"><Relationship Id="rId8" Type="http://schemas.openxmlformats.org/officeDocument/2006/relationships/ctrlProp" Target="../ctrlProps/ctrlProp108.xml"/><Relationship Id="rId3" Type="http://schemas.openxmlformats.org/officeDocument/2006/relationships/vmlDrawing" Target="../drawings/vmlDrawing25.vml"/><Relationship Id="rId7" Type="http://schemas.openxmlformats.org/officeDocument/2006/relationships/ctrlProp" Target="../ctrlProps/ctrlProp107.xml"/><Relationship Id="rId2" Type="http://schemas.openxmlformats.org/officeDocument/2006/relationships/drawing" Target="../drawings/drawing25.xml"/><Relationship Id="rId1" Type="http://schemas.openxmlformats.org/officeDocument/2006/relationships/printerSettings" Target="../printerSettings/printerSettings25.bin"/><Relationship Id="rId6" Type="http://schemas.openxmlformats.org/officeDocument/2006/relationships/ctrlProp" Target="../ctrlProps/ctrlProp106.xml"/><Relationship Id="rId5" Type="http://schemas.openxmlformats.org/officeDocument/2006/relationships/ctrlProp" Target="../ctrlProps/ctrlProp105.xml"/><Relationship Id="rId4" Type="http://schemas.openxmlformats.org/officeDocument/2006/relationships/ctrlProp" Target="../ctrlProps/ctrlProp104.xml"/><Relationship Id="rId9" Type="http://schemas.openxmlformats.org/officeDocument/2006/relationships/ctrlProp" Target="../ctrlProps/ctrlProp109.xml"/></Relationships>
</file>

<file path=xl/worksheets/_rels/sheet26.xml.rels><?xml version="1.0" encoding="UTF-8" standalone="yes"?>
<Relationships xmlns="http://schemas.openxmlformats.org/package/2006/relationships"><Relationship Id="rId8" Type="http://schemas.openxmlformats.org/officeDocument/2006/relationships/ctrlProp" Target="../ctrlProps/ctrlProp114.xml"/><Relationship Id="rId3" Type="http://schemas.openxmlformats.org/officeDocument/2006/relationships/vmlDrawing" Target="../drawings/vmlDrawing26.vml"/><Relationship Id="rId7" Type="http://schemas.openxmlformats.org/officeDocument/2006/relationships/ctrlProp" Target="../ctrlProps/ctrlProp113.xml"/><Relationship Id="rId2" Type="http://schemas.openxmlformats.org/officeDocument/2006/relationships/drawing" Target="../drawings/drawing26.xml"/><Relationship Id="rId1" Type="http://schemas.openxmlformats.org/officeDocument/2006/relationships/printerSettings" Target="../printerSettings/printerSettings26.bin"/><Relationship Id="rId6" Type="http://schemas.openxmlformats.org/officeDocument/2006/relationships/ctrlProp" Target="../ctrlProps/ctrlProp112.xml"/><Relationship Id="rId5" Type="http://schemas.openxmlformats.org/officeDocument/2006/relationships/ctrlProp" Target="../ctrlProps/ctrlProp111.xml"/><Relationship Id="rId4" Type="http://schemas.openxmlformats.org/officeDocument/2006/relationships/ctrlProp" Target="../ctrlProps/ctrlProp110.xml"/><Relationship Id="rId9" Type="http://schemas.openxmlformats.org/officeDocument/2006/relationships/ctrlProp" Target="../ctrlProps/ctrlProp115.xml"/></Relationships>
</file>

<file path=xl/worksheets/_rels/sheet27.xml.rels><?xml version="1.0" encoding="UTF-8" standalone="yes"?>
<Relationships xmlns="http://schemas.openxmlformats.org/package/2006/relationships"><Relationship Id="rId8" Type="http://schemas.openxmlformats.org/officeDocument/2006/relationships/ctrlProp" Target="../ctrlProps/ctrlProp120.xml"/><Relationship Id="rId3" Type="http://schemas.openxmlformats.org/officeDocument/2006/relationships/vmlDrawing" Target="../drawings/vmlDrawing27.vml"/><Relationship Id="rId7" Type="http://schemas.openxmlformats.org/officeDocument/2006/relationships/ctrlProp" Target="../ctrlProps/ctrlProp119.xml"/><Relationship Id="rId2" Type="http://schemas.openxmlformats.org/officeDocument/2006/relationships/drawing" Target="../drawings/drawing27.xml"/><Relationship Id="rId1" Type="http://schemas.openxmlformats.org/officeDocument/2006/relationships/printerSettings" Target="../printerSettings/printerSettings27.bin"/><Relationship Id="rId6" Type="http://schemas.openxmlformats.org/officeDocument/2006/relationships/ctrlProp" Target="../ctrlProps/ctrlProp118.xml"/><Relationship Id="rId5" Type="http://schemas.openxmlformats.org/officeDocument/2006/relationships/ctrlProp" Target="../ctrlProps/ctrlProp117.xml"/><Relationship Id="rId4" Type="http://schemas.openxmlformats.org/officeDocument/2006/relationships/ctrlProp" Target="../ctrlProps/ctrlProp116.xml"/><Relationship Id="rId9" Type="http://schemas.openxmlformats.org/officeDocument/2006/relationships/ctrlProp" Target="../ctrlProps/ctrlProp121.xml"/></Relationships>
</file>

<file path=xl/worksheets/_rels/sheet28.xml.rels><?xml version="1.0" encoding="UTF-8" standalone="yes"?>
<Relationships xmlns="http://schemas.openxmlformats.org/package/2006/relationships"><Relationship Id="rId8" Type="http://schemas.openxmlformats.org/officeDocument/2006/relationships/ctrlProp" Target="../ctrlProps/ctrlProp126.xml"/><Relationship Id="rId3" Type="http://schemas.openxmlformats.org/officeDocument/2006/relationships/vmlDrawing" Target="../drawings/vmlDrawing28.vml"/><Relationship Id="rId7" Type="http://schemas.openxmlformats.org/officeDocument/2006/relationships/ctrlProp" Target="../ctrlProps/ctrlProp125.xml"/><Relationship Id="rId2" Type="http://schemas.openxmlformats.org/officeDocument/2006/relationships/drawing" Target="../drawings/drawing28.xml"/><Relationship Id="rId1" Type="http://schemas.openxmlformats.org/officeDocument/2006/relationships/printerSettings" Target="../printerSettings/printerSettings28.bin"/><Relationship Id="rId6" Type="http://schemas.openxmlformats.org/officeDocument/2006/relationships/ctrlProp" Target="../ctrlProps/ctrlProp124.xml"/><Relationship Id="rId5" Type="http://schemas.openxmlformats.org/officeDocument/2006/relationships/ctrlProp" Target="../ctrlProps/ctrlProp123.xml"/><Relationship Id="rId4" Type="http://schemas.openxmlformats.org/officeDocument/2006/relationships/ctrlProp" Target="../ctrlProps/ctrlProp122.xml"/><Relationship Id="rId9" Type="http://schemas.openxmlformats.org/officeDocument/2006/relationships/ctrlProp" Target="../ctrlProps/ctrlProp127.xml"/></Relationships>
</file>

<file path=xl/worksheets/_rels/sheet29.xml.rels><?xml version="1.0" encoding="UTF-8" standalone="yes"?>
<Relationships xmlns="http://schemas.openxmlformats.org/package/2006/relationships"><Relationship Id="rId8" Type="http://schemas.openxmlformats.org/officeDocument/2006/relationships/ctrlProp" Target="../ctrlProps/ctrlProp132.xml"/><Relationship Id="rId3" Type="http://schemas.openxmlformats.org/officeDocument/2006/relationships/vmlDrawing" Target="../drawings/vmlDrawing29.vml"/><Relationship Id="rId7" Type="http://schemas.openxmlformats.org/officeDocument/2006/relationships/ctrlProp" Target="../ctrlProps/ctrlProp131.xml"/><Relationship Id="rId2" Type="http://schemas.openxmlformats.org/officeDocument/2006/relationships/drawing" Target="../drawings/drawing29.xml"/><Relationship Id="rId1" Type="http://schemas.openxmlformats.org/officeDocument/2006/relationships/printerSettings" Target="../printerSettings/printerSettings29.bin"/><Relationship Id="rId6" Type="http://schemas.openxmlformats.org/officeDocument/2006/relationships/ctrlProp" Target="../ctrlProps/ctrlProp130.xml"/><Relationship Id="rId5" Type="http://schemas.openxmlformats.org/officeDocument/2006/relationships/ctrlProp" Target="../ctrlProps/ctrlProp129.xml"/><Relationship Id="rId4" Type="http://schemas.openxmlformats.org/officeDocument/2006/relationships/ctrlProp" Target="../ctrlProps/ctrlProp128.xml"/><Relationship Id="rId9" Type="http://schemas.openxmlformats.org/officeDocument/2006/relationships/ctrlProp" Target="../ctrlProps/ctrlProp13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trlProp" Target="../ctrlProps/ctrlProp6.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5.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30.xml.rels><?xml version="1.0" encoding="UTF-8" standalone="yes"?>
<Relationships xmlns="http://schemas.openxmlformats.org/package/2006/relationships"><Relationship Id="rId8" Type="http://schemas.openxmlformats.org/officeDocument/2006/relationships/ctrlProp" Target="../ctrlProps/ctrlProp138.xml"/><Relationship Id="rId3" Type="http://schemas.openxmlformats.org/officeDocument/2006/relationships/vmlDrawing" Target="../drawings/vmlDrawing30.vml"/><Relationship Id="rId7" Type="http://schemas.openxmlformats.org/officeDocument/2006/relationships/ctrlProp" Target="../ctrlProps/ctrlProp137.xml"/><Relationship Id="rId2" Type="http://schemas.openxmlformats.org/officeDocument/2006/relationships/drawing" Target="../drawings/drawing30.xml"/><Relationship Id="rId1" Type="http://schemas.openxmlformats.org/officeDocument/2006/relationships/printerSettings" Target="../printerSettings/printerSettings30.bin"/><Relationship Id="rId6" Type="http://schemas.openxmlformats.org/officeDocument/2006/relationships/ctrlProp" Target="../ctrlProps/ctrlProp136.xml"/><Relationship Id="rId5" Type="http://schemas.openxmlformats.org/officeDocument/2006/relationships/ctrlProp" Target="../ctrlProps/ctrlProp135.xml"/><Relationship Id="rId4" Type="http://schemas.openxmlformats.org/officeDocument/2006/relationships/ctrlProp" Target="../ctrlProps/ctrlProp134.xml"/><Relationship Id="rId9" Type="http://schemas.openxmlformats.org/officeDocument/2006/relationships/ctrlProp" Target="../ctrlProps/ctrlProp139.xml"/></Relationships>
</file>

<file path=xl/worksheets/_rels/sheet31.xml.rels><?xml version="1.0" encoding="UTF-8" standalone="yes"?>
<Relationships xmlns="http://schemas.openxmlformats.org/package/2006/relationships"><Relationship Id="rId8" Type="http://schemas.openxmlformats.org/officeDocument/2006/relationships/ctrlProp" Target="../ctrlProps/ctrlProp144.xml"/><Relationship Id="rId3" Type="http://schemas.openxmlformats.org/officeDocument/2006/relationships/vmlDrawing" Target="../drawings/vmlDrawing31.vml"/><Relationship Id="rId7" Type="http://schemas.openxmlformats.org/officeDocument/2006/relationships/ctrlProp" Target="../ctrlProps/ctrlProp143.xml"/><Relationship Id="rId2" Type="http://schemas.openxmlformats.org/officeDocument/2006/relationships/drawing" Target="../drawings/drawing31.xml"/><Relationship Id="rId1" Type="http://schemas.openxmlformats.org/officeDocument/2006/relationships/printerSettings" Target="../printerSettings/printerSettings31.bin"/><Relationship Id="rId6" Type="http://schemas.openxmlformats.org/officeDocument/2006/relationships/ctrlProp" Target="../ctrlProps/ctrlProp142.xml"/><Relationship Id="rId5" Type="http://schemas.openxmlformats.org/officeDocument/2006/relationships/ctrlProp" Target="../ctrlProps/ctrlProp141.xml"/><Relationship Id="rId4" Type="http://schemas.openxmlformats.org/officeDocument/2006/relationships/ctrlProp" Target="../ctrlProps/ctrlProp140.xml"/><Relationship Id="rId9" Type="http://schemas.openxmlformats.org/officeDocument/2006/relationships/ctrlProp" Target="../ctrlProps/ctrlProp145.xml"/></Relationships>
</file>

<file path=xl/worksheets/_rels/sheet32.xml.rels><?xml version="1.0" encoding="UTF-8" standalone="yes"?>
<Relationships xmlns="http://schemas.openxmlformats.org/package/2006/relationships"><Relationship Id="rId8" Type="http://schemas.openxmlformats.org/officeDocument/2006/relationships/ctrlProp" Target="../ctrlProps/ctrlProp150.xml"/><Relationship Id="rId3" Type="http://schemas.openxmlformats.org/officeDocument/2006/relationships/vmlDrawing" Target="../drawings/vmlDrawing32.vml"/><Relationship Id="rId7" Type="http://schemas.openxmlformats.org/officeDocument/2006/relationships/ctrlProp" Target="../ctrlProps/ctrlProp149.xml"/><Relationship Id="rId2" Type="http://schemas.openxmlformats.org/officeDocument/2006/relationships/drawing" Target="../drawings/drawing32.xml"/><Relationship Id="rId1" Type="http://schemas.openxmlformats.org/officeDocument/2006/relationships/printerSettings" Target="../printerSettings/printerSettings32.bin"/><Relationship Id="rId6" Type="http://schemas.openxmlformats.org/officeDocument/2006/relationships/ctrlProp" Target="../ctrlProps/ctrlProp148.xml"/><Relationship Id="rId11" Type="http://schemas.openxmlformats.org/officeDocument/2006/relationships/ctrlProp" Target="../ctrlProps/ctrlProp153.xml"/><Relationship Id="rId5" Type="http://schemas.openxmlformats.org/officeDocument/2006/relationships/ctrlProp" Target="../ctrlProps/ctrlProp147.xml"/><Relationship Id="rId10" Type="http://schemas.openxmlformats.org/officeDocument/2006/relationships/ctrlProp" Target="../ctrlProps/ctrlProp152.xml"/><Relationship Id="rId4" Type="http://schemas.openxmlformats.org/officeDocument/2006/relationships/ctrlProp" Target="../ctrlProps/ctrlProp146.xml"/><Relationship Id="rId9" Type="http://schemas.openxmlformats.org/officeDocument/2006/relationships/ctrlProp" Target="../ctrlProps/ctrlProp151.xml"/></Relationships>
</file>

<file path=xl/worksheets/_rels/sheet33.xml.rels><?xml version="1.0" encoding="UTF-8" standalone="yes"?>
<Relationships xmlns="http://schemas.openxmlformats.org/package/2006/relationships"><Relationship Id="rId8" Type="http://schemas.openxmlformats.org/officeDocument/2006/relationships/ctrlProp" Target="../ctrlProps/ctrlProp158.xml"/><Relationship Id="rId3" Type="http://schemas.openxmlformats.org/officeDocument/2006/relationships/vmlDrawing" Target="../drawings/vmlDrawing33.vml"/><Relationship Id="rId7" Type="http://schemas.openxmlformats.org/officeDocument/2006/relationships/ctrlProp" Target="../ctrlProps/ctrlProp157.xml"/><Relationship Id="rId2" Type="http://schemas.openxmlformats.org/officeDocument/2006/relationships/drawing" Target="../drawings/drawing33.xml"/><Relationship Id="rId1" Type="http://schemas.openxmlformats.org/officeDocument/2006/relationships/printerSettings" Target="../printerSettings/printerSettings33.bin"/><Relationship Id="rId6" Type="http://schemas.openxmlformats.org/officeDocument/2006/relationships/ctrlProp" Target="../ctrlProps/ctrlProp156.xml"/><Relationship Id="rId5" Type="http://schemas.openxmlformats.org/officeDocument/2006/relationships/ctrlProp" Target="../ctrlProps/ctrlProp155.xml"/><Relationship Id="rId4" Type="http://schemas.openxmlformats.org/officeDocument/2006/relationships/ctrlProp" Target="../ctrlProps/ctrlProp154.xml"/><Relationship Id="rId9" Type="http://schemas.openxmlformats.org/officeDocument/2006/relationships/ctrlProp" Target="../ctrlProps/ctrlProp159.xml"/></Relationships>
</file>

<file path=xl/worksheets/_rels/sheet34.xml.rels><?xml version="1.0" encoding="UTF-8" standalone="yes"?>
<Relationships xmlns="http://schemas.openxmlformats.org/package/2006/relationships"><Relationship Id="rId8" Type="http://schemas.openxmlformats.org/officeDocument/2006/relationships/ctrlProp" Target="../ctrlProps/ctrlProp164.xml"/><Relationship Id="rId3" Type="http://schemas.openxmlformats.org/officeDocument/2006/relationships/vmlDrawing" Target="../drawings/vmlDrawing34.vml"/><Relationship Id="rId7" Type="http://schemas.openxmlformats.org/officeDocument/2006/relationships/ctrlProp" Target="../ctrlProps/ctrlProp163.xml"/><Relationship Id="rId2" Type="http://schemas.openxmlformats.org/officeDocument/2006/relationships/drawing" Target="../drawings/drawing34.xml"/><Relationship Id="rId1" Type="http://schemas.openxmlformats.org/officeDocument/2006/relationships/printerSettings" Target="../printerSettings/printerSettings34.bin"/><Relationship Id="rId6" Type="http://schemas.openxmlformats.org/officeDocument/2006/relationships/ctrlProp" Target="../ctrlProps/ctrlProp162.xml"/><Relationship Id="rId11" Type="http://schemas.openxmlformats.org/officeDocument/2006/relationships/ctrlProp" Target="../ctrlProps/ctrlProp167.xml"/><Relationship Id="rId5" Type="http://schemas.openxmlformats.org/officeDocument/2006/relationships/ctrlProp" Target="../ctrlProps/ctrlProp161.xml"/><Relationship Id="rId10" Type="http://schemas.openxmlformats.org/officeDocument/2006/relationships/ctrlProp" Target="../ctrlProps/ctrlProp166.xml"/><Relationship Id="rId4" Type="http://schemas.openxmlformats.org/officeDocument/2006/relationships/ctrlProp" Target="../ctrlProps/ctrlProp160.xml"/><Relationship Id="rId9" Type="http://schemas.openxmlformats.org/officeDocument/2006/relationships/ctrlProp" Target="../ctrlProps/ctrlProp165.xml"/></Relationships>
</file>

<file path=xl/worksheets/_rels/sheet35.xml.rels><?xml version="1.0" encoding="UTF-8" standalone="yes"?>
<Relationships xmlns="http://schemas.openxmlformats.org/package/2006/relationships"><Relationship Id="rId8" Type="http://schemas.openxmlformats.org/officeDocument/2006/relationships/ctrlProp" Target="../ctrlProps/ctrlProp172.xml"/><Relationship Id="rId3" Type="http://schemas.openxmlformats.org/officeDocument/2006/relationships/vmlDrawing" Target="../drawings/vmlDrawing35.vml"/><Relationship Id="rId7" Type="http://schemas.openxmlformats.org/officeDocument/2006/relationships/ctrlProp" Target="../ctrlProps/ctrlProp171.xml"/><Relationship Id="rId2" Type="http://schemas.openxmlformats.org/officeDocument/2006/relationships/drawing" Target="../drawings/drawing35.xml"/><Relationship Id="rId1" Type="http://schemas.openxmlformats.org/officeDocument/2006/relationships/printerSettings" Target="../printerSettings/printerSettings35.bin"/><Relationship Id="rId6" Type="http://schemas.openxmlformats.org/officeDocument/2006/relationships/ctrlProp" Target="../ctrlProps/ctrlProp170.xml"/><Relationship Id="rId11" Type="http://schemas.openxmlformats.org/officeDocument/2006/relationships/ctrlProp" Target="../ctrlProps/ctrlProp175.xml"/><Relationship Id="rId5" Type="http://schemas.openxmlformats.org/officeDocument/2006/relationships/ctrlProp" Target="../ctrlProps/ctrlProp169.xml"/><Relationship Id="rId10" Type="http://schemas.openxmlformats.org/officeDocument/2006/relationships/ctrlProp" Target="../ctrlProps/ctrlProp174.xml"/><Relationship Id="rId4" Type="http://schemas.openxmlformats.org/officeDocument/2006/relationships/ctrlProp" Target="../ctrlProps/ctrlProp168.xml"/><Relationship Id="rId9" Type="http://schemas.openxmlformats.org/officeDocument/2006/relationships/ctrlProp" Target="../ctrlProps/ctrlProp173.xml"/></Relationships>
</file>

<file path=xl/worksheets/_rels/sheet36.xml.rels><?xml version="1.0" encoding="UTF-8" standalone="yes"?>
<Relationships xmlns="http://schemas.openxmlformats.org/package/2006/relationships"><Relationship Id="rId8" Type="http://schemas.openxmlformats.org/officeDocument/2006/relationships/ctrlProp" Target="../ctrlProps/ctrlProp180.xml"/><Relationship Id="rId3" Type="http://schemas.openxmlformats.org/officeDocument/2006/relationships/vmlDrawing" Target="../drawings/vmlDrawing36.vml"/><Relationship Id="rId7" Type="http://schemas.openxmlformats.org/officeDocument/2006/relationships/ctrlProp" Target="../ctrlProps/ctrlProp179.xml"/><Relationship Id="rId2" Type="http://schemas.openxmlformats.org/officeDocument/2006/relationships/drawing" Target="../drawings/drawing36.xml"/><Relationship Id="rId1" Type="http://schemas.openxmlformats.org/officeDocument/2006/relationships/printerSettings" Target="../printerSettings/printerSettings36.bin"/><Relationship Id="rId6" Type="http://schemas.openxmlformats.org/officeDocument/2006/relationships/ctrlProp" Target="../ctrlProps/ctrlProp178.xml"/><Relationship Id="rId5" Type="http://schemas.openxmlformats.org/officeDocument/2006/relationships/ctrlProp" Target="../ctrlProps/ctrlProp177.xml"/><Relationship Id="rId4" Type="http://schemas.openxmlformats.org/officeDocument/2006/relationships/ctrlProp" Target="../ctrlProps/ctrlProp176.xml"/><Relationship Id="rId9" Type="http://schemas.openxmlformats.org/officeDocument/2006/relationships/ctrlProp" Target="../ctrlProps/ctrlProp181.xml"/></Relationships>
</file>

<file path=xl/worksheets/_rels/sheet37.xml.rels><?xml version="1.0" encoding="UTF-8" standalone="yes"?>
<Relationships xmlns="http://schemas.openxmlformats.org/package/2006/relationships"><Relationship Id="rId8" Type="http://schemas.openxmlformats.org/officeDocument/2006/relationships/ctrlProp" Target="../ctrlProps/ctrlProp186.xml"/><Relationship Id="rId3" Type="http://schemas.openxmlformats.org/officeDocument/2006/relationships/vmlDrawing" Target="../drawings/vmlDrawing37.vml"/><Relationship Id="rId7" Type="http://schemas.openxmlformats.org/officeDocument/2006/relationships/ctrlProp" Target="../ctrlProps/ctrlProp185.xml"/><Relationship Id="rId2" Type="http://schemas.openxmlformats.org/officeDocument/2006/relationships/drawing" Target="../drawings/drawing37.xml"/><Relationship Id="rId1" Type="http://schemas.openxmlformats.org/officeDocument/2006/relationships/printerSettings" Target="../printerSettings/printerSettings37.bin"/><Relationship Id="rId6" Type="http://schemas.openxmlformats.org/officeDocument/2006/relationships/ctrlProp" Target="../ctrlProps/ctrlProp184.xml"/><Relationship Id="rId5" Type="http://schemas.openxmlformats.org/officeDocument/2006/relationships/ctrlProp" Target="../ctrlProps/ctrlProp183.xml"/><Relationship Id="rId4" Type="http://schemas.openxmlformats.org/officeDocument/2006/relationships/ctrlProp" Target="../ctrlProps/ctrlProp182.xml"/><Relationship Id="rId9" Type="http://schemas.openxmlformats.org/officeDocument/2006/relationships/ctrlProp" Target="../ctrlProps/ctrlProp187.xml"/></Relationships>
</file>

<file path=xl/worksheets/_rels/sheet38.xml.rels><?xml version="1.0" encoding="UTF-8" standalone="yes"?>
<Relationships xmlns="http://schemas.openxmlformats.org/package/2006/relationships"><Relationship Id="rId8" Type="http://schemas.openxmlformats.org/officeDocument/2006/relationships/ctrlProp" Target="../ctrlProps/ctrlProp192.xml"/><Relationship Id="rId3" Type="http://schemas.openxmlformats.org/officeDocument/2006/relationships/vmlDrawing" Target="../drawings/vmlDrawing38.vml"/><Relationship Id="rId7" Type="http://schemas.openxmlformats.org/officeDocument/2006/relationships/ctrlProp" Target="../ctrlProps/ctrlProp191.xml"/><Relationship Id="rId2" Type="http://schemas.openxmlformats.org/officeDocument/2006/relationships/drawing" Target="../drawings/drawing38.xml"/><Relationship Id="rId1" Type="http://schemas.openxmlformats.org/officeDocument/2006/relationships/printerSettings" Target="../printerSettings/printerSettings38.bin"/><Relationship Id="rId6" Type="http://schemas.openxmlformats.org/officeDocument/2006/relationships/ctrlProp" Target="../ctrlProps/ctrlProp190.xml"/><Relationship Id="rId5" Type="http://schemas.openxmlformats.org/officeDocument/2006/relationships/ctrlProp" Target="../ctrlProps/ctrlProp189.xml"/><Relationship Id="rId4" Type="http://schemas.openxmlformats.org/officeDocument/2006/relationships/ctrlProp" Target="../ctrlProps/ctrlProp188.xml"/><Relationship Id="rId9" Type="http://schemas.openxmlformats.org/officeDocument/2006/relationships/ctrlProp" Target="../ctrlProps/ctrlProp193.xml"/></Relationships>
</file>

<file path=xl/worksheets/_rels/sheet39.xml.rels><?xml version="1.0" encoding="UTF-8" standalone="yes"?>
<Relationships xmlns="http://schemas.openxmlformats.org/package/2006/relationships"><Relationship Id="rId8" Type="http://schemas.openxmlformats.org/officeDocument/2006/relationships/ctrlProp" Target="../ctrlProps/ctrlProp198.xml"/><Relationship Id="rId3" Type="http://schemas.openxmlformats.org/officeDocument/2006/relationships/vmlDrawing" Target="../drawings/vmlDrawing39.vml"/><Relationship Id="rId7" Type="http://schemas.openxmlformats.org/officeDocument/2006/relationships/ctrlProp" Target="../ctrlProps/ctrlProp197.xml"/><Relationship Id="rId2" Type="http://schemas.openxmlformats.org/officeDocument/2006/relationships/drawing" Target="../drawings/drawing39.xml"/><Relationship Id="rId1" Type="http://schemas.openxmlformats.org/officeDocument/2006/relationships/printerSettings" Target="../printerSettings/printerSettings39.bin"/><Relationship Id="rId6" Type="http://schemas.openxmlformats.org/officeDocument/2006/relationships/ctrlProp" Target="../ctrlProps/ctrlProp196.xml"/><Relationship Id="rId5" Type="http://schemas.openxmlformats.org/officeDocument/2006/relationships/ctrlProp" Target="../ctrlProps/ctrlProp195.xml"/><Relationship Id="rId4" Type="http://schemas.openxmlformats.org/officeDocument/2006/relationships/ctrlProp" Target="../ctrlProps/ctrlProp194.xml"/><Relationship Id="rId9" Type="http://schemas.openxmlformats.org/officeDocument/2006/relationships/ctrlProp" Target="../ctrlProps/ctrlProp199.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mailto:zamowienia@demos-trade.com" TargetMode="Externa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trlProp" Target="../ctrlProps/ctrlProp1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7" Type="http://schemas.openxmlformats.org/officeDocument/2006/relationships/ctrlProp" Target="../ctrlProps/ctrlProp17.xml"/><Relationship Id="rId2" Type="http://schemas.openxmlformats.org/officeDocument/2006/relationships/drawing" Target="../drawings/drawing8.xml"/><Relationship Id="rId1" Type="http://schemas.openxmlformats.org/officeDocument/2006/relationships/printerSettings" Target="../printerSettings/printerSettings8.bin"/><Relationship Id="rId6" Type="http://schemas.openxmlformats.org/officeDocument/2006/relationships/ctrlProp" Target="../ctrlProps/ctrlProp16.xml"/><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trlProp" Target="../ctrlProps/ctrlProp1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28BF6-2B94-470E-B1A3-25ED46C79738}">
  <sheetPr codeName="Sheet6">
    <tabColor rgb="FFFFC000"/>
  </sheetPr>
  <dimension ref="A1:Y306"/>
  <sheetViews>
    <sheetView showGridLines="0" tabSelected="1" zoomScale="85" zoomScaleNormal="85" workbookViewId="0"/>
  </sheetViews>
  <sheetFormatPr defaultColWidth="9.7109375" defaultRowHeight="15.75" customHeight="1" x14ac:dyDescent="0.2"/>
  <cols>
    <col min="1" max="1" width="2.42578125" style="36" customWidth="1"/>
    <col min="2" max="5" width="10" style="36" customWidth="1"/>
    <col min="6" max="6" width="9.7109375" style="36"/>
    <col min="7" max="10" width="10" style="36" customWidth="1"/>
    <col min="11" max="11" width="9.7109375" style="36"/>
    <col min="12" max="12" width="21.28515625" style="36" customWidth="1"/>
    <col min="13" max="18" width="9.7109375" style="36" hidden="1" customWidth="1"/>
    <col min="19" max="24" width="9.7109375" style="36" customWidth="1"/>
    <col min="25" max="256" width="9.7109375" style="36"/>
    <col min="257" max="257" width="2.42578125" style="36" customWidth="1"/>
    <col min="258" max="512" width="9.7109375" style="36"/>
    <col min="513" max="513" width="2.42578125" style="36" customWidth="1"/>
    <col min="514" max="768" width="9.7109375" style="36"/>
    <col min="769" max="769" width="2.42578125" style="36" customWidth="1"/>
    <col min="770" max="1024" width="9.7109375" style="36"/>
    <col min="1025" max="1025" width="2.42578125" style="36" customWidth="1"/>
    <col min="1026" max="1280" width="9.7109375" style="36"/>
    <col min="1281" max="1281" width="2.42578125" style="36" customWidth="1"/>
    <col min="1282" max="1536" width="9.7109375" style="36"/>
    <col min="1537" max="1537" width="2.42578125" style="36" customWidth="1"/>
    <col min="1538" max="1792" width="9.7109375" style="36"/>
    <col min="1793" max="1793" width="2.42578125" style="36" customWidth="1"/>
    <col min="1794" max="2048" width="9.7109375" style="36"/>
    <col min="2049" max="2049" width="2.42578125" style="36" customWidth="1"/>
    <col min="2050" max="2304" width="9.7109375" style="36"/>
    <col min="2305" max="2305" width="2.42578125" style="36" customWidth="1"/>
    <col min="2306" max="2560" width="9.7109375" style="36"/>
    <col min="2561" max="2561" width="2.42578125" style="36" customWidth="1"/>
    <col min="2562" max="2816" width="9.7109375" style="36"/>
    <col min="2817" max="2817" width="2.42578125" style="36" customWidth="1"/>
    <col min="2818" max="3072" width="9.7109375" style="36"/>
    <col min="3073" max="3073" width="2.42578125" style="36" customWidth="1"/>
    <col min="3074" max="3328" width="9.7109375" style="36"/>
    <col min="3329" max="3329" width="2.42578125" style="36" customWidth="1"/>
    <col min="3330" max="3584" width="9.7109375" style="36"/>
    <col min="3585" max="3585" width="2.42578125" style="36" customWidth="1"/>
    <col min="3586" max="3840" width="9.7109375" style="36"/>
    <col min="3841" max="3841" width="2.42578125" style="36" customWidth="1"/>
    <col min="3842" max="4096" width="9.7109375" style="36"/>
    <col min="4097" max="4097" width="2.42578125" style="36" customWidth="1"/>
    <col min="4098" max="4352" width="9.7109375" style="36"/>
    <col min="4353" max="4353" width="2.42578125" style="36" customWidth="1"/>
    <col min="4354" max="4608" width="9.7109375" style="36"/>
    <col min="4609" max="4609" width="2.42578125" style="36" customWidth="1"/>
    <col min="4610" max="4864" width="9.7109375" style="36"/>
    <col min="4865" max="4865" width="2.42578125" style="36" customWidth="1"/>
    <col min="4866" max="5120" width="9.7109375" style="36"/>
    <col min="5121" max="5121" width="2.42578125" style="36" customWidth="1"/>
    <col min="5122" max="5376" width="9.7109375" style="36"/>
    <col min="5377" max="5377" width="2.42578125" style="36" customWidth="1"/>
    <col min="5378" max="5632" width="9.7109375" style="36"/>
    <col min="5633" max="5633" width="2.42578125" style="36" customWidth="1"/>
    <col min="5634" max="5888" width="9.7109375" style="36"/>
    <col min="5889" max="5889" width="2.42578125" style="36" customWidth="1"/>
    <col min="5890" max="6144" width="9.7109375" style="36"/>
    <col min="6145" max="6145" width="2.42578125" style="36" customWidth="1"/>
    <col min="6146" max="6400" width="9.7109375" style="36"/>
    <col min="6401" max="6401" width="2.42578125" style="36" customWidth="1"/>
    <col min="6402" max="6656" width="9.7109375" style="36"/>
    <col min="6657" max="6657" width="2.42578125" style="36" customWidth="1"/>
    <col min="6658" max="6912" width="9.7109375" style="36"/>
    <col min="6913" max="6913" width="2.42578125" style="36" customWidth="1"/>
    <col min="6914" max="7168" width="9.7109375" style="36"/>
    <col min="7169" max="7169" width="2.42578125" style="36" customWidth="1"/>
    <col min="7170" max="7424" width="9.7109375" style="36"/>
    <col min="7425" max="7425" width="2.42578125" style="36" customWidth="1"/>
    <col min="7426" max="7680" width="9.7109375" style="36"/>
    <col min="7681" max="7681" width="2.42578125" style="36" customWidth="1"/>
    <col min="7682" max="7936" width="9.7109375" style="36"/>
    <col min="7937" max="7937" width="2.42578125" style="36" customWidth="1"/>
    <col min="7938" max="8192" width="9.7109375" style="36"/>
    <col min="8193" max="8193" width="2.42578125" style="36" customWidth="1"/>
    <col min="8194" max="8448" width="9.7109375" style="36"/>
    <col min="8449" max="8449" width="2.42578125" style="36" customWidth="1"/>
    <col min="8450" max="8704" width="9.7109375" style="36"/>
    <col min="8705" max="8705" width="2.42578125" style="36" customWidth="1"/>
    <col min="8706" max="8960" width="9.7109375" style="36"/>
    <col min="8961" max="8961" width="2.42578125" style="36" customWidth="1"/>
    <col min="8962" max="9216" width="9.7109375" style="36"/>
    <col min="9217" max="9217" width="2.42578125" style="36" customWidth="1"/>
    <col min="9218" max="9472" width="9.7109375" style="36"/>
    <col min="9473" max="9473" width="2.42578125" style="36" customWidth="1"/>
    <col min="9474" max="9728" width="9.7109375" style="36"/>
    <col min="9729" max="9729" width="2.42578125" style="36" customWidth="1"/>
    <col min="9730" max="9984" width="9.7109375" style="36"/>
    <col min="9985" max="9985" width="2.42578125" style="36" customWidth="1"/>
    <col min="9986" max="10240" width="9.7109375" style="36"/>
    <col min="10241" max="10241" width="2.42578125" style="36" customWidth="1"/>
    <col min="10242" max="10496" width="9.7109375" style="36"/>
    <col min="10497" max="10497" width="2.42578125" style="36" customWidth="1"/>
    <col min="10498" max="10752" width="9.7109375" style="36"/>
    <col min="10753" max="10753" width="2.42578125" style="36" customWidth="1"/>
    <col min="10754" max="11008" width="9.7109375" style="36"/>
    <col min="11009" max="11009" width="2.42578125" style="36" customWidth="1"/>
    <col min="11010" max="11264" width="9.7109375" style="36"/>
    <col min="11265" max="11265" width="2.42578125" style="36" customWidth="1"/>
    <col min="11266" max="11520" width="9.7109375" style="36"/>
    <col min="11521" max="11521" width="2.42578125" style="36" customWidth="1"/>
    <col min="11522" max="11776" width="9.7109375" style="36"/>
    <col min="11777" max="11777" width="2.42578125" style="36" customWidth="1"/>
    <col min="11778" max="12032" width="9.7109375" style="36"/>
    <col min="12033" max="12033" width="2.42578125" style="36" customWidth="1"/>
    <col min="12034" max="12288" width="9.7109375" style="36"/>
    <col min="12289" max="12289" width="2.42578125" style="36" customWidth="1"/>
    <col min="12290" max="12544" width="9.7109375" style="36"/>
    <col min="12545" max="12545" width="2.42578125" style="36" customWidth="1"/>
    <col min="12546" max="12800" width="9.7109375" style="36"/>
    <col min="12801" max="12801" width="2.42578125" style="36" customWidth="1"/>
    <col min="12802" max="13056" width="9.7109375" style="36"/>
    <col min="13057" max="13057" width="2.42578125" style="36" customWidth="1"/>
    <col min="13058" max="13312" width="9.7109375" style="36"/>
    <col min="13313" max="13313" width="2.42578125" style="36" customWidth="1"/>
    <col min="13314" max="13568" width="9.7109375" style="36"/>
    <col min="13569" max="13569" width="2.42578125" style="36" customWidth="1"/>
    <col min="13570" max="13824" width="9.7109375" style="36"/>
    <col min="13825" max="13825" width="2.42578125" style="36" customWidth="1"/>
    <col min="13826" max="14080" width="9.7109375" style="36"/>
    <col min="14081" max="14081" width="2.42578125" style="36" customWidth="1"/>
    <col min="14082" max="14336" width="9.7109375" style="36"/>
    <col min="14337" max="14337" width="2.42578125" style="36" customWidth="1"/>
    <col min="14338" max="14592" width="9.7109375" style="36"/>
    <col min="14593" max="14593" width="2.42578125" style="36" customWidth="1"/>
    <col min="14594" max="14848" width="9.7109375" style="36"/>
    <col min="14849" max="14849" width="2.42578125" style="36" customWidth="1"/>
    <col min="14850" max="15104" width="9.7109375" style="36"/>
    <col min="15105" max="15105" width="2.42578125" style="36" customWidth="1"/>
    <col min="15106" max="15360" width="9.7109375" style="36"/>
    <col min="15361" max="15361" width="2.42578125" style="36" customWidth="1"/>
    <col min="15362" max="15616" width="9.7109375" style="36"/>
    <col min="15617" max="15617" width="2.42578125" style="36" customWidth="1"/>
    <col min="15618" max="15872" width="9.7109375" style="36"/>
    <col min="15873" max="15873" width="2.42578125" style="36" customWidth="1"/>
    <col min="15874" max="16128" width="9.7109375" style="36"/>
    <col min="16129" max="16129" width="2.42578125" style="36" customWidth="1"/>
    <col min="16130" max="16384" width="9.7109375" style="36"/>
  </cols>
  <sheetData>
    <row r="1" spans="1:25" ht="9" customHeight="1" x14ac:dyDescent="0.2">
      <c r="A1" s="108"/>
      <c r="B1" s="108"/>
      <c r="C1" s="108"/>
      <c r="D1" s="108"/>
      <c r="E1" s="108"/>
      <c r="F1" s="108"/>
      <c r="G1" s="108"/>
      <c r="H1" s="108"/>
      <c r="I1" s="108"/>
      <c r="J1" s="108"/>
      <c r="K1" s="108"/>
      <c r="L1" s="108"/>
      <c r="M1" s="108"/>
      <c r="N1" s="108"/>
      <c r="O1" s="108"/>
      <c r="P1" s="108"/>
      <c r="Q1" s="108"/>
      <c r="R1" s="108"/>
      <c r="S1" s="108"/>
      <c r="T1" s="108"/>
      <c r="U1" s="108"/>
      <c r="V1" s="108"/>
      <c r="W1" s="108"/>
      <c r="X1" s="108"/>
      <c r="Y1" s="108"/>
    </row>
    <row r="2" spans="1:25" ht="6" customHeight="1" x14ac:dyDescent="0.2">
      <c r="A2" s="670"/>
      <c r="B2" s="670"/>
      <c r="C2" s="670"/>
      <c r="D2" s="670"/>
      <c r="E2" s="670"/>
      <c r="F2" s="670"/>
      <c r="G2" s="670"/>
      <c r="H2" s="670"/>
      <c r="I2" s="670"/>
      <c r="J2" s="670"/>
      <c r="K2" s="670"/>
      <c r="L2" s="670"/>
      <c r="M2" s="108"/>
      <c r="N2" s="108"/>
      <c r="O2" s="108"/>
      <c r="P2" s="108"/>
      <c r="Q2" s="108"/>
      <c r="R2" s="108"/>
      <c r="S2" s="108"/>
      <c r="T2" s="108"/>
      <c r="U2" s="108"/>
      <c r="V2" s="108"/>
      <c r="W2" s="108"/>
      <c r="X2" s="108"/>
      <c r="Y2" s="108"/>
    </row>
    <row r="3" spans="1:25" ht="16.149999999999999" customHeight="1" x14ac:dyDescent="0.2">
      <c r="A3" s="108"/>
      <c r="B3" s="409"/>
      <c r="C3" s="108"/>
      <c r="D3" s="108"/>
      <c r="E3" s="108"/>
      <c r="F3" s="108"/>
      <c r="G3" s="108"/>
      <c r="H3" s="108"/>
      <c r="I3" s="108"/>
      <c r="J3" s="108"/>
      <c r="K3" s="108"/>
      <c r="L3" s="108"/>
      <c r="M3" s="40"/>
      <c r="N3" s="108"/>
      <c r="O3" s="108"/>
      <c r="P3" s="108"/>
      <c r="Q3" s="108"/>
      <c r="R3" s="108"/>
      <c r="S3" s="108"/>
      <c r="T3" s="108"/>
      <c r="U3" s="108"/>
      <c r="V3" s="108"/>
      <c r="W3" s="108"/>
      <c r="X3" s="108"/>
      <c r="Y3" s="108"/>
    </row>
    <row r="4" spans="1:25" ht="16.149999999999999" customHeight="1" x14ac:dyDescent="0.2">
      <c r="A4" s="108"/>
      <c r="B4" s="108"/>
      <c r="C4" s="108"/>
      <c r="D4" s="108"/>
      <c r="E4" s="108"/>
      <c r="F4" s="108"/>
      <c r="G4" s="108"/>
      <c r="H4" s="108"/>
      <c r="I4" s="108"/>
      <c r="J4" s="108"/>
      <c r="K4" s="108"/>
      <c r="L4" s="108"/>
      <c r="M4" s="108"/>
      <c r="N4" s="108"/>
      <c r="O4" s="108"/>
      <c r="P4" s="108"/>
      <c r="Q4" s="108"/>
      <c r="R4" s="108"/>
      <c r="S4" s="108"/>
      <c r="T4" s="108"/>
      <c r="U4" s="108"/>
      <c r="V4" s="108"/>
      <c r="W4" s="108"/>
      <c r="X4" s="108"/>
      <c r="Y4" s="108"/>
    </row>
    <row r="5" spans="1:25" ht="16.149999999999999" customHeight="1" x14ac:dyDescent="0.2">
      <c r="A5" s="108"/>
      <c r="B5" s="108"/>
      <c r="C5" s="108"/>
      <c r="D5" s="108"/>
      <c r="E5" s="108"/>
      <c r="F5" s="108"/>
      <c r="G5" s="108"/>
      <c r="H5" s="108"/>
      <c r="I5" s="108"/>
      <c r="J5" s="108"/>
      <c r="K5" s="108"/>
      <c r="L5" s="108"/>
      <c r="M5" s="108"/>
      <c r="N5" s="108"/>
      <c r="O5" s="108"/>
      <c r="P5" s="108"/>
      <c r="Q5" s="108"/>
      <c r="R5" s="108"/>
      <c r="S5" s="108"/>
      <c r="T5" s="108"/>
      <c r="U5" s="108"/>
      <c r="V5" s="108"/>
      <c r="W5" s="108"/>
      <c r="X5" s="108"/>
      <c r="Y5" s="108"/>
    </row>
    <row r="6" spans="1:25" ht="9" customHeight="1" x14ac:dyDescent="0.25">
      <c r="A6" s="108"/>
      <c r="B6" s="108"/>
      <c r="C6" s="108"/>
      <c r="D6" s="108"/>
      <c r="E6" s="108"/>
      <c r="F6" s="108"/>
      <c r="G6" s="108"/>
      <c r="H6" s="108"/>
      <c r="I6" s="108"/>
      <c r="J6" s="108"/>
      <c r="K6" s="108"/>
      <c r="L6" s="108"/>
      <c r="M6" s="4"/>
      <c r="N6" s="108"/>
      <c r="O6" s="108"/>
      <c r="P6" s="108"/>
      <c r="Q6" s="108"/>
      <c r="R6" s="108"/>
      <c r="S6" s="108"/>
      <c r="T6" s="108"/>
      <c r="U6" s="108"/>
      <c r="V6" s="108"/>
      <c r="W6" s="108"/>
      <c r="X6" s="108"/>
      <c r="Y6" s="108"/>
    </row>
    <row r="7" spans="1:25" ht="16.149999999999999" customHeight="1" x14ac:dyDescent="0.25">
      <c r="A7" s="108"/>
      <c r="B7" s="108"/>
      <c r="C7" s="108"/>
      <c r="D7" s="108"/>
      <c r="E7" s="108"/>
      <c r="F7" s="108"/>
      <c r="G7" s="108"/>
      <c r="H7" s="108"/>
      <c r="I7" s="108"/>
      <c r="J7" s="108"/>
      <c r="K7" s="108"/>
      <c r="L7" s="792" t="str">
        <f>ListAVS!$B$223&amp;": "&amp;$Q$7</f>
        <v>Wersja: 4.0.4</v>
      </c>
      <c r="M7" s="4"/>
      <c r="N7" s="108"/>
      <c r="O7" s="108"/>
      <c r="P7" s="108"/>
      <c r="Q7" s="110" t="s">
        <v>1290</v>
      </c>
      <c r="R7" s="108"/>
      <c r="S7" s="108"/>
      <c r="T7" s="108"/>
      <c r="U7" s="108"/>
      <c r="V7" s="108"/>
      <c r="W7" s="108"/>
      <c r="X7" s="108"/>
      <c r="Y7" s="108"/>
    </row>
    <row r="8" spans="1:25" ht="16.149999999999999" customHeight="1" x14ac:dyDescent="0.2">
      <c r="A8" s="108"/>
      <c r="B8" s="108"/>
      <c r="C8" s="108"/>
      <c r="D8" s="108"/>
      <c r="E8" s="108"/>
      <c r="F8" s="108"/>
      <c r="G8" s="108"/>
      <c r="H8" s="108"/>
      <c r="I8" s="108"/>
      <c r="J8" s="108"/>
      <c r="K8" s="108"/>
      <c r="L8" s="108"/>
      <c r="M8" s="108"/>
      <c r="N8" s="108"/>
      <c r="O8" s="108"/>
      <c r="P8" s="108"/>
      <c r="Q8" s="108"/>
      <c r="R8" s="108"/>
      <c r="S8" s="108"/>
      <c r="T8" s="108"/>
      <c r="U8" s="108"/>
      <c r="V8" s="108"/>
      <c r="W8" s="108"/>
      <c r="X8" s="108"/>
      <c r="Y8" s="108"/>
    </row>
    <row r="9" spans="1:25" ht="16.149999999999999" customHeight="1" thickBot="1" x14ac:dyDescent="0.25">
      <c r="A9" s="108"/>
      <c r="B9" s="108"/>
      <c r="C9" s="108"/>
      <c r="D9" s="108"/>
      <c r="E9" s="108"/>
      <c r="F9" s="108"/>
      <c r="G9" s="108"/>
      <c r="H9" s="108"/>
      <c r="I9" s="108"/>
      <c r="J9" s="108"/>
      <c r="K9" s="108"/>
      <c r="L9" s="889" t="str">
        <f>" "&amp;ListAVS!$B$164</f>
        <v xml:space="preserve"> Podstawowe dane</v>
      </c>
      <c r="M9" s="108"/>
      <c r="N9" s="108"/>
      <c r="O9" s="108"/>
      <c r="P9" s="108"/>
      <c r="Q9" s="108"/>
      <c r="R9" s="108"/>
      <c r="S9" s="108"/>
      <c r="T9" s="108"/>
      <c r="U9" s="108"/>
      <c r="V9" s="108"/>
      <c r="W9" s="108"/>
      <c r="X9" s="108"/>
      <c r="Y9" s="108"/>
    </row>
    <row r="10" spans="1:25" ht="16.149999999999999" customHeight="1" x14ac:dyDescent="0.2">
      <c r="A10" s="108"/>
      <c r="B10" s="108"/>
      <c r="C10" s="108"/>
      <c r="D10" s="108"/>
      <c r="E10" s="108"/>
      <c r="F10" s="108"/>
      <c r="G10" s="108"/>
      <c r="H10" s="108"/>
      <c r="I10" s="108"/>
      <c r="J10" s="108"/>
      <c r="K10" s="108"/>
      <c r="L10" s="1008" t="str">
        <f>ListAVS!$B$397</f>
        <v>Dane do zamówienia, wpisanie zniżek od sprzedawcy</v>
      </c>
      <c r="M10" s="108"/>
      <c r="N10" s="108"/>
      <c r="O10" s="108"/>
      <c r="P10" s="108"/>
      <c r="Q10" s="108"/>
      <c r="R10" s="108"/>
      <c r="S10" s="108"/>
      <c r="T10" s="108"/>
      <c r="U10" s="108"/>
      <c r="V10" s="108"/>
      <c r="W10" s="108"/>
      <c r="X10" s="108"/>
      <c r="Y10" s="108"/>
    </row>
    <row r="11" spans="1:25" ht="16.149999999999999" customHeight="1" x14ac:dyDescent="0.2">
      <c r="A11" s="108"/>
      <c r="B11" s="108"/>
      <c r="C11" s="108"/>
      <c r="D11" s="108"/>
      <c r="E11" s="108"/>
      <c r="F11" s="108"/>
      <c r="G11" s="108"/>
      <c r="H11" s="108"/>
      <c r="I11" s="108"/>
      <c r="J11" s="108"/>
      <c r="K11" s="108"/>
      <c r="L11" s="1009"/>
      <c r="M11" s="108"/>
      <c r="N11" s="108"/>
      <c r="O11" s="108"/>
      <c r="P11" s="108"/>
      <c r="Q11" s="108"/>
      <c r="R11" s="108"/>
      <c r="S11" s="108"/>
      <c r="T11" s="108"/>
      <c r="U11" s="108"/>
      <c r="V11" s="108"/>
      <c r="W11" s="108"/>
      <c r="X11" s="108"/>
      <c r="Y11" s="108"/>
    </row>
    <row r="12" spans="1:25" ht="16.149999999999999" customHeight="1" x14ac:dyDescent="0.2">
      <c r="A12" s="108"/>
      <c r="B12" s="108"/>
      <c r="C12" s="108"/>
      <c r="D12" s="108"/>
      <c r="E12" s="108"/>
      <c r="F12" s="108"/>
      <c r="G12" s="108"/>
      <c r="H12" s="108"/>
      <c r="I12" s="108"/>
      <c r="J12" s="108"/>
      <c r="K12" s="108"/>
      <c r="L12" s="1010"/>
      <c r="M12" s="108"/>
      <c r="N12" s="108"/>
      <c r="O12" s="108"/>
      <c r="P12" s="108"/>
      <c r="Q12" s="108"/>
      <c r="R12" s="108"/>
      <c r="S12" s="108"/>
      <c r="T12" s="108"/>
      <c r="U12" s="108"/>
      <c r="V12" s="108"/>
      <c r="W12" s="108"/>
      <c r="X12" s="108"/>
      <c r="Y12" s="108"/>
    </row>
    <row r="13" spans="1:25" ht="16.149999999999999" customHeight="1" x14ac:dyDescent="0.25">
      <c r="A13" s="108"/>
      <c r="B13" s="108"/>
      <c r="C13" s="108"/>
      <c r="D13" s="108"/>
      <c r="E13" s="108"/>
      <c r="F13" s="108"/>
      <c r="G13" s="108"/>
      <c r="H13" s="108"/>
      <c r="I13" s="108"/>
      <c r="J13" s="108"/>
      <c r="K13" s="108"/>
      <c r="L13"/>
      <c r="M13"/>
      <c r="N13" s="108"/>
      <c r="O13" s="108"/>
      <c r="P13" s="108"/>
      <c r="Q13" s="108"/>
      <c r="R13" s="108"/>
      <c r="S13" s="108"/>
      <c r="T13" s="108"/>
      <c r="U13" s="108"/>
      <c r="V13" s="108"/>
      <c r="W13" s="108"/>
      <c r="X13" s="108"/>
      <c r="Y13" s="108"/>
    </row>
    <row r="14" spans="1:25" ht="16.149999999999999" customHeight="1" x14ac:dyDescent="0.25">
      <c r="A14" s="108"/>
      <c r="B14" s="108"/>
      <c r="C14" s="108"/>
      <c r="D14" s="108"/>
      <c r="E14" s="108"/>
      <c r="F14" s="109"/>
      <c r="G14" s="108"/>
      <c r="H14" s="108"/>
      <c r="I14" s="108"/>
      <c r="J14" s="108"/>
      <c r="K14" s="108"/>
      <c r="L14" s="108"/>
      <c r="M14" s="108"/>
      <c r="N14" s="108"/>
      <c r="O14" s="108"/>
      <c r="P14" s="108"/>
      <c r="Q14" s="108"/>
      <c r="R14" s="108"/>
      <c r="S14" s="108"/>
      <c r="T14" s="108"/>
      <c r="U14" s="108"/>
      <c r="V14" s="108"/>
      <c r="W14" s="108"/>
      <c r="X14" s="108"/>
      <c r="Y14" s="108"/>
    </row>
    <row r="15" spans="1:25" ht="16.149999999999999" customHeight="1" x14ac:dyDescent="0.2">
      <c r="A15" s="108"/>
      <c r="B15" s="108"/>
      <c r="C15" s="108"/>
      <c r="D15" s="108"/>
      <c r="E15" s="108"/>
      <c r="F15" s="108"/>
      <c r="G15" s="108"/>
      <c r="H15" s="108"/>
      <c r="I15" s="108"/>
      <c r="J15" s="108"/>
      <c r="K15" s="108"/>
      <c r="L15" s="791" t="str">
        <f>" "&amp;ListAVS!$B$155</f>
        <v xml:space="preserve"> Pomoc</v>
      </c>
      <c r="M15" s="469"/>
      <c r="N15" s="108"/>
      <c r="O15" s="108"/>
      <c r="P15" s="108"/>
      <c r="Q15" s="108"/>
      <c r="R15" s="108"/>
      <c r="S15" s="108"/>
      <c r="T15" s="108"/>
      <c r="U15" s="108"/>
      <c r="V15" s="108"/>
      <c r="W15" s="108"/>
      <c r="X15" s="108"/>
      <c r="Y15" s="108"/>
    </row>
    <row r="16" spans="1:25" ht="16.149999999999999" customHeight="1" x14ac:dyDescent="0.2">
      <c r="A16" s="108"/>
      <c r="B16" s="108"/>
      <c r="C16" s="108"/>
      <c r="D16" s="108"/>
      <c r="E16" s="108"/>
      <c r="F16" s="108"/>
      <c r="G16" s="108"/>
      <c r="H16" s="108"/>
      <c r="I16" s="108"/>
      <c r="J16" s="108"/>
      <c r="K16" s="108"/>
      <c r="L16" s="108"/>
      <c r="M16" s="469"/>
      <c r="N16" s="108"/>
      <c r="O16" s="108"/>
      <c r="P16" s="108"/>
      <c r="Q16" s="116">
        <v>1</v>
      </c>
      <c r="R16" s="108"/>
      <c r="S16" s="108"/>
      <c r="T16" s="108"/>
      <c r="U16" s="108"/>
      <c r="V16" s="108"/>
      <c r="W16" s="108"/>
      <c r="X16" s="108"/>
      <c r="Y16" s="108"/>
    </row>
    <row r="17" spans="1:25" ht="16.149999999999999" customHeight="1" x14ac:dyDescent="0.2">
      <c r="A17" s="108"/>
      <c r="B17" s="108"/>
      <c r="C17" s="108"/>
      <c r="D17" s="108"/>
      <c r="E17" s="108"/>
      <c r="F17" s="108"/>
      <c r="G17" s="108"/>
      <c r="H17" s="108"/>
      <c r="I17" s="108"/>
      <c r="J17" s="108"/>
      <c r="K17" s="108"/>
      <c r="L17" s="108"/>
      <c r="M17" s="108"/>
      <c r="N17" s="108"/>
      <c r="O17" s="108"/>
      <c r="P17" s="108"/>
      <c r="Q17" s="39"/>
      <c r="R17" s="108"/>
      <c r="S17" s="108"/>
      <c r="T17" s="108"/>
      <c r="U17" s="108"/>
      <c r="V17" s="108"/>
      <c r="W17" s="108"/>
      <c r="X17" s="108"/>
      <c r="Y17" s="108"/>
    </row>
    <row r="18" spans="1:25" ht="16.149999999999999" customHeight="1" thickBot="1" x14ac:dyDescent="0.25">
      <c r="A18" s="108"/>
      <c r="B18" s="108"/>
      <c r="C18" s="108"/>
      <c r="D18" s="108"/>
      <c r="E18" s="108"/>
      <c r="F18" s="108"/>
      <c r="G18" s="108"/>
      <c r="H18" s="108"/>
      <c r="I18" s="108"/>
      <c r="J18" s="108"/>
      <c r="K18" s="108"/>
      <c r="L18" s="108"/>
      <c r="M18" s="108"/>
      <c r="N18" s="108"/>
      <c r="O18" s="108"/>
      <c r="P18" s="108"/>
      <c r="Q18" s="39" t="s">
        <v>0</v>
      </c>
      <c r="R18" s="108"/>
      <c r="S18" s="108"/>
      <c r="T18" s="108"/>
      <c r="U18" s="108"/>
      <c r="V18" s="108"/>
      <c r="W18" s="108"/>
      <c r="X18" s="108"/>
      <c r="Y18" s="108"/>
    </row>
    <row r="19" spans="1:25" ht="16.149999999999999" customHeight="1" thickTop="1" x14ac:dyDescent="0.2">
      <c r="A19" s="108"/>
      <c r="B19" s="108"/>
      <c r="C19" s="108"/>
      <c r="D19" s="108"/>
      <c r="E19" s="108"/>
      <c r="F19" s="108"/>
      <c r="G19" s="108"/>
      <c r="H19" s="108"/>
      <c r="I19" s="108"/>
      <c r="J19" s="108"/>
      <c r="K19" s="108"/>
      <c r="L19" s="1005" t="str">
        <f>ListAVS!$B$409</f>
        <v>Przejdź do planowania podnośników</v>
      </c>
      <c r="M19" s="108"/>
      <c r="N19" s="108"/>
      <c r="O19" s="108"/>
      <c r="P19" s="108"/>
      <c r="Q19" s="108" t="str">
        <f>ListAVS!$B$43</f>
        <v>Ceny podstawowe</v>
      </c>
      <c r="R19" s="108"/>
      <c r="S19" s="108"/>
      <c r="T19" s="108"/>
      <c r="U19" s="108"/>
      <c r="V19" s="108"/>
      <c r="W19" s="108"/>
      <c r="X19" s="108"/>
      <c r="Y19" s="108"/>
    </row>
    <row r="20" spans="1:25" ht="16.149999999999999" customHeight="1" x14ac:dyDescent="0.2">
      <c r="A20" s="108"/>
      <c r="B20" s="108"/>
      <c r="C20" s="108"/>
      <c r="D20" s="108"/>
      <c r="E20" s="108"/>
      <c r="F20" s="108"/>
      <c r="G20" s="108"/>
      <c r="H20" s="108"/>
      <c r="I20" s="108"/>
      <c r="J20" s="108"/>
      <c r="K20" s="108"/>
      <c r="L20" s="1006"/>
      <c r="M20" s="108"/>
      <c r="N20" s="108"/>
      <c r="O20" s="108"/>
      <c r="P20" s="108"/>
      <c r="Q20" s="108" t="str">
        <f>ListAVS!$B$44</f>
        <v>Ceny zakupu</v>
      </c>
      <c r="R20" s="108"/>
      <c r="S20" s="108"/>
      <c r="T20" s="108"/>
      <c r="U20" s="108"/>
      <c r="V20" s="108"/>
      <c r="W20" s="108"/>
      <c r="X20" s="108"/>
      <c r="Y20" s="108"/>
    </row>
    <row r="21" spans="1:25" ht="16.149999999999999" customHeight="1" thickBot="1" x14ac:dyDescent="0.25">
      <c r="A21" s="108"/>
      <c r="B21" s="108"/>
      <c r="C21" s="108"/>
      <c r="D21" s="108"/>
      <c r="E21" s="108"/>
      <c r="F21" s="108"/>
      <c r="G21" s="108"/>
      <c r="H21" s="108"/>
      <c r="I21" s="108"/>
      <c r="J21" s="108"/>
      <c r="K21" s="108"/>
      <c r="L21" s="1007"/>
      <c r="M21" s="108"/>
      <c r="N21" s="108"/>
      <c r="O21" s="108"/>
      <c r="P21" s="108"/>
      <c r="Q21" s="108" t="str">
        <f>ListAVS!$B$45</f>
        <v>Ze zniżką</v>
      </c>
      <c r="R21" s="108"/>
      <c r="S21" s="108"/>
      <c r="T21" s="108"/>
      <c r="U21" s="108"/>
      <c r="V21" s="108"/>
      <c r="W21" s="108"/>
      <c r="X21" s="108"/>
      <c r="Y21" s="108"/>
    </row>
    <row r="22" spans="1:25" ht="15.75" customHeight="1" thickTop="1" x14ac:dyDescent="0.2">
      <c r="A22" s="108"/>
      <c r="B22" s="108"/>
      <c r="C22" s="108"/>
      <c r="D22" s="108"/>
      <c r="E22" s="469"/>
      <c r="F22" s="469"/>
      <c r="G22" s="108"/>
      <c r="H22" s="108"/>
      <c r="I22" s="108"/>
      <c r="J22" s="108"/>
      <c r="K22" s="108"/>
      <c r="L22" s="108"/>
      <c r="M22" s="108"/>
      <c r="N22" s="108"/>
      <c r="O22" s="108"/>
      <c r="P22" s="108"/>
      <c r="Q22" s="108"/>
      <c r="R22" s="108"/>
      <c r="S22" s="108"/>
      <c r="T22" s="108"/>
      <c r="U22" s="108"/>
      <c r="V22" s="108"/>
      <c r="W22" s="108"/>
      <c r="X22" s="108"/>
      <c r="Y22" s="108"/>
    </row>
    <row r="23" spans="1:25" ht="15.75" customHeight="1" x14ac:dyDescent="0.2">
      <c r="A23" s="108"/>
      <c r="B23" s="1011" t="str">
        <f>ListAVS!$B$42&amp;" "</f>
        <v xml:space="preserve">Poziom cen </v>
      </c>
      <c r="C23" s="1012"/>
      <c r="D23" s="1013"/>
      <c r="E23" s="670"/>
      <c r="F23" s="108"/>
      <c r="G23" s="793">
        <f>IF($Q$16=1,0,IF($Q$16=2,Form!$E$70,IF($Q$16=3,$E$86,0)))</f>
        <v>0</v>
      </c>
      <c r="H23" s="108"/>
      <c r="I23" s="108"/>
      <c r="J23" s="108"/>
      <c r="K23" s="108"/>
      <c r="M23" s="108"/>
      <c r="N23" s="108"/>
      <c r="O23" s="108"/>
      <c r="P23" s="108"/>
      <c r="Q23" s="108"/>
      <c r="R23" s="108"/>
      <c r="S23" s="108"/>
      <c r="T23" s="108"/>
      <c r="U23" s="108"/>
      <c r="V23" s="108"/>
      <c r="W23" s="108"/>
      <c r="X23" s="108"/>
      <c r="Y23" s="108"/>
    </row>
    <row r="24" spans="1:25" ht="16.149999999999999" customHeight="1" x14ac:dyDescent="0.2">
      <c r="A24" s="108"/>
      <c r="B24" s="670"/>
      <c r="C24" s="108"/>
      <c r="D24" s="1016" t="str">
        <f>IF(Q16=2,ListAVS!$B$48&amp;" ["&amp;ListAVS!$B$164&amp;"]  ",IF(Q16=3,IF(G23=0,ListAVS!$B$46&amp;"  ",ListAVS!$B$47&amp;"  ")," "))</f>
        <v xml:space="preserve"> </v>
      </c>
      <c r="E24" s="1016"/>
      <c r="F24" s="1016"/>
      <c r="G24" s="1016"/>
      <c r="H24" s="794"/>
      <c r="I24" s="794"/>
      <c r="J24" s="794"/>
      <c r="K24" s="108"/>
      <c r="M24" s="108"/>
      <c r="N24" s="108"/>
      <c r="O24" s="108"/>
      <c r="P24" s="108"/>
      <c r="Q24" s="108"/>
      <c r="R24" s="108"/>
      <c r="S24" s="108"/>
      <c r="T24" s="108"/>
      <c r="U24" s="108"/>
      <c r="V24" s="108"/>
      <c r="W24" s="108"/>
      <c r="X24" s="108"/>
      <c r="Y24" s="108"/>
    </row>
    <row r="25" spans="1:25" ht="15.75" customHeight="1" x14ac:dyDescent="0.2">
      <c r="A25" s="108"/>
      <c r="B25" s="670"/>
      <c r="C25" s="670"/>
      <c r="D25" s="670"/>
      <c r="E25" s="670"/>
      <c r="F25" s="108"/>
      <c r="G25" s="635" t="str">
        <f>IF($Q$16=3,ListAVS!$B$49&amp;"      "," ")</f>
        <v xml:space="preserve"> </v>
      </c>
      <c r="H25" s="108"/>
      <c r="I25" s="108"/>
      <c r="J25" s="108"/>
      <c r="K25" s="108"/>
      <c r="M25" s="108"/>
      <c r="N25" s="108"/>
      <c r="O25" s="108"/>
      <c r="P25" s="108"/>
      <c r="Q25" s="108"/>
      <c r="R25" s="108"/>
      <c r="S25" s="108"/>
      <c r="T25" s="108"/>
      <c r="U25" s="108"/>
      <c r="V25" s="108"/>
      <c r="W25" s="108"/>
      <c r="X25" s="108"/>
      <c r="Y25" s="108"/>
    </row>
    <row r="26" spans="1:25" ht="15.75" customHeight="1" x14ac:dyDescent="0.35">
      <c r="A26" s="108"/>
      <c r="B26" s="629"/>
      <c r="C26" s="108"/>
      <c r="D26" s="108"/>
      <c r="E26" s="108"/>
      <c r="F26" s="108"/>
      <c r="G26" s="108"/>
      <c r="H26" s="108"/>
      <c r="I26" s="108"/>
      <c r="J26" s="108"/>
      <c r="K26" s="108"/>
      <c r="L26" s="108"/>
      <c r="M26" s="108"/>
      <c r="N26" s="108"/>
      <c r="O26" s="108"/>
      <c r="P26" s="108"/>
      <c r="Q26" s="108"/>
      <c r="R26" s="108"/>
      <c r="S26" s="108"/>
      <c r="T26" s="108"/>
      <c r="U26" s="108"/>
      <c r="V26" s="108"/>
      <c r="W26" s="108"/>
      <c r="X26" s="108"/>
      <c r="Y26" s="108"/>
    </row>
    <row r="27" spans="1:25" ht="15.75" customHeight="1" x14ac:dyDescent="0.2">
      <c r="A27" s="108"/>
      <c r="B27" s="1014" t="str">
        <f>"       "&amp;ListAVS!$B$396</f>
        <v xml:space="preserve">       Przed pierwszym użyciem zalecamy wprowadzenie danych identyfikacyjnych do zamówień, a następnie zapisanie formularza.</v>
      </c>
      <c r="C27" s="1014"/>
      <c r="D27" s="1014"/>
      <c r="E27" s="1014"/>
      <c r="F27" s="1014"/>
      <c r="G27" s="1014"/>
      <c r="H27" s="1014"/>
      <c r="I27" s="1014"/>
      <c r="J27" s="1014"/>
      <c r="K27" s="108"/>
      <c r="L27" s="108"/>
      <c r="M27" s="108"/>
      <c r="N27" s="108"/>
      <c r="O27" s="108"/>
      <c r="P27" s="108"/>
      <c r="Q27" s="108"/>
      <c r="R27" s="108"/>
      <c r="S27" s="108"/>
      <c r="T27" s="108"/>
      <c r="U27" s="108"/>
      <c r="V27" s="108"/>
      <c r="W27" s="108"/>
      <c r="X27" s="108"/>
      <c r="Y27" s="108"/>
    </row>
    <row r="28" spans="1:25" ht="15.75" customHeight="1" x14ac:dyDescent="0.2">
      <c r="A28" s="108"/>
      <c r="B28" s="1014"/>
      <c r="C28" s="1014"/>
      <c r="D28" s="1014"/>
      <c r="E28" s="1014"/>
      <c r="F28" s="1014"/>
      <c r="G28" s="1014"/>
      <c r="H28" s="1014"/>
      <c r="I28" s="1014"/>
      <c r="J28" s="1014"/>
      <c r="K28" s="108"/>
      <c r="L28" s="108"/>
      <c r="M28" s="108"/>
      <c r="N28" s="108"/>
      <c r="O28" s="108"/>
      <c r="P28" s="108"/>
      <c r="Q28" s="108"/>
      <c r="R28" s="108"/>
      <c r="S28" s="108"/>
      <c r="T28" s="108"/>
      <c r="U28" s="108"/>
      <c r="V28" s="108"/>
      <c r="W28" s="108"/>
      <c r="X28" s="108"/>
      <c r="Y28" s="108"/>
    </row>
    <row r="29" spans="1:25" ht="30.6" customHeight="1" x14ac:dyDescent="0.4">
      <c r="A29" s="108"/>
      <c r="B29" s="630"/>
      <c r="C29" s="108"/>
      <c r="D29" s="108"/>
      <c r="E29" s="108"/>
      <c r="F29" s="108"/>
      <c r="G29" s="108"/>
      <c r="H29" s="108"/>
      <c r="I29" s="108"/>
      <c r="J29" s="108"/>
      <c r="K29" s="108"/>
      <c r="L29" s="108"/>
      <c r="M29" s="108"/>
      <c r="N29" s="108"/>
      <c r="O29" s="108"/>
      <c r="P29" s="108"/>
      <c r="Q29" s="108"/>
      <c r="R29" s="108"/>
      <c r="S29" s="108"/>
      <c r="T29" s="108"/>
      <c r="U29" s="108"/>
      <c r="V29" s="108"/>
      <c r="W29" s="108"/>
      <c r="X29" s="108"/>
      <c r="Y29" s="108"/>
    </row>
    <row r="30" spans="1:25" ht="26.65" customHeight="1" x14ac:dyDescent="0.2">
      <c r="A30" s="108"/>
      <c r="B30" s="54" t="str">
        <f>ListAVS!$B$226&amp;":"</f>
        <v>Sprzedawca:</v>
      </c>
      <c r="C30" s="40"/>
      <c r="D30" s="40"/>
      <c r="E30" s="40"/>
      <c r="F30" s="40"/>
      <c r="G30" s="108"/>
      <c r="H30" s="108"/>
      <c r="I30" s="108"/>
      <c r="J30" s="108"/>
      <c r="K30" s="108"/>
      <c r="L30" s="108"/>
      <c r="M30" s="108"/>
      <c r="N30" s="108"/>
      <c r="O30" s="108"/>
      <c r="P30" s="108"/>
      <c r="Q30" s="108"/>
      <c r="R30" s="108"/>
      <c r="S30" s="108"/>
      <c r="T30" s="108"/>
      <c r="U30" s="108"/>
      <c r="V30" s="108"/>
      <c r="W30" s="108"/>
      <c r="X30" s="108"/>
      <c r="Y30" s="108"/>
    </row>
    <row r="31" spans="1:25" ht="15.75" customHeight="1" x14ac:dyDescent="0.2">
      <c r="A31" s="108"/>
      <c r="B31" s="41" t="str">
        <f>IF(Price!$A$3&lt;&gt;0," "&amp;Price!$A$3," ")</f>
        <v xml:space="preserve"> Demos trade Sp. z o.o.</v>
      </c>
      <c r="C31" s="41"/>
      <c r="D31" s="41"/>
      <c r="E31" s="108"/>
      <c r="F31" s="108"/>
      <c r="G31" s="108"/>
      <c r="H31" s="108"/>
      <c r="I31" s="108"/>
      <c r="J31" s="108"/>
      <c r="K31" s="108"/>
      <c r="L31" s="108"/>
      <c r="M31" s="108"/>
      <c r="N31" s="108"/>
      <c r="O31" s="108"/>
      <c r="P31" s="108"/>
      <c r="Q31" s="108"/>
      <c r="R31" s="108"/>
      <c r="S31" s="108"/>
      <c r="T31" s="108"/>
      <c r="U31" s="108"/>
      <c r="V31" s="108"/>
      <c r="W31" s="108"/>
      <c r="X31" s="108"/>
      <c r="Y31" s="108"/>
    </row>
    <row r="32" spans="1:25" ht="15.75" customHeight="1" x14ac:dyDescent="0.2">
      <c r="A32" s="108"/>
      <c r="B32" s="42" t="str">
        <f>IF(Price!$A$4&lt;&gt;0," "&amp;Price!$A$4," ")</f>
        <v xml:space="preserve"> Ks. mjr. Karola Woźniaka 5</v>
      </c>
      <c r="C32" s="42"/>
      <c r="D32" s="42"/>
      <c r="E32" s="42"/>
      <c r="F32" s="42"/>
      <c r="G32" s="108"/>
      <c r="H32" s="108"/>
      <c r="I32" s="108"/>
      <c r="J32" s="108"/>
      <c r="K32" s="108"/>
      <c r="L32" s="108"/>
      <c r="M32" s="108"/>
      <c r="N32" s="108"/>
      <c r="O32" s="108"/>
      <c r="P32" s="108"/>
      <c r="Q32" s="108"/>
      <c r="R32" s="108"/>
      <c r="S32" s="108"/>
      <c r="T32" s="108"/>
      <c r="U32" s="108"/>
      <c r="V32" s="108"/>
      <c r="W32" s="108"/>
      <c r="X32" s="108"/>
      <c r="Y32" s="108"/>
    </row>
    <row r="33" spans="1:25" ht="15.75" customHeight="1" x14ac:dyDescent="0.2">
      <c r="A33" s="108"/>
      <c r="B33" s="42" t="str">
        <f>IF(Price!$A$5&lt;&gt;0," "&amp;Price!$A$5," ")</f>
        <v xml:space="preserve"> 40-389 Katowice</v>
      </c>
      <c r="C33" s="42"/>
      <c r="D33" s="42"/>
      <c r="E33" s="42"/>
      <c r="F33" s="42"/>
      <c r="G33" s="108"/>
      <c r="H33" s="108"/>
      <c r="I33" s="108"/>
      <c r="J33" s="108"/>
      <c r="K33" s="108"/>
      <c r="L33" s="108"/>
      <c r="M33" s="108"/>
      <c r="N33" s="108"/>
      <c r="O33" s="108"/>
      <c r="P33" s="108"/>
      <c r="Q33" s="108"/>
      <c r="R33" s="108"/>
      <c r="S33" s="108"/>
      <c r="T33" s="108"/>
      <c r="U33" s="108"/>
      <c r="V33" s="108"/>
      <c r="W33" s="108"/>
      <c r="X33" s="108"/>
      <c r="Y33" s="108"/>
    </row>
    <row r="34" spans="1:25" ht="15.75" customHeight="1" x14ac:dyDescent="0.2">
      <c r="A34" s="108"/>
      <c r="B34" s="42" t="str">
        <f>IF(Price!$A$6&lt;&gt;0," "&amp;Price!$A$6," ")</f>
        <v xml:space="preserve"> +48327908580</v>
      </c>
      <c r="C34" s="42"/>
      <c r="D34" s="42"/>
      <c r="E34" s="42"/>
      <c r="F34" s="42"/>
      <c r="G34" s="108"/>
      <c r="H34" s="108"/>
      <c r="I34" s="108"/>
      <c r="J34" s="108"/>
      <c r="K34" s="108"/>
      <c r="L34" s="108"/>
      <c r="M34" s="108"/>
      <c r="N34" s="108"/>
      <c r="O34" s="108"/>
      <c r="P34" s="108"/>
      <c r="Q34" s="108"/>
      <c r="R34" s="108"/>
      <c r="S34" s="108"/>
      <c r="T34" s="108"/>
      <c r="U34" s="108"/>
      <c r="V34" s="108"/>
      <c r="W34" s="108"/>
      <c r="X34" s="108"/>
      <c r="Y34" s="108"/>
    </row>
    <row r="35" spans="1:25" ht="15.75" customHeight="1" x14ac:dyDescent="0.2">
      <c r="A35" s="108"/>
      <c r="B35" s="42" t="str">
        <f>IF(Price!$A$7&lt;&gt;0," "&amp;Price!$A$7," ")</f>
        <v xml:space="preserve"> zamowienia@demos-trade.com</v>
      </c>
      <c r="C35" s="42"/>
      <c r="D35" s="42"/>
      <c r="E35" s="42"/>
      <c r="F35" s="42"/>
      <c r="G35" s="108"/>
      <c r="H35" s="108"/>
      <c r="I35" s="108"/>
      <c r="J35" s="108"/>
      <c r="K35" s="108"/>
      <c r="L35" s="108"/>
      <c r="M35" s="108"/>
      <c r="N35" s="108"/>
      <c r="O35" s="108"/>
      <c r="P35" s="108"/>
      <c r="Q35" s="108"/>
      <c r="R35" s="108"/>
      <c r="S35" s="108"/>
      <c r="T35" s="108"/>
      <c r="U35" s="108"/>
      <c r="V35" s="108"/>
      <c r="W35" s="108"/>
      <c r="X35" s="108"/>
      <c r="Y35" s="108"/>
    </row>
    <row r="36" spans="1:25" ht="15.75" customHeight="1" x14ac:dyDescent="0.2">
      <c r="A36" s="108"/>
      <c r="B36" s="43" t="str">
        <f>IF(Price!$A$8&lt;&gt;0," "&amp;Price!$A$8," ")</f>
        <v xml:space="preserve"> </v>
      </c>
      <c r="C36" s="43"/>
      <c r="D36" s="43"/>
      <c r="E36" s="43"/>
      <c r="F36" s="43"/>
      <c r="G36" s="108"/>
      <c r="H36" s="108"/>
      <c r="I36" s="108"/>
      <c r="J36" s="108"/>
      <c r="K36" s="108"/>
      <c r="L36" s="108"/>
      <c r="M36" s="108"/>
      <c r="N36" s="108"/>
      <c r="O36" s="108"/>
      <c r="P36" s="108"/>
      <c r="Q36" s="108"/>
      <c r="R36" s="108"/>
      <c r="S36" s="108"/>
      <c r="T36" s="108"/>
      <c r="U36" s="108"/>
      <c r="V36" s="108"/>
      <c r="W36" s="108"/>
      <c r="X36" s="108"/>
      <c r="Y36" s="108"/>
    </row>
    <row r="37" spans="1:25" ht="15.75" customHeight="1" x14ac:dyDescent="0.2">
      <c r="A37" s="108"/>
      <c r="B37" s="108"/>
      <c r="C37" s="108"/>
      <c r="D37" s="108"/>
      <c r="E37" s="108"/>
      <c r="F37" s="108"/>
      <c r="G37" s="108"/>
      <c r="H37" s="108"/>
      <c r="I37" s="108"/>
      <c r="J37" s="108"/>
      <c r="K37" s="108"/>
      <c r="L37" s="108"/>
      <c r="M37" s="108"/>
      <c r="N37" s="108"/>
      <c r="O37" s="108"/>
      <c r="P37" s="108"/>
      <c r="Q37" s="108"/>
      <c r="R37" s="108"/>
      <c r="S37" s="108"/>
      <c r="T37" s="108"/>
      <c r="U37" s="108"/>
      <c r="V37" s="108"/>
      <c r="W37" s="108"/>
      <c r="X37" s="108"/>
      <c r="Y37" s="108"/>
    </row>
    <row r="38" spans="1:25" ht="15.75" customHeight="1" x14ac:dyDescent="0.2">
      <c r="A38" s="108"/>
      <c r="B38" s="108"/>
      <c r="C38" s="108"/>
      <c r="D38" s="108"/>
      <c r="E38" s="108"/>
      <c r="F38" s="108"/>
      <c r="G38" s="108"/>
      <c r="H38" s="108"/>
      <c r="I38" s="108"/>
      <c r="J38" s="108"/>
      <c r="K38" s="108"/>
      <c r="L38" s="108"/>
      <c r="M38" s="108"/>
      <c r="N38" s="108"/>
      <c r="O38" s="108"/>
      <c r="P38" s="108"/>
      <c r="Q38" s="108"/>
      <c r="R38" s="108"/>
      <c r="S38" s="108"/>
      <c r="T38" s="108"/>
      <c r="U38" s="108"/>
      <c r="V38" s="108"/>
      <c r="W38" s="108"/>
      <c r="X38" s="108"/>
      <c r="Y38" s="108"/>
    </row>
    <row r="39" spans="1:25" ht="15.75" customHeight="1" x14ac:dyDescent="0.2">
      <c r="A39" s="108"/>
      <c r="B39" s="108"/>
      <c r="C39" s="108"/>
      <c r="D39" s="108"/>
      <c r="E39" s="108"/>
      <c r="F39" s="108"/>
      <c r="G39" s="108"/>
      <c r="H39" s="108"/>
      <c r="I39" s="108"/>
      <c r="J39" s="108"/>
      <c r="K39" s="108"/>
      <c r="L39" s="108"/>
      <c r="M39" s="108"/>
      <c r="N39" s="108"/>
      <c r="O39" s="108"/>
      <c r="P39" s="108"/>
      <c r="Q39" s="108"/>
      <c r="R39" s="108"/>
      <c r="S39" s="108"/>
      <c r="T39" s="108"/>
      <c r="U39" s="108"/>
      <c r="V39" s="108"/>
      <c r="W39" s="108"/>
      <c r="X39" s="108"/>
      <c r="Y39" s="108"/>
    </row>
    <row r="40" spans="1:25" ht="15.75" customHeight="1" x14ac:dyDescent="0.2">
      <c r="A40" s="108"/>
      <c r="B40" s="108"/>
      <c r="C40" s="108"/>
      <c r="D40" s="108"/>
      <c r="E40" s="108"/>
      <c r="F40" s="108"/>
      <c r="G40" s="108"/>
      <c r="H40" s="108"/>
      <c r="I40" s="108"/>
      <c r="J40" s="108"/>
      <c r="K40" s="108"/>
      <c r="L40" s="108"/>
      <c r="M40" s="108"/>
      <c r="N40" s="108"/>
      <c r="O40" s="108"/>
      <c r="P40" s="108"/>
      <c r="Q40" s="108"/>
      <c r="R40" s="108"/>
      <c r="S40" s="108"/>
      <c r="T40" s="108"/>
      <c r="U40" s="108"/>
      <c r="V40" s="108"/>
      <c r="W40" s="108"/>
      <c r="X40" s="108"/>
      <c r="Y40" s="108"/>
    </row>
    <row r="41" spans="1:25" ht="15.75" customHeight="1" x14ac:dyDescent="0.2">
      <c r="A41" s="108"/>
      <c r="B41" s="108"/>
      <c r="C41" s="108"/>
      <c r="D41" s="108"/>
      <c r="E41" s="108"/>
      <c r="F41" s="108"/>
      <c r="G41" s="108"/>
      <c r="H41" s="108"/>
      <c r="I41" s="108"/>
      <c r="J41" s="108"/>
      <c r="K41" s="108"/>
      <c r="L41" s="108"/>
      <c r="M41" s="108"/>
      <c r="N41" s="108"/>
      <c r="O41" s="108"/>
      <c r="P41" s="108"/>
      <c r="Q41" s="108"/>
      <c r="R41" s="108"/>
      <c r="S41" s="108"/>
      <c r="T41" s="108"/>
      <c r="U41" s="108"/>
      <c r="V41" s="108"/>
      <c r="W41" s="108"/>
      <c r="X41" s="108"/>
      <c r="Y41" s="108"/>
    </row>
    <row r="42" spans="1:25" ht="15.75" customHeight="1" x14ac:dyDescent="0.2">
      <c r="A42" s="108"/>
      <c r="B42" s="108"/>
      <c r="C42" s="108"/>
      <c r="D42" s="108"/>
      <c r="E42" s="108"/>
      <c r="F42" s="108"/>
      <c r="G42" s="108"/>
      <c r="H42" s="108"/>
      <c r="I42" s="108"/>
      <c r="J42" s="108"/>
      <c r="K42" s="108"/>
      <c r="L42" s="108"/>
      <c r="M42" s="108"/>
      <c r="N42" s="108"/>
      <c r="O42" s="108"/>
      <c r="P42" s="108"/>
      <c r="Q42" s="108"/>
      <c r="R42" s="108"/>
      <c r="S42" s="108"/>
      <c r="T42" s="108"/>
      <c r="U42" s="108"/>
      <c r="V42" s="108"/>
      <c r="W42" s="108"/>
      <c r="X42" s="108"/>
      <c r="Y42" s="108"/>
    </row>
    <row r="43" spans="1:25" ht="15.75" customHeight="1" x14ac:dyDescent="0.2">
      <c r="A43" s="108"/>
      <c r="B43" s="108"/>
      <c r="C43" s="108"/>
      <c r="D43" s="108"/>
      <c r="E43" s="108"/>
      <c r="F43" s="108"/>
      <c r="G43" s="108"/>
      <c r="H43" s="108"/>
      <c r="I43" s="108"/>
      <c r="J43" s="108"/>
      <c r="K43" s="108"/>
      <c r="L43" s="108"/>
      <c r="M43" s="108"/>
      <c r="N43" s="108"/>
      <c r="O43" s="108"/>
      <c r="P43" s="108"/>
      <c r="Q43" s="108"/>
      <c r="R43" s="108"/>
      <c r="S43" s="108"/>
      <c r="T43" s="108"/>
      <c r="U43" s="108"/>
      <c r="V43" s="108"/>
      <c r="W43" s="108"/>
      <c r="X43" s="108"/>
      <c r="Y43" s="108"/>
    </row>
    <row r="44" spans="1:25" ht="15.75" customHeight="1" x14ac:dyDescent="0.2">
      <c r="A44" s="108"/>
      <c r="B44" s="108"/>
      <c r="C44" s="108"/>
      <c r="D44" s="108"/>
      <c r="E44" s="108"/>
      <c r="F44" s="108"/>
      <c r="G44" s="108"/>
      <c r="H44" s="108"/>
      <c r="I44" s="108"/>
      <c r="J44" s="108"/>
      <c r="K44" s="108"/>
      <c r="L44" s="108"/>
      <c r="M44" s="108"/>
      <c r="N44" s="108"/>
      <c r="O44" s="108"/>
      <c r="P44" s="108"/>
      <c r="Q44" s="108"/>
      <c r="R44" s="108"/>
      <c r="S44" s="108"/>
      <c r="T44" s="108"/>
      <c r="U44" s="108"/>
      <c r="V44" s="108"/>
      <c r="W44" s="108"/>
      <c r="X44" s="108"/>
      <c r="Y44" s="108"/>
    </row>
    <row r="45" spans="1:25" ht="15.75" customHeight="1" x14ac:dyDescent="0.2">
      <c r="A45" s="108"/>
      <c r="B45" s="108"/>
      <c r="C45" s="108"/>
      <c r="D45" s="108"/>
      <c r="E45" s="108"/>
      <c r="F45" s="108"/>
      <c r="G45" s="108"/>
      <c r="H45" s="108"/>
      <c r="I45" s="108"/>
      <c r="J45" s="108"/>
      <c r="K45" s="108"/>
      <c r="L45" s="108"/>
      <c r="M45" s="108"/>
      <c r="N45" s="108"/>
      <c r="O45" s="108"/>
      <c r="P45" s="108"/>
      <c r="Q45" s="108"/>
      <c r="R45" s="108"/>
      <c r="S45" s="108"/>
      <c r="T45" s="108"/>
      <c r="U45" s="108"/>
      <c r="V45" s="108"/>
      <c r="W45" s="108"/>
      <c r="X45" s="108"/>
      <c r="Y45" s="108"/>
    </row>
    <row r="46" spans="1:25" ht="15.75" customHeight="1" x14ac:dyDescent="0.2">
      <c r="A46" s="108"/>
      <c r="B46" s="108"/>
      <c r="C46" s="108"/>
      <c r="D46" s="108"/>
      <c r="E46" s="108"/>
      <c r="F46" s="108"/>
      <c r="G46" s="108"/>
      <c r="H46" s="108"/>
      <c r="I46" s="108"/>
      <c r="J46" s="108"/>
      <c r="K46" s="108"/>
      <c r="L46" s="108"/>
      <c r="M46" s="108"/>
      <c r="N46" s="108"/>
      <c r="O46" s="108"/>
      <c r="P46" s="108"/>
      <c r="Q46" s="108"/>
      <c r="R46" s="108"/>
      <c r="S46" s="108"/>
      <c r="T46" s="108"/>
      <c r="U46" s="108"/>
      <c r="V46" s="108"/>
      <c r="W46" s="108"/>
      <c r="X46" s="108"/>
      <c r="Y46" s="108"/>
    </row>
    <row r="47" spans="1:25" ht="15.75" customHeight="1" x14ac:dyDescent="0.2">
      <c r="A47" s="108"/>
      <c r="B47" s="108"/>
      <c r="C47" s="108"/>
      <c r="D47" s="108"/>
      <c r="E47" s="108"/>
      <c r="F47" s="108"/>
      <c r="G47" s="108"/>
      <c r="H47" s="108"/>
      <c r="I47" s="108"/>
      <c r="J47" s="108"/>
      <c r="K47" s="108"/>
      <c r="L47" s="108"/>
      <c r="M47" s="108"/>
      <c r="N47" s="108"/>
      <c r="O47" s="108"/>
      <c r="P47" s="108"/>
      <c r="Q47" s="108"/>
      <c r="R47" s="108"/>
      <c r="S47" s="108"/>
      <c r="T47" s="108"/>
      <c r="U47" s="108"/>
      <c r="V47" s="108"/>
      <c r="W47" s="108"/>
      <c r="X47" s="108"/>
      <c r="Y47" s="108"/>
    </row>
    <row r="48" spans="1:25" ht="15.75" customHeight="1" x14ac:dyDescent="0.2">
      <c r="A48" s="108"/>
      <c r="B48" s="108"/>
      <c r="C48" s="108"/>
      <c r="D48" s="108"/>
      <c r="E48" s="108"/>
      <c r="F48" s="108"/>
      <c r="G48" s="108"/>
      <c r="H48" s="108"/>
      <c r="I48" s="108"/>
      <c r="J48" s="108"/>
      <c r="K48" s="108"/>
      <c r="L48" s="108"/>
      <c r="M48" s="108"/>
      <c r="N48" s="108"/>
      <c r="O48" s="108"/>
      <c r="P48" s="108"/>
      <c r="Q48" s="108"/>
      <c r="R48" s="108"/>
      <c r="S48" s="108"/>
      <c r="T48" s="108"/>
      <c r="U48" s="108"/>
      <c r="V48" s="108"/>
      <c r="W48" s="108"/>
      <c r="X48" s="108"/>
      <c r="Y48" s="108"/>
    </row>
    <row r="49" spans="1:25" ht="15.75" customHeight="1" x14ac:dyDescent="0.2">
      <c r="A49" s="108"/>
      <c r="B49" s="108"/>
      <c r="C49" s="108"/>
      <c r="D49" s="108"/>
      <c r="E49" s="108"/>
      <c r="F49" s="108"/>
      <c r="G49" s="108"/>
      <c r="H49" s="108"/>
      <c r="I49" s="108"/>
      <c r="J49" s="108"/>
      <c r="K49" s="108"/>
      <c r="L49" s="108"/>
      <c r="M49" s="108"/>
      <c r="N49" s="108"/>
      <c r="O49" s="108"/>
      <c r="P49" s="108"/>
      <c r="Q49" s="108"/>
      <c r="R49" s="108"/>
      <c r="S49" s="108"/>
      <c r="T49" s="108"/>
      <c r="U49" s="108"/>
      <c r="V49" s="108"/>
      <c r="W49" s="108"/>
      <c r="X49" s="108"/>
      <c r="Y49" s="108"/>
    </row>
    <row r="50" spans="1:25" ht="15.75" customHeight="1" x14ac:dyDescent="0.2">
      <c r="A50" s="980"/>
      <c r="B50" s="108"/>
      <c r="C50" s="108"/>
      <c r="D50" s="108"/>
      <c r="E50" s="108"/>
      <c r="F50" s="108"/>
      <c r="G50" s="108"/>
      <c r="H50" s="108"/>
      <c r="I50" s="108"/>
      <c r="J50" s="108"/>
      <c r="K50" s="108"/>
      <c r="L50" s="108"/>
      <c r="M50" s="108"/>
      <c r="N50" s="108"/>
      <c r="O50" s="108"/>
      <c r="P50" s="108"/>
      <c r="Q50" s="108"/>
      <c r="R50" s="108"/>
      <c r="S50" s="108"/>
      <c r="T50" s="108"/>
      <c r="U50" s="108"/>
      <c r="V50" s="108"/>
      <c r="W50" s="108"/>
      <c r="X50" s="108"/>
      <c r="Y50" s="108"/>
    </row>
    <row r="51" spans="1:25" ht="15.75" customHeight="1" x14ac:dyDescent="0.25">
      <c r="A51" s="980"/>
      <c r="B51" s="108"/>
      <c r="C51" s="636" t="str">
        <f>ListAVS!$B$255</f>
        <v>Formularz danych identyfikacyjnych</v>
      </c>
      <c r="D51" s="108"/>
      <c r="E51" s="108"/>
      <c r="F51" s="108"/>
      <c r="G51" s="108"/>
      <c r="H51" s="108"/>
      <c r="I51" s="108"/>
      <c r="J51" s="108"/>
      <c r="K51" s="108"/>
      <c r="L51" s="108"/>
      <c r="M51" s="108"/>
      <c r="N51" s="108"/>
      <c r="O51" s="108"/>
      <c r="P51" s="108"/>
      <c r="Q51" s="108"/>
      <c r="R51" s="108"/>
      <c r="S51" s="108"/>
      <c r="T51" s="108"/>
      <c r="U51" s="108"/>
      <c r="V51" s="108"/>
      <c r="W51" s="108"/>
      <c r="X51" s="108"/>
      <c r="Y51" s="108"/>
    </row>
    <row r="52" spans="1:25" s="245" customFormat="1" ht="15.75" customHeight="1" x14ac:dyDescent="0.2">
      <c r="A52" s="980"/>
      <c r="B52" s="670"/>
      <c r="C52" s="670" t="str">
        <f>ListAVS!$B$256</f>
        <v>Odbiorca</v>
      </c>
      <c r="D52" s="795"/>
      <c r="E52" s="670"/>
      <c r="F52" s="399"/>
      <c r="G52" s="399"/>
      <c r="H52" s="399"/>
      <c r="I52" s="399"/>
      <c r="J52" s="670"/>
      <c r="K52" s="670"/>
      <c r="L52" s="670"/>
      <c r="M52" s="670"/>
      <c r="N52" s="670"/>
      <c r="O52" s="670"/>
      <c r="P52" s="670"/>
      <c r="Q52" s="670"/>
      <c r="R52" s="670"/>
      <c r="S52" s="670"/>
      <c r="T52" s="670"/>
      <c r="U52" s="670"/>
      <c r="V52" s="670"/>
      <c r="W52" s="670"/>
      <c r="X52" s="670"/>
      <c r="Y52" s="670"/>
    </row>
    <row r="53" spans="1:25" s="245" customFormat="1" ht="15.75" customHeight="1" x14ac:dyDescent="0.2">
      <c r="A53" s="980"/>
      <c r="B53" s="670"/>
      <c r="C53" s="1015"/>
      <c r="D53" s="982"/>
      <c r="E53" s="983"/>
      <c r="F53" s="670"/>
      <c r="G53" s="670"/>
      <c r="H53" s="670"/>
      <c r="I53" s="670"/>
      <c r="J53" s="670"/>
      <c r="K53" s="670"/>
      <c r="L53" s="670"/>
      <c r="M53" s="670"/>
      <c r="N53" s="670"/>
      <c r="O53" s="670"/>
      <c r="P53" s="670"/>
      <c r="Q53" s="670"/>
      <c r="R53" s="670"/>
      <c r="S53" s="670"/>
      <c r="T53" s="670"/>
      <c r="U53" s="670"/>
      <c r="V53" s="670"/>
      <c r="W53" s="670"/>
      <c r="X53" s="670"/>
      <c r="Y53" s="670"/>
    </row>
    <row r="54" spans="1:25" s="245" customFormat="1" ht="15.75" customHeight="1" x14ac:dyDescent="0.2">
      <c r="A54" s="980"/>
      <c r="B54" s="670"/>
      <c r="C54" s="670" t="str">
        <f>ListAVS!$B$257</f>
        <v>Adres</v>
      </c>
      <c r="D54" s="795"/>
      <c r="E54" s="670"/>
      <c r="F54" s="670"/>
      <c r="G54" s="670"/>
      <c r="H54" s="670"/>
      <c r="I54" s="670"/>
      <c r="J54" s="670"/>
      <c r="K54" s="670"/>
      <c r="L54" s="670"/>
      <c r="M54" s="670"/>
      <c r="N54" s="670"/>
      <c r="O54" s="670"/>
      <c r="P54" s="670"/>
      <c r="Q54" s="670"/>
      <c r="R54" s="670"/>
      <c r="S54" s="670"/>
      <c r="T54" s="670"/>
      <c r="U54" s="670"/>
      <c r="V54" s="670"/>
      <c r="W54" s="670"/>
      <c r="X54" s="670"/>
      <c r="Y54" s="670"/>
    </row>
    <row r="55" spans="1:25" s="245" customFormat="1" ht="15.75" customHeight="1" x14ac:dyDescent="0.2">
      <c r="A55" s="980"/>
      <c r="B55" s="670"/>
      <c r="C55" s="986"/>
      <c r="D55" s="987"/>
      <c r="E55" s="988"/>
      <c r="F55" s="670"/>
      <c r="G55" s="670"/>
      <c r="H55" s="670"/>
      <c r="I55" s="670"/>
      <c r="J55" s="670"/>
      <c r="K55" s="670"/>
      <c r="L55" s="670"/>
      <c r="M55" s="670"/>
      <c r="N55" s="670"/>
      <c r="O55" s="670"/>
      <c r="P55" s="670"/>
      <c r="Q55" s="670"/>
      <c r="R55" s="670"/>
      <c r="S55" s="670"/>
      <c r="T55" s="670"/>
      <c r="U55" s="670"/>
      <c r="V55" s="670"/>
      <c r="W55" s="670"/>
      <c r="X55" s="670"/>
      <c r="Y55" s="670"/>
    </row>
    <row r="56" spans="1:25" s="245" customFormat="1" ht="15.75" customHeight="1" x14ac:dyDescent="0.2">
      <c r="A56" s="980"/>
      <c r="B56" s="670"/>
      <c r="C56" s="989"/>
      <c r="D56" s="990"/>
      <c r="E56" s="991"/>
      <c r="F56" s="670"/>
      <c r="G56" s="670"/>
      <c r="H56" s="670"/>
      <c r="I56" s="670"/>
      <c r="J56" s="670"/>
      <c r="K56" s="670"/>
      <c r="L56" s="670"/>
      <c r="M56" s="670"/>
      <c r="N56" s="670"/>
      <c r="O56" s="670"/>
      <c r="P56" s="670"/>
      <c r="Q56" s="670"/>
      <c r="R56" s="670"/>
      <c r="S56" s="670"/>
      <c r="T56" s="670"/>
      <c r="U56" s="670"/>
      <c r="V56" s="670"/>
      <c r="W56" s="670"/>
      <c r="X56" s="670"/>
      <c r="Y56" s="670"/>
    </row>
    <row r="57" spans="1:25" s="245" customFormat="1" ht="15.75" customHeight="1" x14ac:dyDescent="0.2">
      <c r="A57" s="980"/>
      <c r="B57" s="670"/>
      <c r="C57" s="984"/>
      <c r="D57" s="992"/>
      <c r="E57" s="985"/>
      <c r="F57" s="670"/>
      <c r="G57" s="670"/>
      <c r="H57" s="670"/>
      <c r="I57" s="670"/>
      <c r="J57" s="670"/>
      <c r="K57" s="670"/>
      <c r="L57" s="670"/>
      <c r="M57" s="670"/>
      <c r="N57" s="670"/>
      <c r="O57" s="670"/>
      <c r="P57" s="670"/>
      <c r="Q57" s="670"/>
      <c r="R57" s="670"/>
      <c r="S57" s="670"/>
      <c r="T57" s="670"/>
      <c r="U57" s="670"/>
      <c r="V57" s="670"/>
      <c r="W57" s="670"/>
      <c r="X57" s="670"/>
      <c r="Y57" s="670"/>
    </row>
    <row r="58" spans="1:25" s="245" customFormat="1" ht="15.75" customHeight="1" x14ac:dyDescent="0.2">
      <c r="A58" s="980"/>
      <c r="B58" s="670"/>
      <c r="C58" s="670" t="str">
        <f>ListAVS!$B$258</f>
        <v>Adres dostawy</v>
      </c>
      <c r="D58" s="795"/>
      <c r="E58" s="670"/>
      <c r="F58" s="670"/>
      <c r="G58" s="670"/>
      <c r="H58" s="670"/>
      <c r="I58" s="670"/>
      <c r="J58" s="670"/>
      <c r="K58" s="670"/>
      <c r="L58" s="670"/>
      <c r="M58" s="670"/>
      <c r="N58" s="670"/>
      <c r="O58" s="670"/>
      <c r="P58" s="670"/>
      <c r="Q58" s="670"/>
      <c r="R58" s="670"/>
      <c r="S58" s="670"/>
      <c r="T58" s="670"/>
      <c r="U58" s="670"/>
      <c r="V58" s="670"/>
      <c r="W58" s="670"/>
      <c r="X58" s="670"/>
      <c r="Y58" s="670"/>
    </row>
    <row r="59" spans="1:25" s="245" customFormat="1" ht="15.75" customHeight="1" x14ac:dyDescent="0.2">
      <c r="A59" s="980"/>
      <c r="B59" s="670"/>
      <c r="C59" s="986"/>
      <c r="D59" s="987"/>
      <c r="E59" s="988"/>
      <c r="F59" s="670"/>
      <c r="G59" s="670"/>
      <c r="H59" s="670"/>
      <c r="I59" s="670"/>
      <c r="J59" s="670"/>
      <c r="K59" s="670"/>
      <c r="L59" s="670"/>
      <c r="M59" s="670"/>
      <c r="N59" s="670"/>
      <c r="O59" s="670"/>
      <c r="P59" s="670"/>
      <c r="Q59" s="670"/>
      <c r="R59" s="670"/>
      <c r="S59" s="670"/>
      <c r="T59" s="670"/>
      <c r="U59" s="670"/>
      <c r="V59" s="670"/>
      <c r="W59" s="670"/>
      <c r="X59" s="670"/>
      <c r="Y59" s="670"/>
    </row>
    <row r="60" spans="1:25" s="245" customFormat="1" ht="15.75" customHeight="1" x14ac:dyDescent="0.2">
      <c r="A60" s="980"/>
      <c r="B60" s="670"/>
      <c r="C60" s="989"/>
      <c r="D60" s="990"/>
      <c r="E60" s="991"/>
      <c r="F60" s="670"/>
      <c r="G60" s="670"/>
      <c r="H60" s="670"/>
      <c r="I60" s="670"/>
      <c r="J60" s="670"/>
      <c r="K60" s="670"/>
      <c r="L60" s="670"/>
      <c r="M60" s="670"/>
      <c r="N60" s="670"/>
      <c r="O60" s="670"/>
      <c r="P60" s="670"/>
      <c r="Q60" s="670"/>
      <c r="R60" s="670"/>
      <c r="S60" s="670"/>
      <c r="T60" s="670"/>
      <c r="U60" s="670"/>
      <c r="V60" s="670"/>
      <c r="W60" s="670"/>
      <c r="X60" s="670"/>
      <c r="Y60" s="670"/>
    </row>
    <row r="61" spans="1:25" s="245" customFormat="1" ht="15.75" customHeight="1" x14ac:dyDescent="0.2">
      <c r="A61" s="980"/>
      <c r="B61" s="670"/>
      <c r="C61" s="984"/>
      <c r="D61" s="992"/>
      <c r="E61" s="985"/>
      <c r="F61" s="670"/>
      <c r="G61" s="670"/>
      <c r="H61" s="670"/>
      <c r="I61" s="670"/>
      <c r="J61" s="670"/>
      <c r="K61" s="670"/>
      <c r="L61" s="670"/>
      <c r="M61" s="670"/>
      <c r="N61" s="670"/>
      <c r="O61" s="670"/>
      <c r="P61" s="670"/>
      <c r="Q61" s="670"/>
      <c r="R61" s="670"/>
      <c r="S61" s="670"/>
      <c r="T61" s="670"/>
      <c r="U61" s="670"/>
      <c r="V61" s="670"/>
      <c r="W61" s="670"/>
      <c r="X61" s="670"/>
      <c r="Y61" s="670"/>
    </row>
    <row r="62" spans="1:25" s="245" customFormat="1" ht="15.75" customHeight="1" x14ac:dyDescent="0.2">
      <c r="A62" s="980"/>
      <c r="B62" s="670"/>
      <c r="C62" s="670" t="str">
        <f>ListAVS!$B$259</f>
        <v>NIP</v>
      </c>
      <c r="D62" s="795"/>
      <c r="E62" s="670"/>
      <c r="F62" s="670"/>
      <c r="G62" s="670"/>
      <c r="H62" s="670"/>
      <c r="I62" s="670"/>
      <c r="J62" s="670"/>
      <c r="K62" s="670"/>
      <c r="L62" s="670"/>
      <c r="M62" s="670"/>
      <c r="N62" s="670"/>
      <c r="O62" s="670"/>
      <c r="P62" s="670"/>
      <c r="Q62" s="670"/>
      <c r="R62" s="670"/>
      <c r="S62" s="670"/>
      <c r="T62" s="670"/>
      <c r="U62" s="670"/>
      <c r="V62" s="670"/>
      <c r="W62" s="670"/>
      <c r="X62" s="670"/>
      <c r="Y62" s="670"/>
    </row>
    <row r="63" spans="1:25" s="245" customFormat="1" ht="15.75" customHeight="1" x14ac:dyDescent="0.2">
      <c r="A63" s="980"/>
      <c r="B63" s="670"/>
      <c r="C63" s="993"/>
      <c r="D63" s="994"/>
      <c r="E63" s="670"/>
      <c r="F63" s="670"/>
      <c r="G63" s="670"/>
      <c r="H63" s="670"/>
      <c r="I63" s="670"/>
      <c r="J63" s="670"/>
      <c r="K63" s="670"/>
      <c r="L63" s="670"/>
      <c r="M63" s="670"/>
      <c r="N63" s="670"/>
      <c r="O63" s="670"/>
      <c r="P63" s="670"/>
      <c r="Q63" s="670"/>
      <c r="R63" s="670"/>
      <c r="S63" s="670"/>
      <c r="T63" s="670"/>
      <c r="U63" s="670"/>
      <c r="V63" s="670"/>
      <c r="W63" s="670"/>
      <c r="X63" s="670"/>
      <c r="Y63" s="670"/>
    </row>
    <row r="64" spans="1:25" s="245" customFormat="1" ht="15.75" customHeight="1" x14ac:dyDescent="0.2">
      <c r="A64" s="980"/>
      <c r="B64" s="670"/>
      <c r="C64" s="989"/>
      <c r="D64" s="991"/>
      <c r="E64" s="670"/>
      <c r="F64" s="670"/>
      <c r="G64" s="670"/>
      <c r="H64" s="670"/>
      <c r="I64" s="670"/>
      <c r="J64" s="670"/>
      <c r="K64" s="670"/>
      <c r="L64" s="670"/>
      <c r="M64" s="670"/>
      <c r="N64" s="670"/>
      <c r="O64" s="670"/>
      <c r="P64" s="670"/>
      <c r="Q64" s="670"/>
      <c r="R64" s="670"/>
      <c r="S64" s="670"/>
      <c r="T64" s="670"/>
      <c r="U64" s="670"/>
      <c r="V64" s="670"/>
      <c r="W64" s="670"/>
      <c r="X64" s="670"/>
      <c r="Y64" s="670"/>
    </row>
    <row r="65" spans="1:25" s="245" customFormat="1" ht="15.75" customHeight="1" x14ac:dyDescent="0.2">
      <c r="A65" s="980"/>
      <c r="B65" s="670"/>
      <c r="C65" s="670" t="str">
        <f>ListAVS!$B$260</f>
        <v>Telefon, faks, e-mail</v>
      </c>
      <c r="D65" s="795"/>
      <c r="E65" s="670"/>
      <c r="F65" s="670"/>
      <c r="G65" s="670"/>
      <c r="H65" s="670"/>
      <c r="I65" s="670"/>
      <c r="J65" s="670"/>
      <c r="K65" s="670"/>
      <c r="L65" s="670"/>
      <c r="M65" s="670"/>
      <c r="N65" s="670"/>
      <c r="O65" s="670"/>
      <c r="P65" s="670"/>
      <c r="Q65" s="670"/>
      <c r="R65" s="670"/>
      <c r="S65" s="670"/>
      <c r="T65" s="670"/>
      <c r="U65" s="670"/>
      <c r="V65" s="670"/>
      <c r="W65" s="670"/>
      <c r="X65" s="670"/>
      <c r="Y65" s="670"/>
    </row>
    <row r="66" spans="1:25" s="245" customFormat="1" ht="15.75" customHeight="1" x14ac:dyDescent="0.2">
      <c r="A66" s="980"/>
      <c r="B66" s="670"/>
      <c r="C66" s="986"/>
      <c r="D66" s="988"/>
      <c r="E66" s="796"/>
      <c r="F66" s="670"/>
      <c r="G66" s="670"/>
      <c r="H66" s="670"/>
      <c r="I66" s="670"/>
      <c r="J66" s="670"/>
      <c r="K66" s="670"/>
      <c r="L66" s="670"/>
      <c r="M66" s="670"/>
      <c r="N66" s="670"/>
      <c r="O66" s="670"/>
      <c r="P66" s="670"/>
      <c r="Q66" s="670"/>
      <c r="R66" s="670"/>
      <c r="S66" s="670"/>
      <c r="T66" s="670"/>
      <c r="U66" s="670"/>
      <c r="V66" s="670"/>
      <c r="W66" s="670"/>
      <c r="X66" s="670"/>
      <c r="Y66" s="670"/>
    </row>
    <row r="67" spans="1:25" s="245" customFormat="1" ht="15.75" customHeight="1" x14ac:dyDescent="0.2">
      <c r="A67" s="980"/>
      <c r="B67" s="670"/>
      <c r="C67" s="984"/>
      <c r="D67" s="985"/>
      <c r="E67" s="796"/>
      <c r="F67" s="670"/>
      <c r="G67" s="670"/>
      <c r="H67" s="670"/>
      <c r="I67" s="670"/>
      <c r="J67" s="670"/>
      <c r="K67" s="670"/>
      <c r="L67" s="670"/>
      <c r="M67" s="670"/>
      <c r="N67" s="670"/>
      <c r="O67" s="670"/>
      <c r="P67" s="670"/>
      <c r="Q67" s="670"/>
      <c r="R67" s="670"/>
      <c r="S67" s="670"/>
      <c r="T67" s="670"/>
      <c r="U67" s="670"/>
      <c r="V67" s="670"/>
      <c r="W67" s="670"/>
      <c r="X67" s="670"/>
      <c r="Y67" s="670"/>
    </row>
    <row r="68" spans="1:25" s="245" customFormat="1" ht="15.75" customHeight="1" x14ac:dyDescent="0.2">
      <c r="A68" s="980"/>
      <c r="B68" s="670"/>
      <c r="C68" s="981"/>
      <c r="D68" s="982"/>
      <c r="E68" s="983"/>
      <c r="F68" s="670"/>
      <c r="G68" s="670"/>
      <c r="H68" s="670"/>
      <c r="I68" s="670"/>
      <c r="J68" s="670"/>
      <c r="K68" s="670"/>
      <c r="L68" s="670"/>
      <c r="M68" s="670"/>
      <c r="N68" s="670"/>
      <c r="O68" s="670"/>
      <c r="P68" s="670"/>
      <c r="Q68" s="670"/>
      <c r="R68" s="670"/>
      <c r="S68" s="670"/>
      <c r="T68" s="670"/>
      <c r="U68" s="670"/>
      <c r="V68" s="670"/>
      <c r="W68" s="670"/>
      <c r="X68" s="670"/>
      <c r="Y68" s="670"/>
    </row>
    <row r="69" spans="1:25" s="245" customFormat="1" ht="15.75" customHeight="1" thickBot="1" x14ac:dyDescent="0.25">
      <c r="A69" s="980"/>
      <c r="B69" s="670"/>
      <c r="C69" s="795"/>
      <c r="D69" s="795"/>
      <c r="E69" s="670"/>
      <c r="F69" s="670"/>
      <c r="G69" s="670"/>
      <c r="H69" s="670"/>
      <c r="I69" s="670"/>
      <c r="J69" s="670"/>
      <c r="K69" s="670"/>
      <c r="L69" s="670"/>
      <c r="M69" s="670"/>
      <c r="N69" s="670"/>
      <c r="O69" s="670"/>
      <c r="P69" s="670"/>
      <c r="Q69" s="670"/>
      <c r="R69" s="670"/>
      <c r="S69" s="670"/>
      <c r="T69" s="670"/>
      <c r="U69" s="670"/>
      <c r="V69" s="670"/>
      <c r="W69" s="670"/>
      <c r="X69" s="670"/>
      <c r="Y69" s="670"/>
    </row>
    <row r="70" spans="1:25" s="245" customFormat="1" ht="15.75" customHeight="1" thickBot="1" x14ac:dyDescent="0.25">
      <c r="A70" s="980"/>
      <c r="B70" s="670"/>
      <c r="C70" s="670"/>
      <c r="D70" s="797" t="str">
        <f>ListAVS!$B$227&amp;" [%]: "</f>
        <v xml:space="preserve">Zniżka od sprzedawcy [%]: </v>
      </c>
      <c r="E70" s="532"/>
      <c r="F70" s="670"/>
      <c r="G70" s="670"/>
      <c r="H70" s="670"/>
      <c r="I70" s="670"/>
      <c r="J70" s="670"/>
      <c r="K70" s="670"/>
      <c r="L70" s="670"/>
      <c r="M70" s="670"/>
      <c r="N70" s="670"/>
      <c r="O70" s="670"/>
      <c r="P70" s="670"/>
      <c r="Q70" s="670"/>
      <c r="R70" s="670"/>
      <c r="S70" s="670"/>
      <c r="T70" s="670"/>
      <c r="U70" s="670"/>
      <c r="V70" s="670"/>
      <c r="W70" s="670"/>
      <c r="X70" s="670"/>
      <c r="Y70" s="670"/>
    </row>
    <row r="71" spans="1:25" s="245" customFormat="1" ht="15.75" customHeight="1" x14ac:dyDescent="0.2">
      <c r="A71" s="980"/>
      <c r="B71" s="670"/>
      <c r="C71" s="670"/>
      <c r="D71" s="670"/>
      <c r="E71" s="670"/>
      <c r="F71" s="670"/>
      <c r="G71" s="670"/>
      <c r="H71" s="670"/>
      <c r="I71" s="670"/>
      <c r="J71" s="670"/>
      <c r="K71" s="670"/>
      <c r="L71" s="670"/>
      <c r="M71" s="670"/>
      <c r="N71" s="670"/>
      <c r="O71" s="670"/>
      <c r="P71" s="670"/>
      <c r="Q71" s="670"/>
      <c r="R71" s="670"/>
      <c r="S71" s="670"/>
      <c r="T71" s="670"/>
      <c r="U71" s="670"/>
      <c r="V71" s="670"/>
      <c r="W71" s="670"/>
      <c r="X71" s="670"/>
      <c r="Y71" s="670"/>
    </row>
    <row r="72" spans="1:25" s="245" customFormat="1" ht="15.75" customHeight="1" x14ac:dyDescent="0.2">
      <c r="A72" s="980"/>
      <c r="B72" s="670"/>
      <c r="C72" s="670"/>
      <c r="D72" s="670"/>
      <c r="E72" s="670"/>
      <c r="F72" s="670"/>
      <c r="G72" s="670"/>
      <c r="H72" s="670"/>
      <c r="I72" s="670"/>
      <c r="J72" s="670"/>
      <c r="K72" s="670"/>
      <c r="L72" s="670"/>
      <c r="M72" s="670"/>
      <c r="N72" s="670"/>
      <c r="O72" s="670"/>
      <c r="P72" s="670"/>
      <c r="Q72" s="670"/>
      <c r="R72" s="670"/>
      <c r="S72" s="670"/>
      <c r="T72" s="670"/>
      <c r="U72" s="670"/>
      <c r="V72" s="670"/>
      <c r="W72" s="670"/>
      <c r="X72" s="670"/>
      <c r="Y72" s="670"/>
    </row>
    <row r="73" spans="1:25" s="245" customFormat="1" ht="15.75" customHeight="1" x14ac:dyDescent="0.2">
      <c r="A73" s="980"/>
      <c r="B73" s="670"/>
      <c r="C73" s="670" t="str">
        <f>ListAVS!$B$278</f>
        <v>Podaj dane identyfikacyjne oraz wysokość zniżek od sprzedawcy.</v>
      </c>
      <c r="D73" s="670"/>
      <c r="E73" s="670"/>
      <c r="F73" s="670"/>
      <c r="G73" s="670"/>
      <c r="H73" s="670"/>
      <c r="I73" s="670"/>
      <c r="J73" s="670"/>
      <c r="K73" s="670"/>
      <c r="L73" s="670"/>
      <c r="M73" s="670"/>
      <c r="N73" s="670"/>
      <c r="O73" s="670"/>
      <c r="P73" s="670"/>
      <c r="Q73" s="670"/>
      <c r="R73" s="670"/>
      <c r="S73" s="670"/>
      <c r="T73" s="670"/>
      <c r="U73" s="670"/>
      <c r="V73" s="670"/>
      <c r="W73" s="670"/>
      <c r="X73" s="670"/>
      <c r="Y73" s="670"/>
    </row>
    <row r="74" spans="1:25" s="245" customFormat="1" ht="15.75" customHeight="1" x14ac:dyDescent="0.2">
      <c r="A74" s="980"/>
      <c r="B74" s="670"/>
      <c r="C74" s="670" t="str">
        <f>ListAVS!$B$280</f>
        <v>Dane identyfikacyjne będą pojawiać się w zamówieniach</v>
      </c>
      <c r="D74" s="670"/>
      <c r="E74" s="670"/>
      <c r="F74" s="670"/>
      <c r="G74" s="670"/>
      <c r="H74" s="670"/>
      <c r="I74" s="670"/>
      <c r="J74" s="670"/>
      <c r="K74" s="670"/>
      <c r="L74" s="670"/>
      <c r="M74" s="670"/>
      <c r="N74" s="670"/>
      <c r="O74" s="670"/>
      <c r="P74" s="670"/>
      <c r="Q74" s="670"/>
      <c r="R74" s="670"/>
      <c r="S74" s="670"/>
      <c r="T74" s="670"/>
      <c r="U74" s="670"/>
      <c r="V74" s="670"/>
      <c r="W74" s="670"/>
      <c r="X74" s="670"/>
      <c r="Y74" s="670"/>
    </row>
    <row r="75" spans="1:25" s="245" customFormat="1" ht="15.75" customHeight="1" x14ac:dyDescent="0.2">
      <c r="A75" s="980"/>
      <c r="B75" s="670"/>
      <c r="C75" s="670" t="str">
        <f>ListAVS!$B$279</f>
        <v>Po wypełnieniu formularz zapisz go albo zamknij potwierdzając zmiany</v>
      </c>
      <c r="D75" s="670"/>
      <c r="E75" s="670"/>
      <c r="F75" s="670"/>
      <c r="G75" s="670"/>
      <c r="H75" s="670"/>
      <c r="I75" s="670"/>
      <c r="J75" s="670"/>
      <c r="K75" s="670"/>
      <c r="L75" s="670"/>
      <c r="M75" s="670"/>
      <c r="N75" s="670"/>
      <c r="O75" s="670"/>
      <c r="P75" s="670"/>
      <c r="Q75" s="670"/>
      <c r="R75" s="670"/>
      <c r="S75" s="670"/>
      <c r="T75" s="670"/>
      <c r="U75" s="670"/>
      <c r="V75" s="670"/>
      <c r="W75" s="670"/>
      <c r="X75" s="670"/>
      <c r="Y75" s="670"/>
    </row>
    <row r="76" spans="1:25" s="245" customFormat="1" ht="15.75" customHeight="1" x14ac:dyDescent="0.2">
      <c r="A76" s="980"/>
      <c r="B76" s="670"/>
      <c r="C76" s="670"/>
      <c r="D76" s="670"/>
      <c r="E76" s="670"/>
      <c r="F76" s="670"/>
      <c r="G76" s="670"/>
      <c r="H76" s="670"/>
      <c r="I76" s="670"/>
      <c r="J76" s="670"/>
      <c r="K76" s="670"/>
      <c r="L76" s="670"/>
      <c r="M76" s="670"/>
      <c r="N76" s="670"/>
      <c r="O76" s="670"/>
      <c r="P76" s="670"/>
      <c r="Q76" s="670"/>
      <c r="R76" s="670"/>
      <c r="S76" s="670"/>
      <c r="T76" s="670"/>
      <c r="U76" s="670"/>
      <c r="V76" s="670"/>
      <c r="W76" s="670"/>
      <c r="X76" s="670"/>
      <c r="Y76" s="670"/>
    </row>
    <row r="77" spans="1:25" s="245" customFormat="1" ht="15.75" customHeight="1" x14ac:dyDescent="0.2">
      <c r="A77" s="980"/>
      <c r="B77" s="670"/>
      <c r="C77" s="979" t="str">
        <f>ListAVS!$B$169</f>
        <v>Wróć na początek</v>
      </c>
      <c r="D77" s="979"/>
      <c r="E77" s="670"/>
      <c r="F77" s="670"/>
      <c r="G77" s="670"/>
      <c r="H77" s="637"/>
      <c r="I77" s="637"/>
      <c r="J77" s="637"/>
      <c r="K77" s="670"/>
      <c r="L77" s="670"/>
      <c r="M77" s="670"/>
      <c r="N77" s="670"/>
      <c r="O77" s="670"/>
      <c r="P77" s="670"/>
      <c r="Q77" s="670"/>
      <c r="R77" s="670"/>
      <c r="S77" s="670"/>
      <c r="T77" s="670"/>
      <c r="U77" s="670"/>
      <c r="V77" s="670"/>
      <c r="W77" s="670"/>
      <c r="X77" s="670"/>
      <c r="Y77" s="670"/>
    </row>
    <row r="78" spans="1:25" ht="15.75" customHeight="1" x14ac:dyDescent="0.2">
      <c r="A78" s="980"/>
      <c r="B78" s="108"/>
      <c r="C78" s="108"/>
      <c r="D78" s="108"/>
      <c r="E78" s="108"/>
      <c r="F78" s="108"/>
      <c r="G78" s="108"/>
      <c r="H78" s="108"/>
      <c r="I78" s="108"/>
      <c r="J78" s="108"/>
      <c r="K78" s="108"/>
      <c r="L78" s="108"/>
      <c r="M78" s="108"/>
      <c r="N78" s="108"/>
      <c r="O78" s="108"/>
      <c r="P78" s="108"/>
      <c r="Q78" s="108"/>
      <c r="R78" s="108"/>
      <c r="S78" s="108"/>
      <c r="T78" s="108"/>
      <c r="U78" s="108"/>
      <c r="V78" s="108"/>
      <c r="W78" s="108"/>
      <c r="X78" s="108"/>
      <c r="Y78" s="108"/>
    </row>
    <row r="79" spans="1:25" ht="15.75" customHeight="1" x14ac:dyDescent="0.2">
      <c r="A79" s="980"/>
      <c r="B79" s="108"/>
      <c r="C79" s="108"/>
      <c r="D79" s="108"/>
      <c r="E79" s="108"/>
      <c r="F79" s="108"/>
      <c r="G79" s="108"/>
      <c r="H79" s="108"/>
      <c r="I79" s="108"/>
      <c r="J79" s="108"/>
      <c r="K79" s="108"/>
      <c r="L79" s="108"/>
      <c r="M79" s="108"/>
      <c r="N79" s="108"/>
      <c r="O79" s="108"/>
      <c r="P79" s="108"/>
      <c r="Q79" s="108"/>
      <c r="R79" s="108"/>
      <c r="S79" s="108"/>
      <c r="T79" s="108"/>
      <c r="U79" s="108"/>
      <c r="V79" s="108"/>
      <c r="W79" s="108"/>
      <c r="X79" s="108"/>
      <c r="Y79" s="108"/>
    </row>
    <row r="80" spans="1:25" ht="15.75" customHeight="1" x14ac:dyDescent="0.2">
      <c r="A80" s="980"/>
      <c r="B80" s="108"/>
      <c r="C80" s="108"/>
      <c r="D80" s="108"/>
      <c r="E80" s="108"/>
      <c r="F80" s="108"/>
      <c r="G80" s="108"/>
      <c r="H80" s="108"/>
      <c r="I80" s="108"/>
      <c r="J80" s="108"/>
      <c r="K80" s="108"/>
      <c r="L80" s="108"/>
      <c r="M80" s="108"/>
      <c r="N80" s="108"/>
      <c r="O80" s="108"/>
      <c r="P80" s="108"/>
      <c r="Q80" s="108"/>
      <c r="R80" s="108"/>
      <c r="S80" s="108"/>
      <c r="T80" s="108"/>
      <c r="U80" s="108"/>
      <c r="V80" s="108"/>
      <c r="W80" s="108"/>
      <c r="X80" s="108"/>
      <c r="Y80" s="108"/>
    </row>
    <row r="81" spans="1:25" ht="15.75" customHeight="1" x14ac:dyDescent="0.2">
      <c r="A81" s="980"/>
      <c r="B81" s="108"/>
      <c r="C81" s="108"/>
      <c r="D81" s="108"/>
      <c r="E81" s="108"/>
      <c r="F81" s="108"/>
      <c r="G81" s="108"/>
      <c r="H81" s="108"/>
      <c r="I81" s="108"/>
      <c r="J81" s="108"/>
      <c r="K81" s="108"/>
      <c r="L81" s="108"/>
      <c r="M81" s="108"/>
      <c r="N81" s="108"/>
      <c r="O81" s="108"/>
      <c r="P81" s="108"/>
      <c r="Q81" s="108"/>
      <c r="R81" s="108"/>
      <c r="S81" s="108"/>
      <c r="T81" s="108"/>
      <c r="U81" s="108"/>
      <c r="V81" s="108"/>
      <c r="W81" s="108"/>
      <c r="X81" s="108"/>
      <c r="Y81" s="108"/>
    </row>
    <row r="82" spans="1:25" ht="15.75" customHeight="1" x14ac:dyDescent="0.2">
      <c r="A82" s="980"/>
      <c r="B82" s="108"/>
      <c r="C82" s="108"/>
      <c r="D82" s="108"/>
      <c r="E82" s="108"/>
      <c r="F82" s="108"/>
      <c r="G82" s="108"/>
      <c r="H82" s="108"/>
      <c r="I82" s="108"/>
      <c r="J82" s="108"/>
      <c r="K82" s="108"/>
      <c r="L82" s="108"/>
      <c r="M82" s="108"/>
      <c r="N82" s="108"/>
      <c r="O82" s="108"/>
      <c r="P82" s="108"/>
      <c r="Q82" s="108"/>
      <c r="R82" s="108"/>
      <c r="S82" s="108"/>
      <c r="T82" s="108"/>
      <c r="U82" s="108"/>
      <c r="V82" s="108"/>
      <c r="W82" s="108"/>
      <c r="X82" s="108"/>
      <c r="Y82" s="108"/>
    </row>
    <row r="83" spans="1:25" ht="15.75" customHeight="1" x14ac:dyDescent="0.2">
      <c r="A83" s="980"/>
      <c r="B83" s="108"/>
      <c r="C83" s="108"/>
      <c r="D83" s="108"/>
      <c r="E83" s="108"/>
      <c r="F83" s="108"/>
      <c r="G83" s="108"/>
      <c r="H83" s="108"/>
      <c r="I83" s="108"/>
      <c r="J83" s="108"/>
      <c r="K83" s="108"/>
      <c r="L83" s="108"/>
      <c r="M83" s="108"/>
      <c r="N83" s="108"/>
      <c r="O83" s="108"/>
      <c r="P83" s="108"/>
      <c r="Q83" s="108"/>
      <c r="R83" s="108"/>
      <c r="S83" s="108"/>
      <c r="T83" s="108"/>
      <c r="U83" s="108"/>
      <c r="V83" s="108"/>
      <c r="W83" s="108"/>
      <c r="X83" s="108"/>
      <c r="Y83" s="108"/>
    </row>
    <row r="84" spans="1:25" ht="15.75" customHeight="1" x14ac:dyDescent="0.2">
      <c r="A84" s="980"/>
      <c r="B84" s="108"/>
      <c r="C84" s="108"/>
      <c r="D84" s="108"/>
      <c r="E84" s="108"/>
      <c r="F84" s="108"/>
      <c r="G84" s="108"/>
      <c r="H84" s="108"/>
      <c r="I84" s="108"/>
      <c r="J84" s="108"/>
      <c r="K84" s="108"/>
      <c r="L84" s="108"/>
      <c r="M84" s="108"/>
      <c r="N84" s="108"/>
      <c r="O84" s="108"/>
      <c r="P84" s="108"/>
      <c r="Q84" s="108"/>
      <c r="R84" s="108"/>
      <c r="S84" s="108"/>
      <c r="T84" s="108"/>
      <c r="U84" s="108"/>
      <c r="V84" s="108"/>
      <c r="W84" s="108"/>
      <c r="X84" s="108"/>
      <c r="Y84" s="108"/>
    </row>
    <row r="85" spans="1:25" s="245" customFormat="1" ht="15.75" customHeight="1" x14ac:dyDescent="0.2">
      <c r="A85" s="980"/>
      <c r="B85" s="670"/>
      <c r="C85" s="670"/>
      <c r="D85" s="670"/>
      <c r="E85" s="670"/>
      <c r="F85" s="670"/>
      <c r="G85" s="670"/>
      <c r="H85" s="670"/>
      <c r="I85" s="670"/>
      <c r="J85" s="670"/>
      <c r="K85" s="670"/>
      <c r="L85" s="670"/>
      <c r="M85" s="670"/>
      <c r="N85" s="670"/>
      <c r="O85" s="670"/>
      <c r="P85" s="670"/>
      <c r="Q85" s="670"/>
      <c r="R85" s="670"/>
      <c r="S85" s="670"/>
      <c r="T85" s="670"/>
      <c r="U85" s="670"/>
      <c r="V85" s="670"/>
      <c r="W85" s="670"/>
      <c r="X85" s="670"/>
      <c r="Y85" s="670"/>
    </row>
    <row r="86" spans="1:25" s="245" customFormat="1" ht="15.75" customHeight="1" x14ac:dyDescent="0.2">
      <c r="A86" s="980"/>
      <c r="B86" s="670"/>
      <c r="C86" s="670"/>
      <c r="D86" s="797" t="str">
        <f>ListAVS!$B$46&amp;" [%] "</f>
        <v xml:space="preserve">Wprowadź wyższą zniżkę [%] </v>
      </c>
      <c r="E86" s="516"/>
      <c r="F86" s="670"/>
      <c r="G86" s="670"/>
      <c r="H86" s="670"/>
      <c r="I86" s="670"/>
      <c r="J86" s="670"/>
      <c r="K86" s="670"/>
      <c r="L86" s="670"/>
      <c r="M86" s="670"/>
      <c r="N86" s="670"/>
      <c r="O86" s="670"/>
      <c r="P86" s="670"/>
      <c r="Q86" s="670"/>
      <c r="R86" s="670"/>
      <c r="S86" s="670"/>
      <c r="T86" s="670"/>
      <c r="U86" s="670"/>
      <c r="V86" s="670"/>
      <c r="W86" s="670"/>
      <c r="X86" s="670"/>
      <c r="Y86" s="670"/>
    </row>
    <row r="87" spans="1:25" s="245" customFormat="1" ht="15.75" customHeight="1" x14ac:dyDescent="0.2">
      <c r="A87" s="980"/>
      <c r="B87" s="670"/>
      <c r="C87" s="670"/>
      <c r="D87" s="670"/>
      <c r="E87" s="670"/>
      <c r="F87" s="670"/>
      <c r="G87" s="670"/>
      <c r="H87" s="670"/>
      <c r="I87" s="670"/>
      <c r="J87" s="670"/>
      <c r="K87" s="670"/>
      <c r="L87" s="670"/>
      <c r="M87" s="670"/>
      <c r="N87" s="670"/>
      <c r="O87" s="670"/>
      <c r="P87" s="670"/>
      <c r="Q87" s="670"/>
      <c r="R87" s="670"/>
      <c r="S87" s="670"/>
      <c r="T87" s="670"/>
      <c r="U87" s="670"/>
      <c r="V87" s="670"/>
      <c r="W87" s="670"/>
      <c r="X87" s="670"/>
      <c r="Y87" s="670"/>
    </row>
    <row r="88" spans="1:25" s="245" customFormat="1" ht="15.75" customHeight="1" x14ac:dyDescent="0.2">
      <c r="A88" s="980"/>
      <c r="B88" s="670"/>
      <c r="C88" s="670"/>
      <c r="D88" s="670"/>
      <c r="E88" s="670"/>
      <c r="F88" s="670"/>
      <c r="G88" s="670"/>
      <c r="H88" s="670"/>
      <c r="I88" s="670"/>
      <c r="J88" s="670"/>
      <c r="K88" s="670"/>
      <c r="L88" s="670"/>
      <c r="M88" s="670"/>
      <c r="N88" s="670"/>
      <c r="O88" s="670"/>
      <c r="P88" s="670"/>
      <c r="Q88" s="670"/>
      <c r="R88" s="670"/>
      <c r="S88" s="670"/>
      <c r="T88" s="670"/>
      <c r="U88" s="670"/>
      <c r="V88" s="670"/>
      <c r="W88" s="670"/>
      <c r="X88" s="670"/>
      <c r="Y88" s="670"/>
    </row>
    <row r="89" spans="1:25" s="245" customFormat="1" ht="15.75" customHeight="1" x14ac:dyDescent="0.2">
      <c r="A89" s="980"/>
      <c r="B89" s="670"/>
      <c r="C89" s="979" t="str">
        <f>ListAVS!$B$169</f>
        <v>Wróć na początek</v>
      </c>
      <c r="D89" s="979"/>
      <c r="E89" s="670"/>
      <c r="F89" s="670"/>
      <c r="G89" s="670"/>
      <c r="H89" s="670"/>
      <c r="I89" s="670"/>
      <c r="J89" s="670"/>
      <c r="K89" s="670"/>
      <c r="L89" s="670"/>
      <c r="M89" s="670"/>
      <c r="N89" s="670"/>
      <c r="O89" s="670"/>
      <c r="P89" s="670"/>
      <c r="Q89" s="670"/>
      <c r="R89" s="670"/>
      <c r="S89" s="670"/>
      <c r="T89" s="670"/>
      <c r="U89" s="670"/>
      <c r="V89" s="670"/>
      <c r="W89" s="670"/>
      <c r="X89" s="670"/>
      <c r="Y89" s="670"/>
    </row>
    <row r="90" spans="1:25" s="245" customFormat="1" ht="15.75" customHeight="1" x14ac:dyDescent="0.2">
      <c r="A90" s="980"/>
      <c r="B90" s="670"/>
      <c r="C90" s="670"/>
      <c r="D90" s="670"/>
      <c r="E90" s="670"/>
      <c r="F90" s="670"/>
      <c r="G90" s="670"/>
      <c r="H90" s="670"/>
      <c r="I90" s="670"/>
      <c r="J90" s="670"/>
      <c r="K90" s="670"/>
      <c r="L90" s="670"/>
      <c r="M90" s="670"/>
      <c r="N90" s="670"/>
      <c r="O90" s="670"/>
      <c r="P90" s="670"/>
      <c r="Q90" s="670"/>
      <c r="R90" s="670"/>
      <c r="S90" s="670"/>
      <c r="T90" s="670"/>
      <c r="U90" s="670"/>
      <c r="V90" s="670"/>
      <c r="W90" s="670"/>
      <c r="X90" s="670"/>
      <c r="Y90" s="670"/>
    </row>
    <row r="91" spans="1:25" ht="15.75" customHeight="1" x14ac:dyDescent="0.2">
      <c r="A91" s="980"/>
      <c r="B91" s="108"/>
      <c r="C91" s="108"/>
      <c r="D91" s="108"/>
      <c r="E91" s="108"/>
      <c r="F91" s="108"/>
      <c r="G91" s="108"/>
      <c r="H91" s="108"/>
      <c r="I91" s="108"/>
      <c r="J91" s="108"/>
      <c r="K91" s="108"/>
      <c r="L91" s="108"/>
      <c r="M91" s="108"/>
      <c r="N91" s="108"/>
      <c r="O91" s="108"/>
      <c r="P91" s="108"/>
      <c r="Q91" s="108"/>
      <c r="R91" s="108"/>
      <c r="S91" s="108"/>
      <c r="T91" s="108"/>
      <c r="U91" s="108"/>
      <c r="V91" s="108"/>
      <c r="W91" s="108"/>
      <c r="X91" s="108"/>
      <c r="Y91" s="108"/>
    </row>
    <row r="92" spans="1:25" ht="15.75" customHeight="1" x14ac:dyDescent="0.2">
      <c r="A92" s="980"/>
      <c r="B92" s="108"/>
      <c r="C92" s="108"/>
      <c r="D92" s="108"/>
      <c r="E92" s="108"/>
      <c r="F92" s="108"/>
      <c r="G92" s="108"/>
      <c r="H92" s="108"/>
      <c r="I92" s="108"/>
      <c r="J92" s="108"/>
      <c r="K92" s="108"/>
      <c r="L92" s="108"/>
      <c r="M92" s="108"/>
      <c r="N92" s="108"/>
      <c r="O92" s="108"/>
      <c r="P92" s="108"/>
      <c r="Q92" s="108"/>
      <c r="R92" s="108"/>
      <c r="S92" s="108"/>
      <c r="T92" s="108"/>
      <c r="U92" s="108"/>
      <c r="V92" s="108"/>
      <c r="W92" s="108"/>
      <c r="X92" s="108"/>
      <c r="Y92" s="108"/>
    </row>
    <row r="93" spans="1:25" ht="15.75" customHeight="1" x14ac:dyDescent="0.2">
      <c r="A93" s="980"/>
      <c r="B93" s="108"/>
      <c r="C93" s="108"/>
      <c r="D93" s="108"/>
      <c r="E93" s="108"/>
      <c r="F93" s="108"/>
      <c r="G93" s="108"/>
      <c r="H93" s="108"/>
      <c r="I93" s="108"/>
      <c r="J93" s="108"/>
      <c r="K93" s="108"/>
      <c r="L93" s="108"/>
      <c r="M93" s="108"/>
      <c r="N93" s="108"/>
      <c r="O93" s="108"/>
      <c r="P93" s="108"/>
      <c r="Q93" s="108"/>
      <c r="R93" s="108"/>
      <c r="S93" s="108"/>
      <c r="T93" s="108"/>
      <c r="U93" s="108"/>
      <c r="V93" s="108"/>
      <c r="W93" s="108"/>
      <c r="X93" s="108"/>
      <c r="Y93" s="108"/>
    </row>
    <row r="94" spans="1:25" ht="15.75" customHeight="1" x14ac:dyDescent="0.2">
      <c r="A94" s="980"/>
      <c r="B94" s="108"/>
      <c r="C94" s="108"/>
      <c r="D94" s="108"/>
      <c r="E94" s="108"/>
      <c r="F94" s="108"/>
      <c r="G94" s="108"/>
      <c r="H94" s="108"/>
      <c r="I94" s="108"/>
      <c r="J94" s="108"/>
      <c r="K94" s="108"/>
      <c r="L94" s="108"/>
      <c r="M94" s="108"/>
      <c r="N94" s="108"/>
      <c r="O94" s="108"/>
      <c r="P94" s="108"/>
      <c r="Q94" s="108"/>
      <c r="R94" s="108"/>
      <c r="S94" s="108"/>
      <c r="T94" s="108"/>
      <c r="U94" s="108"/>
      <c r="V94" s="108"/>
      <c r="W94" s="108"/>
      <c r="X94" s="108"/>
      <c r="Y94" s="108"/>
    </row>
    <row r="95" spans="1:25" ht="15.75" customHeight="1" x14ac:dyDescent="0.2">
      <c r="A95" s="980"/>
      <c r="B95" s="108"/>
      <c r="C95" s="108"/>
      <c r="D95" s="108"/>
      <c r="E95" s="108"/>
      <c r="F95" s="108"/>
      <c r="G95" s="108"/>
      <c r="H95" s="108"/>
      <c r="I95" s="108"/>
      <c r="J95" s="108"/>
      <c r="K95" s="108"/>
      <c r="L95" s="108"/>
      <c r="M95" s="108"/>
      <c r="N95" s="108"/>
      <c r="O95" s="108"/>
      <c r="P95" s="108"/>
      <c r="Q95" s="108"/>
      <c r="R95" s="108"/>
      <c r="S95" s="108"/>
      <c r="T95" s="108"/>
      <c r="U95" s="108"/>
      <c r="V95" s="108"/>
      <c r="W95" s="108"/>
      <c r="X95" s="108"/>
      <c r="Y95" s="108"/>
    </row>
    <row r="96" spans="1:25" ht="15.75" customHeight="1" x14ac:dyDescent="0.2">
      <c r="A96" s="980"/>
      <c r="B96" s="108"/>
      <c r="C96" s="108"/>
      <c r="D96" s="108"/>
      <c r="E96" s="108"/>
      <c r="F96" s="108"/>
      <c r="G96" s="108"/>
      <c r="H96" s="108"/>
      <c r="I96" s="108"/>
      <c r="J96" s="108"/>
      <c r="K96" s="108"/>
      <c r="L96" s="108"/>
      <c r="M96" s="108"/>
      <c r="N96" s="108"/>
      <c r="O96" s="108"/>
      <c r="P96" s="108"/>
      <c r="Q96" s="108"/>
      <c r="R96" s="108"/>
      <c r="S96" s="108"/>
      <c r="T96" s="108"/>
      <c r="U96" s="108"/>
      <c r="V96" s="108"/>
      <c r="W96" s="108"/>
      <c r="X96" s="108"/>
      <c r="Y96" s="108"/>
    </row>
    <row r="97" spans="1:25" ht="15.75" customHeight="1" x14ac:dyDescent="0.2">
      <c r="A97" s="980"/>
      <c r="B97" s="108"/>
      <c r="C97" s="108"/>
      <c r="D97" s="108"/>
      <c r="E97" s="108"/>
      <c r="F97" s="108"/>
      <c r="G97" s="108"/>
      <c r="H97" s="108"/>
      <c r="I97" s="108"/>
      <c r="J97" s="108"/>
      <c r="K97" s="108"/>
      <c r="L97" s="108"/>
      <c r="M97" s="108"/>
      <c r="N97" s="108"/>
      <c r="O97" s="108"/>
      <c r="P97" s="108"/>
      <c r="Q97" s="108"/>
      <c r="R97" s="108"/>
      <c r="S97" s="108"/>
      <c r="T97" s="108"/>
      <c r="U97" s="108"/>
      <c r="V97" s="108"/>
      <c r="W97" s="108"/>
      <c r="X97" s="108"/>
      <c r="Y97" s="108"/>
    </row>
    <row r="98" spans="1:25" ht="15.75" customHeight="1" x14ac:dyDescent="0.2">
      <c r="A98" s="980"/>
      <c r="B98" s="108"/>
      <c r="C98" s="108"/>
      <c r="D98" s="108"/>
      <c r="E98" s="108"/>
      <c r="F98" s="108"/>
      <c r="G98" s="108"/>
      <c r="H98" s="108"/>
      <c r="I98" s="108"/>
      <c r="J98" s="108"/>
      <c r="K98" s="108"/>
      <c r="L98" s="108"/>
      <c r="M98" s="108"/>
      <c r="N98" s="108"/>
      <c r="O98" s="108"/>
      <c r="P98" s="108"/>
      <c r="Q98" s="108"/>
      <c r="R98" s="108"/>
      <c r="S98" s="108"/>
      <c r="T98" s="108"/>
      <c r="U98" s="108"/>
      <c r="V98" s="108"/>
      <c r="W98" s="108"/>
      <c r="X98" s="108"/>
      <c r="Y98" s="108"/>
    </row>
    <row r="99" spans="1:25" ht="15.75" customHeight="1" x14ac:dyDescent="0.2">
      <c r="A99" s="980"/>
      <c r="B99" s="108"/>
      <c r="C99" s="108"/>
      <c r="D99" s="108"/>
      <c r="E99" s="108"/>
      <c r="F99" s="108"/>
      <c r="G99" s="108"/>
      <c r="H99" s="108"/>
      <c r="I99" s="108"/>
      <c r="J99" s="108"/>
      <c r="K99" s="108"/>
      <c r="L99" s="108"/>
      <c r="M99" s="108"/>
      <c r="N99" s="108"/>
      <c r="O99" s="108"/>
      <c r="P99" s="108"/>
      <c r="Q99" s="108"/>
      <c r="R99" s="108"/>
      <c r="S99" s="108"/>
      <c r="T99" s="108"/>
      <c r="U99" s="108"/>
      <c r="V99" s="108"/>
      <c r="W99" s="108"/>
      <c r="X99" s="108"/>
      <c r="Y99" s="108"/>
    </row>
    <row r="100" spans="1:25" ht="15.75" customHeight="1" x14ac:dyDescent="0.2">
      <c r="A100" s="980"/>
      <c r="B100" s="108"/>
      <c r="C100" s="108"/>
      <c r="D100" s="108"/>
      <c r="E100" s="108"/>
      <c r="F100" s="108"/>
      <c r="G100" s="108"/>
      <c r="H100" s="108"/>
      <c r="I100" s="108"/>
      <c r="J100" s="108"/>
      <c r="K100" s="108"/>
      <c r="L100" s="108"/>
      <c r="M100" s="108"/>
      <c r="N100" s="108"/>
      <c r="O100" s="108"/>
      <c r="P100" s="108"/>
      <c r="Q100" s="108"/>
      <c r="R100" s="108"/>
      <c r="S100" s="108"/>
      <c r="T100" s="108"/>
      <c r="U100" s="108"/>
      <c r="V100" s="108"/>
      <c r="W100" s="108"/>
      <c r="X100" s="108"/>
      <c r="Y100" s="108"/>
    </row>
    <row r="101" spans="1:25" ht="15.75" customHeight="1" x14ac:dyDescent="0.2">
      <c r="A101" s="980"/>
      <c r="B101" s="108"/>
      <c r="C101" s="108"/>
      <c r="D101" s="108"/>
      <c r="E101" s="108"/>
      <c r="F101" s="108"/>
      <c r="G101" s="108"/>
      <c r="H101" s="108"/>
      <c r="I101" s="108"/>
      <c r="J101" s="108"/>
      <c r="K101" s="108"/>
      <c r="L101" s="108"/>
      <c r="M101" s="108"/>
      <c r="N101" s="108"/>
      <c r="O101" s="108"/>
      <c r="P101" s="108"/>
      <c r="Q101" s="108"/>
      <c r="R101" s="108"/>
      <c r="S101" s="108"/>
      <c r="T101" s="108"/>
      <c r="U101" s="108"/>
      <c r="V101" s="108"/>
      <c r="W101" s="108"/>
      <c r="X101" s="108"/>
      <c r="Y101" s="108"/>
    </row>
    <row r="102" spans="1:25" ht="15.75" customHeight="1" x14ac:dyDescent="0.2">
      <c r="A102" s="980"/>
      <c r="B102" s="108"/>
      <c r="C102" s="108"/>
      <c r="D102" s="108"/>
      <c r="E102" s="108"/>
      <c r="F102" s="108"/>
      <c r="G102" s="108"/>
      <c r="H102" s="108"/>
      <c r="I102" s="108"/>
      <c r="J102" s="108"/>
      <c r="K102" s="108"/>
      <c r="L102" s="108"/>
      <c r="M102" s="108"/>
      <c r="N102" s="108"/>
      <c r="O102" s="108"/>
      <c r="P102" s="108"/>
      <c r="Q102" s="108"/>
      <c r="R102" s="108"/>
      <c r="S102" s="108"/>
      <c r="T102" s="108"/>
      <c r="U102" s="108"/>
      <c r="V102" s="108"/>
      <c r="W102" s="108"/>
      <c r="X102" s="108"/>
      <c r="Y102" s="108"/>
    </row>
    <row r="103" spans="1:25" ht="15.75" customHeight="1" x14ac:dyDescent="0.2">
      <c r="A103" s="980"/>
      <c r="B103" s="108"/>
      <c r="C103" s="108"/>
      <c r="D103" s="108"/>
      <c r="E103" s="108"/>
      <c r="F103" s="108"/>
      <c r="G103" s="108"/>
      <c r="H103" s="108"/>
      <c r="I103" s="108"/>
      <c r="J103" s="108"/>
      <c r="K103" s="108"/>
      <c r="L103" s="108"/>
      <c r="M103" s="108"/>
      <c r="N103" s="108"/>
      <c r="O103" s="108"/>
      <c r="P103" s="108"/>
      <c r="Q103" s="108"/>
      <c r="R103" s="108"/>
      <c r="S103" s="108"/>
      <c r="T103" s="108"/>
      <c r="U103" s="108"/>
      <c r="V103" s="108"/>
      <c r="W103" s="108"/>
      <c r="X103" s="108"/>
      <c r="Y103" s="108"/>
    </row>
    <row r="104" spans="1:25" ht="15.75" customHeight="1" x14ac:dyDescent="0.2">
      <c r="A104" s="980"/>
      <c r="B104" s="108"/>
      <c r="C104" s="108"/>
      <c r="D104" s="108"/>
      <c r="E104" s="108"/>
      <c r="F104" s="108"/>
      <c r="G104" s="108"/>
      <c r="H104" s="108"/>
      <c r="I104" s="108"/>
      <c r="J104" s="108"/>
      <c r="K104" s="108"/>
      <c r="L104" s="108"/>
      <c r="M104" s="108"/>
      <c r="N104" s="108"/>
      <c r="O104" s="108"/>
      <c r="P104" s="108"/>
      <c r="Q104" s="108"/>
      <c r="R104" s="108"/>
      <c r="S104" s="108"/>
      <c r="T104" s="108"/>
      <c r="U104" s="108"/>
      <c r="V104" s="108"/>
      <c r="W104" s="108"/>
      <c r="X104" s="108"/>
      <c r="Y104" s="108"/>
    </row>
    <row r="105" spans="1:25" ht="15.75" customHeight="1" x14ac:dyDescent="0.2">
      <c r="A105" s="980"/>
      <c r="B105" s="108"/>
      <c r="C105" s="108"/>
      <c r="D105" s="108"/>
      <c r="E105" s="108"/>
      <c r="F105" s="108"/>
      <c r="G105" s="108"/>
      <c r="H105" s="108"/>
      <c r="I105" s="108"/>
      <c r="J105" s="108"/>
      <c r="K105" s="108"/>
      <c r="L105" s="108"/>
      <c r="M105" s="108"/>
      <c r="N105" s="108"/>
      <c r="O105" s="108"/>
      <c r="P105" s="108"/>
      <c r="Q105" s="108"/>
      <c r="R105" s="108"/>
      <c r="S105" s="108"/>
      <c r="T105" s="108"/>
      <c r="U105" s="108"/>
      <c r="V105" s="108"/>
      <c r="W105" s="108"/>
      <c r="X105" s="108"/>
      <c r="Y105" s="108"/>
    </row>
    <row r="106" spans="1:25" ht="15.75" customHeight="1" x14ac:dyDescent="0.2">
      <c r="A106" s="980"/>
      <c r="B106" s="108"/>
      <c r="C106" s="108"/>
      <c r="D106" s="108"/>
      <c r="E106" s="108"/>
      <c r="F106" s="108"/>
      <c r="G106" s="108"/>
      <c r="H106" s="108"/>
      <c r="I106" s="108"/>
      <c r="J106" s="108"/>
      <c r="K106" s="108"/>
      <c r="L106" s="108"/>
      <c r="M106" s="108"/>
      <c r="N106" s="108"/>
      <c r="O106" s="108"/>
      <c r="P106" s="108"/>
      <c r="Q106" s="108"/>
      <c r="R106" s="108"/>
      <c r="S106" s="108"/>
      <c r="T106" s="108"/>
      <c r="U106" s="108"/>
      <c r="V106" s="108"/>
      <c r="W106" s="108"/>
      <c r="X106" s="108"/>
      <c r="Y106" s="108"/>
    </row>
    <row r="107" spans="1:25" ht="15.75" customHeight="1" x14ac:dyDescent="0.2">
      <c r="A107" s="980"/>
      <c r="B107" s="108"/>
      <c r="C107" s="108"/>
      <c r="D107" s="108"/>
      <c r="E107" s="108"/>
      <c r="F107" s="108"/>
      <c r="G107" s="108"/>
      <c r="H107" s="108"/>
      <c r="I107" s="108"/>
      <c r="J107" s="108"/>
      <c r="K107" s="108"/>
      <c r="L107" s="108"/>
      <c r="M107" s="108"/>
      <c r="N107" s="108"/>
      <c r="O107" s="108"/>
      <c r="P107" s="108"/>
      <c r="Q107" s="108"/>
      <c r="R107" s="108"/>
      <c r="S107" s="108"/>
      <c r="T107" s="108"/>
      <c r="U107" s="108"/>
      <c r="V107" s="108"/>
      <c r="W107" s="108"/>
      <c r="X107" s="108"/>
      <c r="Y107" s="108"/>
    </row>
    <row r="108" spans="1:25" ht="15.75" customHeight="1" x14ac:dyDescent="0.2">
      <c r="A108" s="980"/>
      <c r="B108" s="108"/>
      <c r="C108" s="108"/>
      <c r="D108" s="108"/>
      <c r="E108" s="108"/>
      <c r="F108" s="108"/>
      <c r="G108" s="108"/>
      <c r="H108" s="108"/>
      <c r="I108" s="108"/>
      <c r="J108" s="108"/>
      <c r="K108" s="108"/>
      <c r="L108" s="108"/>
      <c r="M108" s="108"/>
      <c r="N108" s="108"/>
      <c r="O108" s="108"/>
      <c r="P108" s="108"/>
      <c r="Q108" s="108"/>
      <c r="R108" s="108"/>
      <c r="S108" s="108"/>
      <c r="T108" s="108"/>
      <c r="U108" s="108"/>
      <c r="V108" s="108"/>
      <c r="W108" s="108"/>
      <c r="X108" s="108"/>
      <c r="Y108" s="108"/>
    </row>
    <row r="109" spans="1:25" ht="15.75" customHeight="1" x14ac:dyDescent="0.25">
      <c r="A109" s="980"/>
      <c r="B109" s="108"/>
      <c r="C109" s="638" t="str">
        <f>"      "&amp;ListAVS!B154</f>
        <v xml:space="preserve">      Wprowadzenie do planowania</v>
      </c>
      <c r="D109" s="225"/>
      <c r="E109" s="225"/>
      <c r="F109" s="225"/>
      <c r="G109" s="225"/>
      <c r="H109" s="225"/>
      <c r="I109" s="108"/>
      <c r="J109" s="108"/>
      <c r="K109" s="108"/>
      <c r="L109" s="108"/>
      <c r="M109" s="108"/>
      <c r="N109" s="108"/>
      <c r="O109" s="108"/>
      <c r="P109" s="108"/>
      <c r="Q109" s="108"/>
      <c r="R109" s="108"/>
      <c r="S109" s="108"/>
      <c r="T109" s="108"/>
      <c r="U109" s="108"/>
      <c r="V109" s="108"/>
      <c r="W109" s="108"/>
      <c r="X109" s="108"/>
      <c r="Y109" s="108"/>
    </row>
    <row r="110" spans="1:25" ht="15.75" customHeight="1" x14ac:dyDescent="0.2">
      <c r="A110" s="980"/>
      <c r="B110" s="108"/>
      <c r="C110" s="108"/>
      <c r="D110" s="108"/>
      <c r="E110" s="108"/>
      <c r="F110" s="108"/>
      <c r="G110" s="108"/>
      <c r="H110" s="108"/>
      <c r="I110" s="108"/>
      <c r="J110" s="108"/>
      <c r="K110" s="108"/>
      <c r="L110" s="108"/>
      <c r="M110" s="108"/>
      <c r="N110" s="108"/>
      <c r="O110" s="108"/>
      <c r="P110" s="108"/>
      <c r="Q110" s="108"/>
      <c r="R110" s="108"/>
      <c r="S110" s="108"/>
      <c r="T110" s="108"/>
      <c r="U110" s="108"/>
      <c r="V110" s="108"/>
      <c r="W110" s="108"/>
      <c r="X110" s="108"/>
      <c r="Y110" s="108"/>
    </row>
    <row r="111" spans="1:25" ht="15.75" customHeight="1" x14ac:dyDescent="0.2">
      <c r="A111" s="980"/>
      <c r="B111" s="108"/>
      <c r="C111" s="409" t="str">
        <f>ListAVS!$B$396&amp;":"</f>
        <v>Przed pierwszym użyciem zalecamy wprowadzenie danych identyfikacyjnych do zamówień, a następnie zapisanie formularza.:</v>
      </c>
      <c r="D111" s="409"/>
      <c r="E111" s="409"/>
      <c r="F111" s="409"/>
      <c r="G111" s="108"/>
      <c r="H111" s="108"/>
      <c r="I111" s="108"/>
      <c r="J111" s="108"/>
      <c r="K111" s="108"/>
      <c r="L111" s="108"/>
      <c r="M111" s="108"/>
      <c r="N111" s="108"/>
      <c r="O111" s="108"/>
      <c r="P111" s="108"/>
      <c r="Q111" s="108"/>
      <c r="R111" s="108"/>
      <c r="S111" s="108"/>
      <c r="T111" s="108"/>
      <c r="U111" s="108"/>
      <c r="V111" s="108"/>
      <c r="W111" s="108"/>
      <c r="X111" s="108"/>
      <c r="Y111" s="108"/>
    </row>
    <row r="112" spans="1:25" ht="15.75" customHeight="1" x14ac:dyDescent="0.2">
      <c r="A112" s="980"/>
      <c r="B112" s="108"/>
      <c r="C112" s="409" t="str">
        <f>"1. "&amp;ListAVS!$B$277&amp;" ' "&amp;ListAVS!$B$164&amp;" ' "</f>
        <v xml:space="preserve">1. Otwórz plik ' Podstawowe dane ' </v>
      </c>
      <c r="D112" s="409"/>
      <c r="E112" s="409"/>
      <c r="F112" s="409"/>
      <c r="G112" s="108"/>
      <c r="H112" s="108"/>
      <c r="I112" s="108"/>
      <c r="J112" s="108"/>
      <c r="K112" s="108"/>
      <c r="L112" s="108"/>
      <c r="M112" s="108"/>
      <c r="N112" s="108"/>
      <c r="O112" s="108"/>
      <c r="P112" s="108"/>
      <c r="Q112" s="108"/>
      <c r="R112" s="108"/>
      <c r="S112" s="108"/>
      <c r="T112" s="108"/>
      <c r="U112" s="108"/>
      <c r="V112" s="108"/>
      <c r="W112" s="108"/>
      <c r="X112" s="108"/>
      <c r="Y112" s="108"/>
    </row>
    <row r="113" spans="1:25" ht="15.75" customHeight="1" x14ac:dyDescent="0.2">
      <c r="A113" s="980"/>
      <c r="B113" s="108"/>
      <c r="C113" s="409" t="str">
        <f>"2. "&amp;ListAVS!$B$278</f>
        <v>2. Podaj dane identyfikacyjne oraz wysokość zniżek od sprzedawcy.</v>
      </c>
      <c r="D113" s="409"/>
      <c r="E113" s="409"/>
      <c r="F113" s="409"/>
      <c r="G113" s="108"/>
      <c r="H113" s="108"/>
      <c r="I113" s="108"/>
      <c r="J113" s="108"/>
      <c r="K113" s="108"/>
      <c r="L113" s="108"/>
      <c r="M113" s="108"/>
      <c r="N113" s="108"/>
      <c r="O113" s="108"/>
      <c r="P113" s="108"/>
      <c r="Q113" s="108"/>
      <c r="R113" s="108"/>
      <c r="S113" s="108"/>
      <c r="T113" s="108"/>
      <c r="U113" s="108"/>
      <c r="V113" s="108"/>
      <c r="W113" s="108"/>
      <c r="X113" s="108"/>
      <c r="Y113" s="108"/>
    </row>
    <row r="114" spans="1:25" ht="15.75" customHeight="1" x14ac:dyDescent="0.2">
      <c r="A114" s="980"/>
      <c r="B114" s="108"/>
      <c r="C114" s="409" t="str">
        <f>"3. "&amp;ListAVS!$B$279</f>
        <v>3. Po wypełnieniu formularz zapisz go albo zamknij potwierdzając zmiany</v>
      </c>
      <c r="D114" s="409"/>
      <c r="E114" s="409"/>
      <c r="F114" s="409"/>
      <c r="G114" s="108"/>
      <c r="H114" s="108"/>
      <c r="I114" s="108"/>
      <c r="J114" s="108"/>
      <c r="K114" s="108"/>
      <c r="L114" s="108"/>
      <c r="M114" s="108"/>
      <c r="N114" s="108"/>
      <c r="O114" s="108"/>
      <c r="P114" s="108"/>
      <c r="Q114" s="108"/>
      <c r="R114" s="108"/>
      <c r="S114" s="108"/>
      <c r="T114" s="108"/>
      <c r="U114" s="108"/>
      <c r="V114" s="108"/>
      <c r="W114" s="108"/>
      <c r="X114" s="108"/>
      <c r="Y114" s="108"/>
    </row>
    <row r="115" spans="1:25" ht="15.75" customHeight="1" x14ac:dyDescent="0.2">
      <c r="A115" s="980"/>
      <c r="B115" s="108"/>
      <c r="C115" s="409" t="str">
        <f>"     "&amp;ListAVS!$B$280</f>
        <v xml:space="preserve">     Dane identyfikacyjne będą pojawiać się w zamówieniach</v>
      </c>
      <c r="D115" s="409"/>
      <c r="E115" s="409"/>
      <c r="F115" s="409"/>
      <c r="G115" s="108"/>
      <c r="H115" s="108"/>
      <c r="I115" s="108"/>
      <c r="J115" s="108"/>
      <c r="K115" s="108"/>
      <c r="L115" s="108"/>
      <c r="M115" s="108"/>
      <c r="N115" s="108"/>
      <c r="O115" s="108"/>
      <c r="P115" s="108"/>
      <c r="Q115" s="108"/>
      <c r="R115" s="108"/>
      <c r="S115" s="108"/>
      <c r="T115" s="108"/>
      <c r="U115" s="108"/>
      <c r="V115" s="108"/>
      <c r="W115" s="108"/>
      <c r="X115" s="108"/>
      <c r="Y115" s="108"/>
    </row>
    <row r="116" spans="1:25" ht="15.75" customHeight="1" x14ac:dyDescent="0.2">
      <c r="A116" s="980"/>
      <c r="B116" s="108"/>
      <c r="C116" s="409"/>
      <c r="D116" s="409"/>
      <c r="E116" s="409"/>
      <c r="F116" s="409"/>
      <c r="G116" s="108"/>
      <c r="H116" s="108"/>
      <c r="I116" s="108"/>
      <c r="J116" s="108"/>
      <c r="K116" s="108"/>
      <c r="L116" s="108"/>
      <c r="M116" s="108"/>
      <c r="N116" s="108"/>
      <c r="O116" s="108"/>
      <c r="P116" s="108"/>
      <c r="Q116" s="108"/>
      <c r="R116" s="108"/>
      <c r="S116" s="108"/>
      <c r="T116" s="108"/>
      <c r="U116" s="108"/>
      <c r="V116" s="108"/>
      <c r="W116" s="108"/>
      <c r="X116" s="108"/>
      <c r="Y116" s="108"/>
    </row>
    <row r="117" spans="1:25" ht="15.75" customHeight="1" x14ac:dyDescent="0.2">
      <c r="A117" s="980"/>
      <c r="B117" s="108"/>
      <c r="C117" s="409"/>
      <c r="D117" s="409"/>
      <c r="E117" s="409"/>
      <c r="F117" s="409"/>
      <c r="G117" s="108"/>
      <c r="H117" s="108"/>
      <c r="I117" s="108"/>
      <c r="J117" s="108"/>
      <c r="K117" s="108"/>
      <c r="L117" s="108"/>
      <c r="M117" s="108"/>
      <c r="N117" s="108"/>
      <c r="O117" s="108"/>
      <c r="P117" s="108"/>
      <c r="Q117" s="108"/>
      <c r="R117" s="108"/>
      <c r="S117" s="108"/>
      <c r="T117" s="108"/>
      <c r="U117" s="108"/>
      <c r="V117" s="108"/>
      <c r="W117" s="108"/>
      <c r="X117" s="108"/>
      <c r="Y117" s="108"/>
    </row>
    <row r="118" spans="1:25" ht="15.75" customHeight="1" x14ac:dyDescent="0.2">
      <c r="A118" s="980"/>
      <c r="B118" s="108"/>
      <c r="C118" s="409"/>
      <c r="D118" s="409"/>
      <c r="E118" s="409"/>
      <c r="F118" s="409"/>
      <c r="G118" s="108"/>
      <c r="H118" s="108"/>
      <c r="I118" s="108"/>
      <c r="J118" s="108"/>
      <c r="K118" s="108"/>
      <c r="L118" s="108"/>
      <c r="M118" s="108"/>
      <c r="N118" s="108"/>
      <c r="O118" s="108"/>
      <c r="P118" s="108"/>
      <c r="Q118" s="108"/>
      <c r="R118" s="108"/>
      <c r="S118" s="108"/>
      <c r="T118" s="108"/>
      <c r="U118" s="108"/>
      <c r="V118" s="108"/>
      <c r="W118" s="108"/>
      <c r="X118" s="108"/>
      <c r="Y118" s="108"/>
    </row>
    <row r="119" spans="1:25" ht="15.75" customHeight="1" x14ac:dyDescent="0.2">
      <c r="A119" s="980"/>
      <c r="B119" s="108"/>
      <c r="C119" s="409"/>
      <c r="D119" s="409"/>
      <c r="E119" s="409"/>
      <c r="F119" s="409"/>
      <c r="G119" s="108"/>
      <c r="H119" s="108"/>
      <c r="I119" s="108"/>
      <c r="J119" s="108"/>
      <c r="K119" s="108"/>
      <c r="L119" s="108"/>
      <c r="M119" s="108"/>
      <c r="N119" s="108"/>
      <c r="O119" s="108"/>
      <c r="P119" s="108"/>
      <c r="Q119" s="108"/>
      <c r="R119" s="108"/>
      <c r="S119" s="108"/>
      <c r="T119" s="108"/>
      <c r="U119" s="108"/>
      <c r="V119" s="108"/>
      <c r="W119" s="108"/>
      <c r="X119" s="108"/>
      <c r="Y119" s="108"/>
    </row>
    <row r="120" spans="1:25" ht="15.75" customHeight="1" x14ac:dyDescent="0.2">
      <c r="A120" s="980"/>
      <c r="B120" s="108"/>
      <c r="C120" s="639"/>
      <c r="D120" s="409"/>
      <c r="E120" s="409"/>
      <c r="F120" s="409"/>
      <c r="G120" s="108"/>
      <c r="H120" s="108"/>
      <c r="I120" s="108"/>
      <c r="J120" s="108"/>
      <c r="K120" s="108"/>
      <c r="L120" s="108"/>
      <c r="M120" s="108"/>
      <c r="N120" s="108"/>
      <c r="O120" s="108"/>
      <c r="P120" s="108"/>
      <c r="Q120" s="108"/>
      <c r="R120" s="108"/>
      <c r="S120" s="108"/>
      <c r="T120" s="108"/>
      <c r="U120" s="108"/>
      <c r="V120" s="108"/>
      <c r="W120" s="108"/>
      <c r="X120" s="108"/>
      <c r="Y120" s="108"/>
    </row>
    <row r="121" spans="1:25" ht="15.75" customHeight="1" x14ac:dyDescent="0.2">
      <c r="A121" s="980"/>
      <c r="B121" s="108"/>
      <c r="C121" s="640"/>
      <c r="D121" s="409"/>
      <c r="E121" s="409"/>
      <c r="F121" s="409"/>
      <c r="G121" s="108"/>
      <c r="H121" s="108"/>
      <c r="I121" s="108"/>
      <c r="J121" s="108"/>
      <c r="K121" s="108"/>
      <c r="L121" s="108"/>
      <c r="M121" s="108"/>
      <c r="N121" s="108"/>
      <c r="O121" s="108"/>
      <c r="P121" s="108"/>
      <c r="Q121" s="108"/>
      <c r="R121" s="108"/>
      <c r="S121" s="108"/>
      <c r="T121" s="108"/>
      <c r="U121" s="108"/>
      <c r="V121" s="108"/>
      <c r="W121" s="108"/>
      <c r="X121" s="108"/>
      <c r="Y121" s="108"/>
    </row>
    <row r="122" spans="1:25" ht="15.75" customHeight="1" x14ac:dyDescent="0.2">
      <c r="A122" s="980"/>
      <c r="B122" s="108"/>
      <c r="C122" s="409"/>
      <c r="D122" s="409"/>
      <c r="E122" s="409"/>
      <c r="F122" s="409"/>
      <c r="G122" s="108"/>
      <c r="H122" s="108"/>
      <c r="I122" s="108"/>
      <c r="J122" s="108"/>
      <c r="K122" s="108"/>
      <c r="L122" s="108"/>
      <c r="M122" s="108"/>
      <c r="N122" s="108"/>
      <c r="O122" s="108"/>
      <c r="P122" s="108"/>
      <c r="Q122" s="108"/>
      <c r="R122" s="108"/>
      <c r="S122" s="108"/>
      <c r="T122" s="108"/>
      <c r="U122" s="108"/>
      <c r="V122" s="108"/>
      <c r="W122" s="108"/>
      <c r="X122" s="108"/>
      <c r="Y122" s="108"/>
    </row>
    <row r="123" spans="1:25" ht="15.75" customHeight="1" x14ac:dyDescent="0.2">
      <c r="A123" s="980"/>
      <c r="B123" s="108"/>
      <c r="C123" s="409" t="str">
        <f>ListAVS!$B$291&amp;":"</f>
        <v>Legenda:</v>
      </c>
      <c r="D123" s="409"/>
      <c r="E123" s="409"/>
      <c r="F123" s="409"/>
      <c r="G123" s="108"/>
      <c r="H123" s="108"/>
      <c r="I123" s="108"/>
      <c r="J123" s="108"/>
      <c r="K123" s="108"/>
      <c r="L123" s="108"/>
      <c r="M123" s="108"/>
      <c r="N123" s="108"/>
      <c r="O123" s="108"/>
      <c r="P123" s="108"/>
      <c r="Q123" s="108"/>
      <c r="R123" s="108"/>
      <c r="S123" s="108"/>
      <c r="T123" s="108"/>
      <c r="U123" s="108"/>
      <c r="V123" s="108"/>
      <c r="W123" s="108"/>
      <c r="X123" s="108"/>
      <c r="Y123" s="108"/>
    </row>
    <row r="124" spans="1:25" ht="15.75" customHeight="1" x14ac:dyDescent="0.2">
      <c r="A124" s="980"/>
      <c r="B124" s="108"/>
      <c r="C124" s="409"/>
      <c r="D124" s="409"/>
      <c r="E124" s="409"/>
      <c r="F124" s="409"/>
      <c r="G124" s="108"/>
      <c r="H124" s="108"/>
      <c r="I124" s="108"/>
      <c r="J124" s="108"/>
      <c r="K124" s="108"/>
      <c r="L124" s="108"/>
      <c r="M124" s="108"/>
      <c r="N124" s="108"/>
      <c r="O124" s="108"/>
      <c r="P124" s="108"/>
      <c r="Q124" s="108"/>
      <c r="R124" s="108"/>
      <c r="S124" s="108"/>
      <c r="T124" s="108"/>
      <c r="U124" s="108"/>
      <c r="V124" s="108"/>
      <c r="W124" s="108"/>
      <c r="X124" s="108"/>
      <c r="Y124" s="108"/>
    </row>
    <row r="125" spans="1:25" ht="15.75" customHeight="1" x14ac:dyDescent="0.2">
      <c r="A125" s="980"/>
      <c r="B125" s="108"/>
      <c r="C125" s="639" t="str">
        <f>"         "&amp;ListAVS!B292</f>
        <v xml:space="preserve">         Zmiana wyświetlanych wartości</v>
      </c>
      <c r="D125" s="409"/>
      <c r="E125" s="409"/>
      <c r="F125" s="409"/>
      <c r="G125" s="108"/>
      <c r="H125" s="108"/>
      <c r="I125" s="108"/>
      <c r="J125" s="108"/>
      <c r="K125" s="108"/>
      <c r="L125" s="108"/>
      <c r="M125" s="108"/>
      <c r="N125" s="108"/>
      <c r="O125" s="108"/>
      <c r="P125" s="108"/>
      <c r="Q125" s="108"/>
      <c r="R125" s="108"/>
      <c r="S125" s="108"/>
      <c r="T125" s="108"/>
      <c r="U125" s="108"/>
      <c r="V125" s="108"/>
      <c r="W125" s="108"/>
      <c r="X125" s="108"/>
      <c r="Y125" s="108"/>
    </row>
    <row r="126" spans="1:25" ht="15.75" customHeight="1" x14ac:dyDescent="0.2">
      <c r="A126" s="980"/>
      <c r="B126" s="108"/>
      <c r="C126" s="639" t="str">
        <f>"         "&amp;ListAVS!B293</f>
        <v xml:space="preserve">         Obliczenie wagi</v>
      </c>
      <c r="D126" s="409"/>
      <c r="E126" s="409"/>
      <c r="F126" s="409"/>
      <c r="G126" s="108"/>
      <c r="H126" s="108"/>
      <c r="I126" s="108"/>
      <c r="J126" s="108"/>
      <c r="K126" s="108"/>
      <c r="L126" s="108"/>
      <c r="M126" s="108"/>
      <c r="N126" s="108"/>
      <c r="O126" s="108"/>
      <c r="P126" s="108"/>
      <c r="Q126" s="108"/>
      <c r="R126" s="108"/>
      <c r="S126" s="108"/>
      <c r="T126" s="108"/>
      <c r="U126" s="108"/>
      <c r="V126" s="108"/>
      <c r="W126" s="108"/>
      <c r="X126" s="108"/>
      <c r="Y126" s="108"/>
    </row>
    <row r="127" spans="1:25" ht="5.25" customHeight="1" x14ac:dyDescent="0.2">
      <c r="A127" s="980"/>
      <c r="B127" s="108"/>
      <c r="C127" s="409"/>
      <c r="D127" s="409"/>
      <c r="E127" s="409"/>
      <c r="F127" s="409"/>
      <c r="G127" s="108"/>
      <c r="H127" s="108"/>
      <c r="I127" s="108"/>
      <c r="J127" s="108"/>
      <c r="K127" s="108"/>
      <c r="L127" s="108"/>
      <c r="M127" s="108"/>
      <c r="N127" s="108"/>
      <c r="O127" s="108"/>
      <c r="P127" s="108"/>
      <c r="Q127" s="108"/>
      <c r="R127" s="108"/>
      <c r="S127" s="108"/>
      <c r="T127" s="108"/>
      <c r="U127" s="108"/>
      <c r="V127" s="108"/>
      <c r="W127" s="108"/>
      <c r="X127" s="108"/>
      <c r="Y127" s="108"/>
    </row>
    <row r="128" spans="1:25" ht="15.75" customHeight="1" x14ac:dyDescent="0.2">
      <c r="A128" s="980"/>
      <c r="B128" s="108"/>
      <c r="C128" s="641" t="str">
        <f>"         "&amp;ListAVS!B295</f>
        <v xml:space="preserve">         Uwaga</v>
      </c>
      <c r="D128" s="409"/>
      <c r="E128" s="409"/>
      <c r="F128" s="409"/>
      <c r="G128" s="108"/>
      <c r="H128" s="108"/>
      <c r="I128" s="108"/>
      <c r="J128" s="108"/>
      <c r="K128" s="108"/>
      <c r="L128" s="108"/>
      <c r="M128" s="108"/>
      <c r="N128" s="108"/>
      <c r="O128" s="108"/>
      <c r="P128" s="108"/>
      <c r="Q128" s="108"/>
      <c r="R128" s="108"/>
      <c r="S128" s="108"/>
      <c r="T128" s="108"/>
      <c r="U128" s="108"/>
      <c r="V128" s="108"/>
      <c r="W128" s="108"/>
      <c r="X128" s="108"/>
      <c r="Y128" s="108"/>
    </row>
    <row r="129" spans="1:25" ht="15.75" customHeight="1" x14ac:dyDescent="0.2">
      <c r="A129" s="980"/>
      <c r="B129" s="108"/>
      <c r="C129" s="639" t="str">
        <f>"         "&amp;ListAVS!B296</f>
        <v xml:space="preserve">         Informacje i wyjaśnienia</v>
      </c>
      <c r="D129" s="409"/>
      <c r="E129" s="409"/>
      <c r="F129" s="409"/>
      <c r="G129" s="108"/>
      <c r="H129" s="108"/>
      <c r="I129" s="108"/>
      <c r="J129" s="108"/>
      <c r="K129" s="108"/>
      <c r="L129" s="108"/>
      <c r="M129" s="108"/>
      <c r="N129" s="108"/>
      <c r="O129" s="108"/>
      <c r="P129" s="108"/>
      <c r="Q129" s="108"/>
      <c r="R129" s="108"/>
      <c r="S129" s="108"/>
      <c r="T129" s="108"/>
      <c r="U129" s="108"/>
      <c r="V129" s="108"/>
      <c r="W129" s="108"/>
      <c r="X129" s="108"/>
      <c r="Y129" s="108"/>
    </row>
    <row r="130" spans="1:25" ht="15.75" customHeight="1" x14ac:dyDescent="0.2">
      <c r="A130" s="980"/>
      <c r="B130" s="108"/>
      <c r="C130" s="639" t="str">
        <f>"         "&amp;ListAVS!B297</f>
        <v xml:space="preserve">         Wskazówka</v>
      </c>
      <c r="D130" s="409"/>
      <c r="E130" s="409"/>
      <c r="F130" s="409"/>
      <c r="G130" s="108"/>
      <c r="H130" s="108"/>
      <c r="I130" s="108"/>
      <c r="J130" s="108"/>
      <c r="K130" s="108"/>
      <c r="L130" s="108"/>
      <c r="M130" s="108"/>
      <c r="N130" s="108"/>
      <c r="O130" s="108"/>
      <c r="P130" s="108"/>
      <c r="Q130" s="108"/>
      <c r="R130" s="108"/>
      <c r="S130" s="108"/>
      <c r="T130" s="108"/>
      <c r="U130" s="108"/>
      <c r="V130" s="108"/>
      <c r="W130" s="108"/>
      <c r="X130" s="108"/>
      <c r="Y130" s="108"/>
    </row>
    <row r="131" spans="1:25" ht="15.75" customHeight="1" x14ac:dyDescent="0.2">
      <c r="A131" s="980"/>
      <c r="B131" s="108"/>
      <c r="C131" s="639" t="str">
        <f>"         "&amp;ListAVS!B298</f>
        <v xml:space="preserve">         Pomoc</v>
      </c>
      <c r="D131" s="409"/>
      <c r="E131" s="409"/>
      <c r="F131" s="409"/>
      <c r="G131" s="108"/>
      <c r="H131" s="108"/>
      <c r="I131" s="108"/>
      <c r="J131" s="108"/>
      <c r="K131" s="108"/>
      <c r="L131" s="108"/>
      <c r="M131" s="108"/>
      <c r="N131" s="108"/>
      <c r="O131" s="108"/>
      <c r="P131" s="108"/>
      <c r="Q131" s="108"/>
      <c r="R131" s="108"/>
      <c r="S131" s="108"/>
      <c r="T131" s="108"/>
      <c r="U131" s="108"/>
      <c r="V131" s="108"/>
      <c r="W131" s="108"/>
      <c r="X131" s="108"/>
      <c r="Y131" s="108"/>
    </row>
    <row r="132" spans="1:25" ht="15.75" customHeight="1" x14ac:dyDescent="0.2">
      <c r="A132" s="980"/>
      <c r="B132" s="108"/>
      <c r="C132" s="639"/>
      <c r="D132" s="409"/>
      <c r="E132" s="409"/>
      <c r="F132" s="409"/>
      <c r="G132" s="108"/>
      <c r="H132" s="108"/>
      <c r="I132" s="108"/>
      <c r="J132" s="108"/>
      <c r="K132" s="108"/>
      <c r="L132" s="108"/>
      <c r="M132" s="108"/>
      <c r="N132" s="108"/>
      <c r="O132" s="108"/>
      <c r="P132" s="108"/>
      <c r="Q132" s="108"/>
      <c r="R132" s="108"/>
      <c r="S132" s="108"/>
      <c r="T132" s="108"/>
      <c r="U132" s="108"/>
      <c r="V132" s="108"/>
      <c r="W132" s="108"/>
      <c r="X132" s="108"/>
      <c r="Y132" s="108"/>
    </row>
    <row r="133" spans="1:25" ht="15.75" customHeight="1" x14ac:dyDescent="0.2">
      <c r="A133" s="980"/>
      <c r="B133" s="108"/>
      <c r="C133" s="409"/>
      <c r="D133" s="409"/>
      <c r="E133" s="409"/>
      <c r="F133" s="409"/>
      <c r="G133" s="108"/>
      <c r="H133" s="108"/>
      <c r="I133" s="108"/>
      <c r="J133" s="108"/>
      <c r="K133" s="108"/>
      <c r="L133" s="108"/>
      <c r="M133" s="108"/>
      <c r="N133" s="108"/>
      <c r="O133" s="108"/>
      <c r="P133" s="108"/>
      <c r="Q133" s="108"/>
      <c r="R133" s="108"/>
      <c r="S133" s="108"/>
      <c r="T133" s="108"/>
      <c r="U133" s="108"/>
      <c r="V133" s="108"/>
      <c r="W133" s="108"/>
      <c r="X133" s="108"/>
      <c r="Y133" s="108"/>
    </row>
    <row r="134" spans="1:25" ht="15.75" customHeight="1" x14ac:dyDescent="0.2">
      <c r="A134" s="980"/>
      <c r="B134" s="108"/>
      <c r="C134" s="409"/>
      <c r="D134" s="409"/>
      <c r="E134" s="409"/>
      <c r="F134" s="409"/>
      <c r="G134" s="108"/>
      <c r="H134" s="108"/>
      <c r="I134" s="108"/>
      <c r="J134" s="108"/>
      <c r="K134" s="108"/>
      <c r="L134" s="108"/>
      <c r="M134" s="108"/>
      <c r="N134" s="108"/>
      <c r="O134" s="108"/>
      <c r="P134" s="108"/>
      <c r="Q134" s="108"/>
      <c r="R134" s="108"/>
      <c r="S134" s="108"/>
      <c r="T134" s="108"/>
      <c r="U134" s="108"/>
      <c r="V134" s="108"/>
      <c r="W134" s="108"/>
      <c r="X134" s="108"/>
      <c r="Y134" s="108"/>
    </row>
    <row r="135" spans="1:25" ht="15.75" customHeight="1" x14ac:dyDescent="0.2">
      <c r="A135" s="980"/>
      <c r="B135" s="108"/>
      <c r="C135" s="108"/>
      <c r="D135" s="108"/>
      <c r="E135" s="108"/>
      <c r="F135" s="108"/>
      <c r="G135" s="108"/>
      <c r="H135" s="108"/>
      <c r="I135" s="108"/>
      <c r="J135" s="108"/>
      <c r="K135" s="108"/>
      <c r="L135" s="108"/>
      <c r="M135" s="108"/>
      <c r="N135" s="108"/>
      <c r="O135" s="108"/>
      <c r="P135" s="108"/>
      <c r="Q135" s="108"/>
      <c r="R135" s="108"/>
      <c r="S135" s="108"/>
      <c r="T135" s="108"/>
      <c r="U135" s="108"/>
      <c r="V135" s="108"/>
      <c r="W135" s="108"/>
      <c r="X135" s="108"/>
      <c r="Y135" s="108"/>
    </row>
    <row r="136" spans="1:25" ht="15.75" customHeight="1" x14ac:dyDescent="0.2">
      <c r="A136" s="980"/>
      <c r="B136" s="108"/>
      <c r="C136" s="108"/>
      <c r="D136" s="108"/>
      <c r="E136" s="108"/>
      <c r="F136" s="108"/>
      <c r="G136" s="108"/>
      <c r="H136" s="108"/>
      <c r="I136" s="108"/>
      <c r="J136" s="108"/>
      <c r="K136" s="108"/>
      <c r="L136" s="108"/>
      <c r="M136" s="108"/>
      <c r="N136" s="108"/>
      <c r="O136" s="108"/>
      <c r="P136" s="108"/>
      <c r="Q136" s="108"/>
      <c r="R136" s="108"/>
      <c r="S136" s="108"/>
      <c r="T136" s="108"/>
      <c r="U136" s="108"/>
      <c r="V136" s="108"/>
      <c r="W136" s="108"/>
      <c r="X136" s="108"/>
      <c r="Y136" s="108"/>
    </row>
    <row r="137" spans="1:25" ht="15.75" customHeight="1" x14ac:dyDescent="0.2">
      <c r="A137" s="980"/>
      <c r="B137" s="108"/>
      <c r="C137" s="108"/>
      <c r="D137" s="108"/>
      <c r="E137" s="108"/>
      <c r="F137" s="108"/>
      <c r="G137" s="108"/>
      <c r="H137" s="108"/>
      <c r="I137" s="108"/>
      <c r="J137" s="108"/>
      <c r="K137" s="108"/>
      <c r="L137" s="108"/>
      <c r="M137" s="108"/>
      <c r="N137" s="108"/>
      <c r="O137" s="108"/>
      <c r="P137" s="108"/>
      <c r="Q137" s="108"/>
      <c r="R137" s="108"/>
      <c r="S137" s="108"/>
      <c r="T137" s="108"/>
      <c r="U137" s="108"/>
      <c r="V137" s="108"/>
      <c r="W137" s="108"/>
      <c r="X137" s="108"/>
      <c r="Y137" s="108"/>
    </row>
    <row r="138" spans="1:25" ht="15.75" customHeight="1" x14ac:dyDescent="0.2">
      <c r="A138" s="980"/>
      <c r="B138" s="108"/>
      <c r="C138" s="108"/>
      <c r="D138" s="108"/>
      <c r="E138" s="108"/>
      <c r="F138" s="108"/>
      <c r="G138" s="108"/>
      <c r="H138" s="108"/>
      <c r="I138" s="108"/>
      <c r="J138" s="108"/>
      <c r="K138" s="108"/>
      <c r="L138" s="108"/>
      <c r="M138" s="108"/>
      <c r="N138" s="108"/>
      <c r="O138" s="108"/>
      <c r="P138" s="108"/>
      <c r="Q138" s="108"/>
      <c r="R138" s="108"/>
      <c r="S138" s="108"/>
      <c r="T138" s="108"/>
      <c r="U138" s="108"/>
      <c r="V138" s="108"/>
      <c r="W138" s="108"/>
      <c r="X138" s="108"/>
      <c r="Y138" s="108"/>
    </row>
    <row r="139" spans="1:25" ht="15.75" customHeight="1" x14ac:dyDescent="0.2">
      <c r="A139" s="980"/>
      <c r="B139" s="108"/>
      <c r="C139" s="108"/>
      <c r="D139" s="108"/>
      <c r="E139" s="108"/>
      <c r="F139" s="108"/>
      <c r="G139" s="108"/>
      <c r="H139" s="995" t="str">
        <f>ListAVS!$B$168</f>
        <v>Z powrotem</v>
      </c>
      <c r="I139" s="995"/>
      <c r="J139" s="108"/>
      <c r="K139" s="108"/>
      <c r="L139" s="108"/>
      <c r="M139" s="108"/>
      <c r="N139" s="108"/>
      <c r="O139" s="108"/>
      <c r="P139" s="108"/>
      <c r="Q139" s="108"/>
      <c r="R139" s="108"/>
      <c r="S139" s="108"/>
      <c r="T139" s="108"/>
      <c r="U139" s="108"/>
      <c r="V139" s="108"/>
      <c r="W139" s="108"/>
      <c r="X139" s="108"/>
      <c r="Y139" s="108"/>
    </row>
    <row r="140" spans="1:25" ht="15.75" customHeight="1" x14ac:dyDescent="0.2">
      <c r="A140" s="980"/>
      <c r="B140" s="108"/>
      <c r="C140" s="108"/>
      <c r="D140" s="108"/>
      <c r="E140" s="108"/>
      <c r="F140" s="108"/>
      <c r="G140" s="108"/>
      <c r="H140" s="108"/>
      <c r="I140" s="108"/>
      <c r="J140" s="108"/>
      <c r="K140" s="108"/>
      <c r="L140" s="108"/>
      <c r="M140" s="108"/>
      <c r="N140" s="108"/>
      <c r="O140" s="108"/>
      <c r="P140" s="108"/>
      <c r="Q140" s="108"/>
      <c r="R140" s="108"/>
      <c r="S140" s="108"/>
      <c r="T140" s="108"/>
      <c r="U140" s="108"/>
      <c r="V140" s="108"/>
      <c r="W140" s="108"/>
      <c r="X140" s="108"/>
      <c r="Y140" s="108"/>
    </row>
    <row r="141" spans="1:25" ht="15.75" customHeight="1" x14ac:dyDescent="0.2">
      <c r="A141" s="980"/>
      <c r="B141" s="108"/>
      <c r="C141" s="108"/>
      <c r="D141" s="108"/>
      <c r="E141" s="108"/>
      <c r="F141" s="108"/>
      <c r="G141" s="108"/>
      <c r="H141" s="108"/>
      <c r="I141" s="108"/>
      <c r="J141" s="108"/>
      <c r="K141" s="108"/>
      <c r="L141" s="108"/>
      <c r="M141" s="108"/>
      <c r="N141" s="108"/>
      <c r="O141" s="108"/>
      <c r="P141" s="108"/>
      <c r="Q141" s="108"/>
      <c r="R141" s="108"/>
      <c r="S141" s="108"/>
      <c r="T141" s="108"/>
      <c r="U141" s="108"/>
      <c r="V141" s="108"/>
      <c r="W141" s="108"/>
      <c r="X141" s="108"/>
      <c r="Y141" s="108"/>
    </row>
    <row r="142" spans="1:25" ht="15.75" customHeight="1" x14ac:dyDescent="0.2">
      <c r="A142" s="980"/>
      <c r="B142" s="108"/>
      <c r="C142" s="108"/>
      <c r="D142" s="108"/>
      <c r="E142" s="108"/>
      <c r="F142" s="108"/>
      <c r="G142" s="108"/>
      <c r="H142" s="108"/>
      <c r="I142" s="108"/>
      <c r="J142" s="108"/>
      <c r="K142" s="108"/>
      <c r="L142" s="108"/>
      <c r="M142" s="108"/>
      <c r="N142" s="108"/>
      <c r="O142" s="108"/>
      <c r="P142" s="108"/>
      <c r="Q142" s="108"/>
      <c r="R142" s="108"/>
      <c r="S142" s="108"/>
      <c r="T142" s="108"/>
      <c r="U142" s="108"/>
      <c r="V142" s="108"/>
      <c r="W142" s="108"/>
      <c r="X142" s="108"/>
      <c r="Y142" s="108"/>
    </row>
    <row r="143" spans="1:25" ht="15.75" customHeight="1" x14ac:dyDescent="0.2">
      <c r="A143" s="980"/>
      <c r="B143" s="108"/>
      <c r="C143" s="108"/>
      <c r="D143" s="108"/>
      <c r="E143" s="108"/>
      <c r="F143" s="108"/>
      <c r="G143" s="108"/>
      <c r="H143" s="108"/>
      <c r="I143" s="108"/>
      <c r="J143" s="108"/>
      <c r="K143" s="108"/>
      <c r="L143" s="108"/>
      <c r="M143" s="108"/>
      <c r="N143" s="108"/>
      <c r="O143" s="108"/>
      <c r="P143" s="108"/>
      <c r="Q143" s="108"/>
      <c r="R143" s="108"/>
      <c r="S143" s="108"/>
      <c r="T143" s="108"/>
      <c r="U143" s="108"/>
      <c r="V143" s="108"/>
      <c r="W143" s="108"/>
      <c r="X143" s="108"/>
      <c r="Y143" s="108"/>
    </row>
    <row r="144" spans="1:25" ht="15.75" customHeight="1" x14ac:dyDescent="0.2">
      <c r="A144" s="980"/>
      <c r="B144" s="108"/>
      <c r="C144" s="108"/>
      <c r="D144" s="108"/>
      <c r="E144" s="108"/>
      <c r="F144" s="108"/>
      <c r="G144" s="108"/>
      <c r="H144" s="108"/>
      <c r="I144" s="108"/>
      <c r="J144" s="108"/>
      <c r="K144" s="108"/>
      <c r="L144" s="108"/>
      <c r="M144" s="108"/>
      <c r="N144" s="108"/>
      <c r="O144" s="108"/>
      <c r="P144" s="108"/>
      <c r="Q144" s="108"/>
      <c r="R144" s="108"/>
      <c r="S144" s="108"/>
      <c r="T144" s="108"/>
      <c r="U144" s="108"/>
      <c r="V144" s="108"/>
      <c r="W144" s="108"/>
      <c r="X144" s="108"/>
      <c r="Y144" s="108"/>
    </row>
    <row r="145" spans="1:25" ht="15.75" customHeight="1" x14ac:dyDescent="0.2">
      <c r="A145" s="980"/>
      <c r="B145" s="108"/>
      <c r="C145" s="108"/>
      <c r="D145" s="108"/>
      <c r="E145" s="108"/>
      <c r="F145" s="108"/>
      <c r="G145" s="108"/>
      <c r="H145" s="108"/>
      <c r="I145" s="108"/>
      <c r="J145" s="108"/>
      <c r="K145" s="108"/>
      <c r="L145" s="108"/>
      <c r="M145" s="108"/>
      <c r="N145" s="108"/>
      <c r="O145" s="108"/>
      <c r="P145" s="108"/>
      <c r="Q145" s="108"/>
      <c r="R145" s="108"/>
      <c r="S145" s="108"/>
      <c r="T145" s="108"/>
      <c r="U145" s="108"/>
      <c r="V145" s="108"/>
      <c r="W145" s="108"/>
      <c r="X145" s="108"/>
      <c r="Y145" s="108"/>
    </row>
    <row r="146" spans="1:25" ht="15.75" customHeight="1" x14ac:dyDescent="0.2">
      <c r="A146" s="980"/>
      <c r="B146" s="108"/>
      <c r="C146" s="108"/>
      <c r="D146" s="108"/>
      <c r="E146" s="108"/>
      <c r="F146" s="108"/>
      <c r="G146" s="108"/>
      <c r="H146" s="108"/>
      <c r="I146" s="108"/>
      <c r="J146" s="108"/>
      <c r="K146" s="108"/>
      <c r="L146" s="108"/>
      <c r="M146" s="108"/>
      <c r="N146" s="108"/>
      <c r="O146" s="108"/>
      <c r="P146" s="108"/>
      <c r="Q146" s="108"/>
      <c r="R146" s="108"/>
      <c r="S146" s="108"/>
      <c r="T146" s="108"/>
      <c r="U146" s="108"/>
      <c r="V146" s="108"/>
      <c r="W146" s="108"/>
      <c r="X146" s="108"/>
      <c r="Y146" s="108"/>
    </row>
    <row r="147" spans="1:25" ht="15.75" customHeight="1" x14ac:dyDescent="0.2">
      <c r="A147" s="980"/>
      <c r="B147" s="108"/>
      <c r="C147" s="108"/>
      <c r="D147" s="108"/>
      <c r="E147" s="108"/>
      <c r="F147" s="108"/>
      <c r="G147" s="108"/>
      <c r="H147" s="108"/>
      <c r="I147" s="108"/>
      <c r="J147" s="108"/>
      <c r="K147" s="108"/>
      <c r="L147" s="108"/>
      <c r="M147" s="108"/>
      <c r="N147" s="108"/>
      <c r="O147" s="108"/>
      <c r="P147" s="108"/>
      <c r="Q147" s="108"/>
      <c r="R147" s="108"/>
      <c r="S147" s="108"/>
      <c r="T147" s="108"/>
      <c r="U147" s="108"/>
      <c r="V147" s="108"/>
      <c r="W147" s="108"/>
      <c r="X147" s="108"/>
      <c r="Y147" s="108"/>
    </row>
    <row r="148" spans="1:25" ht="15.75" customHeight="1" x14ac:dyDescent="0.2">
      <c r="A148" s="980"/>
      <c r="B148" s="108"/>
      <c r="C148" s="108"/>
      <c r="D148" s="108"/>
      <c r="E148" s="108"/>
      <c r="F148" s="108"/>
      <c r="G148" s="108"/>
      <c r="H148" s="108"/>
      <c r="I148" s="108"/>
      <c r="J148" s="108"/>
      <c r="K148" s="108"/>
      <c r="L148" s="108"/>
      <c r="M148" s="108"/>
      <c r="N148" s="108"/>
      <c r="O148" s="108"/>
      <c r="P148" s="108"/>
      <c r="Q148" s="108"/>
      <c r="R148" s="108"/>
      <c r="S148" s="108"/>
      <c r="T148" s="108"/>
      <c r="U148" s="108"/>
      <c r="V148" s="108"/>
      <c r="W148" s="108"/>
      <c r="X148" s="108"/>
      <c r="Y148" s="108"/>
    </row>
    <row r="149" spans="1:25" ht="15.75" customHeight="1" x14ac:dyDescent="0.2">
      <c r="A149" s="980"/>
      <c r="B149" s="108"/>
      <c r="C149" s="108"/>
      <c r="D149" s="108"/>
      <c r="E149" s="108"/>
      <c r="F149" s="108"/>
      <c r="G149" s="108"/>
      <c r="H149" s="108"/>
      <c r="I149" s="108"/>
      <c r="J149" s="108"/>
      <c r="K149" s="108"/>
      <c r="L149" s="108"/>
      <c r="M149" s="108"/>
      <c r="N149" s="108"/>
      <c r="O149" s="108"/>
      <c r="P149" s="108"/>
      <c r="Q149" s="108"/>
      <c r="R149" s="108"/>
      <c r="S149" s="108"/>
      <c r="T149" s="108"/>
      <c r="U149" s="108"/>
      <c r="V149" s="108"/>
      <c r="W149" s="108"/>
      <c r="X149" s="108"/>
      <c r="Y149" s="108"/>
    </row>
    <row r="150" spans="1:25" ht="15.75" customHeight="1" x14ac:dyDescent="0.2">
      <c r="A150" s="980"/>
      <c r="B150" s="108"/>
      <c r="C150" s="108"/>
      <c r="D150" s="108"/>
      <c r="E150" s="108"/>
      <c r="F150" s="108"/>
      <c r="G150" s="108"/>
      <c r="H150" s="108"/>
      <c r="I150" s="108"/>
      <c r="J150" s="108"/>
      <c r="K150" s="108"/>
      <c r="L150" s="108"/>
      <c r="M150" s="108"/>
      <c r="N150" s="108"/>
      <c r="O150" s="108"/>
      <c r="P150" s="108"/>
      <c r="Q150" s="108"/>
      <c r="R150" s="108"/>
      <c r="S150" s="108"/>
      <c r="T150" s="108"/>
      <c r="U150" s="108"/>
      <c r="V150" s="108"/>
      <c r="W150" s="108"/>
      <c r="X150" s="108"/>
      <c r="Y150" s="108"/>
    </row>
    <row r="151" spans="1:25" ht="15.75" customHeight="1" x14ac:dyDescent="0.2">
      <c r="A151" s="980"/>
      <c r="B151" s="108"/>
      <c r="C151" s="108"/>
      <c r="D151" s="108"/>
      <c r="E151" s="108"/>
      <c r="F151" s="108"/>
      <c r="G151" s="108"/>
      <c r="H151" s="108"/>
      <c r="I151" s="108"/>
      <c r="J151" s="108"/>
      <c r="K151" s="108"/>
      <c r="L151" s="108"/>
      <c r="M151" s="108"/>
      <c r="N151" s="108"/>
      <c r="O151" s="108"/>
      <c r="P151" s="108"/>
      <c r="Q151" s="108"/>
      <c r="R151" s="108"/>
      <c r="S151" s="108"/>
      <c r="T151" s="108"/>
      <c r="U151" s="108"/>
      <c r="V151" s="108"/>
      <c r="W151" s="108"/>
      <c r="X151" s="108"/>
      <c r="Y151" s="108"/>
    </row>
    <row r="152" spans="1:25" ht="15.75" customHeight="1" x14ac:dyDescent="0.2">
      <c r="A152" s="980"/>
      <c r="B152" s="108"/>
      <c r="C152" s="108"/>
      <c r="D152" s="108"/>
      <c r="E152" s="108"/>
      <c r="F152" s="108"/>
      <c r="G152" s="108"/>
      <c r="H152" s="108"/>
      <c r="I152" s="108"/>
      <c r="J152" s="108"/>
      <c r="K152" s="108"/>
      <c r="L152" s="108"/>
      <c r="M152" s="108"/>
      <c r="N152" s="108"/>
      <c r="O152" s="108"/>
      <c r="P152" s="108"/>
      <c r="Q152" s="108"/>
      <c r="R152" s="108"/>
      <c r="S152" s="108"/>
      <c r="T152" s="108"/>
      <c r="U152" s="108"/>
      <c r="V152" s="108"/>
      <c r="W152" s="108"/>
      <c r="X152" s="108"/>
      <c r="Y152" s="108"/>
    </row>
    <row r="153" spans="1:25" ht="15.75" customHeight="1" x14ac:dyDescent="0.2">
      <c r="A153" s="299"/>
      <c r="B153" s="108"/>
      <c r="C153" s="108"/>
      <c r="D153" s="108"/>
      <c r="E153" s="108"/>
      <c r="F153" s="108"/>
      <c r="G153" s="108"/>
      <c r="H153" s="108"/>
      <c r="I153" s="108"/>
      <c r="J153" s="108"/>
      <c r="K153" s="108"/>
      <c r="L153" s="108"/>
      <c r="M153" s="108"/>
      <c r="N153" s="108"/>
      <c r="O153" s="108"/>
      <c r="P153" s="108"/>
      <c r="Q153" s="108"/>
      <c r="R153" s="108"/>
      <c r="S153" s="108"/>
      <c r="T153" s="108"/>
      <c r="U153" s="108"/>
      <c r="V153" s="108"/>
      <c r="W153" s="108"/>
      <c r="X153" s="108"/>
      <c r="Y153" s="108"/>
    </row>
    <row r="154" spans="1:25" ht="15.75" customHeight="1" x14ac:dyDescent="0.2">
      <c r="A154" s="299"/>
      <c r="B154" s="108"/>
      <c r="C154" s="108"/>
      <c r="D154" s="108"/>
      <c r="E154" s="108"/>
      <c r="F154" s="108"/>
      <c r="G154" s="108"/>
      <c r="H154" s="108"/>
      <c r="I154" s="108"/>
      <c r="J154" s="108"/>
      <c r="K154" s="108"/>
      <c r="L154" s="108"/>
      <c r="M154" s="108"/>
      <c r="N154" s="108"/>
      <c r="O154" s="108"/>
      <c r="P154" s="108"/>
      <c r="Q154" s="108"/>
      <c r="R154" s="108"/>
      <c r="S154" s="108"/>
      <c r="T154" s="108"/>
      <c r="U154" s="108"/>
      <c r="V154" s="108"/>
      <c r="W154" s="108"/>
      <c r="X154" s="108"/>
      <c r="Y154" s="108"/>
    </row>
    <row r="155" spans="1:25" ht="15.75" customHeight="1" x14ac:dyDescent="0.2">
      <c r="A155" s="299"/>
      <c r="B155" s="108"/>
      <c r="C155" s="108"/>
      <c r="D155" s="108"/>
      <c r="E155" s="108"/>
      <c r="F155" s="108"/>
      <c r="G155" s="108"/>
      <c r="H155" s="108"/>
      <c r="I155" s="108"/>
      <c r="J155" s="108"/>
      <c r="K155" s="108"/>
      <c r="L155" s="108"/>
      <c r="M155" s="108"/>
      <c r="N155" s="108"/>
      <c r="O155" s="108"/>
      <c r="P155" s="108"/>
      <c r="Q155" s="108"/>
      <c r="R155" s="108"/>
      <c r="S155" s="108"/>
      <c r="T155" s="108"/>
      <c r="U155" s="108"/>
      <c r="V155" s="108"/>
      <c r="W155" s="108"/>
      <c r="X155" s="108"/>
      <c r="Y155" s="108"/>
    </row>
    <row r="156" spans="1:25" ht="15.75" customHeight="1" x14ac:dyDescent="0.2">
      <c r="A156" s="299"/>
      <c r="B156" s="108"/>
      <c r="C156" s="108"/>
      <c r="D156" s="108"/>
      <c r="E156" s="108"/>
      <c r="F156" s="108"/>
      <c r="G156" s="108"/>
      <c r="H156" s="108"/>
      <c r="I156" s="108"/>
      <c r="J156" s="108"/>
      <c r="K156" s="108"/>
      <c r="L156" s="108"/>
      <c r="M156" s="108"/>
      <c r="N156" s="108"/>
      <c r="O156" s="108"/>
      <c r="P156" s="108"/>
      <c r="Q156" s="108"/>
      <c r="R156" s="108"/>
      <c r="S156" s="108"/>
      <c r="T156" s="108"/>
      <c r="U156" s="108"/>
      <c r="V156" s="108"/>
      <c r="W156" s="108"/>
      <c r="X156" s="108"/>
      <c r="Y156" s="108"/>
    </row>
    <row r="157" spans="1:25" ht="15.75" customHeight="1" x14ac:dyDescent="0.2">
      <c r="A157" s="299"/>
      <c r="B157" s="108"/>
      <c r="C157" s="108"/>
      <c r="D157" s="108"/>
      <c r="E157" s="108"/>
      <c r="F157" s="108"/>
      <c r="G157" s="108"/>
      <c r="H157" s="108"/>
      <c r="I157" s="108"/>
      <c r="J157" s="108"/>
      <c r="K157" s="108"/>
      <c r="L157" s="108"/>
      <c r="M157" s="108"/>
      <c r="N157" s="108"/>
      <c r="O157" s="108"/>
      <c r="P157" s="108"/>
      <c r="Q157" s="108"/>
      <c r="R157" s="108"/>
      <c r="S157" s="108"/>
      <c r="T157" s="108"/>
      <c r="U157" s="108"/>
      <c r="V157" s="108"/>
      <c r="W157" s="108"/>
      <c r="X157" s="108"/>
      <c r="Y157" s="108"/>
    </row>
    <row r="158" spans="1:25" ht="15.75" customHeight="1" x14ac:dyDescent="0.2">
      <c r="A158" s="299"/>
      <c r="B158" s="108"/>
      <c r="C158" s="108"/>
      <c r="D158" s="108"/>
      <c r="E158" s="108"/>
      <c r="F158" s="108"/>
      <c r="G158" s="108"/>
      <c r="H158" s="108"/>
      <c r="I158" s="108"/>
      <c r="J158" s="108"/>
      <c r="K158" s="108"/>
      <c r="L158" s="108"/>
      <c r="M158" s="108"/>
      <c r="N158" s="108"/>
      <c r="O158" s="108"/>
      <c r="P158" s="108"/>
      <c r="Q158" s="108"/>
      <c r="R158" s="108"/>
      <c r="S158" s="108"/>
      <c r="T158" s="108"/>
      <c r="U158" s="108"/>
      <c r="V158" s="108"/>
      <c r="W158" s="108"/>
      <c r="X158" s="108"/>
      <c r="Y158" s="108"/>
    </row>
    <row r="159" spans="1:25" ht="15.75" customHeight="1" x14ac:dyDescent="0.2">
      <c r="A159" s="299"/>
      <c r="B159" s="108"/>
      <c r="C159" s="108"/>
      <c r="D159" s="108"/>
      <c r="E159" s="108"/>
      <c r="F159" s="108"/>
      <c r="G159" s="108"/>
      <c r="H159" s="108"/>
      <c r="I159" s="108"/>
      <c r="J159" s="108"/>
      <c r="K159" s="108"/>
      <c r="L159" s="108"/>
      <c r="M159" s="108"/>
      <c r="N159" s="108"/>
      <c r="O159" s="108"/>
      <c r="P159" s="108"/>
      <c r="Q159" s="108"/>
      <c r="R159" s="108"/>
      <c r="S159" s="108"/>
      <c r="T159" s="108"/>
      <c r="U159" s="108"/>
      <c r="V159" s="108"/>
      <c r="W159" s="108"/>
      <c r="X159" s="108"/>
      <c r="Y159" s="108"/>
    </row>
    <row r="160" spans="1:25" ht="15.75" customHeight="1" x14ac:dyDescent="0.2">
      <c r="A160" s="299"/>
      <c r="B160" s="108"/>
      <c r="C160" s="108"/>
      <c r="D160" s="108"/>
      <c r="E160" s="108"/>
      <c r="F160" s="108"/>
      <c r="G160" s="108"/>
      <c r="H160" s="108"/>
      <c r="I160" s="108"/>
      <c r="J160" s="108"/>
      <c r="K160" s="108"/>
      <c r="L160" s="108"/>
      <c r="M160" s="108"/>
      <c r="N160" s="108"/>
      <c r="O160" s="108"/>
      <c r="P160" s="108"/>
      <c r="Q160" s="108"/>
      <c r="R160" s="108"/>
      <c r="S160" s="108"/>
      <c r="T160" s="108"/>
      <c r="U160" s="108"/>
      <c r="V160" s="108"/>
      <c r="W160" s="108"/>
      <c r="X160" s="108"/>
      <c r="Y160" s="108"/>
    </row>
    <row r="161" spans="1:25" ht="15.75" customHeight="1" x14ac:dyDescent="0.2">
      <c r="A161" s="299"/>
      <c r="B161" s="108"/>
      <c r="C161" s="108"/>
      <c r="D161" s="108"/>
      <c r="E161" s="108"/>
      <c r="F161" s="108"/>
      <c r="G161" s="108"/>
      <c r="H161" s="108"/>
      <c r="I161" s="108"/>
      <c r="J161" s="108"/>
      <c r="K161" s="108"/>
      <c r="L161" s="108"/>
      <c r="M161" s="108"/>
      <c r="N161" s="108"/>
      <c r="O161" s="108"/>
      <c r="P161" s="108"/>
      <c r="Q161" s="108"/>
      <c r="R161" s="108"/>
      <c r="S161" s="108"/>
      <c r="T161" s="108"/>
      <c r="U161" s="108"/>
      <c r="V161" s="108"/>
      <c r="W161" s="108"/>
      <c r="X161" s="108"/>
      <c r="Y161" s="108"/>
    </row>
    <row r="162" spans="1:25" ht="15.75" customHeight="1" x14ac:dyDescent="0.2">
      <c r="A162" s="299"/>
      <c r="B162" s="108"/>
      <c r="C162" s="108"/>
      <c r="D162" s="108"/>
      <c r="E162" s="108"/>
      <c r="F162" s="108"/>
      <c r="G162" s="108"/>
      <c r="H162" s="108"/>
      <c r="I162" s="108"/>
      <c r="J162" s="108"/>
      <c r="K162" s="108"/>
      <c r="L162" s="108"/>
      <c r="M162" s="108"/>
      <c r="N162" s="108"/>
      <c r="O162" s="108"/>
      <c r="P162" s="108"/>
      <c r="Q162" s="108"/>
      <c r="R162" s="108"/>
      <c r="S162" s="108"/>
      <c r="T162" s="108"/>
      <c r="U162" s="108"/>
      <c r="V162" s="108"/>
      <c r="W162" s="108"/>
      <c r="X162" s="108"/>
      <c r="Y162" s="108"/>
    </row>
    <row r="163" spans="1:25" ht="15.75" customHeight="1" x14ac:dyDescent="0.2">
      <c r="A163" s="299"/>
      <c r="B163" s="108"/>
      <c r="C163" s="108"/>
      <c r="D163" s="108"/>
      <c r="E163" s="108"/>
      <c r="F163" s="108"/>
      <c r="G163" s="108"/>
      <c r="H163" s="108"/>
      <c r="I163" s="108"/>
      <c r="J163" s="108"/>
      <c r="K163" s="108"/>
      <c r="L163" s="108"/>
      <c r="M163" s="108"/>
      <c r="N163" s="108"/>
      <c r="O163" s="108"/>
      <c r="P163" s="108"/>
      <c r="Q163" s="108"/>
      <c r="R163" s="108"/>
      <c r="S163" s="108"/>
      <c r="T163" s="108"/>
      <c r="U163" s="108"/>
      <c r="V163" s="108"/>
      <c r="W163" s="108"/>
      <c r="X163" s="108"/>
      <c r="Y163" s="108"/>
    </row>
    <row r="164" spans="1:25" ht="15.75" customHeight="1" x14ac:dyDescent="0.2">
      <c r="A164" s="299"/>
      <c r="B164" s="108"/>
      <c r="C164" s="108"/>
      <c r="D164" s="108"/>
      <c r="E164" s="108"/>
      <c r="F164" s="108"/>
      <c r="G164" s="108"/>
      <c r="H164" s="108"/>
      <c r="I164" s="108"/>
      <c r="J164" s="108"/>
      <c r="K164" s="108"/>
      <c r="L164" s="108"/>
      <c r="M164" s="108"/>
      <c r="N164" s="108"/>
      <c r="O164" s="108"/>
      <c r="P164" s="108"/>
      <c r="Q164" s="108"/>
      <c r="R164" s="108"/>
      <c r="S164" s="108"/>
      <c r="T164" s="108"/>
      <c r="U164" s="108"/>
      <c r="V164" s="108"/>
      <c r="W164" s="108"/>
      <c r="X164" s="108"/>
      <c r="Y164" s="108"/>
    </row>
    <row r="165" spans="1:25" ht="15.75" customHeight="1" x14ac:dyDescent="0.2">
      <c r="A165" s="299"/>
      <c r="B165" s="108"/>
      <c r="C165" s="108"/>
      <c r="D165" s="108"/>
      <c r="E165" s="108"/>
      <c r="F165" s="108"/>
      <c r="G165" s="108"/>
      <c r="H165" s="108"/>
      <c r="I165" s="108"/>
      <c r="J165" s="108"/>
      <c r="K165" s="108"/>
      <c r="L165" s="108"/>
      <c r="M165" s="108"/>
      <c r="N165" s="108"/>
      <c r="O165" s="108"/>
      <c r="P165" s="108"/>
      <c r="Q165" s="108"/>
      <c r="R165" s="108"/>
      <c r="S165" s="108"/>
      <c r="T165" s="108"/>
      <c r="U165" s="108"/>
      <c r="V165" s="108"/>
      <c r="W165" s="108"/>
      <c r="X165" s="108"/>
      <c r="Y165" s="108"/>
    </row>
    <row r="166" spans="1:25" ht="15.75" customHeight="1" x14ac:dyDescent="0.2">
      <c r="A166" s="299"/>
      <c r="B166" s="108"/>
      <c r="C166" s="108"/>
      <c r="D166" s="108"/>
      <c r="E166" s="108"/>
      <c r="F166" s="108"/>
      <c r="G166" s="108"/>
      <c r="H166" s="108"/>
      <c r="I166" s="108"/>
      <c r="J166" s="108"/>
      <c r="K166" s="108"/>
      <c r="L166" s="108"/>
      <c r="M166" s="108"/>
      <c r="N166" s="108"/>
      <c r="O166" s="108"/>
      <c r="P166" s="108"/>
      <c r="Q166" s="108"/>
      <c r="R166" s="108"/>
      <c r="S166" s="108"/>
      <c r="T166" s="108"/>
      <c r="U166" s="108"/>
      <c r="V166" s="108"/>
      <c r="W166" s="108"/>
      <c r="X166" s="108"/>
      <c r="Y166" s="108"/>
    </row>
    <row r="167" spans="1:25" ht="15.75" customHeight="1" x14ac:dyDescent="0.2">
      <c r="A167" s="299"/>
      <c r="B167" s="108"/>
      <c r="C167" s="108"/>
      <c r="D167" s="108"/>
      <c r="E167" s="108"/>
      <c r="F167" s="108"/>
      <c r="G167" s="108"/>
      <c r="H167" s="108"/>
      <c r="I167" s="108"/>
      <c r="J167" s="108"/>
      <c r="K167" s="108"/>
      <c r="L167" s="108"/>
      <c r="M167" s="108"/>
      <c r="N167" s="108"/>
      <c r="O167" s="108"/>
      <c r="P167" s="108"/>
      <c r="Q167" s="108"/>
      <c r="R167" s="108"/>
      <c r="S167" s="108"/>
      <c r="T167" s="108"/>
      <c r="U167" s="108"/>
      <c r="V167" s="108"/>
      <c r="W167" s="108"/>
      <c r="X167" s="108"/>
      <c r="Y167" s="108"/>
    </row>
    <row r="168" spans="1:25" ht="15.75" customHeight="1" x14ac:dyDescent="0.2">
      <c r="A168" s="299"/>
      <c r="B168" s="108"/>
      <c r="C168" s="108"/>
      <c r="D168" s="108"/>
      <c r="E168" s="108"/>
      <c r="F168" s="108"/>
      <c r="G168" s="108"/>
      <c r="H168" s="108"/>
      <c r="I168" s="108"/>
      <c r="J168" s="108"/>
      <c r="K168" s="108"/>
      <c r="L168" s="108"/>
      <c r="M168" s="108"/>
      <c r="N168" s="108"/>
      <c r="O168" s="108"/>
      <c r="P168" s="108"/>
      <c r="Q168" s="108"/>
      <c r="R168" s="108"/>
      <c r="S168" s="108"/>
      <c r="T168" s="108"/>
      <c r="U168" s="108"/>
      <c r="V168" s="108"/>
      <c r="W168" s="108"/>
      <c r="X168" s="108"/>
      <c r="Y168" s="108"/>
    </row>
    <row r="169" spans="1:25" ht="15.75" customHeight="1" x14ac:dyDescent="0.2">
      <c r="A169" s="299"/>
      <c r="B169" s="108"/>
      <c r="C169" s="108"/>
      <c r="D169" s="108"/>
      <c r="E169" s="108"/>
      <c r="F169" s="108"/>
      <c r="G169" s="108"/>
      <c r="H169" s="108"/>
      <c r="I169" s="108"/>
      <c r="J169" s="108"/>
      <c r="K169" s="108"/>
      <c r="L169" s="108"/>
      <c r="M169" s="108"/>
      <c r="N169" s="108"/>
      <c r="O169" s="108"/>
      <c r="P169" s="108"/>
      <c r="Q169" s="108"/>
      <c r="R169" s="108"/>
      <c r="S169" s="108"/>
      <c r="T169" s="108"/>
      <c r="U169" s="108"/>
      <c r="V169" s="108"/>
      <c r="W169" s="108"/>
      <c r="X169" s="108"/>
      <c r="Y169" s="108"/>
    </row>
    <row r="170" spans="1:25" ht="15.75" customHeight="1" x14ac:dyDescent="0.2">
      <c r="A170" s="299"/>
      <c r="B170" s="108"/>
      <c r="C170" s="108"/>
      <c r="D170" s="108"/>
      <c r="E170" s="108"/>
      <c r="F170" s="108"/>
      <c r="G170" s="108"/>
      <c r="H170" s="108"/>
      <c r="I170" s="108"/>
      <c r="J170" s="108"/>
      <c r="K170" s="108"/>
      <c r="L170" s="108"/>
      <c r="M170" s="108"/>
      <c r="N170" s="108"/>
      <c r="O170" s="108"/>
      <c r="P170" s="108"/>
      <c r="Q170" s="108"/>
      <c r="R170" s="108"/>
      <c r="S170" s="108"/>
      <c r="T170" s="108"/>
      <c r="U170" s="108"/>
      <c r="V170" s="108"/>
      <c r="W170" s="108"/>
      <c r="X170" s="108"/>
      <c r="Y170" s="108"/>
    </row>
    <row r="171" spans="1:25" ht="15.75" customHeight="1" x14ac:dyDescent="0.2">
      <c r="A171" s="299"/>
      <c r="B171" s="108"/>
      <c r="C171" s="108"/>
      <c r="D171" s="108"/>
      <c r="E171" s="108"/>
      <c r="F171" s="108"/>
      <c r="G171" s="108"/>
      <c r="H171" s="108"/>
      <c r="I171" s="108"/>
      <c r="J171" s="108"/>
      <c r="K171" s="108"/>
      <c r="L171" s="108"/>
      <c r="M171" s="108"/>
      <c r="N171" s="108"/>
      <c r="O171" s="108"/>
      <c r="P171" s="108"/>
      <c r="Q171" s="108"/>
      <c r="R171" s="108"/>
      <c r="S171" s="108"/>
      <c r="T171" s="108"/>
      <c r="U171" s="108"/>
      <c r="V171" s="108"/>
      <c r="W171" s="108"/>
      <c r="X171" s="108"/>
      <c r="Y171" s="108"/>
    </row>
    <row r="172" spans="1:25" ht="15.75" customHeight="1" x14ac:dyDescent="0.2">
      <c r="A172" s="299"/>
      <c r="B172" s="108"/>
      <c r="C172" s="108"/>
      <c r="D172" s="108"/>
      <c r="E172" s="108"/>
      <c r="F172" s="108"/>
      <c r="G172" s="108"/>
      <c r="H172" s="108"/>
      <c r="I172" s="108"/>
      <c r="J172" s="108"/>
      <c r="K172" s="108"/>
      <c r="L172" s="108"/>
      <c r="M172" s="108"/>
      <c r="N172" s="108"/>
      <c r="O172" s="108"/>
      <c r="P172" s="108"/>
      <c r="Q172" s="108"/>
      <c r="R172" s="108"/>
      <c r="S172" s="108"/>
      <c r="T172" s="108"/>
      <c r="U172" s="108"/>
      <c r="V172" s="108"/>
      <c r="W172" s="108"/>
      <c r="X172" s="108"/>
      <c r="Y172" s="108"/>
    </row>
    <row r="173" spans="1:25" ht="15.75" customHeight="1" x14ac:dyDescent="0.2">
      <c r="A173" s="299"/>
      <c r="B173" s="108"/>
      <c r="C173" s="108"/>
      <c r="D173" s="108"/>
      <c r="E173" s="108"/>
      <c r="F173" s="108"/>
      <c r="G173" s="108"/>
      <c r="H173" s="108"/>
      <c r="I173" s="108"/>
      <c r="J173" s="108"/>
      <c r="K173" s="108"/>
      <c r="L173" s="108"/>
      <c r="M173" s="108"/>
      <c r="N173" s="108"/>
      <c r="O173" s="108"/>
      <c r="P173" s="108"/>
      <c r="Q173" s="108"/>
      <c r="R173" s="108"/>
      <c r="S173" s="108"/>
      <c r="T173" s="108"/>
      <c r="U173" s="108"/>
      <c r="V173" s="108"/>
      <c r="W173" s="108"/>
      <c r="X173" s="108"/>
      <c r="Y173" s="108"/>
    </row>
    <row r="174" spans="1:25" ht="15.75" customHeight="1" x14ac:dyDescent="0.2">
      <c r="A174" s="299"/>
      <c r="B174" s="108"/>
      <c r="C174" s="108"/>
      <c r="D174" s="108"/>
      <c r="E174" s="108"/>
      <c r="F174" s="108"/>
      <c r="G174" s="108"/>
      <c r="H174" s="108"/>
      <c r="I174" s="108"/>
      <c r="J174" s="108"/>
      <c r="K174" s="108"/>
      <c r="L174" s="108"/>
      <c r="M174" s="108"/>
      <c r="N174" s="108"/>
      <c r="O174" s="108"/>
      <c r="P174" s="108"/>
      <c r="Q174" s="108"/>
      <c r="R174" s="108"/>
      <c r="S174" s="108"/>
      <c r="T174" s="108"/>
      <c r="U174" s="108"/>
      <c r="V174" s="108"/>
      <c r="W174" s="108"/>
      <c r="X174" s="108"/>
      <c r="Y174" s="108"/>
    </row>
    <row r="175" spans="1:25" ht="15.75" customHeight="1" x14ac:dyDescent="0.2">
      <c r="A175" s="299"/>
      <c r="B175" s="108"/>
      <c r="C175" s="108"/>
      <c r="D175" s="108"/>
      <c r="E175" s="108"/>
      <c r="F175" s="108"/>
      <c r="G175" s="108"/>
      <c r="H175" s="108"/>
      <c r="I175" s="108"/>
      <c r="J175" s="108"/>
      <c r="K175" s="108"/>
      <c r="L175" s="108"/>
      <c r="M175" s="108"/>
      <c r="N175" s="108"/>
      <c r="O175" s="108"/>
      <c r="P175" s="108"/>
      <c r="Q175" s="108"/>
      <c r="R175" s="108"/>
      <c r="S175" s="108"/>
      <c r="T175" s="108"/>
      <c r="U175" s="108"/>
      <c r="V175" s="108"/>
      <c r="W175" s="108"/>
      <c r="X175" s="108"/>
      <c r="Y175" s="108"/>
    </row>
    <row r="176" spans="1:25" ht="15.75" customHeight="1" x14ac:dyDescent="0.2">
      <c r="A176" s="299"/>
      <c r="B176" s="108"/>
      <c r="C176" s="108"/>
      <c r="D176" s="108"/>
      <c r="E176" s="108"/>
      <c r="F176" s="108"/>
      <c r="G176" s="108"/>
      <c r="H176" s="108"/>
      <c r="I176" s="108"/>
      <c r="J176" s="108"/>
      <c r="K176" s="108"/>
      <c r="L176" s="108"/>
      <c r="M176" s="108"/>
      <c r="N176" s="108"/>
      <c r="O176" s="108"/>
      <c r="P176" s="108"/>
      <c r="Q176" s="108"/>
      <c r="R176" s="108"/>
      <c r="S176" s="108"/>
      <c r="T176" s="108"/>
      <c r="U176" s="108"/>
      <c r="V176" s="108"/>
      <c r="W176" s="108"/>
      <c r="X176" s="108"/>
      <c r="Y176" s="108"/>
    </row>
    <row r="177" spans="1:25" ht="15.75" customHeight="1" x14ac:dyDescent="0.2">
      <c r="A177" s="299"/>
      <c r="B177" s="108"/>
      <c r="C177" s="108"/>
      <c r="D177" s="108"/>
      <c r="E177" s="108"/>
      <c r="F177" s="108"/>
      <c r="G177" s="108"/>
      <c r="H177" s="108"/>
      <c r="I177" s="108"/>
      <c r="J177" s="108"/>
      <c r="K177" s="108"/>
      <c r="L177" s="108"/>
      <c r="M177" s="108"/>
      <c r="N177" s="108"/>
      <c r="O177" s="108"/>
      <c r="P177" s="108"/>
      <c r="Q177" s="108"/>
      <c r="R177" s="108"/>
      <c r="S177" s="108"/>
      <c r="T177" s="108"/>
      <c r="U177" s="108"/>
      <c r="V177" s="108"/>
      <c r="W177" s="108"/>
      <c r="X177" s="108"/>
      <c r="Y177" s="108"/>
    </row>
    <row r="178" spans="1:25" ht="15.75" customHeight="1" x14ac:dyDescent="0.2">
      <c r="A178" s="299"/>
      <c r="B178" s="108"/>
      <c r="C178" s="108"/>
      <c r="D178" s="108"/>
      <c r="E178" s="108"/>
      <c r="F178" s="108"/>
      <c r="G178" s="108"/>
      <c r="H178" s="108"/>
      <c r="I178" s="108"/>
      <c r="J178" s="108"/>
      <c r="K178" s="108"/>
      <c r="L178" s="108"/>
      <c r="M178" s="108"/>
      <c r="N178" s="108"/>
      <c r="O178" s="108"/>
      <c r="P178" s="108"/>
      <c r="Q178" s="108"/>
      <c r="R178" s="108"/>
      <c r="S178" s="108"/>
      <c r="T178" s="108"/>
      <c r="U178" s="108"/>
      <c r="V178" s="108"/>
      <c r="W178" s="108"/>
      <c r="X178" s="108"/>
      <c r="Y178" s="108"/>
    </row>
    <row r="179" spans="1:25" ht="15.75" customHeight="1" x14ac:dyDescent="0.2">
      <c r="A179" s="299"/>
      <c r="B179" s="108"/>
      <c r="C179" s="108"/>
      <c r="D179" s="108"/>
      <c r="E179" s="108"/>
      <c r="F179" s="108"/>
      <c r="G179" s="108"/>
      <c r="H179" s="108"/>
      <c r="I179" s="108"/>
      <c r="J179" s="108"/>
      <c r="K179" s="108"/>
      <c r="L179" s="108"/>
      <c r="M179" s="108"/>
      <c r="N179" s="108"/>
      <c r="O179" s="108"/>
      <c r="P179" s="108"/>
      <c r="Q179" s="108"/>
      <c r="R179" s="108"/>
      <c r="S179" s="108"/>
      <c r="T179" s="108"/>
      <c r="U179" s="108"/>
      <c r="V179" s="108"/>
      <c r="W179" s="108"/>
      <c r="X179" s="108"/>
      <c r="Y179" s="108"/>
    </row>
    <row r="180" spans="1:25" ht="15.75" customHeight="1" x14ac:dyDescent="0.2">
      <c r="A180" s="299"/>
      <c r="B180" s="108"/>
      <c r="C180" s="108"/>
      <c r="D180" s="108"/>
      <c r="E180" s="108"/>
      <c r="F180" s="108"/>
      <c r="G180" s="108"/>
      <c r="H180" s="108"/>
      <c r="I180" s="108"/>
      <c r="J180" s="108"/>
      <c r="K180" s="108"/>
      <c r="L180" s="108"/>
      <c r="M180" s="108"/>
      <c r="N180" s="108"/>
      <c r="O180" s="108"/>
      <c r="P180" s="108"/>
      <c r="Q180" s="108"/>
      <c r="R180" s="108"/>
      <c r="S180" s="108"/>
      <c r="T180" s="108"/>
      <c r="U180" s="108"/>
      <c r="V180" s="108"/>
      <c r="W180" s="108"/>
      <c r="X180" s="108"/>
      <c r="Y180" s="108"/>
    </row>
    <row r="181" spans="1:25" ht="15.75" customHeight="1" x14ac:dyDescent="0.2">
      <c r="A181" s="299"/>
      <c r="B181" s="108"/>
      <c r="C181" s="108"/>
      <c r="D181" s="108"/>
      <c r="E181" s="108"/>
      <c r="F181" s="108"/>
      <c r="G181" s="108"/>
      <c r="H181" s="108"/>
      <c r="I181" s="108"/>
      <c r="J181" s="108"/>
      <c r="K181" s="108"/>
      <c r="L181" s="108"/>
      <c r="M181" s="108"/>
      <c r="N181" s="108"/>
      <c r="O181" s="108"/>
      <c r="P181" s="108"/>
      <c r="Q181" s="108"/>
      <c r="R181" s="108"/>
      <c r="S181" s="108"/>
      <c r="T181" s="108"/>
      <c r="U181" s="108"/>
      <c r="V181" s="108"/>
      <c r="W181" s="108"/>
      <c r="X181" s="108"/>
      <c r="Y181" s="108"/>
    </row>
    <row r="182" spans="1:25" ht="15.75" customHeight="1" x14ac:dyDescent="0.2">
      <c r="A182" s="299"/>
      <c r="B182" s="108"/>
      <c r="C182" s="108"/>
      <c r="D182" s="108"/>
      <c r="E182" s="108"/>
      <c r="F182" s="108"/>
      <c r="G182" s="108"/>
      <c r="H182" s="108"/>
      <c r="I182" s="108"/>
      <c r="J182" s="108"/>
      <c r="K182" s="108"/>
      <c r="L182" s="108"/>
      <c r="M182" s="108"/>
      <c r="N182" s="108"/>
      <c r="O182" s="108"/>
      <c r="P182" s="108"/>
      <c r="Q182" s="108"/>
      <c r="R182" s="108"/>
      <c r="S182" s="108"/>
      <c r="T182" s="108"/>
      <c r="U182" s="108"/>
      <c r="V182" s="108"/>
      <c r="W182" s="108"/>
      <c r="X182" s="108"/>
      <c r="Y182" s="108"/>
    </row>
    <row r="183" spans="1:25" ht="15.75" customHeight="1" x14ac:dyDescent="0.2">
      <c r="A183" s="299"/>
      <c r="B183" s="108"/>
      <c r="C183" s="108"/>
      <c r="D183" s="108"/>
      <c r="E183" s="108"/>
      <c r="F183" s="108"/>
      <c r="G183" s="108"/>
      <c r="H183" s="108"/>
      <c r="I183" s="108"/>
      <c r="J183" s="108"/>
      <c r="K183" s="108"/>
      <c r="L183" s="108"/>
      <c r="M183" s="108"/>
      <c r="N183" s="108"/>
      <c r="O183" s="108"/>
      <c r="P183" s="108"/>
      <c r="Q183" s="108"/>
      <c r="R183" s="108"/>
      <c r="S183" s="108"/>
      <c r="T183" s="108"/>
      <c r="U183" s="108"/>
      <c r="V183" s="108"/>
      <c r="W183" s="108"/>
      <c r="X183" s="108"/>
      <c r="Y183" s="108"/>
    </row>
    <row r="184" spans="1:25" ht="15.75" customHeight="1" x14ac:dyDescent="0.2">
      <c r="A184" s="299"/>
      <c r="B184" s="108"/>
      <c r="C184" s="108"/>
      <c r="D184" s="108"/>
      <c r="E184" s="108"/>
      <c r="F184" s="108"/>
      <c r="G184" s="108"/>
      <c r="H184" s="108"/>
      <c r="I184" s="108"/>
      <c r="J184" s="108"/>
      <c r="K184" s="108"/>
      <c r="L184" s="108"/>
      <c r="M184" s="108"/>
      <c r="N184" s="108"/>
      <c r="O184" s="108"/>
      <c r="P184" s="108"/>
      <c r="Q184" s="108"/>
      <c r="R184" s="108"/>
      <c r="S184" s="108"/>
      <c r="T184" s="108"/>
      <c r="U184" s="108"/>
      <c r="V184" s="108"/>
      <c r="W184" s="108"/>
      <c r="X184" s="108"/>
      <c r="Y184" s="108"/>
    </row>
    <row r="185" spans="1:25" ht="15.75" customHeight="1" x14ac:dyDescent="0.2">
      <c r="A185" s="299"/>
      <c r="B185" s="108"/>
      <c r="C185" s="108"/>
      <c r="D185" s="108"/>
      <c r="E185" s="108"/>
      <c r="F185" s="108"/>
      <c r="G185" s="108"/>
      <c r="H185" s="108"/>
      <c r="I185" s="108"/>
      <c r="J185" s="108"/>
      <c r="K185" s="108"/>
      <c r="L185" s="108"/>
      <c r="M185" s="108"/>
      <c r="N185" s="108"/>
      <c r="O185" s="108"/>
      <c r="P185" s="108"/>
      <c r="Q185" s="108"/>
      <c r="R185" s="108"/>
      <c r="S185" s="108"/>
      <c r="T185" s="108"/>
      <c r="U185" s="108"/>
      <c r="V185" s="108"/>
      <c r="W185" s="108"/>
      <c r="X185" s="108"/>
      <c r="Y185" s="108"/>
    </row>
    <row r="186" spans="1:25" ht="15.75" customHeight="1" x14ac:dyDescent="0.2">
      <c r="A186" s="299"/>
      <c r="B186" s="108"/>
      <c r="C186" s="108"/>
      <c r="D186" s="108"/>
      <c r="E186" s="108"/>
      <c r="F186" s="108"/>
      <c r="G186" s="108"/>
      <c r="H186" s="108"/>
      <c r="I186" s="108"/>
      <c r="J186" s="108"/>
      <c r="K186" s="108"/>
      <c r="L186" s="108"/>
      <c r="M186" s="108"/>
      <c r="N186" s="108"/>
      <c r="O186" s="108"/>
      <c r="P186" s="108"/>
      <c r="Q186" s="108"/>
      <c r="R186" s="108"/>
      <c r="S186" s="108"/>
      <c r="T186" s="108"/>
      <c r="U186" s="108"/>
      <c r="V186" s="108"/>
      <c r="W186" s="108"/>
      <c r="X186" s="108"/>
      <c r="Y186" s="108"/>
    </row>
    <row r="187" spans="1:25" ht="15.75" customHeight="1" x14ac:dyDescent="0.2">
      <c r="A187" s="299"/>
      <c r="B187" s="108"/>
      <c r="C187" s="108"/>
      <c r="D187" s="108"/>
      <c r="E187" s="108"/>
      <c r="F187" s="108"/>
      <c r="G187" s="108"/>
      <c r="H187" s="108"/>
      <c r="I187" s="108"/>
      <c r="J187" s="108"/>
      <c r="K187" s="108"/>
      <c r="L187" s="108"/>
      <c r="M187" s="108"/>
      <c r="N187" s="108"/>
      <c r="O187" s="108"/>
      <c r="P187" s="108"/>
      <c r="Q187" s="108"/>
      <c r="R187" s="108"/>
      <c r="S187" s="108"/>
      <c r="T187" s="108"/>
      <c r="U187" s="108"/>
      <c r="V187" s="108"/>
      <c r="W187" s="108"/>
      <c r="X187" s="108"/>
      <c r="Y187" s="108"/>
    </row>
    <row r="188" spans="1:25" ht="15.75" customHeight="1" x14ac:dyDescent="0.2">
      <c r="A188" s="299"/>
      <c r="B188" s="108"/>
      <c r="C188" s="108"/>
      <c r="D188" s="108"/>
      <c r="E188" s="108"/>
      <c r="F188" s="108"/>
      <c r="G188" s="108"/>
      <c r="H188" s="108"/>
      <c r="I188" s="108"/>
      <c r="J188" s="108"/>
      <c r="K188" s="108"/>
      <c r="L188" s="108"/>
      <c r="M188" s="108"/>
      <c r="N188" s="108"/>
      <c r="O188" s="108"/>
      <c r="P188" s="108"/>
      <c r="Q188" s="108"/>
      <c r="R188" s="108"/>
      <c r="S188" s="108"/>
      <c r="T188" s="108"/>
      <c r="U188" s="108"/>
      <c r="V188" s="108"/>
      <c r="W188" s="108"/>
      <c r="X188" s="108"/>
      <c r="Y188" s="108"/>
    </row>
    <row r="189" spans="1:25" ht="15.75" customHeight="1" x14ac:dyDescent="0.2">
      <c r="A189" s="299"/>
      <c r="B189" s="108"/>
      <c r="C189" s="108"/>
      <c r="D189" s="108"/>
      <c r="E189" s="108"/>
      <c r="F189" s="108"/>
      <c r="G189" s="108"/>
      <c r="H189" s="108"/>
      <c r="I189" s="108"/>
      <c r="J189" s="108"/>
      <c r="K189" s="108"/>
      <c r="L189" s="108"/>
      <c r="M189" s="108"/>
      <c r="N189" s="108"/>
      <c r="O189" s="108"/>
      <c r="P189" s="108"/>
      <c r="Q189" s="108"/>
      <c r="R189" s="108"/>
      <c r="S189" s="108"/>
      <c r="T189" s="108"/>
      <c r="U189" s="108"/>
      <c r="V189" s="108"/>
      <c r="W189" s="108"/>
      <c r="X189" s="108"/>
      <c r="Y189" s="108"/>
    </row>
    <row r="190" spans="1:25" ht="15.75" customHeight="1" x14ac:dyDescent="0.2">
      <c r="A190" s="299"/>
      <c r="B190" s="108"/>
      <c r="C190" s="108"/>
      <c r="D190" s="108"/>
      <c r="E190" s="108"/>
      <c r="F190" s="108"/>
      <c r="G190" s="108"/>
      <c r="H190" s="108"/>
      <c r="I190" s="108"/>
      <c r="J190" s="108"/>
      <c r="K190" s="108"/>
      <c r="L190" s="108"/>
      <c r="M190" s="108"/>
      <c r="N190" s="108"/>
      <c r="O190" s="108"/>
      <c r="P190" s="108"/>
      <c r="Q190" s="108"/>
      <c r="R190" s="108"/>
      <c r="S190" s="108"/>
      <c r="T190" s="108"/>
      <c r="U190" s="108"/>
      <c r="V190" s="108"/>
      <c r="W190" s="108"/>
      <c r="X190" s="108"/>
      <c r="Y190" s="108"/>
    </row>
    <row r="191" spans="1:25" ht="15.75" customHeight="1" x14ac:dyDescent="0.2">
      <c r="A191" s="299"/>
      <c r="B191" s="108"/>
      <c r="C191" s="108"/>
      <c r="D191" s="108"/>
      <c r="E191" s="108"/>
      <c r="F191" s="108"/>
      <c r="G191" s="108"/>
      <c r="H191" s="108"/>
      <c r="I191" s="108"/>
      <c r="J191" s="108"/>
      <c r="K191" s="108"/>
      <c r="L191" s="108"/>
      <c r="M191" s="108"/>
      <c r="N191" s="108"/>
      <c r="O191" s="108"/>
      <c r="P191" s="108"/>
      <c r="Q191" s="108"/>
      <c r="R191" s="108"/>
      <c r="S191" s="108"/>
      <c r="T191" s="108"/>
      <c r="U191" s="108"/>
      <c r="V191" s="108"/>
      <c r="W191" s="108"/>
      <c r="X191" s="108"/>
      <c r="Y191" s="108"/>
    </row>
    <row r="192" spans="1:25" ht="15.75" customHeight="1" x14ac:dyDescent="0.2">
      <c r="A192" s="299"/>
      <c r="B192" s="108"/>
      <c r="C192" s="108"/>
      <c r="D192" s="108"/>
      <c r="E192" s="108"/>
      <c r="F192" s="108"/>
      <c r="G192" s="108"/>
      <c r="H192" s="108"/>
      <c r="I192" s="108"/>
      <c r="J192" s="108"/>
      <c r="K192" s="108"/>
      <c r="L192" s="108"/>
      <c r="M192" s="108"/>
      <c r="N192" s="108"/>
      <c r="O192" s="108"/>
      <c r="P192" s="108"/>
      <c r="Q192" s="108"/>
      <c r="R192" s="108"/>
      <c r="S192" s="108"/>
      <c r="T192" s="108"/>
      <c r="U192" s="108"/>
      <c r="V192" s="108"/>
      <c r="W192" s="108"/>
      <c r="X192" s="108"/>
      <c r="Y192" s="108"/>
    </row>
    <row r="193" spans="1:25" ht="15.75" customHeight="1" x14ac:dyDescent="0.2">
      <c r="A193" s="299"/>
      <c r="B193" s="108"/>
      <c r="C193" s="108"/>
      <c r="D193" s="108"/>
      <c r="E193" s="108"/>
      <c r="F193" s="108"/>
      <c r="G193" s="108"/>
      <c r="H193" s="108"/>
      <c r="I193" s="108"/>
      <c r="J193" s="108"/>
      <c r="K193" s="108"/>
      <c r="L193" s="108"/>
      <c r="M193" s="108"/>
      <c r="N193" s="108"/>
      <c r="O193" s="108"/>
      <c r="P193" s="108"/>
      <c r="Q193" s="108"/>
      <c r="R193" s="108"/>
      <c r="S193" s="108"/>
      <c r="T193" s="108"/>
      <c r="U193" s="108"/>
      <c r="V193" s="108"/>
      <c r="W193" s="108"/>
      <c r="X193" s="108"/>
      <c r="Y193" s="108"/>
    </row>
    <row r="194" spans="1:25" ht="15.75" customHeight="1" x14ac:dyDescent="0.2">
      <c r="A194" s="299"/>
      <c r="B194" s="108"/>
      <c r="C194" s="108"/>
      <c r="D194" s="108"/>
      <c r="E194" s="108"/>
      <c r="F194" s="108"/>
      <c r="G194" s="108"/>
      <c r="H194" s="108"/>
      <c r="I194" s="108"/>
      <c r="J194" s="108"/>
      <c r="K194" s="108"/>
      <c r="L194" s="108"/>
      <c r="M194" s="108"/>
      <c r="N194" s="108"/>
      <c r="O194" s="108"/>
      <c r="P194" s="108"/>
      <c r="Q194" s="108"/>
      <c r="R194" s="108"/>
      <c r="S194" s="108"/>
      <c r="T194" s="108"/>
      <c r="U194" s="108"/>
      <c r="V194" s="108"/>
      <c r="W194" s="108"/>
      <c r="X194" s="108"/>
      <c r="Y194" s="108"/>
    </row>
    <row r="195" spans="1:25" ht="15.75" customHeight="1" x14ac:dyDescent="0.2">
      <c r="A195" s="299"/>
      <c r="B195" s="108"/>
      <c r="C195" s="108"/>
      <c r="D195" s="108"/>
      <c r="E195" s="108"/>
      <c r="F195" s="108"/>
      <c r="G195" s="108"/>
      <c r="H195" s="108"/>
      <c r="I195" s="108"/>
      <c r="J195" s="108"/>
      <c r="K195" s="108"/>
      <c r="L195" s="108"/>
      <c r="M195" s="108"/>
      <c r="N195" s="108"/>
      <c r="O195" s="108"/>
      <c r="P195" s="108"/>
      <c r="Q195" s="108"/>
      <c r="R195" s="108"/>
      <c r="S195" s="108"/>
      <c r="T195" s="108"/>
      <c r="U195" s="108"/>
      <c r="V195" s="108"/>
      <c r="W195" s="108"/>
      <c r="X195" s="108"/>
      <c r="Y195" s="108"/>
    </row>
    <row r="196" spans="1:25" ht="15.75" customHeight="1" x14ac:dyDescent="0.2">
      <c r="A196" s="299"/>
      <c r="B196" s="108"/>
      <c r="C196" s="108"/>
      <c r="D196" s="108"/>
      <c r="E196" s="108"/>
      <c r="F196" s="108"/>
      <c r="G196" s="108"/>
      <c r="H196" s="108"/>
      <c r="I196" s="108"/>
      <c r="J196" s="108"/>
      <c r="K196" s="108"/>
      <c r="L196" s="108"/>
      <c r="M196" s="108"/>
      <c r="N196" s="108"/>
      <c r="O196" s="108"/>
      <c r="P196" s="108"/>
      <c r="Q196" s="108"/>
      <c r="R196" s="108"/>
      <c r="S196" s="108"/>
      <c r="T196" s="108"/>
      <c r="U196" s="108"/>
      <c r="V196" s="108"/>
      <c r="W196" s="108"/>
      <c r="X196" s="108"/>
      <c r="Y196" s="108"/>
    </row>
    <row r="197" spans="1:25" ht="15.75" customHeight="1" x14ac:dyDescent="0.2">
      <c r="A197" s="299"/>
      <c r="B197" s="108"/>
      <c r="C197" s="108"/>
      <c r="D197" s="108"/>
      <c r="E197" s="108"/>
      <c r="F197" s="108"/>
      <c r="G197" s="108"/>
      <c r="H197" s="108"/>
      <c r="I197" s="108"/>
      <c r="J197" s="108"/>
      <c r="K197" s="108"/>
      <c r="L197" s="108"/>
      <c r="M197" s="108"/>
      <c r="N197" s="108"/>
      <c r="O197" s="108"/>
      <c r="P197" s="108"/>
      <c r="Q197" s="108"/>
      <c r="R197" s="108"/>
      <c r="S197" s="108"/>
      <c r="T197" s="108"/>
      <c r="U197" s="108"/>
      <c r="V197" s="108"/>
      <c r="W197" s="108"/>
      <c r="X197" s="108"/>
      <c r="Y197" s="108"/>
    </row>
    <row r="198" spans="1:25" ht="15.75" customHeight="1" x14ac:dyDescent="0.2">
      <c r="A198" s="299"/>
      <c r="B198" s="108"/>
      <c r="C198" s="108"/>
      <c r="D198" s="108"/>
      <c r="E198" s="108"/>
      <c r="F198" s="108"/>
      <c r="G198" s="108"/>
      <c r="H198" s="108"/>
      <c r="I198" s="108"/>
      <c r="J198" s="108"/>
      <c r="K198" s="108"/>
      <c r="L198" s="108"/>
      <c r="M198" s="108"/>
      <c r="N198" s="108"/>
      <c r="O198" s="108"/>
      <c r="P198" s="108"/>
      <c r="Q198" s="108"/>
      <c r="R198" s="108"/>
      <c r="S198" s="108"/>
      <c r="T198" s="108"/>
      <c r="U198" s="108"/>
      <c r="V198" s="108"/>
      <c r="W198" s="108"/>
      <c r="X198" s="108"/>
      <c r="Y198" s="108"/>
    </row>
    <row r="199" spans="1:25" ht="15.75" customHeight="1" x14ac:dyDescent="0.2">
      <c r="A199" s="299"/>
      <c r="B199" s="108"/>
      <c r="C199" s="108"/>
      <c r="D199" s="108"/>
      <c r="E199" s="108"/>
      <c r="F199" s="108"/>
      <c r="G199" s="108"/>
      <c r="H199" s="108"/>
      <c r="I199" s="108"/>
      <c r="J199" s="108"/>
      <c r="K199" s="108"/>
      <c r="L199" s="108"/>
      <c r="M199" s="108"/>
      <c r="N199" s="108"/>
      <c r="O199" s="108"/>
      <c r="P199" s="108"/>
      <c r="Q199" s="108"/>
      <c r="R199" s="108"/>
      <c r="S199" s="108"/>
      <c r="T199" s="108"/>
      <c r="U199" s="108"/>
      <c r="V199" s="108"/>
      <c r="W199" s="108"/>
      <c r="X199" s="108"/>
      <c r="Y199" s="108"/>
    </row>
    <row r="200" spans="1:25" ht="15.75" customHeight="1" x14ac:dyDescent="0.2">
      <c r="A200" s="299"/>
      <c r="B200" s="108"/>
      <c r="C200" s="108"/>
      <c r="D200" s="108"/>
      <c r="E200" s="108"/>
      <c r="F200" s="108"/>
      <c r="G200" s="108"/>
      <c r="H200" s="108"/>
      <c r="I200" s="108"/>
      <c r="J200" s="108"/>
      <c r="K200" s="108"/>
      <c r="L200" s="108"/>
      <c r="M200" s="108"/>
      <c r="N200" s="108"/>
      <c r="O200" s="108"/>
      <c r="P200" s="108"/>
      <c r="Q200" s="108"/>
      <c r="R200" s="108"/>
      <c r="S200" s="108"/>
      <c r="T200" s="108"/>
      <c r="U200" s="108"/>
      <c r="V200" s="108"/>
      <c r="W200" s="108"/>
      <c r="X200" s="108"/>
      <c r="Y200" s="108"/>
    </row>
    <row r="201" spans="1:25" ht="15.75" customHeight="1" x14ac:dyDescent="0.2">
      <c r="A201" s="299"/>
      <c r="B201" s="108"/>
      <c r="C201" s="108"/>
      <c r="D201" s="108"/>
      <c r="E201" s="108"/>
      <c r="F201" s="108"/>
      <c r="G201" s="108"/>
      <c r="H201" s="108"/>
      <c r="I201" s="108"/>
      <c r="J201" s="108"/>
      <c r="K201" s="108"/>
      <c r="L201" s="108"/>
      <c r="M201" s="108"/>
      <c r="N201" s="108"/>
      <c r="O201" s="108"/>
      <c r="P201" s="108"/>
      <c r="Q201" s="108"/>
      <c r="R201" s="108"/>
      <c r="S201" s="108"/>
      <c r="T201" s="108"/>
      <c r="U201" s="108"/>
      <c r="V201" s="108"/>
      <c r="W201" s="108"/>
      <c r="X201" s="108"/>
      <c r="Y201" s="108"/>
    </row>
    <row r="202" spans="1:25" ht="15.75" customHeight="1" x14ac:dyDescent="0.2">
      <c r="A202" s="299"/>
      <c r="B202" s="108"/>
      <c r="C202" s="108"/>
      <c r="D202" s="108"/>
      <c r="E202" s="108"/>
      <c r="F202" s="108"/>
      <c r="G202" s="108"/>
      <c r="H202" s="108"/>
      <c r="I202" s="108"/>
      <c r="J202" s="108"/>
      <c r="K202" s="108"/>
      <c r="L202" s="108"/>
      <c r="M202" s="108"/>
      <c r="N202" s="108"/>
      <c r="O202" s="108"/>
      <c r="P202" s="108"/>
      <c r="Q202" s="108"/>
      <c r="R202" s="108"/>
      <c r="S202" s="108"/>
      <c r="T202" s="108"/>
      <c r="U202" s="108"/>
      <c r="V202" s="108"/>
      <c r="W202" s="108"/>
      <c r="X202" s="108"/>
      <c r="Y202" s="108"/>
    </row>
    <row r="203" spans="1:25" ht="15.75" customHeight="1" x14ac:dyDescent="0.2">
      <c r="A203" s="299"/>
      <c r="B203" s="108"/>
      <c r="C203" s="108"/>
      <c r="D203" s="108"/>
      <c r="E203" s="108"/>
      <c r="F203" s="108"/>
      <c r="G203" s="108"/>
      <c r="H203" s="108"/>
      <c r="I203" s="108"/>
      <c r="J203" s="108"/>
      <c r="K203" s="108"/>
      <c r="L203" s="108"/>
      <c r="M203" s="108"/>
      <c r="N203" s="108"/>
      <c r="O203" s="108"/>
      <c r="P203" s="108"/>
      <c r="Q203" s="108"/>
      <c r="R203" s="108"/>
      <c r="S203" s="108"/>
      <c r="T203" s="108"/>
      <c r="U203" s="108"/>
      <c r="V203" s="108"/>
      <c r="W203" s="108"/>
      <c r="X203" s="108"/>
      <c r="Y203" s="108"/>
    </row>
    <row r="204" spans="1:25" ht="15.75" customHeight="1" x14ac:dyDescent="0.2">
      <c r="A204" s="299"/>
      <c r="B204" s="108"/>
      <c r="C204" s="108"/>
      <c r="D204" s="108"/>
      <c r="E204" s="108"/>
      <c r="F204" s="108"/>
      <c r="G204" s="108"/>
      <c r="H204" s="108"/>
      <c r="I204" s="108"/>
      <c r="J204" s="108"/>
      <c r="K204" s="108"/>
      <c r="L204" s="108"/>
      <c r="M204" s="108"/>
      <c r="N204" s="108"/>
      <c r="O204" s="108"/>
      <c r="P204" s="108"/>
      <c r="Q204" s="108"/>
      <c r="R204" s="108"/>
      <c r="S204" s="108"/>
      <c r="T204" s="108"/>
      <c r="U204" s="108"/>
      <c r="V204" s="108"/>
      <c r="W204" s="108"/>
      <c r="X204" s="108"/>
      <c r="Y204" s="108"/>
    </row>
    <row r="205" spans="1:25" ht="15.75" customHeight="1" x14ac:dyDescent="0.2">
      <c r="A205" s="299"/>
      <c r="B205" s="108"/>
      <c r="C205" s="108"/>
      <c r="D205" s="108"/>
      <c r="E205" s="108"/>
      <c r="F205" s="108"/>
      <c r="G205" s="108"/>
      <c r="H205" s="108"/>
      <c r="I205" s="108"/>
      <c r="J205" s="108"/>
      <c r="K205" s="108"/>
      <c r="L205" s="108"/>
      <c r="M205" s="108"/>
      <c r="N205" s="108"/>
      <c r="O205" s="108"/>
      <c r="P205" s="108"/>
      <c r="Q205" s="108"/>
      <c r="R205" s="108"/>
      <c r="S205" s="108"/>
      <c r="T205" s="108"/>
      <c r="U205" s="108"/>
      <c r="V205" s="108"/>
      <c r="W205" s="108"/>
      <c r="X205" s="108"/>
      <c r="Y205" s="108"/>
    </row>
    <row r="206" spans="1:25" ht="15.75" customHeight="1" x14ac:dyDescent="0.2">
      <c r="A206" s="299"/>
      <c r="B206" s="108"/>
      <c r="C206" s="108"/>
      <c r="D206" s="108"/>
      <c r="E206" s="108"/>
      <c r="F206" s="108"/>
      <c r="G206" s="108"/>
      <c r="H206" s="108"/>
      <c r="I206" s="108"/>
      <c r="J206" s="108"/>
      <c r="K206" s="108"/>
      <c r="L206" s="108"/>
      <c r="M206" s="108"/>
      <c r="N206" s="108"/>
      <c r="O206" s="108"/>
      <c r="P206" s="108"/>
      <c r="Q206" s="108"/>
      <c r="R206" s="108"/>
      <c r="S206" s="108"/>
      <c r="T206" s="108"/>
      <c r="U206" s="108"/>
      <c r="V206" s="108"/>
      <c r="W206" s="108"/>
      <c r="X206" s="108"/>
      <c r="Y206" s="108"/>
    </row>
    <row r="207" spans="1:25" ht="15.75" customHeight="1" x14ac:dyDescent="0.2">
      <c r="A207" s="299"/>
      <c r="B207" s="108"/>
      <c r="C207" s="108"/>
      <c r="D207" s="108"/>
      <c r="E207" s="108"/>
      <c r="F207" s="108"/>
      <c r="G207" s="108"/>
      <c r="H207" s="108"/>
      <c r="I207" s="108"/>
      <c r="J207" s="108"/>
      <c r="K207" s="108"/>
      <c r="L207" s="108"/>
      <c r="M207" s="108"/>
      <c r="N207" s="108"/>
      <c r="O207" s="108"/>
      <c r="P207" s="108"/>
      <c r="Q207" s="108"/>
      <c r="R207" s="108"/>
      <c r="S207" s="108"/>
      <c r="T207" s="108"/>
      <c r="U207" s="108"/>
      <c r="V207" s="108"/>
      <c r="W207" s="108"/>
      <c r="X207" s="108"/>
      <c r="Y207" s="108"/>
    </row>
    <row r="208" spans="1:25" ht="15.75" customHeight="1" x14ac:dyDescent="0.2">
      <c r="A208" s="299"/>
      <c r="B208" s="108"/>
      <c r="C208" s="108"/>
      <c r="D208" s="108"/>
      <c r="E208" s="108"/>
      <c r="F208" s="108"/>
      <c r="G208" s="108"/>
      <c r="H208" s="108"/>
      <c r="I208" s="108"/>
      <c r="J208" s="108"/>
      <c r="K208" s="108"/>
      <c r="L208" s="108"/>
      <c r="M208" s="108"/>
      <c r="N208" s="108"/>
      <c r="O208" s="108"/>
      <c r="P208" s="108"/>
      <c r="Q208" s="108"/>
      <c r="R208" s="108"/>
      <c r="S208" s="108"/>
      <c r="T208" s="108"/>
      <c r="U208" s="108"/>
      <c r="V208" s="108"/>
      <c r="W208" s="108"/>
      <c r="X208" s="108"/>
      <c r="Y208" s="108"/>
    </row>
    <row r="209" spans="1:25" ht="15.75" customHeight="1" x14ac:dyDescent="0.2">
      <c r="A209" s="299"/>
      <c r="B209" s="108"/>
      <c r="C209" s="108"/>
      <c r="D209" s="108"/>
      <c r="E209" s="108"/>
      <c r="F209" s="108"/>
      <c r="G209" s="108"/>
      <c r="H209" s="108"/>
      <c r="I209" s="108"/>
      <c r="J209" s="108"/>
      <c r="K209" s="108"/>
      <c r="L209" s="108"/>
      <c r="M209" s="108"/>
      <c r="N209" s="108"/>
      <c r="O209" s="108"/>
      <c r="P209" s="108"/>
      <c r="Q209" s="108"/>
      <c r="R209" s="108"/>
      <c r="S209" s="108"/>
      <c r="T209" s="108"/>
      <c r="U209" s="108"/>
      <c r="V209" s="108"/>
      <c r="W209" s="108"/>
      <c r="X209" s="108"/>
      <c r="Y209" s="108"/>
    </row>
    <row r="210" spans="1:25" ht="15.75" customHeight="1" x14ac:dyDescent="0.2">
      <c r="A210" s="299"/>
      <c r="B210" s="108"/>
      <c r="C210" s="108"/>
      <c r="D210" s="108"/>
      <c r="E210" s="108"/>
      <c r="F210" s="108"/>
      <c r="G210" s="108"/>
      <c r="H210" s="108"/>
      <c r="I210" s="108"/>
      <c r="J210" s="108"/>
      <c r="K210" s="108"/>
      <c r="L210" s="108"/>
      <c r="M210" s="108"/>
      <c r="N210" s="108"/>
      <c r="O210" s="108"/>
      <c r="P210" s="108"/>
      <c r="Q210" s="108"/>
      <c r="R210" s="108"/>
      <c r="S210" s="108"/>
      <c r="T210" s="108"/>
      <c r="U210" s="108"/>
      <c r="V210" s="108"/>
      <c r="W210" s="108"/>
      <c r="X210" s="108"/>
      <c r="Y210" s="108"/>
    </row>
    <row r="211" spans="1:25" ht="15.75" customHeight="1" x14ac:dyDescent="0.2">
      <c r="A211" s="299"/>
      <c r="B211" s="108"/>
      <c r="C211" s="108"/>
      <c r="D211" s="108"/>
      <c r="E211" s="108"/>
      <c r="F211" s="108"/>
      <c r="G211" s="108"/>
      <c r="H211" s="108"/>
      <c r="I211" s="108"/>
      <c r="J211" s="108"/>
      <c r="K211" s="108"/>
      <c r="L211" s="108"/>
      <c r="M211" s="108"/>
      <c r="N211" s="108"/>
      <c r="O211" s="108"/>
      <c r="P211" s="108"/>
      <c r="Q211" s="108"/>
      <c r="R211" s="108"/>
      <c r="S211" s="108"/>
      <c r="T211" s="108"/>
      <c r="U211" s="108"/>
      <c r="V211" s="108"/>
      <c r="W211" s="108"/>
      <c r="X211" s="108"/>
      <c r="Y211" s="108"/>
    </row>
    <row r="212" spans="1:25" ht="15.75" customHeight="1" x14ac:dyDescent="0.2">
      <c r="A212" s="299"/>
      <c r="B212" s="108"/>
      <c r="C212" s="108"/>
      <c r="D212" s="108"/>
      <c r="E212" s="108"/>
      <c r="F212" s="108"/>
      <c r="G212" s="108"/>
      <c r="H212" s="108"/>
      <c r="I212" s="108"/>
      <c r="J212" s="108"/>
      <c r="K212" s="108"/>
      <c r="L212" s="108"/>
      <c r="M212" s="108"/>
      <c r="N212" s="108"/>
      <c r="O212" s="108"/>
      <c r="P212" s="108"/>
      <c r="Q212" s="108"/>
      <c r="R212" s="108"/>
      <c r="S212" s="108"/>
      <c r="T212" s="108"/>
      <c r="U212" s="108"/>
      <c r="V212" s="108"/>
      <c r="W212" s="108"/>
      <c r="X212" s="108"/>
      <c r="Y212" s="108"/>
    </row>
    <row r="213" spans="1:25" ht="15.75" customHeight="1" x14ac:dyDescent="0.2">
      <c r="A213" s="299"/>
      <c r="B213" s="108"/>
      <c r="C213" s="108"/>
      <c r="D213" s="108"/>
      <c r="E213" s="108"/>
      <c r="F213" s="108"/>
      <c r="G213" s="108"/>
      <c r="H213" s="108"/>
      <c r="I213" s="108"/>
      <c r="J213" s="108"/>
      <c r="K213" s="108"/>
      <c r="L213" s="108"/>
      <c r="M213" s="108"/>
      <c r="N213" s="108"/>
      <c r="O213" s="108"/>
      <c r="P213" s="108"/>
      <c r="Q213" s="108"/>
      <c r="R213" s="108"/>
      <c r="S213" s="108"/>
      <c r="T213" s="108"/>
      <c r="U213" s="108"/>
      <c r="V213" s="108"/>
      <c r="W213" s="108"/>
      <c r="X213" s="108"/>
      <c r="Y213" s="108"/>
    </row>
    <row r="214" spans="1:25" ht="15.75" customHeight="1" x14ac:dyDescent="0.2">
      <c r="A214" s="299"/>
      <c r="B214" s="108"/>
      <c r="C214" s="108"/>
      <c r="D214" s="108"/>
      <c r="E214" s="108"/>
      <c r="F214" s="108"/>
      <c r="G214" s="108"/>
      <c r="H214" s="108"/>
      <c r="I214" s="108"/>
      <c r="J214" s="108"/>
      <c r="K214" s="108"/>
      <c r="L214" s="108"/>
      <c r="M214" s="108"/>
      <c r="N214" s="108"/>
      <c r="O214" s="108"/>
      <c r="P214" s="108"/>
      <c r="Q214" s="108"/>
      <c r="R214" s="108"/>
      <c r="S214" s="108"/>
      <c r="T214" s="108"/>
      <c r="U214" s="108"/>
      <c r="V214" s="108"/>
      <c r="W214" s="108"/>
      <c r="X214" s="108"/>
      <c r="Y214" s="108"/>
    </row>
    <row r="215" spans="1:25" ht="15.75" customHeight="1" x14ac:dyDescent="0.2">
      <c r="A215" s="299"/>
      <c r="B215" s="108"/>
      <c r="C215" s="108"/>
      <c r="D215" s="108"/>
      <c r="E215" s="108"/>
      <c r="F215" s="108"/>
      <c r="G215" s="108"/>
      <c r="H215" s="108"/>
      <c r="I215" s="108"/>
      <c r="J215" s="108"/>
      <c r="K215" s="108"/>
      <c r="L215" s="108"/>
      <c r="M215" s="108"/>
      <c r="N215" s="108"/>
      <c r="O215" s="108"/>
      <c r="P215" s="108"/>
      <c r="Q215" s="108"/>
      <c r="R215" s="108"/>
      <c r="S215" s="108"/>
      <c r="T215" s="108"/>
      <c r="U215" s="108"/>
      <c r="V215" s="108"/>
      <c r="W215" s="108"/>
      <c r="X215" s="108"/>
      <c r="Y215" s="108"/>
    </row>
    <row r="216" spans="1:25" ht="15.75" customHeight="1" x14ac:dyDescent="0.2">
      <c r="A216" s="299"/>
      <c r="B216" s="108"/>
      <c r="C216" s="108"/>
      <c r="D216" s="108"/>
      <c r="E216" s="108"/>
      <c r="F216" s="108"/>
      <c r="G216" s="108"/>
      <c r="H216" s="108"/>
      <c r="I216" s="108"/>
      <c r="J216" s="108"/>
      <c r="K216" s="108"/>
      <c r="L216" s="108"/>
      <c r="M216" s="108"/>
      <c r="N216" s="108"/>
      <c r="O216" s="108"/>
      <c r="P216" s="108"/>
      <c r="Q216" s="108"/>
      <c r="R216" s="108"/>
      <c r="S216" s="108"/>
      <c r="T216" s="108"/>
      <c r="U216" s="108"/>
      <c r="V216" s="108"/>
      <c r="W216" s="108"/>
      <c r="X216" s="108"/>
      <c r="Y216" s="108"/>
    </row>
    <row r="217" spans="1:25" ht="15.75" customHeight="1" x14ac:dyDescent="0.2">
      <c r="A217" s="299"/>
      <c r="B217" s="108"/>
      <c r="C217" s="108"/>
      <c r="D217" s="108"/>
      <c r="E217" s="108"/>
      <c r="F217" s="108"/>
      <c r="G217" s="108"/>
      <c r="H217" s="108"/>
      <c r="I217" s="108"/>
      <c r="J217" s="108"/>
      <c r="K217" s="108"/>
      <c r="L217" s="108"/>
      <c r="M217" s="108"/>
      <c r="N217" s="108"/>
      <c r="O217" s="108"/>
      <c r="P217" s="108"/>
      <c r="Q217" s="108"/>
      <c r="R217" s="108"/>
      <c r="S217" s="108"/>
      <c r="T217" s="108"/>
      <c r="U217" s="108"/>
      <c r="V217" s="108"/>
      <c r="W217" s="108"/>
      <c r="X217" s="108"/>
      <c r="Y217" s="108"/>
    </row>
    <row r="218" spans="1:25" ht="15.75" customHeight="1" x14ac:dyDescent="0.2">
      <c r="A218" s="299"/>
      <c r="B218" s="108"/>
      <c r="C218" s="108"/>
      <c r="D218" s="108"/>
      <c r="E218" s="108"/>
      <c r="F218" s="108"/>
      <c r="G218" s="108"/>
      <c r="H218" s="108"/>
      <c r="I218" s="108"/>
      <c r="J218" s="108"/>
      <c r="K218" s="108"/>
      <c r="L218" s="108"/>
      <c r="M218" s="108"/>
      <c r="N218" s="108"/>
      <c r="O218" s="108"/>
      <c r="P218" s="108"/>
      <c r="Q218" s="108"/>
      <c r="R218" s="108"/>
      <c r="S218" s="108"/>
      <c r="T218" s="108"/>
      <c r="U218" s="108"/>
      <c r="V218" s="108"/>
      <c r="W218" s="108"/>
      <c r="X218" s="108"/>
      <c r="Y218" s="108"/>
    </row>
    <row r="219" spans="1:25" ht="15.75" customHeight="1" x14ac:dyDescent="0.2">
      <c r="A219" s="299"/>
      <c r="B219" s="108"/>
      <c r="C219" s="108"/>
      <c r="D219" s="108"/>
      <c r="E219" s="108"/>
      <c r="F219" s="108"/>
      <c r="G219" s="108"/>
      <c r="H219" s="108"/>
      <c r="I219" s="108"/>
      <c r="J219" s="108"/>
      <c r="K219" s="108"/>
      <c r="L219" s="108"/>
      <c r="M219" s="108"/>
      <c r="N219" s="108"/>
      <c r="O219" s="108"/>
      <c r="P219" s="108"/>
      <c r="Q219" s="108"/>
      <c r="R219" s="108"/>
      <c r="S219" s="108"/>
      <c r="T219" s="108"/>
      <c r="U219" s="108"/>
      <c r="V219" s="108"/>
      <c r="W219" s="108"/>
      <c r="X219" s="108"/>
      <c r="Y219" s="108"/>
    </row>
    <row r="220" spans="1:25" ht="15.75" customHeight="1" x14ac:dyDescent="0.2">
      <c r="A220" s="299"/>
      <c r="B220" s="108"/>
      <c r="C220" s="108"/>
      <c r="D220" s="108"/>
      <c r="E220" s="108"/>
      <c r="F220" s="108"/>
      <c r="G220" s="108"/>
      <c r="H220" s="108"/>
      <c r="I220" s="108"/>
      <c r="J220" s="108"/>
      <c r="K220" s="108"/>
      <c r="L220" s="108"/>
      <c r="M220" s="108"/>
      <c r="N220" s="108"/>
      <c r="O220" s="108"/>
      <c r="P220" s="108"/>
      <c r="Q220" s="108"/>
      <c r="R220" s="108"/>
      <c r="S220" s="108"/>
      <c r="T220" s="108"/>
      <c r="U220" s="108"/>
      <c r="V220" s="108"/>
      <c r="W220" s="108"/>
      <c r="X220" s="108"/>
      <c r="Y220" s="108"/>
    </row>
    <row r="221" spans="1:25" ht="15.75" customHeight="1" x14ac:dyDescent="0.2">
      <c r="A221" s="299"/>
      <c r="B221" s="108"/>
      <c r="C221" s="108"/>
      <c r="D221" s="108"/>
      <c r="E221" s="108"/>
      <c r="F221" s="108"/>
      <c r="G221" s="108"/>
      <c r="H221" s="108"/>
      <c r="I221" s="108"/>
      <c r="J221" s="108"/>
      <c r="K221" s="108"/>
      <c r="L221" s="108"/>
      <c r="M221" s="108"/>
      <c r="N221" s="108"/>
      <c r="O221" s="108"/>
      <c r="P221" s="108"/>
      <c r="Q221" s="108"/>
      <c r="R221" s="108"/>
      <c r="S221" s="108"/>
      <c r="T221" s="108"/>
      <c r="U221" s="108"/>
      <c r="V221" s="108"/>
      <c r="W221" s="108"/>
      <c r="X221" s="108"/>
      <c r="Y221" s="108"/>
    </row>
    <row r="222" spans="1:25" ht="15.75" customHeight="1" x14ac:dyDescent="0.2">
      <c r="A222" s="299"/>
      <c r="B222" s="108"/>
      <c r="C222" s="108"/>
      <c r="D222" s="108"/>
      <c r="E222" s="108"/>
      <c r="F222" s="108"/>
      <c r="G222" s="108"/>
      <c r="H222" s="108"/>
      <c r="I222" s="108"/>
      <c r="J222" s="108"/>
      <c r="K222" s="108"/>
      <c r="L222" s="108"/>
      <c r="M222" s="108"/>
      <c r="N222" s="108"/>
      <c r="O222" s="108"/>
      <c r="P222" s="108"/>
      <c r="Q222" s="108"/>
      <c r="R222" s="108"/>
      <c r="S222" s="108"/>
      <c r="T222" s="108"/>
      <c r="U222" s="108"/>
      <c r="V222" s="108"/>
      <c r="W222" s="108"/>
      <c r="X222" s="108"/>
      <c r="Y222" s="108"/>
    </row>
    <row r="223" spans="1:25" ht="15.75" customHeight="1" x14ac:dyDescent="0.2">
      <c r="A223" s="299"/>
      <c r="B223" s="108"/>
      <c r="C223" s="108"/>
      <c r="D223" s="108"/>
      <c r="E223" s="108"/>
      <c r="F223" s="108"/>
      <c r="G223" s="108"/>
      <c r="H223" s="108"/>
      <c r="I223" s="108"/>
      <c r="J223" s="108"/>
      <c r="K223" s="108"/>
      <c r="L223" s="108"/>
      <c r="M223" s="108"/>
      <c r="N223" s="108"/>
      <c r="O223" s="108"/>
      <c r="P223" s="108"/>
      <c r="Q223" s="108"/>
      <c r="R223" s="108"/>
      <c r="S223" s="108"/>
      <c r="T223" s="108"/>
      <c r="U223" s="108"/>
      <c r="V223" s="108"/>
      <c r="W223" s="108"/>
      <c r="X223" s="108"/>
      <c r="Y223" s="108"/>
    </row>
    <row r="224" spans="1:25" ht="15.75" customHeight="1" x14ac:dyDescent="0.2">
      <c r="A224" s="299"/>
      <c r="B224" s="108"/>
      <c r="C224" s="108"/>
      <c r="D224" s="108"/>
      <c r="E224" s="108"/>
      <c r="F224" s="108"/>
      <c r="G224" s="108"/>
      <c r="H224" s="108"/>
      <c r="I224" s="108"/>
      <c r="J224" s="108"/>
      <c r="K224" s="108"/>
      <c r="L224" s="108"/>
      <c r="M224" s="108"/>
      <c r="N224" s="108"/>
      <c r="O224" s="108"/>
      <c r="P224" s="108"/>
      <c r="Q224" s="108"/>
      <c r="R224" s="108"/>
      <c r="S224" s="108"/>
      <c r="T224" s="108"/>
      <c r="U224" s="108"/>
      <c r="V224" s="108"/>
      <c r="W224" s="108"/>
      <c r="X224" s="108"/>
      <c r="Y224" s="108"/>
    </row>
    <row r="225" spans="1:25" ht="15.75" customHeight="1" x14ac:dyDescent="0.2">
      <c r="A225" s="299"/>
      <c r="B225" s="108"/>
      <c r="C225" s="108"/>
      <c r="D225" s="108"/>
      <c r="E225" s="108"/>
      <c r="F225" s="108"/>
      <c r="G225" s="108"/>
      <c r="H225" s="108"/>
      <c r="I225" s="108"/>
      <c r="J225" s="108"/>
      <c r="K225" s="108"/>
      <c r="L225" s="108"/>
      <c r="M225" s="108"/>
      <c r="N225" s="108"/>
      <c r="O225" s="108"/>
      <c r="P225" s="108"/>
      <c r="Q225" s="108"/>
      <c r="R225" s="108"/>
      <c r="S225" s="108"/>
      <c r="T225" s="108"/>
      <c r="U225" s="108"/>
      <c r="V225" s="108"/>
      <c r="W225" s="108"/>
      <c r="X225" s="108"/>
      <c r="Y225" s="108"/>
    </row>
    <row r="226" spans="1:25" ht="15.75" customHeight="1" x14ac:dyDescent="0.2">
      <c r="A226" s="299"/>
      <c r="B226" s="108"/>
      <c r="C226" s="108"/>
      <c r="D226" s="108"/>
      <c r="E226" s="108"/>
      <c r="F226" s="108"/>
      <c r="G226" s="108"/>
      <c r="H226" s="108"/>
      <c r="I226" s="108"/>
      <c r="J226" s="108"/>
      <c r="K226" s="108"/>
      <c r="L226" s="108"/>
      <c r="M226" s="108"/>
      <c r="N226" s="108"/>
      <c r="O226" s="108"/>
      <c r="P226" s="108"/>
      <c r="Q226" s="108"/>
      <c r="R226" s="108"/>
      <c r="S226" s="108"/>
      <c r="T226" s="108"/>
      <c r="U226" s="108"/>
      <c r="V226" s="108"/>
      <c r="W226" s="108"/>
      <c r="X226" s="108"/>
      <c r="Y226" s="108"/>
    </row>
    <row r="227" spans="1:25" ht="15.75" customHeight="1" x14ac:dyDescent="0.2">
      <c r="A227" s="299"/>
      <c r="B227" s="108"/>
      <c r="C227" s="108"/>
      <c r="D227" s="108"/>
      <c r="E227" s="108"/>
      <c r="F227" s="108"/>
      <c r="G227" s="108"/>
      <c r="H227" s="108"/>
      <c r="I227" s="108"/>
      <c r="J227" s="108"/>
      <c r="K227" s="108"/>
      <c r="L227" s="108"/>
      <c r="M227" s="108"/>
      <c r="N227" s="108"/>
      <c r="O227" s="108"/>
      <c r="P227" s="108"/>
      <c r="Q227" s="108"/>
      <c r="R227" s="108"/>
      <c r="S227" s="108"/>
      <c r="T227" s="108"/>
      <c r="U227" s="108"/>
      <c r="V227" s="108"/>
      <c r="W227" s="108"/>
      <c r="X227" s="108"/>
      <c r="Y227" s="108"/>
    </row>
    <row r="228" spans="1:25" ht="15.75" customHeight="1" x14ac:dyDescent="0.2">
      <c r="A228" s="299"/>
      <c r="B228" s="108"/>
      <c r="C228" s="108"/>
      <c r="D228" s="108"/>
      <c r="E228" s="108"/>
      <c r="F228" s="108"/>
      <c r="G228" s="108"/>
      <c r="H228" s="108"/>
      <c r="I228" s="108"/>
      <c r="J228" s="108"/>
      <c r="K228" s="108"/>
      <c r="L228" s="108"/>
      <c r="M228" s="108"/>
      <c r="N228" s="108"/>
      <c r="O228" s="108"/>
      <c r="P228" s="108"/>
      <c r="Q228" s="108"/>
      <c r="R228" s="108"/>
      <c r="S228" s="108"/>
      <c r="T228" s="108"/>
      <c r="U228" s="108"/>
      <c r="V228" s="108"/>
      <c r="W228" s="108"/>
      <c r="X228" s="108"/>
      <c r="Y228" s="108"/>
    </row>
    <row r="229" spans="1:25" ht="15.75" customHeight="1" x14ac:dyDescent="0.2">
      <c r="A229" s="299"/>
      <c r="B229" s="108"/>
      <c r="C229" s="108"/>
      <c r="D229" s="108"/>
      <c r="E229" s="108"/>
      <c r="F229" s="108"/>
      <c r="G229" s="108"/>
      <c r="H229" s="108"/>
      <c r="I229" s="108"/>
      <c r="J229" s="108"/>
      <c r="K229" s="108"/>
      <c r="L229" s="108"/>
      <c r="M229" s="108"/>
      <c r="N229" s="108"/>
      <c r="O229" s="108"/>
      <c r="P229" s="108"/>
      <c r="Q229" s="108"/>
      <c r="R229" s="108"/>
      <c r="S229" s="108"/>
      <c r="T229" s="108"/>
      <c r="U229" s="108"/>
      <c r="V229" s="108"/>
      <c r="W229" s="108"/>
      <c r="X229" s="108"/>
      <c r="Y229" s="108"/>
    </row>
    <row r="230" spans="1:25" ht="15.75" customHeight="1" x14ac:dyDescent="0.2">
      <c r="A230" s="299"/>
      <c r="B230" s="108"/>
      <c r="C230" s="108"/>
      <c r="D230" s="108"/>
      <c r="E230" s="108"/>
      <c r="F230" s="108"/>
      <c r="G230" s="108"/>
      <c r="H230" s="108"/>
      <c r="I230" s="108"/>
      <c r="J230" s="108"/>
      <c r="K230" s="108"/>
      <c r="L230" s="108"/>
      <c r="M230" s="108"/>
      <c r="N230" s="108"/>
      <c r="O230" s="108"/>
      <c r="P230" s="108"/>
      <c r="Q230" s="108"/>
      <c r="R230" s="108"/>
      <c r="S230" s="108"/>
      <c r="T230" s="108"/>
      <c r="U230" s="108"/>
      <c r="V230" s="108"/>
      <c r="W230" s="108"/>
      <c r="X230" s="108"/>
      <c r="Y230" s="108"/>
    </row>
    <row r="231" spans="1:25" ht="15.75" customHeight="1" x14ac:dyDescent="0.2">
      <c r="A231" s="299"/>
      <c r="B231" s="108"/>
      <c r="C231" s="108"/>
      <c r="D231" s="108"/>
      <c r="E231" s="108"/>
      <c r="F231" s="108"/>
      <c r="G231" s="108"/>
      <c r="H231" s="108"/>
      <c r="I231" s="108"/>
      <c r="J231" s="108"/>
      <c r="K231" s="108"/>
      <c r="L231" s="108"/>
      <c r="M231" s="108"/>
      <c r="N231" s="108"/>
      <c r="O231" s="108"/>
      <c r="P231" s="108"/>
      <c r="Q231" s="108"/>
      <c r="R231" s="108"/>
      <c r="S231" s="108"/>
      <c r="T231" s="108"/>
      <c r="U231" s="108"/>
      <c r="V231" s="108"/>
      <c r="W231" s="108"/>
      <c r="X231" s="108"/>
      <c r="Y231" s="108"/>
    </row>
    <row r="232" spans="1:25" ht="15.75" customHeight="1" x14ac:dyDescent="0.2">
      <c r="A232" s="299"/>
      <c r="B232" s="108"/>
      <c r="C232" s="108"/>
      <c r="D232" s="108"/>
      <c r="E232" s="108"/>
      <c r="F232" s="108"/>
      <c r="G232" s="108"/>
      <c r="H232" s="108"/>
      <c r="I232" s="108"/>
      <c r="J232" s="108"/>
      <c r="K232" s="108"/>
      <c r="L232" s="108"/>
      <c r="M232" s="108"/>
      <c r="N232" s="108"/>
      <c r="O232" s="108"/>
      <c r="P232" s="108"/>
      <c r="Q232" s="108"/>
      <c r="R232" s="108"/>
      <c r="S232" s="108"/>
      <c r="T232" s="108"/>
      <c r="U232" s="108"/>
      <c r="V232" s="108"/>
      <c r="W232" s="108"/>
      <c r="X232" s="108"/>
      <c r="Y232" s="108"/>
    </row>
    <row r="233" spans="1:25" ht="15.75" customHeight="1" x14ac:dyDescent="0.2">
      <c r="A233" s="299"/>
      <c r="B233" s="108"/>
      <c r="C233" s="108"/>
      <c r="D233" s="108"/>
      <c r="E233" s="108"/>
      <c r="F233" s="108"/>
      <c r="G233" s="108"/>
      <c r="H233" s="108"/>
      <c r="I233" s="108"/>
      <c r="J233" s="108"/>
      <c r="K233" s="108"/>
      <c r="L233" s="108"/>
      <c r="M233" s="108"/>
      <c r="N233" s="108"/>
      <c r="O233" s="108"/>
      <c r="P233" s="108"/>
      <c r="Q233" s="108"/>
      <c r="R233" s="108"/>
      <c r="S233" s="108"/>
      <c r="T233" s="108"/>
      <c r="U233" s="108"/>
      <c r="V233" s="108"/>
      <c r="W233" s="108"/>
      <c r="X233" s="108"/>
      <c r="Y233" s="108"/>
    </row>
    <row r="234" spans="1:25" ht="15.75" customHeight="1" x14ac:dyDescent="0.2">
      <c r="A234" s="299"/>
      <c r="B234" s="108"/>
      <c r="C234" s="108"/>
      <c r="D234" s="108"/>
      <c r="E234" s="108"/>
      <c r="F234" s="108"/>
      <c r="G234" s="108"/>
      <c r="H234" s="108"/>
      <c r="I234" s="108"/>
      <c r="J234" s="108"/>
      <c r="K234" s="108"/>
      <c r="L234" s="108"/>
      <c r="M234" s="108"/>
      <c r="N234" s="108"/>
      <c r="O234" s="108"/>
      <c r="P234" s="108"/>
      <c r="Q234" s="108"/>
      <c r="R234" s="108"/>
      <c r="S234" s="108"/>
      <c r="T234" s="108"/>
      <c r="U234" s="108"/>
      <c r="V234" s="108"/>
      <c r="W234" s="108"/>
      <c r="X234" s="108"/>
      <c r="Y234" s="108"/>
    </row>
    <row r="235" spans="1:25" ht="15.75" customHeight="1" x14ac:dyDescent="0.2">
      <c r="A235" s="299"/>
      <c r="B235" s="108"/>
      <c r="C235" s="108"/>
      <c r="D235" s="108"/>
      <c r="E235" s="108"/>
      <c r="F235" s="108"/>
      <c r="G235" s="108"/>
      <c r="H235" s="108"/>
      <c r="I235" s="108"/>
      <c r="J235" s="108"/>
      <c r="K235" s="108"/>
      <c r="L235" s="108"/>
      <c r="M235" s="108"/>
      <c r="N235" s="108"/>
      <c r="O235" s="108"/>
      <c r="P235" s="108"/>
      <c r="Q235" s="108"/>
      <c r="R235" s="108"/>
      <c r="S235" s="108"/>
      <c r="T235" s="108"/>
      <c r="U235" s="108"/>
      <c r="V235" s="108"/>
      <c r="W235" s="108"/>
      <c r="X235" s="108"/>
      <c r="Y235" s="108"/>
    </row>
    <row r="236" spans="1:25" ht="15.75" customHeight="1" x14ac:dyDescent="0.2">
      <c r="A236" s="299"/>
      <c r="B236" s="108"/>
      <c r="C236" s="108"/>
      <c r="D236" s="108"/>
      <c r="E236" s="108"/>
      <c r="F236" s="108"/>
      <c r="G236" s="108"/>
      <c r="H236" s="108"/>
      <c r="I236" s="108"/>
      <c r="J236" s="108"/>
      <c r="K236" s="108"/>
      <c r="L236" s="108"/>
      <c r="M236" s="108"/>
      <c r="N236" s="108"/>
      <c r="O236" s="108"/>
      <c r="P236" s="108"/>
      <c r="Q236" s="108"/>
      <c r="R236" s="108"/>
      <c r="S236" s="108"/>
      <c r="T236" s="108"/>
      <c r="U236" s="108"/>
      <c r="V236" s="108"/>
      <c r="W236" s="108"/>
      <c r="X236" s="108"/>
      <c r="Y236" s="108"/>
    </row>
    <row r="237" spans="1:25" ht="15.75" customHeight="1" x14ac:dyDescent="0.2">
      <c r="A237" s="299"/>
      <c r="B237" s="108"/>
      <c r="C237" s="108"/>
      <c r="D237" s="108"/>
      <c r="E237" s="108"/>
      <c r="F237" s="108"/>
      <c r="G237" s="108"/>
      <c r="H237" s="108"/>
      <c r="I237" s="108"/>
      <c r="J237" s="108"/>
      <c r="K237" s="108"/>
      <c r="L237" s="108"/>
      <c r="M237" s="108"/>
      <c r="N237" s="108"/>
      <c r="O237" s="108"/>
      <c r="P237" s="108"/>
      <c r="Q237" s="108"/>
      <c r="R237" s="108"/>
      <c r="S237" s="108"/>
      <c r="T237" s="108"/>
      <c r="U237" s="108"/>
      <c r="V237" s="108"/>
      <c r="W237" s="108"/>
      <c r="X237" s="108"/>
      <c r="Y237" s="108"/>
    </row>
    <row r="238" spans="1:25" ht="15.75" customHeight="1" x14ac:dyDescent="0.2">
      <c r="A238" s="299"/>
      <c r="B238" s="108"/>
      <c r="C238" s="108"/>
      <c r="D238" s="108"/>
      <c r="E238" s="108"/>
      <c r="F238" s="108"/>
      <c r="G238" s="108"/>
      <c r="H238" s="108"/>
      <c r="I238" s="108"/>
      <c r="J238" s="108"/>
      <c r="K238" s="108"/>
      <c r="L238" s="108"/>
      <c r="M238" s="108"/>
      <c r="N238" s="108"/>
      <c r="O238" s="108"/>
      <c r="P238" s="108"/>
      <c r="Q238" s="108"/>
      <c r="R238" s="108"/>
      <c r="S238" s="108"/>
      <c r="T238" s="108"/>
      <c r="U238" s="108"/>
      <c r="V238" s="108"/>
      <c r="W238" s="108"/>
      <c r="X238" s="108"/>
      <c r="Y238" s="108"/>
    </row>
    <row r="239" spans="1:25" ht="15.75" customHeight="1" x14ac:dyDescent="0.2">
      <c r="A239" s="299"/>
      <c r="B239" s="108"/>
      <c r="C239" s="108"/>
      <c r="D239" s="108"/>
      <c r="E239" s="108"/>
      <c r="F239" s="108"/>
      <c r="G239" s="108"/>
      <c r="H239" s="108"/>
      <c r="I239" s="108"/>
      <c r="J239" s="108"/>
      <c r="K239" s="108"/>
      <c r="L239" s="108"/>
      <c r="M239" s="108"/>
      <c r="N239" s="108"/>
      <c r="O239" s="108"/>
      <c r="P239" s="108"/>
      <c r="Q239" s="108"/>
      <c r="R239" s="108"/>
      <c r="S239" s="108"/>
      <c r="T239" s="108"/>
      <c r="U239" s="108"/>
      <c r="V239" s="108"/>
      <c r="W239" s="108"/>
      <c r="X239" s="108"/>
      <c r="Y239" s="108"/>
    </row>
    <row r="240" spans="1:25" ht="15.75" customHeight="1" x14ac:dyDescent="0.2">
      <c r="A240" s="299"/>
      <c r="B240" s="108"/>
      <c r="C240" s="108"/>
      <c r="D240" s="108"/>
      <c r="E240" s="108"/>
      <c r="F240" s="108"/>
      <c r="G240" s="108"/>
      <c r="H240" s="108"/>
      <c r="I240" s="108"/>
      <c r="J240" s="108"/>
      <c r="K240" s="108"/>
      <c r="L240" s="108"/>
      <c r="M240" s="108"/>
      <c r="N240" s="108"/>
      <c r="O240" s="108"/>
      <c r="P240" s="108"/>
      <c r="Q240" s="108"/>
      <c r="R240" s="108"/>
      <c r="S240" s="108"/>
      <c r="T240" s="108"/>
      <c r="U240" s="108"/>
      <c r="V240" s="108"/>
      <c r="W240" s="108"/>
      <c r="X240" s="108"/>
      <c r="Y240" s="108"/>
    </row>
    <row r="241" spans="1:25" ht="15.75" customHeight="1" x14ac:dyDescent="0.2">
      <c r="A241" s="299"/>
      <c r="B241" s="108"/>
      <c r="C241" s="108"/>
      <c r="D241" s="108"/>
      <c r="E241" s="108"/>
      <c r="F241" s="108"/>
      <c r="G241" s="108"/>
      <c r="H241" s="108"/>
      <c r="I241" s="108"/>
      <c r="J241" s="108"/>
      <c r="K241" s="108"/>
      <c r="L241" s="108"/>
      <c r="M241" s="108"/>
      <c r="N241" s="108"/>
      <c r="O241" s="108"/>
      <c r="P241" s="108"/>
      <c r="Q241" s="108"/>
      <c r="R241" s="108"/>
      <c r="S241" s="108"/>
      <c r="T241" s="108"/>
      <c r="U241" s="108"/>
      <c r="V241" s="108"/>
      <c r="W241" s="108"/>
      <c r="X241" s="108"/>
      <c r="Y241" s="108"/>
    </row>
    <row r="242" spans="1:25" ht="15.75" customHeight="1" x14ac:dyDescent="0.2">
      <c r="A242" s="299"/>
      <c r="B242" s="108"/>
      <c r="C242" s="108"/>
      <c r="D242" s="108"/>
      <c r="E242" s="108"/>
      <c r="F242" s="108"/>
      <c r="G242" s="108"/>
      <c r="H242" s="108"/>
      <c r="I242" s="108"/>
      <c r="J242" s="108"/>
      <c r="K242" s="108"/>
      <c r="L242" s="108"/>
      <c r="M242" s="108"/>
      <c r="N242" s="108"/>
      <c r="O242" s="108"/>
      <c r="P242" s="108"/>
      <c r="Q242" s="108"/>
      <c r="R242" s="108"/>
      <c r="S242" s="108"/>
      <c r="T242" s="108"/>
      <c r="U242" s="108"/>
      <c r="V242" s="108"/>
      <c r="W242" s="108"/>
      <c r="X242" s="108"/>
      <c r="Y242" s="108"/>
    </row>
    <row r="243" spans="1:25" ht="15.75" customHeight="1" x14ac:dyDescent="0.2">
      <c r="A243" s="299"/>
      <c r="B243" s="108"/>
      <c r="C243" s="108"/>
      <c r="D243" s="108"/>
      <c r="E243" s="108"/>
      <c r="F243" s="108"/>
      <c r="G243" s="108"/>
      <c r="H243" s="108"/>
      <c r="I243" s="108"/>
      <c r="J243" s="108"/>
      <c r="K243" s="108"/>
      <c r="L243" s="108"/>
      <c r="M243" s="108"/>
      <c r="N243" s="108"/>
      <c r="O243" s="108"/>
      <c r="P243" s="108"/>
      <c r="Q243" s="108"/>
      <c r="R243" s="108"/>
      <c r="S243" s="108"/>
      <c r="T243" s="108"/>
      <c r="U243" s="108"/>
      <c r="V243" s="108"/>
      <c r="W243" s="108"/>
      <c r="X243" s="108"/>
      <c r="Y243" s="108"/>
    </row>
    <row r="244" spans="1:25" ht="15.75" customHeight="1" x14ac:dyDescent="0.2">
      <c r="A244" s="299"/>
      <c r="B244" s="108"/>
      <c r="C244" s="108"/>
      <c r="D244" s="108"/>
      <c r="E244" s="108"/>
      <c r="F244" s="108"/>
      <c r="G244" s="108"/>
      <c r="H244" s="108"/>
      <c r="I244" s="108"/>
      <c r="J244" s="108"/>
      <c r="K244" s="108"/>
      <c r="L244" s="108"/>
      <c r="M244" s="108"/>
      <c r="N244" s="108"/>
      <c r="O244" s="108"/>
      <c r="P244" s="108"/>
      <c r="Q244" s="108"/>
      <c r="R244" s="108"/>
      <c r="S244" s="108"/>
      <c r="T244" s="108"/>
      <c r="U244" s="108"/>
      <c r="V244" s="108"/>
      <c r="W244" s="108"/>
      <c r="X244" s="108"/>
      <c r="Y244" s="108"/>
    </row>
    <row r="245" spans="1:25" ht="15.75" customHeight="1" x14ac:dyDescent="0.2">
      <c r="A245" s="299"/>
      <c r="B245" s="108"/>
      <c r="C245" s="108"/>
      <c r="D245" s="108"/>
      <c r="E245" s="108"/>
      <c r="F245" s="108"/>
      <c r="G245" s="108"/>
      <c r="H245" s="108"/>
      <c r="I245" s="108"/>
      <c r="J245" s="108"/>
      <c r="K245" s="108"/>
      <c r="L245" s="108"/>
      <c r="M245" s="108"/>
      <c r="N245" s="108"/>
      <c r="O245" s="108"/>
      <c r="P245" s="108"/>
      <c r="Q245" s="108"/>
      <c r="R245" s="108"/>
      <c r="S245" s="108"/>
      <c r="T245" s="108"/>
      <c r="U245" s="108"/>
      <c r="V245" s="108"/>
      <c r="W245" s="108"/>
      <c r="X245" s="108"/>
      <c r="Y245" s="108"/>
    </row>
    <row r="246" spans="1:25" ht="15.75" customHeight="1" x14ac:dyDescent="0.2">
      <c r="A246" s="299"/>
      <c r="B246" s="108"/>
      <c r="C246" s="108"/>
      <c r="D246" s="108"/>
      <c r="E246" s="108"/>
      <c r="F246" s="108"/>
      <c r="G246" s="108"/>
      <c r="H246" s="108"/>
      <c r="I246" s="108"/>
      <c r="J246" s="108"/>
      <c r="K246" s="108"/>
      <c r="L246" s="108"/>
      <c r="M246" s="108"/>
      <c r="N246" s="108"/>
      <c r="O246" s="108"/>
      <c r="P246" s="108"/>
      <c r="Q246" s="108"/>
      <c r="R246" s="108"/>
      <c r="S246" s="108"/>
      <c r="T246" s="108"/>
      <c r="U246" s="108"/>
      <c r="V246" s="108"/>
      <c r="W246" s="108"/>
      <c r="X246" s="108"/>
      <c r="Y246" s="108"/>
    </row>
    <row r="247" spans="1:25" ht="15.75" customHeight="1" x14ac:dyDescent="0.2">
      <c r="A247" s="299"/>
      <c r="B247" s="108"/>
      <c r="C247" s="108"/>
      <c r="D247" s="108"/>
      <c r="E247" s="108"/>
      <c r="F247" s="108"/>
      <c r="G247" s="108"/>
      <c r="H247" s="108"/>
      <c r="I247" s="108"/>
      <c r="J247" s="108"/>
      <c r="K247" s="108"/>
      <c r="L247" s="108"/>
      <c r="M247" s="108"/>
      <c r="N247" s="108"/>
      <c r="O247" s="108"/>
      <c r="P247" s="108"/>
      <c r="Q247" s="108"/>
      <c r="R247" s="108"/>
      <c r="S247" s="108"/>
      <c r="T247" s="108"/>
      <c r="U247" s="108"/>
      <c r="V247" s="108"/>
      <c r="W247" s="108"/>
      <c r="X247" s="108"/>
      <c r="Y247" s="108"/>
    </row>
    <row r="248" spans="1:25" ht="15.75" customHeight="1" x14ac:dyDescent="0.2">
      <c r="A248" s="299"/>
      <c r="B248" s="108"/>
      <c r="C248" s="108"/>
      <c r="D248" s="108"/>
      <c r="E248" s="108"/>
      <c r="F248" s="108"/>
      <c r="G248" s="108"/>
      <c r="H248" s="108"/>
      <c r="I248" s="108"/>
      <c r="J248" s="108"/>
      <c r="K248" s="108"/>
      <c r="L248" s="108"/>
      <c r="M248" s="108"/>
      <c r="N248" s="108"/>
      <c r="O248" s="108"/>
      <c r="P248" s="108"/>
      <c r="Q248" s="108"/>
      <c r="R248" s="108"/>
      <c r="S248" s="108"/>
      <c r="T248" s="108"/>
      <c r="U248" s="108"/>
      <c r="V248" s="108"/>
      <c r="W248" s="108"/>
      <c r="X248" s="108"/>
      <c r="Y248" s="108"/>
    </row>
    <row r="295" spans="1:9" ht="15.75" customHeight="1" x14ac:dyDescent="0.2">
      <c r="A295" s="996"/>
    </row>
    <row r="296" spans="1:9" ht="15.75" customHeight="1" x14ac:dyDescent="0.2">
      <c r="A296" s="996"/>
      <c r="E296" s="798" t="s">
        <v>1</v>
      </c>
    </row>
    <row r="297" spans="1:9" ht="15.75" customHeight="1" x14ac:dyDescent="0.2">
      <c r="A297" s="996"/>
      <c r="B297" s="997" t="str">
        <f>ListAVS!B228</f>
        <v xml:space="preserve">Cennik   </v>
      </c>
      <c r="C297" s="998"/>
      <c r="E297" s="999" t="s">
        <v>2</v>
      </c>
      <c r="F297" s="1000"/>
      <c r="H297" s="1004" t="str">
        <f>ListAVS!$B$169</f>
        <v>Wróć na początek</v>
      </c>
      <c r="I297" s="1004"/>
    </row>
    <row r="298" spans="1:9" ht="15.75" customHeight="1" x14ac:dyDescent="0.2">
      <c r="A298" s="996"/>
      <c r="E298" s="1001"/>
      <c r="F298" s="1001"/>
    </row>
    <row r="299" spans="1:9" ht="15.75" customHeight="1" x14ac:dyDescent="0.2">
      <c r="A299" s="996"/>
      <c r="E299" s="1001"/>
      <c r="F299" s="1001"/>
    </row>
    <row r="300" spans="1:9" ht="15.75" customHeight="1" x14ac:dyDescent="0.2">
      <c r="A300" s="996"/>
      <c r="B300" s="997" t="str">
        <f>ListAVS!B102</f>
        <v>Waga materiału</v>
      </c>
      <c r="C300" s="998"/>
      <c r="E300" s="1001"/>
      <c r="F300" s="1001"/>
    </row>
    <row r="301" spans="1:9" ht="15.75" customHeight="1" x14ac:dyDescent="0.2">
      <c r="A301" s="996"/>
      <c r="B301" s="1002" t="str">
        <f>ListAVS!B398</f>
        <v>Waga materiału, szkła i ramki aluminiowej</v>
      </c>
      <c r="C301" s="1002"/>
    </row>
    <row r="302" spans="1:9" ht="15.75" customHeight="1" x14ac:dyDescent="0.2">
      <c r="A302" s="996"/>
      <c r="B302" s="1003"/>
      <c r="C302" s="1003"/>
    </row>
    <row r="303" spans="1:9" ht="15.75" customHeight="1" x14ac:dyDescent="0.2">
      <c r="A303" s="996"/>
    </row>
    <row r="304" spans="1:9" ht="15.75" customHeight="1" x14ac:dyDescent="0.2">
      <c r="A304" s="996"/>
    </row>
    <row r="305" spans="1:1" ht="15.75" customHeight="1" x14ac:dyDescent="0.2">
      <c r="A305" s="996"/>
    </row>
    <row r="306" spans="1:1" ht="15.75" customHeight="1" x14ac:dyDescent="0.2">
      <c r="A306" s="996"/>
    </row>
  </sheetData>
  <sheetProtection algorithmName="SHA-512" hashValue="fjD8AvG+BbsXnWRPqI0Qcd3HZ4cfQiz0dnKEIU3AbLAW0aWd7lzs3Sm9n0Z0Zz4NqZ3zu+n3g2ikqPoKYlHLCw==" saltValue="HARH4TNX0hYCOltleYcmfw==" spinCount="100000" sheet="1" objects="1" scenarios="1"/>
  <mergeCells count="32">
    <mergeCell ref="L19:L21"/>
    <mergeCell ref="L10:L12"/>
    <mergeCell ref="B23:D23"/>
    <mergeCell ref="B27:J28"/>
    <mergeCell ref="C53:E53"/>
    <mergeCell ref="D24:G24"/>
    <mergeCell ref="A107:A152"/>
    <mergeCell ref="H139:I139"/>
    <mergeCell ref="A295:A306"/>
    <mergeCell ref="B297:C297"/>
    <mergeCell ref="E297:F297"/>
    <mergeCell ref="E298:F298"/>
    <mergeCell ref="E299:F299"/>
    <mergeCell ref="E300:F300"/>
    <mergeCell ref="B300:C300"/>
    <mergeCell ref="B301:C302"/>
    <mergeCell ref="H297:I297"/>
    <mergeCell ref="C89:D89"/>
    <mergeCell ref="A50:A84"/>
    <mergeCell ref="C68:E68"/>
    <mergeCell ref="C67:D67"/>
    <mergeCell ref="A85:A106"/>
    <mergeCell ref="C55:E55"/>
    <mergeCell ref="C56:E56"/>
    <mergeCell ref="C57:E57"/>
    <mergeCell ref="C59:E59"/>
    <mergeCell ref="C60:E60"/>
    <mergeCell ref="C61:E61"/>
    <mergeCell ref="C63:D63"/>
    <mergeCell ref="C64:D64"/>
    <mergeCell ref="C77:D77"/>
    <mergeCell ref="C66:D66"/>
  </mergeCells>
  <hyperlinks>
    <hyperlink ref="C77" location="HFww!A1" tooltip=" " display="HFww!A1" xr:uid="{2FCF07B8-9639-4374-AAE3-F72BE32EF7BE}"/>
    <hyperlink ref="C77:D77" location="Form!A1" tooltip=" " display="Form!A1" xr:uid="{4219FA12-202A-4A43-81A0-E74C4A06B919}"/>
    <hyperlink ref="L15" location="Form!A110" tooltip=" " display="Form!A110" xr:uid="{ED9677FA-CAD5-4870-98B6-2996F5D9BACF}"/>
    <hyperlink ref="H139" location="Form!A1" tooltip=" " display="Form!A1" xr:uid="{651307B6-1D1A-4C38-BCA3-4539874E4597}"/>
    <hyperlink ref="B297:C297" location="Price!A1" tooltip=" " display="Price!A1" xr:uid="{89188EE5-A4AE-49BA-BE2D-7F2205F46BD0}"/>
    <hyperlink ref="H297" location="Form!A1" tooltip=" " display="Form!A1" xr:uid="{831AFA5C-B481-43E8-81F4-E4C682D34453}"/>
    <hyperlink ref="E297:F297" location="ListAVS!A1" tooltip=" " display="List AVENTPLAN" xr:uid="{85C06AD2-AF2D-40E7-9D9E-3BAFB5FD890E}"/>
    <hyperlink ref="G25" location="Form!A85" tooltip=" " display="Form!A85" xr:uid="{DE3D1783-2D29-4D08-A727-EFB9D7822D8E}"/>
    <hyperlink ref="C89" location="HFww!A1" tooltip=" " display="HFww!A1" xr:uid="{8A279B4A-63EB-48F9-AF51-674A2224CED4}"/>
    <hyperlink ref="C89:D89" location="Form!A1" tooltip=" " display="Form!A1" xr:uid="{AE8B1800-7280-4469-928A-C88993942407}"/>
    <hyperlink ref="B300:C300" location="Param!A1" tooltip=" " display="Parametry" xr:uid="{8F5179FC-5584-4A44-A78A-6B461D314867}"/>
    <hyperlink ref="L19:L20" location="MenuAVS!A1" tooltip=" " display="MenuAVS!A1" xr:uid="{F4DC6695-1E41-40E6-81BE-CE2E3DA4E311}"/>
    <hyperlink ref="L9" location="Form!A50" tooltip=" " display="Form!A50" xr:uid="{01AD56E9-263D-4DF5-8D48-707222424551}"/>
    <hyperlink ref="L10:L12" location="Form!A50" tooltip=" " display="Form!A50" xr:uid="{744BD548-7B6B-4841-94D6-F1CC315E8EDF}"/>
  </hyperlinks>
  <pageMargins left="0.7" right="0.7" top="0.75" bottom="0.75" header="0.3" footer="0.3"/>
  <pageSetup paperSize="9" orientation="portrait" horizontalDpi="4294967293" verticalDpi="599"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Drop Down 1">
              <controlPr defaultSize="0" autoLine="0" autoPict="0">
                <anchor moveWithCells="1">
                  <from>
                    <xdr:col>4</xdr:col>
                    <xdr:colOff>9525</xdr:colOff>
                    <xdr:row>22</xdr:row>
                    <xdr:rowOff>0</xdr:rowOff>
                  </from>
                  <to>
                    <xdr:col>5</xdr:col>
                    <xdr:colOff>647700</xdr:colOff>
                    <xdr:row>23</xdr:row>
                    <xdr:rowOff>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1553E-7828-4468-AEFA-455B85120442}">
  <sheetPr codeName="Sheet15">
    <tabColor theme="9" tint="0.59999389629810485"/>
  </sheetPr>
  <dimension ref="A1:AV202"/>
  <sheetViews>
    <sheetView showGridLines="0" showRowColHeaders="0" workbookViewId="0">
      <selection activeCell="AL4" sqref="AL4"/>
    </sheetView>
  </sheetViews>
  <sheetFormatPr defaultColWidth="8.28515625" defaultRowHeight="12" x14ac:dyDescent="0.2"/>
  <cols>
    <col min="1" max="1" width="1.28515625" style="37" customWidth="1"/>
    <col min="2" max="9" width="8.5703125" style="37" customWidth="1"/>
    <col min="10" max="10" width="6.7109375" style="37" customWidth="1"/>
    <col min="11" max="11" width="10.42578125" style="37" customWidth="1"/>
    <col min="12" max="12" width="17.28515625" style="37" customWidth="1"/>
    <col min="13" max="14" width="6.42578125" style="37" hidden="1" customWidth="1"/>
    <col min="15" max="15" width="6.42578125" style="118" hidden="1" customWidth="1"/>
    <col min="16" max="16" width="6.42578125" style="37" hidden="1" customWidth="1"/>
    <col min="17" max="17" width="6" style="118" hidden="1" customWidth="1"/>
    <col min="18" max="18" width="6.42578125" style="37" hidden="1" customWidth="1"/>
    <col min="19" max="19" width="7.7109375" style="37" hidden="1" customWidth="1"/>
    <col min="20" max="23" width="6.42578125" style="37" hidden="1" customWidth="1"/>
    <col min="24" max="24" width="10" style="108" hidden="1" customWidth="1"/>
    <col min="25" max="25" width="37.28515625" style="108" hidden="1" customWidth="1"/>
    <col min="26" max="26" width="13.7109375" style="108" hidden="1" customWidth="1"/>
    <col min="27" max="29" width="6.7109375" style="108" hidden="1" customWidth="1"/>
    <col min="30" max="30" width="9.42578125" style="108" hidden="1" customWidth="1"/>
    <col min="31" max="36" width="6.7109375" style="108" hidden="1" customWidth="1"/>
    <col min="37" max="37" width="5.28515625" style="108" customWidth="1"/>
    <col min="38" max="38" width="25" style="108" customWidth="1"/>
    <col min="39" max="39" width="8.28515625" style="137"/>
    <col min="40" max="41" width="13.28515625" style="137" customWidth="1"/>
    <col min="42" max="43" width="19.7109375" style="37" customWidth="1"/>
    <col min="44" max="44" width="18.7109375" style="37" customWidth="1"/>
    <col min="45" max="45" width="23" style="37" customWidth="1"/>
    <col min="46" max="46" width="8.28515625" style="37"/>
    <col min="47" max="16384" width="8.28515625" style="137"/>
  </cols>
  <sheetData>
    <row r="1" spans="2:47" ht="4.5" customHeight="1" thickBot="1" x14ac:dyDescent="0.25">
      <c r="L1" s="137"/>
      <c r="AP1" s="1045"/>
      <c r="AQ1" s="1045"/>
      <c r="AR1" s="1045"/>
      <c r="AS1" s="1045"/>
      <c r="AT1" s="1045"/>
      <c r="AU1" s="1045"/>
    </row>
    <row r="2" spans="2:47" s="108" customFormat="1" ht="19.5" customHeight="1" thickBot="1" x14ac:dyDescent="0.25">
      <c r="B2" s="1048" t="s">
        <v>671</v>
      </c>
      <c r="C2" s="1048"/>
      <c r="D2" s="884"/>
      <c r="E2" s="884"/>
      <c r="F2" s="884"/>
      <c r="G2" s="884"/>
      <c r="H2" s="884"/>
      <c r="I2" s="884"/>
      <c r="J2" s="884"/>
      <c r="K2" s="884"/>
      <c r="L2" s="884"/>
      <c r="M2" s="885"/>
      <c r="S2" s="117">
        <v>3</v>
      </c>
      <c r="AL2" s="226" t="str">
        <f>ListAVS!$B$153</f>
        <v>Przejdź do</v>
      </c>
    </row>
    <row r="3" spans="2:47" ht="3.75" customHeight="1" x14ac:dyDescent="0.2">
      <c r="B3" s="312"/>
      <c r="C3" s="306"/>
      <c r="D3" s="306"/>
      <c r="E3" s="306"/>
      <c r="F3" s="306"/>
      <c r="G3" s="306"/>
      <c r="H3" s="306"/>
      <c r="I3" s="306"/>
      <c r="J3" s="306"/>
      <c r="K3" s="306"/>
      <c r="L3" s="137"/>
      <c r="X3" s="137"/>
      <c r="Y3" s="137"/>
      <c r="Z3" s="137"/>
      <c r="AA3" s="137"/>
      <c r="AB3" s="137"/>
      <c r="AC3" s="137"/>
      <c r="AD3" s="137"/>
      <c r="AE3" s="137"/>
      <c r="AF3" s="137"/>
      <c r="AG3" s="137"/>
      <c r="AH3" s="137"/>
      <c r="AI3" s="137"/>
      <c r="AJ3" s="137"/>
    </row>
    <row r="4" spans="2:47" ht="16.149999999999999" customHeight="1" thickBot="1" x14ac:dyDescent="0.3">
      <c r="B4" s="313" t="str">
        <f>ListAVS!$B$16</f>
        <v>Fronty drewniane</v>
      </c>
      <c r="C4" s="306"/>
      <c r="E4" s="306"/>
      <c r="F4" s="269" t="str">
        <f>ListAVS!$B$180&amp;"  "</f>
        <v xml:space="preserve">Wykonanie frontów  </v>
      </c>
      <c r="J4" s="260"/>
      <c r="K4" s="1047" t="str">
        <f>IF($Z$78=3,IF($T$71=0,$Y$74," "),IF($T$71&gt;0,$Y$75," "))</f>
        <v xml:space="preserve"> </v>
      </c>
      <c r="L4" s="1047"/>
      <c r="S4" s="37" t="str">
        <f>" "&amp;ListAVS!$B$41&amp;" A "</f>
        <v xml:space="preserve"> Cena za korpus A </v>
      </c>
      <c r="X4" s="685" t="s">
        <v>28</v>
      </c>
      <c r="Y4" s="137"/>
      <c r="Z4" s="137"/>
      <c r="AA4" s="137"/>
      <c r="AB4" s="137"/>
      <c r="AC4" s="137"/>
      <c r="AD4" s="137"/>
      <c r="AE4" s="137"/>
      <c r="AF4" s="137"/>
      <c r="AG4" s="137"/>
      <c r="AH4" s="137"/>
      <c r="AI4" s="137"/>
      <c r="AJ4" s="137"/>
      <c r="AL4" s="383" t="str">
        <f>" "&amp;ListAVS!$B$154</f>
        <v xml:space="preserve"> Wprowadzenie do planowania</v>
      </c>
    </row>
    <row r="5" spans="2:47" ht="16.149999999999999" customHeight="1" x14ac:dyDescent="0.2">
      <c r="B5" s="137"/>
      <c r="C5" s="306"/>
      <c r="D5" s="306"/>
      <c r="E5" s="1027" t="str">
        <f>IF($Z$78&lt;&gt;3,$Y$73," ")&amp;"      "</f>
        <v xml:space="preserve"> Możesz zmienić wartości we Wstępie do planowania      </v>
      </c>
      <c r="F5" s="1027"/>
      <c r="G5" s="1027"/>
      <c r="H5" s="1027"/>
      <c r="I5" s="1027"/>
      <c r="J5" s="1027"/>
      <c r="K5" s="1047"/>
      <c r="L5" s="1047"/>
      <c r="S5" s="37" t="str">
        <f>" "&amp;ListAVS!$B$41&amp;" B "</f>
        <v xml:space="preserve"> Cena za korpus B </v>
      </c>
      <c r="X5" s="137"/>
      <c r="Y5" s="137"/>
      <c r="Z5" s="137"/>
      <c r="AA5" s="137"/>
      <c r="AB5" s="137"/>
      <c r="AC5" s="137"/>
      <c r="AD5" s="137"/>
      <c r="AE5" s="137"/>
      <c r="AF5" s="137"/>
      <c r="AG5" s="137"/>
      <c r="AH5" s="137"/>
      <c r="AI5" s="137"/>
      <c r="AJ5" s="137"/>
      <c r="AL5" s="634" t="str">
        <f>" "&amp;ListAVS!$B$155</f>
        <v xml:space="preserve"> Pomoc</v>
      </c>
    </row>
    <row r="6" spans="2:47" ht="22.5" customHeight="1" x14ac:dyDescent="0.2">
      <c r="B6" s="314"/>
      <c r="C6" s="306"/>
      <c r="D6" s="306"/>
      <c r="E6" s="306"/>
      <c r="F6" s="137"/>
      <c r="G6" s="137"/>
      <c r="H6" s="137"/>
      <c r="I6" s="306"/>
      <c r="J6" s="306"/>
      <c r="K6" s="306"/>
      <c r="S6" s="37" t="str">
        <f>" "&amp;ListAVS!$B$61</f>
        <v xml:space="preserve"> Cena całkowita bez VAT</v>
      </c>
      <c r="X6" s="137"/>
      <c r="Y6" s="137"/>
      <c r="Z6" s="137"/>
      <c r="AA6" s="137"/>
      <c r="AB6" s="137"/>
      <c r="AC6" s="137"/>
      <c r="AD6" s="137"/>
      <c r="AE6" s="137"/>
      <c r="AF6" s="137"/>
      <c r="AG6" s="137"/>
      <c r="AH6" s="137"/>
      <c r="AI6" s="137"/>
      <c r="AJ6" s="137"/>
      <c r="AL6" s="686"/>
      <c r="AS6" s="687"/>
    </row>
    <row r="7" spans="2:47" ht="16.149999999999999" customHeight="1" x14ac:dyDescent="0.2">
      <c r="B7" s="1059" t="str">
        <f>ListAVS!$B$51&amp;":   "</f>
        <v xml:space="preserve">Cena okucia:   </v>
      </c>
      <c r="C7" s="1060"/>
      <c r="D7" s="227"/>
      <c r="E7" s="404"/>
      <c r="F7" s="404"/>
      <c r="G7" s="1061">
        <f>IF(S2=1,$AF$47,IF($S$2=2,$AH$47,IF($S$2=3,$AD$47,0)))</f>
        <v>0</v>
      </c>
      <c r="H7" s="1062"/>
      <c r="I7" s="227"/>
      <c r="J7" s="227"/>
      <c r="K7" s="227"/>
      <c r="L7" s="227"/>
      <c r="Y7" s="938" t="str">
        <f>$B$2</f>
        <v xml:space="preserve"> AVENTOS HF top</v>
      </c>
      <c r="Z7" s="157"/>
      <c r="AA7" s="157"/>
      <c r="AB7" s="157"/>
      <c r="AC7" s="157"/>
      <c r="AD7" s="158"/>
      <c r="AE7" s="37"/>
      <c r="AF7" s="37"/>
      <c r="AG7" s="118"/>
      <c r="AH7" s="37"/>
      <c r="AI7" s="37"/>
      <c r="AJ7" s="37"/>
      <c r="AL7" s="675" t="str">
        <f>" "&amp;ListAVS!$B$160</f>
        <v xml:space="preserve"> Dodatki</v>
      </c>
      <c r="AQ7" s="687"/>
      <c r="AS7" s="687"/>
    </row>
    <row r="8" spans="2:47" ht="25.15" customHeight="1" thickBot="1" x14ac:dyDescent="0.25">
      <c r="B8" s="227"/>
      <c r="C8" s="227"/>
      <c r="G8" s="227"/>
      <c r="H8" s="579" t="str">
        <f>IF(AND(OR($S$9=2, $S$20=2), $AD$47&gt;0), $N$35, " ")</f>
        <v xml:space="preserve"> </v>
      </c>
      <c r="I8" s="227"/>
      <c r="J8" s="227"/>
      <c r="K8" s="227"/>
      <c r="L8" s="227"/>
      <c r="Y8" s="159" t="str">
        <f>ListAVS!B52</f>
        <v>Nazwa</v>
      </c>
      <c r="Z8" s="160" t="str">
        <f>ListAVS!$B$53</f>
        <v>Kod asortymentu</v>
      </c>
      <c r="AA8" s="161" t="str">
        <f>ListAVS!B54</f>
        <v>Kolor</v>
      </c>
      <c r="AB8" s="161" t="str">
        <f>ListAVS!B56</f>
        <v>Sztuka</v>
      </c>
      <c r="AC8" s="162" t="str">
        <f>ListAVS!B58</f>
        <v>Cena za sztukę</v>
      </c>
      <c r="AD8" s="161" t="str">
        <f>ListAVS!B59</f>
        <v>W sumie</v>
      </c>
      <c r="AE8" s="204" t="s">
        <v>29</v>
      </c>
      <c r="AF8" s="163" t="s">
        <v>30</v>
      </c>
      <c r="AG8" s="163" t="s">
        <v>31</v>
      </c>
      <c r="AH8" s="163" t="s">
        <v>30</v>
      </c>
      <c r="AI8" s="39"/>
      <c r="AJ8" s="39"/>
      <c r="AL8" s="671"/>
      <c r="AN8" s="1046" t="str">
        <f>"  "&amp;ListAVS!$B$86&amp;" LF "</f>
        <v xml:space="preserve">  Współczynnik mocy LF </v>
      </c>
      <c r="AO8" s="1046"/>
      <c r="AP8" s="953" t="s">
        <v>769</v>
      </c>
      <c r="AQ8" s="953" t="s">
        <v>770</v>
      </c>
    </row>
    <row r="9" spans="2:47" ht="16.149999999999999" customHeight="1" thickBot="1" x14ac:dyDescent="0.25">
      <c r="B9" s="1051" t="str">
        <f>"▼ "&amp;ListAVS!$B$318</f>
        <v>▼ Sposób otwierania</v>
      </c>
      <c r="C9" s="1052"/>
      <c r="D9" s="406" t="str">
        <f>IF($M$17&gt;0, ListAVS!$B$37&amp;": ", " ")</f>
        <v xml:space="preserve"> </v>
      </c>
      <c r="E9" s="688" t="str">
        <f>IF(SUM($AE$9:$AE$10)&gt;0,25,IF(SUM($AE$11:$AE$12)&gt;0,28," "))</f>
        <v xml:space="preserve"> </v>
      </c>
      <c r="F9" s="1056" t="str">
        <f>ListAVS!$B$64&amp;" A"</f>
        <v>Korpus A</v>
      </c>
      <c r="G9" s="1057"/>
      <c r="H9" s="1058"/>
      <c r="I9" s="227"/>
      <c r="J9" s="227"/>
      <c r="K9" s="227"/>
      <c r="L9" s="227"/>
      <c r="N9" s="39" t="s">
        <v>32</v>
      </c>
      <c r="O9" s="39"/>
      <c r="P9" s="39" t="s">
        <v>33</v>
      </c>
      <c r="Q9" s="39"/>
      <c r="S9" s="138">
        <v>1</v>
      </c>
      <c r="T9" s="1063" t="b">
        <v>0</v>
      </c>
      <c r="U9" s="1064"/>
      <c r="V9" s="139" t="s">
        <v>34</v>
      </c>
      <c r="W9" s="140"/>
      <c r="Y9" s="898" t="str">
        <f>CenAVS!A11</f>
        <v xml:space="preserve">Aventos HF Top słaby, wkręty      </v>
      </c>
      <c r="Z9" s="898" t="str">
        <f>CenAVS!B11</f>
        <v>22F2500</v>
      </c>
      <c r="AA9" s="883" t="str">
        <f>CenAVS!C11</f>
        <v>ZN</v>
      </c>
      <c r="AB9" s="665">
        <f t="shared" ref="AB9:AB15" si="0">SUM(AE9,AG9)</f>
        <v>0</v>
      </c>
      <c r="AC9" s="899">
        <f>CenAVS!F11</f>
        <v>180.23612</v>
      </c>
      <c r="AD9" s="900">
        <f>AB9*AC9</f>
        <v>0</v>
      </c>
      <c r="AE9" s="901">
        <f>IF($Y$48=1,ROUNDUP($M$17*$O$11,0),0)</f>
        <v>0</v>
      </c>
      <c r="AF9" s="902">
        <f t="shared" ref="AF9:AF18" si="1">$AC9*AE9</f>
        <v>0</v>
      </c>
      <c r="AG9" s="901">
        <f>IF($Y$48=1,ROUNDUP($M$28*$O$22,0),0)</f>
        <v>0</v>
      </c>
      <c r="AH9" s="902">
        <f t="shared" ref="AH9:AH18" si="2">$AC9*AG9</f>
        <v>0</v>
      </c>
      <c r="AI9" s="170"/>
      <c r="AJ9" s="170"/>
      <c r="AL9" s="383" t="str">
        <f>" "&amp;ListAVS!$B$157</f>
        <v xml:space="preserve"> Rodzaje korpusów</v>
      </c>
      <c r="AN9" s="1049" t="s">
        <v>786</v>
      </c>
      <c r="AO9" s="1050"/>
      <c r="AP9" s="689" t="s">
        <v>680</v>
      </c>
      <c r="AQ9" s="689" t="s">
        <v>681</v>
      </c>
    </row>
    <row r="10" spans="2:47" s="37" customFormat="1" ht="16.149999999999999" customHeight="1" thickBot="1" x14ac:dyDescent="0.25">
      <c r="B10" s="1065" t="str">
        <f>ListAVS!$B$74&amp;" KB [mm] "</f>
        <v xml:space="preserve">Szerokość korpusu KB [mm] </v>
      </c>
      <c r="C10" s="1066"/>
      <c r="D10" s="1066"/>
      <c r="E10" s="1066"/>
      <c r="F10" s="1066"/>
      <c r="G10" s="1067"/>
      <c r="H10" s="405"/>
      <c r="I10" s="256" t="str">
        <f>IF(H10=0," ",IF($H10&lt;220," min. 220mm"," "))&amp;IF(H17&gt;0,IF(H10=0,"● "&amp;ListAVS!$B$129," ")," ")</f>
        <v xml:space="preserve">  </v>
      </c>
      <c r="J10" s="227"/>
      <c r="K10" s="404"/>
      <c r="L10" s="227"/>
      <c r="N10" s="894"/>
      <c r="O10" s="895"/>
      <c r="P10" s="37" t="s">
        <v>35</v>
      </c>
      <c r="Q10" s="118">
        <f>IF(AND($P$16&gt;$AB$56,$P$16&lt;=$AC$56),SUM($O11:$O12),0)</f>
        <v>0</v>
      </c>
      <c r="S10" s="137"/>
      <c r="T10" s="203" t="s">
        <v>787</v>
      </c>
      <c r="U10" s="39"/>
      <c r="V10" s="118">
        <f>IF(OR($H10&gt;=1200,$T17&gt;=12),3,2)+IF(OR($H10&gt;=1800, $T17&gt;=20),1,0)+IF(OR($H10&gt;=2400, $T17&gt;=26),1,0)+IF(OR($H10&gt;=2800, $T17&gt;=30),1,0)</f>
        <v>2</v>
      </c>
      <c r="W10" s="39"/>
      <c r="X10" s="108"/>
      <c r="Y10" s="898" t="str">
        <f>CenAVS!A12</f>
        <v xml:space="preserve">Aventos HF Top słaby, eurowkręty      </v>
      </c>
      <c r="Z10" s="898" t="str">
        <f>CenAVS!B12</f>
        <v>22F2510</v>
      </c>
      <c r="AA10" s="883" t="str">
        <f>CenAVS!C12</f>
        <v>ZN</v>
      </c>
      <c r="AB10" s="665">
        <f t="shared" si="0"/>
        <v>0</v>
      </c>
      <c r="AC10" s="899">
        <f>CenAVS!F12</f>
        <v>181.63767999999999</v>
      </c>
      <c r="AD10" s="900">
        <f t="shared" ref="AD10:AD45" si="3">AB10*AC10</f>
        <v>0</v>
      </c>
      <c r="AE10" s="901">
        <f>IF($Y$48=2,ROUNDUP($M$17*$O$11,0),0)</f>
        <v>0</v>
      </c>
      <c r="AF10" s="902">
        <f t="shared" si="1"/>
        <v>0</v>
      </c>
      <c r="AG10" s="901">
        <f>IF($Y$48=2,ROUNDUP($M$28*$O$22,0),0)</f>
        <v>0</v>
      </c>
      <c r="AH10" s="902">
        <f t="shared" si="2"/>
        <v>0</v>
      </c>
      <c r="AI10" s="170"/>
      <c r="AJ10" s="170"/>
      <c r="AK10" s="108"/>
      <c r="AL10" s="383" t="str">
        <f>" "&amp;ListAVS!$B$158</f>
        <v xml:space="preserve"> Zamówienie</v>
      </c>
      <c r="AM10" s="137"/>
      <c r="AN10" s="1049" t="s">
        <v>734</v>
      </c>
      <c r="AO10" s="1050"/>
      <c r="AP10" s="689" t="s">
        <v>682</v>
      </c>
      <c r="AQ10" s="689" t="s">
        <v>683</v>
      </c>
    </row>
    <row r="11" spans="2:47" s="37" customFormat="1" ht="16.149999999999999" customHeight="1" x14ac:dyDescent="0.2">
      <c r="B11" s="1011" t="str">
        <f>ListAVS!$B$75&amp;" [mm]"</f>
        <v>Wysokość korpusu [mm]</v>
      </c>
      <c r="C11" s="1012"/>
      <c r="D11" s="1012"/>
      <c r="E11" s="297" t="s">
        <v>38</v>
      </c>
      <c r="F11" s="260"/>
      <c r="G11" s="295" t="s">
        <v>39</v>
      </c>
      <c r="H11" s="257"/>
      <c r="I11" s="256" t="str">
        <f>IF(H11=0," ",IF($H11&lt;480," min. 480mm",IF($H11&gt;1200," max. 1 200mm"," ")))&amp;IF(H17&gt;0,IF(H11=0,"● "&amp;ListAVS!$B$129," ")," ")</f>
        <v xml:space="preserve">  </v>
      </c>
      <c r="J11" s="227"/>
      <c r="K11" s="227"/>
      <c r="L11" s="227"/>
      <c r="N11" s="37" t="s">
        <v>40</v>
      </c>
      <c r="O11" s="118">
        <f>IF($H16&lt;$AB$50,0,IF($H16&lt;=$AC$50,1,0))</f>
        <v>0</v>
      </c>
      <c r="P11" s="37" t="s">
        <v>41</v>
      </c>
      <c r="Q11" s="118">
        <f>IF(AND($P$16&gt;$AB$57,$P$16&lt;=$AC$57),SUM($O11:$O12),0)</f>
        <v>0</v>
      </c>
      <c r="W11" s="118"/>
      <c r="X11" s="108"/>
      <c r="Y11" s="898" t="str">
        <f>CenAVS!A13</f>
        <v xml:space="preserve">Aventos HF Top mocny, wkręty      </v>
      </c>
      <c r="Z11" s="898" t="str">
        <f>CenAVS!B13</f>
        <v>22F2800</v>
      </c>
      <c r="AA11" s="883" t="str">
        <f>CenAVS!C13</f>
        <v>ZN</v>
      </c>
      <c r="AB11" s="665">
        <f t="shared" si="0"/>
        <v>0</v>
      </c>
      <c r="AC11" s="899">
        <f>CenAVS!F13</f>
        <v>196.99925999999999</v>
      </c>
      <c r="AD11" s="900">
        <f t="shared" si="3"/>
        <v>0</v>
      </c>
      <c r="AE11" s="901">
        <f>IF($Y$48=1,ROUNDUP($M$17*$O$12,0),0)</f>
        <v>0</v>
      </c>
      <c r="AF11" s="902">
        <f t="shared" si="1"/>
        <v>0</v>
      </c>
      <c r="AG11" s="901">
        <f>IF($Y$48=1,ROUNDUP($M$28*$O$23,0),0)</f>
        <v>0</v>
      </c>
      <c r="AH11" s="902">
        <f t="shared" si="2"/>
        <v>0</v>
      </c>
      <c r="AI11" s="170"/>
      <c r="AJ11" s="170"/>
      <c r="AK11" s="108"/>
      <c r="AM11" s="137"/>
    </row>
    <row r="12" spans="2:47" s="37" customFormat="1" ht="16.149999999999999" customHeight="1" x14ac:dyDescent="0.2">
      <c r="B12" s="1011" t="str">
        <f>ListAVS!$B$77&amp;" [kg] ** "</f>
        <v xml:space="preserve">Waga frontu wraz z uchwytem [kg] ** </v>
      </c>
      <c r="C12" s="1012"/>
      <c r="D12" s="1012"/>
      <c r="E12" s="1012"/>
      <c r="F12" s="1012"/>
      <c r="G12" s="1013"/>
      <c r="H12" s="258"/>
      <c r="I12" s="227" t="str">
        <f>IF($T14="ne", " ", IF(AND($H12=0,$H15=0, $H17&gt;0),$N$37," "))&amp;IF(AND($H17&gt;0, $H12&gt;0, $M17&gt;0),$N$41," ")</f>
        <v xml:space="preserve">  </v>
      </c>
      <c r="J12" s="227"/>
      <c r="K12" s="227"/>
      <c r="L12" s="227"/>
      <c r="N12" s="37" t="s">
        <v>44</v>
      </c>
      <c r="O12" s="118">
        <f>IF($H16&lt;$AB$51,0,IF($H16&lt;=$AC$51,1,IF(AND($H16&gt;$AB$52, $H16&lt;=$AC$52),1.5, IF($H16&gt;$AC$52, 2, 0))))</f>
        <v>0</v>
      </c>
      <c r="P12" s="37" t="s">
        <v>48</v>
      </c>
      <c r="Q12" s="118">
        <f>IF(AND($P$16&gt;$AB$58,$P$16&lt;=$AC$58),SUM($O11:$O12),0)</f>
        <v>0</v>
      </c>
      <c r="U12" s="118"/>
      <c r="W12" s="118"/>
      <c r="X12" s="108"/>
      <c r="Y12" s="898" t="str">
        <f>CenAVS!A14</f>
        <v xml:space="preserve">Aventos HF Top mocny, eurowkręty      </v>
      </c>
      <c r="Z12" s="898" t="str">
        <f>CenAVS!B14</f>
        <v>22F2810</v>
      </c>
      <c r="AA12" s="883" t="str">
        <f>CenAVS!C14</f>
        <v>ZN</v>
      </c>
      <c r="AB12" s="665">
        <f t="shared" si="0"/>
        <v>0</v>
      </c>
      <c r="AC12" s="899">
        <f>CenAVS!F14</f>
        <v>198.53095999999996</v>
      </c>
      <c r="AD12" s="900">
        <f>AB12*AC12</f>
        <v>0</v>
      </c>
      <c r="AE12" s="901">
        <f>IF($Y$48=2,ROUNDUP($M$17*$O$12,0),0)</f>
        <v>0</v>
      </c>
      <c r="AF12" s="902">
        <f>$AC12*AE12</f>
        <v>0</v>
      </c>
      <c r="AG12" s="901">
        <f>IF($Y$48=2,ROUNDUP($M$28*$O$23,0),0)</f>
        <v>0</v>
      </c>
      <c r="AH12" s="902">
        <f>$AC12*AG12</f>
        <v>0</v>
      </c>
      <c r="AI12" s="170"/>
      <c r="AJ12" s="170"/>
      <c r="AK12" s="108"/>
      <c r="AL12" s="108"/>
      <c r="AM12" s="137"/>
      <c r="AN12" s="1043" t="str">
        <f>ListAVS!$B$86&amp;" LF = "&amp;ListAVS!$B$320&amp;" [kg]"</f>
        <v>Współczynnik mocy LF = wysokość korpusu (KH) [mm] x waga obu frontów wraz z uchwytem [kg]</v>
      </c>
      <c r="AO12" s="1043"/>
      <c r="AP12" s="1043"/>
      <c r="AQ12" s="1043"/>
    </row>
    <row r="13" spans="2:47" s="37" customFormat="1" ht="16.149999999999999" customHeight="1" x14ac:dyDescent="0.2">
      <c r="B13" s="1055" t="str">
        <f>ListAVS!$B$293</f>
        <v>Obliczenie wagi</v>
      </c>
      <c r="C13" s="1055"/>
      <c r="D13" s="1053" t="str">
        <f>ListAVS!$B$80&amp;" TS [mm] "</f>
        <v xml:space="preserve">Grubość frontu TS [mm] </v>
      </c>
      <c r="E13" s="1053"/>
      <c r="F13" s="1053"/>
      <c r="G13" s="1054"/>
      <c r="H13" s="516"/>
      <c r="I13" s="256" t="str">
        <f>IF(OR(H17=0, $T14="ne")," ",IF(AND(H12=0, H13=0)," ● "&amp;ListAVS!$B$129," "))</f>
        <v xml:space="preserve"> </v>
      </c>
      <c r="J13" s="227"/>
      <c r="K13" s="227"/>
      <c r="L13" s="227"/>
      <c r="O13" s="118"/>
      <c r="Q13" s="118"/>
      <c r="U13" s="118"/>
      <c r="W13" s="118"/>
      <c r="X13" s="108"/>
      <c r="Y13" s="898" t="str">
        <f>CenAVS!A15</f>
        <v xml:space="preserve">zestaw ramion teleskop. HF Top 480-610mm     </v>
      </c>
      <c r="Z13" s="898" t="str">
        <f>CenAVS!B15</f>
        <v>22F3200</v>
      </c>
      <c r="AA13" s="883" t="str">
        <f>CenAVS!C15</f>
        <v>NI</v>
      </c>
      <c r="AB13" s="665">
        <f t="shared" si="0"/>
        <v>0</v>
      </c>
      <c r="AC13" s="899">
        <f>CenAVS!F15</f>
        <v>85.664479999999998</v>
      </c>
      <c r="AD13" s="900">
        <f t="shared" si="3"/>
        <v>0</v>
      </c>
      <c r="AE13" s="901">
        <f>ROUNDUP($M$17*Q10,0)</f>
        <v>0</v>
      </c>
      <c r="AF13" s="902">
        <f t="shared" si="1"/>
        <v>0</v>
      </c>
      <c r="AG13" s="901">
        <f>ROUNDUP($M$28*Q21,0)</f>
        <v>0</v>
      </c>
      <c r="AH13" s="902">
        <f t="shared" si="2"/>
        <v>0</v>
      </c>
      <c r="AI13" s="170"/>
      <c r="AJ13" s="170"/>
      <c r="AK13" s="108"/>
      <c r="AL13" s="108"/>
      <c r="AM13" s="137"/>
      <c r="AN13" s="1043"/>
      <c r="AO13" s="1043"/>
      <c r="AP13" s="1043"/>
      <c r="AQ13" s="1043"/>
    </row>
    <row r="14" spans="2:47" s="37" customFormat="1" ht="16.149999999999999" customHeight="1" x14ac:dyDescent="0.2">
      <c r="B14" s="1055"/>
      <c r="C14" s="1055"/>
      <c r="D14" s="1053" t="str">
        <f>ListAVS!$B$83&amp;" [kg] "</f>
        <v xml:space="preserve">Waga uchwytu [kg] </v>
      </c>
      <c r="E14" s="1053"/>
      <c r="F14" s="1053"/>
      <c r="G14" s="1054"/>
      <c r="H14" s="258"/>
      <c r="I14" s="227" t="str">
        <f>IF(OR(H17=0, $T14="ne"), " ", IF(AND(H12=0, S9=1, H14=0), " ● "&amp;ListAVS!$B$130," "))</f>
        <v xml:space="preserve"> </v>
      </c>
      <c r="J14" s="227"/>
      <c r="K14" s="227"/>
      <c r="L14" s="227"/>
      <c r="O14" s="118"/>
      <c r="Q14" s="118"/>
      <c r="S14" s="717" t="s">
        <v>79</v>
      </c>
      <c r="T14" s="928" t="str">
        <f>IF(AND(220&lt;=H10, H10&lt;=3000, 480&lt;=P16, P16&lt;=1200),"ano","ne")</f>
        <v>ne</v>
      </c>
      <c r="U14" s="118"/>
      <c r="W14" s="118"/>
      <c r="X14" s="108"/>
      <c r="Y14" s="898" t="str">
        <f>CenAVS!A16</f>
        <v xml:space="preserve">zestaw ramion teleskop. HF Top 600-910mm     </v>
      </c>
      <c r="Z14" s="898" t="str">
        <f>CenAVS!B16</f>
        <v>22F3500</v>
      </c>
      <c r="AA14" s="883" t="str">
        <f>CenAVS!C16</f>
        <v>NI</v>
      </c>
      <c r="AB14" s="665">
        <f t="shared" si="0"/>
        <v>0</v>
      </c>
      <c r="AC14" s="899">
        <f>CenAVS!F16</f>
        <v>105.22162</v>
      </c>
      <c r="AD14" s="900">
        <f t="shared" si="3"/>
        <v>0</v>
      </c>
      <c r="AE14" s="901">
        <f>ROUNDUP($M$17*Q11,0)</f>
        <v>0</v>
      </c>
      <c r="AF14" s="902">
        <f t="shared" si="1"/>
        <v>0</v>
      </c>
      <c r="AG14" s="901">
        <f>ROUNDUP($M$28*Q22,0)</f>
        <v>0</v>
      </c>
      <c r="AH14" s="902">
        <f t="shared" si="2"/>
        <v>0</v>
      </c>
      <c r="AI14" s="170"/>
      <c r="AJ14" s="170"/>
      <c r="AK14" s="108"/>
      <c r="AL14" s="108"/>
      <c r="AM14" s="137"/>
      <c r="AN14" s="1044" t="s">
        <v>442</v>
      </c>
      <c r="AO14" s="1044"/>
      <c r="AP14" s="1044"/>
      <c r="AQ14" s="1044"/>
      <c r="AR14" s="276"/>
    </row>
    <row r="15" spans="2:47" s="37" customFormat="1" ht="16.149999999999999" customHeight="1" x14ac:dyDescent="0.2">
      <c r="B15" s="1055"/>
      <c r="C15" s="1055"/>
      <c r="D15" s="1053" t="str">
        <f>ListAVS!$B$79&amp;" [kg] "</f>
        <v xml:space="preserve">Obliczona waga frontu [kg] </v>
      </c>
      <c r="E15" s="1053"/>
      <c r="F15" s="1053"/>
      <c r="G15" s="1054"/>
      <c r="H15" s="582">
        <f>$T$81</f>
        <v>0</v>
      </c>
      <c r="I15" s="227" t="str">
        <f>IF($M17&gt;0,IF($H15&gt;0,IF($H12=0,$N$41," ")," ")," ")&amp;IF(AND(H17&gt;0, H12=0, Z78=3, $J$4=0), $N$39, " ")</f>
        <v xml:space="preserve">  </v>
      </c>
      <c r="J15" s="227"/>
      <c r="K15" s="227"/>
      <c r="L15" s="227"/>
      <c r="O15" s="118"/>
      <c r="S15" s="717" t="s">
        <v>732</v>
      </c>
      <c r="T15" s="928" t="str">
        <f>IF(AND(H16&gt;=$AB$50, H16&lt;=$AC$53), "ano", "ne")</f>
        <v>ne</v>
      </c>
      <c r="X15" s="108"/>
      <c r="Y15" s="898" t="str">
        <f>CenAVS!A17</f>
        <v xml:space="preserve">zestaw ramion teleskop. HF Top 840-1200mm     </v>
      </c>
      <c r="Z15" s="898" t="str">
        <f>CenAVS!B17</f>
        <v>22F3900</v>
      </c>
      <c r="AA15" s="883" t="str">
        <f>CenAVS!C17</f>
        <v>NI</v>
      </c>
      <c r="AB15" s="665">
        <f t="shared" si="0"/>
        <v>0</v>
      </c>
      <c r="AC15" s="899">
        <f>CenAVS!F17</f>
        <v>124.77875</v>
      </c>
      <c r="AD15" s="900">
        <f t="shared" si="3"/>
        <v>0</v>
      </c>
      <c r="AE15" s="901">
        <f>ROUNDUP($M$17*Q12,0)</f>
        <v>0</v>
      </c>
      <c r="AF15" s="902">
        <f t="shared" si="1"/>
        <v>0</v>
      </c>
      <c r="AG15" s="901">
        <f>ROUNDUP($M$28*Q23,0)</f>
        <v>0</v>
      </c>
      <c r="AH15" s="902">
        <f t="shared" si="2"/>
        <v>0</v>
      </c>
      <c r="AI15" s="170"/>
      <c r="AJ15" s="170"/>
      <c r="AK15" s="108"/>
      <c r="AM15" s="137"/>
      <c r="AN15" s="1044"/>
      <c r="AO15" s="1044"/>
      <c r="AP15" s="1044"/>
      <c r="AQ15" s="1044"/>
      <c r="AR15" s="276"/>
    </row>
    <row r="16" spans="2:47" s="37" customFormat="1" ht="16.149999999999999" customHeight="1" thickBot="1" x14ac:dyDescent="0.25">
      <c r="B16" s="1011" t="str">
        <f>ListAVS!$B$86&amp;" LF "</f>
        <v xml:space="preserve">Współczynnik mocy LF </v>
      </c>
      <c r="C16" s="1012"/>
      <c r="D16" s="1012"/>
      <c r="E16" s="1012"/>
      <c r="F16" s="1012"/>
      <c r="G16" s="1013"/>
      <c r="H16" s="400">
        <f>IF(H12&gt;0, H11*H12, H11*H15)</f>
        <v>0</v>
      </c>
      <c r="I16" s="961" t="str">
        <f>IF(OR($T14="ne", $H17=0), " ", IF(AND(H16&gt;0, H16&lt;$AB$50), $T$44, IF($H16&gt;$AC$53,$N$44,IF(AND($H16&gt;$AC$51, $H$16&lt;=$AC$52),$N$45, IF($H$16&gt;$AC$52, $Q$45, " "))))&amp;IF(OR(H16&gt;$AC$53, $M17=0)," ",IF(AND($S9=2,$H16&gt;$AC$51),$U$45,"  ")))</f>
        <v xml:space="preserve"> </v>
      </c>
      <c r="J16" s="227"/>
      <c r="K16" s="227"/>
      <c r="L16" s="227"/>
      <c r="O16" s="153" t="s">
        <v>49</v>
      </c>
      <c r="P16" s="165">
        <f>IF(F11&gt;0,IF(F11&gt;=H11,F11,0),H11)</f>
        <v>0</v>
      </c>
      <c r="X16" s="108"/>
      <c r="Y16" s="898" t="str">
        <f>CenAVS!A47</f>
        <v xml:space="preserve">Zaślepki HF/HL/HS - Top bez SD jasnoszare HGR   </v>
      </c>
      <c r="Z16" s="898" t="str">
        <f>CenAVS!B47</f>
        <v>22.8000</v>
      </c>
      <c r="AA16" s="883" t="str">
        <f>CenAVS!C47</f>
        <v>HGR</v>
      </c>
      <c r="AB16" s="665">
        <f t="shared" ref="AB16:AB25" si="4">SUM(AE16,AG16)</f>
        <v>0</v>
      </c>
      <c r="AC16" s="899">
        <f>CenAVS!F47</f>
        <v>27.586120000000001</v>
      </c>
      <c r="AD16" s="900">
        <f t="shared" si="3"/>
        <v>0</v>
      </c>
      <c r="AE16" s="903">
        <f>IF(AND($S$9=1, $T$48=1), SUM($AE$9:$AE$12), 0)</f>
        <v>0</v>
      </c>
      <c r="AF16" s="902">
        <f t="shared" si="1"/>
        <v>0</v>
      </c>
      <c r="AG16" s="903">
        <f>IF(AND($S$20=1, $T$48=1), SUM($AG$9:$AG$12), 0)</f>
        <v>0</v>
      </c>
      <c r="AH16" s="902">
        <f t="shared" si="2"/>
        <v>0</v>
      </c>
      <c r="AI16" s="170"/>
      <c r="AJ16" s="170"/>
      <c r="AK16" s="108"/>
      <c r="AM16" s="137"/>
      <c r="AN16" s="137"/>
      <c r="AO16" s="137"/>
    </row>
    <row r="17" spans="1:41" s="37" customFormat="1" ht="16.149999999999999" customHeight="1" thickBot="1" x14ac:dyDescent="0.25">
      <c r="B17" s="1011" t="str">
        <f>ListAVS!$B$71&amp;" "</f>
        <v xml:space="preserve">Ilość szafek </v>
      </c>
      <c r="C17" s="1012"/>
      <c r="D17" s="1012"/>
      <c r="E17" s="1012"/>
      <c r="F17" s="1012"/>
      <c r="G17" s="1012"/>
      <c r="H17" s="261"/>
      <c r="I17" s="256"/>
      <c r="J17" s="227"/>
      <c r="K17" s="227"/>
      <c r="L17" s="227"/>
      <c r="M17" s="315">
        <f>IF($H10*$P16=0,0,IF(SUM($H12,$H15)=0,0,IF($P16&gt;$AC$59,0,IF(P16&lt;$AB$56,0,IF(OR(T14="ne", T15="ne"),0,$H17)))))</f>
        <v>0</v>
      </c>
      <c r="N17" s="37" t="s">
        <v>50</v>
      </c>
      <c r="S17" s="690" t="s">
        <v>51</v>
      </c>
      <c r="T17" s="691">
        <f>IF(H12&gt;0,H12,H15)</f>
        <v>0</v>
      </c>
      <c r="U17" s="37">
        <f>IF(SUM(H12,H15)=0,0,IF(H12&gt;0,1,2))</f>
        <v>0</v>
      </c>
      <c r="V17" s="571" t="s">
        <v>52</v>
      </c>
      <c r="X17" s="108"/>
      <c r="Y17" s="898" t="str">
        <f>CenAVS!A48</f>
        <v xml:space="preserve">zaślepki HF/HL/HS - Top bez SD ciemnoszare TGR   </v>
      </c>
      <c r="Z17" s="898" t="str">
        <f>CenAVS!B48</f>
        <v>22.8000</v>
      </c>
      <c r="AA17" s="883" t="str">
        <f>CenAVS!C48</f>
        <v>TGR</v>
      </c>
      <c r="AB17" s="665">
        <f t="shared" si="4"/>
        <v>0</v>
      </c>
      <c r="AC17" s="899">
        <f>CenAVS!F48</f>
        <v>30.106369999999998</v>
      </c>
      <c r="AD17" s="900">
        <f t="shared" si="3"/>
        <v>0</v>
      </c>
      <c r="AE17" s="903">
        <f>IF(AND($S$9=1, $T$48=2), SUM($AE$9:$AE$12), 0)</f>
        <v>0</v>
      </c>
      <c r="AF17" s="902">
        <f t="shared" si="1"/>
        <v>0</v>
      </c>
      <c r="AG17" s="903">
        <f>IF(AND($S$20=1, $T$48=2), SUM($AG$9:$AG$12), 0)</f>
        <v>0</v>
      </c>
      <c r="AH17" s="902">
        <f t="shared" si="2"/>
        <v>0</v>
      </c>
      <c r="AI17" s="170"/>
      <c r="AJ17" s="170"/>
      <c r="AK17" s="108"/>
      <c r="AM17" s="137"/>
      <c r="AN17" s="545" t="s">
        <v>771</v>
      </c>
      <c r="AO17" s="137"/>
    </row>
    <row r="18" spans="1:41" s="37" customFormat="1" ht="16.149999999999999" customHeight="1" x14ac:dyDescent="0.2">
      <c r="B18" s="227" t="str">
        <f>IF(H17&gt;0,IF(U17=0," ",IF(U17=1,$N$53,$N$54))," ")&amp;IF(H17&gt;0,IF(U17=0," ",IF(U17=1,$N$55,$N$56))," ")</f>
        <v xml:space="preserve">  </v>
      </c>
      <c r="C18" s="227"/>
      <c r="D18" s="227"/>
      <c r="E18" s="227"/>
      <c r="F18" s="262"/>
      <c r="G18" s="262"/>
      <c r="H18" s="227"/>
      <c r="I18" s="227"/>
      <c r="J18" s="227"/>
      <c r="K18" s="227"/>
      <c r="L18" s="227"/>
      <c r="X18" s="108"/>
      <c r="Y18" s="898" t="str">
        <f>CenAVS!A49</f>
        <v xml:space="preserve">Zaślepki HF/HL/HS - Top bez SD białe SW   </v>
      </c>
      <c r="Z18" s="898" t="str">
        <f>CenAVS!B49</f>
        <v>22.8000</v>
      </c>
      <c r="AA18" s="883" t="str">
        <f>CenAVS!C49</f>
        <v>SW</v>
      </c>
      <c r="AB18" s="665">
        <f t="shared" si="4"/>
        <v>0</v>
      </c>
      <c r="AC18" s="899">
        <f>CenAVS!F49</f>
        <v>30.106369999999998</v>
      </c>
      <c r="AD18" s="900">
        <f t="shared" si="3"/>
        <v>0</v>
      </c>
      <c r="AE18" s="903">
        <f>IF(AND($S$9=1, $T$48=3), SUM($AE$9:$AE$12), 0)</f>
        <v>0</v>
      </c>
      <c r="AF18" s="902">
        <f t="shared" si="1"/>
        <v>0</v>
      </c>
      <c r="AG18" s="903">
        <f>IF(AND($S$20=1, $T$48=3), SUM($AG$9:$AG$12), 0)</f>
        <v>0</v>
      </c>
      <c r="AH18" s="902">
        <f t="shared" si="2"/>
        <v>0</v>
      </c>
      <c r="AI18" s="170"/>
      <c r="AJ18" s="170"/>
      <c r="AK18" s="108"/>
      <c r="AM18" s="137"/>
      <c r="AN18" s="545" t="s">
        <v>772</v>
      </c>
      <c r="AO18" s="137"/>
    </row>
    <row r="19" spans="1:41" s="37" customFormat="1" ht="25.15" customHeight="1" thickBot="1" x14ac:dyDescent="0.25">
      <c r="B19" s="275" t="str">
        <f>IF(F11=0," ",IF(F11&gt;1200,"TKH = max. 1200!",IF(F11&lt;480,"TKH = min. 480!",IF(F11&lt;H11,$N$59,IF(H17&gt;0,IF(F11=0," ",IF(AND(F11&gt;0,M17=1), $N$58," "))," ")))))</f>
        <v xml:space="preserve"> </v>
      </c>
      <c r="C19" s="227"/>
      <c r="D19" s="227"/>
      <c r="E19" s="227"/>
      <c r="F19" s="262"/>
      <c r="G19" s="262"/>
      <c r="H19" s="227"/>
      <c r="I19" s="227"/>
      <c r="J19" s="227"/>
      <c r="K19" s="227"/>
      <c r="L19" s="227"/>
      <c r="X19" s="108"/>
      <c r="Y19" s="898" t="str">
        <f>CenAVS!A50</f>
        <v xml:space="preserve">zaślepki HF/HL/HS - Top do SD jasnoszare HGR   </v>
      </c>
      <c r="Z19" s="898" t="str">
        <f>CenAVS!B50</f>
        <v>23.8000</v>
      </c>
      <c r="AA19" s="883" t="str">
        <f>CenAVS!C50</f>
        <v>HGR</v>
      </c>
      <c r="AB19" s="665">
        <f t="shared" si="4"/>
        <v>0</v>
      </c>
      <c r="AC19" s="899">
        <f>CenAVS!F50</f>
        <v>284.41748999999999</v>
      </c>
      <c r="AD19" s="900">
        <f t="shared" si="3"/>
        <v>0</v>
      </c>
      <c r="AE19" s="903">
        <f>IF(AND($S$9=2, $T$48=1), $AE$45, 0)</f>
        <v>0</v>
      </c>
      <c r="AF19" s="902">
        <f t="shared" ref="AF19:AF26" si="5">$AC19*AE19</f>
        <v>0</v>
      </c>
      <c r="AG19" s="903">
        <f>IF(AND($S$20=2, $T$48=1), $AG$45, 0)</f>
        <v>0</v>
      </c>
      <c r="AH19" s="902">
        <f t="shared" ref="AH19:AH27" si="6">$AC19*AG19</f>
        <v>0</v>
      </c>
      <c r="AI19" s="170"/>
      <c r="AJ19" s="170"/>
      <c r="AK19" s="108"/>
      <c r="AL19" s="679" t="str">
        <f>" "&amp;ListAVS!$B$195</f>
        <v xml:space="preserve"> Obliczanie frontów asymetrycznych</v>
      </c>
      <c r="AM19" s="137"/>
      <c r="AN19" s="137"/>
      <c r="AO19" s="137"/>
    </row>
    <row r="20" spans="1:41" s="37" customFormat="1" ht="16.149999999999999" customHeight="1" thickBot="1" x14ac:dyDescent="0.25">
      <c r="B20" s="1051" t="str">
        <f>"▼ "&amp;ListAVS!$B$318</f>
        <v>▼ Sposób otwierania</v>
      </c>
      <c r="C20" s="1052"/>
      <c r="D20" s="406" t="str">
        <f>IF($M$28&gt;0, ListAVS!$B$37&amp;": ", " ")</f>
        <v xml:space="preserve"> </v>
      </c>
      <c r="E20" s="688" t="str">
        <f>IF(SUM($AG$9:$AG$10)&gt;0,25,IF(SUM($AG$11:$AG$12)&gt;0,28," "))</f>
        <v xml:space="preserve"> </v>
      </c>
      <c r="F20" s="1056" t="str">
        <f>ListAVS!$B$64&amp;" B"</f>
        <v>Korpus B</v>
      </c>
      <c r="G20" s="1057"/>
      <c r="H20" s="1058"/>
      <c r="I20" s="227"/>
      <c r="J20" s="227"/>
      <c r="K20" s="227"/>
      <c r="L20" s="227"/>
      <c r="N20" s="39" t="s">
        <v>53</v>
      </c>
      <c r="O20" s="39"/>
      <c r="P20" s="39" t="s">
        <v>33</v>
      </c>
      <c r="Q20" s="39"/>
      <c r="S20" s="138">
        <v>1</v>
      </c>
      <c r="T20" s="1063" t="b">
        <v>0</v>
      </c>
      <c r="U20" s="1064"/>
      <c r="V20" s="139" t="s">
        <v>34</v>
      </c>
      <c r="W20" s="140"/>
      <c r="X20" s="108"/>
      <c r="Y20" s="898" t="str">
        <f>CenAVS!A51</f>
        <v xml:space="preserve">Zaślepki HF/HL/HS - Top do SD ciemnoszare TGR   </v>
      </c>
      <c r="Z20" s="898" t="str">
        <f>CenAVS!B51</f>
        <v>23.8000</v>
      </c>
      <c r="AA20" s="883" t="str">
        <f>CenAVS!C51</f>
        <v>TGR</v>
      </c>
      <c r="AB20" s="665">
        <f t="shared" si="4"/>
        <v>0</v>
      </c>
      <c r="AC20" s="899">
        <f>CenAVS!F51</f>
        <v>295.60313000000002</v>
      </c>
      <c r="AD20" s="900">
        <f t="shared" si="3"/>
        <v>0</v>
      </c>
      <c r="AE20" s="903">
        <f>IF(AND($S$9=2, $T$48=2), $AE$45, 0)</f>
        <v>0</v>
      </c>
      <c r="AF20" s="902">
        <f t="shared" si="5"/>
        <v>0</v>
      </c>
      <c r="AG20" s="903">
        <f>IF(AND($S$20=2, $T$48=2), $AG$45, 0)</f>
        <v>0</v>
      </c>
      <c r="AH20" s="902">
        <f t="shared" si="6"/>
        <v>0</v>
      </c>
      <c r="AI20" s="170"/>
      <c r="AJ20" s="170"/>
      <c r="AK20" s="108"/>
      <c r="AM20" s="137"/>
      <c r="AO20" s="137"/>
    </row>
    <row r="21" spans="1:41" s="37" customFormat="1" ht="16.149999999999999" customHeight="1" x14ac:dyDescent="0.2">
      <c r="B21" s="1011" t="str">
        <f>ListAVS!$B$74&amp;" KB [mm] "</f>
        <v xml:space="preserve">Szerokość korpusu KB [mm] </v>
      </c>
      <c r="C21" s="1012"/>
      <c r="D21" s="1066"/>
      <c r="E21" s="1066"/>
      <c r="F21" s="1066"/>
      <c r="G21" s="1013"/>
      <c r="H21" s="257"/>
      <c r="I21" s="256" t="str">
        <f>IF(H21=0," ",IF($H21&lt;220," min. 220mm"," "))&amp;IF(H28&gt;0,IF(H21=0,"● "&amp;ListAVS!$B$129," ")," ")</f>
        <v xml:space="preserve">  </v>
      </c>
      <c r="J21" s="227"/>
      <c r="K21" s="227"/>
      <c r="L21" s="227"/>
      <c r="N21" s="894"/>
      <c r="O21" s="895"/>
      <c r="P21" s="37" t="s">
        <v>35</v>
      </c>
      <c r="Q21" s="118">
        <f>IF(AND($P$27&gt;$AB$56,$P$27&lt;=$AC$56),SUM($O22:$O23),0)</f>
        <v>0</v>
      </c>
      <c r="T21" s="203" t="s">
        <v>787</v>
      </c>
      <c r="U21" s="39"/>
      <c r="V21" s="118">
        <f>IF(OR($H21&gt;=1200,$T28&gt;=12),3,2)+IF(OR($H21&gt;=1800, $T28&gt;=20),1,0)+IF(OR($H21&gt;=2400, $T28&gt;=26),1,0)+IF(OR($H21&gt;=2800, $T28&gt;=30),1,0)</f>
        <v>2</v>
      </c>
      <c r="W21" s="39"/>
      <c r="X21" s="108"/>
      <c r="Y21" s="898" t="str">
        <f>CenAVS!A52</f>
        <v xml:space="preserve">Zaślepki HF/HL/HS - Top do SD białe SW   </v>
      </c>
      <c r="Z21" s="898" t="str">
        <f>CenAVS!B52</f>
        <v>23.8000</v>
      </c>
      <c r="AA21" s="883" t="str">
        <f>CenAVS!C52</f>
        <v>SW</v>
      </c>
      <c r="AB21" s="665">
        <f t="shared" si="4"/>
        <v>0</v>
      </c>
      <c r="AC21" s="899">
        <f>CenAVS!F52</f>
        <v>295.60313000000002</v>
      </c>
      <c r="AD21" s="900">
        <f t="shared" si="3"/>
        <v>0</v>
      </c>
      <c r="AE21" s="903">
        <f>IF(AND($S$9=2, $T$48=3), $AE$45, 0)</f>
        <v>0</v>
      </c>
      <c r="AF21" s="902">
        <f t="shared" si="5"/>
        <v>0</v>
      </c>
      <c r="AG21" s="903">
        <f>IF(AND($S$20=2, $T$48=3), $AG$45, 0)</f>
        <v>0</v>
      </c>
      <c r="AH21" s="902">
        <f t="shared" si="6"/>
        <v>0</v>
      </c>
      <c r="AI21" s="318"/>
      <c r="AJ21" s="318"/>
      <c r="AK21" s="108"/>
      <c r="AL21" s="692"/>
      <c r="AM21" s="137"/>
      <c r="AO21" s="137"/>
    </row>
    <row r="22" spans="1:41" s="37" customFormat="1" ht="16.149999999999999" customHeight="1" x14ac:dyDescent="0.2">
      <c r="B22" s="1011" t="str">
        <f>ListAVS!$B$75&amp;" [mm]"</f>
        <v>Wysokość korpusu [mm]</v>
      </c>
      <c r="C22" s="1012"/>
      <c r="D22" s="1012"/>
      <c r="E22" s="297" t="s">
        <v>38</v>
      </c>
      <c r="F22" s="260"/>
      <c r="G22" s="295" t="s">
        <v>39</v>
      </c>
      <c r="H22" s="257"/>
      <c r="I22" s="256" t="str">
        <f>IF(H22=0," ",IF($H22&lt;480," min. 480mm",IF($H22&gt;1200," max. 1 200mm"," ")))&amp;IF(H28&gt;0,IF(H22=0,"● "&amp;ListAVS!$B$129," ")," ")</f>
        <v xml:space="preserve">  </v>
      </c>
      <c r="J22" s="227"/>
      <c r="K22" s="227"/>
      <c r="L22" s="227"/>
      <c r="N22" s="37" t="s">
        <v>40</v>
      </c>
      <c r="O22" s="118">
        <f>IF($H27&lt;$AB$50,0,IF($H27&lt;=$AC$50,1,0))</f>
        <v>0</v>
      </c>
      <c r="P22" s="37" t="s">
        <v>41</v>
      </c>
      <c r="Q22" s="118">
        <f>IF(AND($P$27&gt;$AB$57,$P$27&lt;=$AC$57),SUM($O22:$O23),0)</f>
        <v>0</v>
      </c>
      <c r="U22" s="118"/>
      <c r="W22" s="118"/>
      <c r="X22" s="108"/>
      <c r="Y22" s="898" t="str">
        <f>CenAVS!A18</f>
        <v xml:space="preserve">nakładany Tip-on wkręt 120°       </v>
      </c>
      <c r="Z22" s="898" t="str">
        <f>CenAVS!B18</f>
        <v>70T5550.TL</v>
      </c>
      <c r="AA22" s="883" t="str">
        <f>CenAVS!C18</f>
        <v>NI</v>
      </c>
      <c r="AB22" s="665">
        <f t="shared" si="4"/>
        <v>0</v>
      </c>
      <c r="AC22" s="899">
        <f>CenAVS!F18</f>
        <v>5.5152999999999999</v>
      </c>
      <c r="AD22" s="900">
        <f t="shared" si="3"/>
        <v>0</v>
      </c>
      <c r="AE22" s="903">
        <f>IF($N$48=2, $V$10*$M$17, 0)</f>
        <v>0</v>
      </c>
      <c r="AF22" s="902">
        <f t="shared" si="5"/>
        <v>0</v>
      </c>
      <c r="AG22" s="903">
        <f>IF($N$48=2, $V$21*$M$28, 0)</f>
        <v>0</v>
      </c>
      <c r="AH22" s="902">
        <f t="shared" si="6"/>
        <v>0</v>
      </c>
      <c r="AI22" s="170"/>
      <c r="AJ22" s="170"/>
      <c r="AK22" s="108"/>
      <c r="AL22" s="255"/>
      <c r="AM22" s="137"/>
      <c r="AN22" s="137"/>
      <c r="AO22" s="137"/>
    </row>
    <row r="23" spans="1:41" s="37" customFormat="1" ht="16.149999999999999" customHeight="1" x14ac:dyDescent="0.2">
      <c r="B23" s="1011" t="str">
        <f>ListAVS!$B$77&amp;" [kg] ** "</f>
        <v xml:space="preserve">Waga frontu wraz z uchwytem [kg] ** </v>
      </c>
      <c r="C23" s="1012"/>
      <c r="D23" s="1012"/>
      <c r="E23" s="1012"/>
      <c r="F23" s="1012"/>
      <c r="G23" s="1013"/>
      <c r="H23" s="263"/>
      <c r="I23" s="227" t="str">
        <f>IF($T25="ne", " ", IF(AND($H23=0,$H26=0, $H28&gt;0),$N$37," "))&amp;IF(AND($H28&gt;0, $H23&gt;0, $M28&gt;0),$N$41," ")</f>
        <v xml:space="preserve">  </v>
      </c>
      <c r="J23" s="227"/>
      <c r="K23" s="227"/>
      <c r="L23" s="227"/>
      <c r="N23" s="37" t="s">
        <v>44</v>
      </c>
      <c r="O23" s="118">
        <f>IF($H27&lt;$AB$51,0,IF($H27&lt;=$AC$51,1,IF(AND($H27&gt;$AB$52, $H27&lt;=$AC$52),1.5, IF($H27&gt;$AC$52, 2, 0))))</f>
        <v>0</v>
      </c>
      <c r="P23" s="37" t="s">
        <v>48</v>
      </c>
      <c r="Q23" s="118">
        <f>IF(AND($P$27&gt;$AB$58,$P$27&lt;=$AC$58),SUM($O22:$O23),0)</f>
        <v>0</v>
      </c>
      <c r="U23" s="118"/>
      <c r="W23" s="118"/>
      <c r="X23" s="108"/>
      <c r="Y23" s="898" t="str">
        <f>CenAVS!A19</f>
        <v xml:space="preserve">zawias nakładany Tip-on Expando 120°      </v>
      </c>
      <c r="Z23" s="898" t="str">
        <f>CenAVS!B19</f>
        <v>70T558E</v>
      </c>
      <c r="AA23" s="883" t="str">
        <f>CenAVS!C19</f>
        <v>NI</v>
      </c>
      <c r="AB23" s="665">
        <f t="shared" si="4"/>
        <v>0</v>
      </c>
      <c r="AC23" s="899">
        <f>CenAVS!F19</f>
        <v>5.8604399999999996</v>
      </c>
      <c r="AD23" s="900">
        <f t="shared" si="3"/>
        <v>0</v>
      </c>
      <c r="AE23" s="903">
        <f>IF($N$48=1, $V$10*$M$17, 0)</f>
        <v>0</v>
      </c>
      <c r="AF23" s="902">
        <f t="shared" si="5"/>
        <v>0</v>
      </c>
      <c r="AG23" s="903">
        <f>IF($N$48=1, $V$21*$M$28, 0)</f>
        <v>0</v>
      </c>
      <c r="AH23" s="902">
        <f t="shared" si="6"/>
        <v>0</v>
      </c>
      <c r="AI23" s="170"/>
      <c r="AJ23" s="170"/>
      <c r="AK23" s="108"/>
      <c r="AL23" s="255"/>
      <c r="AM23" s="137"/>
      <c r="AN23" s="137"/>
      <c r="AO23" s="137"/>
    </row>
    <row r="24" spans="1:41" s="37" customFormat="1" ht="16.149999999999999" customHeight="1" x14ac:dyDescent="0.2">
      <c r="B24" s="1055" t="str">
        <f>ListAVS!$B$293</f>
        <v>Obliczenie wagi</v>
      </c>
      <c r="C24" s="1055"/>
      <c r="D24" s="1053" t="str">
        <f>ListAVS!$B$80&amp;" TS [mm] "</f>
        <v xml:space="preserve">Grubość frontu TS [mm] </v>
      </c>
      <c r="E24" s="1053"/>
      <c r="F24" s="1053"/>
      <c r="G24" s="1054"/>
      <c r="H24" s="580"/>
      <c r="I24" s="256" t="str">
        <f>IF(OR(H28=0, $T25="ne")," ",IF(AND(H23=0, H24=0)," ● "&amp;ListAVS!$B$129," "))</f>
        <v xml:space="preserve"> </v>
      </c>
      <c r="J24" s="227"/>
      <c r="K24" s="227"/>
      <c r="L24" s="227"/>
      <c r="O24" s="118"/>
      <c r="Q24" s="118"/>
      <c r="U24" s="118"/>
      <c r="W24" s="118"/>
      <c r="X24" s="108"/>
      <c r="Y24" s="898" t="str">
        <f>CenAVS!A20</f>
        <v xml:space="preserve">zawias środkowy wkręt        </v>
      </c>
      <c r="Z24" s="898" t="str">
        <f>CenAVS!B20</f>
        <v>78Z5500T</v>
      </c>
      <c r="AA24" s="883" t="str">
        <f>CenAVS!C20</f>
        <v>NI</v>
      </c>
      <c r="AB24" s="665">
        <f t="shared" si="4"/>
        <v>0</v>
      </c>
      <c r="AC24" s="899">
        <f>CenAVS!F20</f>
        <v>10.1708</v>
      </c>
      <c r="AD24" s="900">
        <f t="shared" si="3"/>
        <v>0</v>
      </c>
      <c r="AE24" s="903">
        <f>IF($P$48=2, $V$10*$M$17, 0)</f>
        <v>0</v>
      </c>
      <c r="AF24" s="902">
        <f t="shared" si="5"/>
        <v>0</v>
      </c>
      <c r="AG24" s="903">
        <f>IF($P$48=2, $V$21*$M$28, 0)</f>
        <v>0</v>
      </c>
      <c r="AH24" s="902">
        <f t="shared" si="6"/>
        <v>0</v>
      </c>
      <c r="AI24" s="170"/>
      <c r="AJ24" s="170"/>
      <c r="AK24" s="108"/>
      <c r="AL24" s="255"/>
      <c r="AM24" s="137"/>
      <c r="AN24" s="137"/>
      <c r="AO24" s="137"/>
    </row>
    <row r="25" spans="1:41" s="37" customFormat="1" ht="16.149999999999999" customHeight="1" x14ac:dyDescent="0.2">
      <c r="B25" s="1055"/>
      <c r="C25" s="1055"/>
      <c r="D25" s="1053" t="str">
        <f>ListAVS!$B$83&amp;" [kg] "</f>
        <v xml:space="preserve">Waga uchwytu [kg] </v>
      </c>
      <c r="E25" s="1053"/>
      <c r="F25" s="1053"/>
      <c r="G25" s="1054"/>
      <c r="H25" s="263"/>
      <c r="I25" s="227" t="str">
        <f>IF(OR(H28=0, $T25="ne"), " ", IF(AND(H23=0, S20=1, H25=0), " ● "&amp;ListAVS!$B$130," "))</f>
        <v xml:space="preserve"> </v>
      </c>
      <c r="J25" s="227"/>
      <c r="K25" s="227"/>
      <c r="L25" s="227"/>
      <c r="O25" s="118"/>
      <c r="Q25" s="118"/>
      <c r="S25" s="717" t="s">
        <v>79</v>
      </c>
      <c r="T25" s="928" t="str">
        <f>IF(AND(220&lt;=H21, H21&lt;=3000, 480&lt;=P27, P27&lt;=1200),"ano","ne")</f>
        <v>ne</v>
      </c>
      <c r="U25" s="118"/>
      <c r="W25" s="118"/>
      <c r="X25" s="108"/>
      <c r="Y25" s="898" t="str">
        <f>CenAVS!A21</f>
        <v xml:space="preserve">zawias środkowy Expando        </v>
      </c>
      <c r="Z25" s="898" t="str">
        <f>CenAVS!B21</f>
        <v>78Z553ET</v>
      </c>
      <c r="AA25" s="883" t="str">
        <f>CenAVS!C21</f>
        <v>NI</v>
      </c>
      <c r="AB25" s="665">
        <f t="shared" si="4"/>
        <v>0</v>
      </c>
      <c r="AC25" s="899">
        <f>CenAVS!F21</f>
        <v>10.498419999999999</v>
      </c>
      <c r="AD25" s="900">
        <f t="shared" si="3"/>
        <v>0</v>
      </c>
      <c r="AE25" s="903">
        <f>IF($P$48=1, $V$10*$M$17, 0)</f>
        <v>0</v>
      </c>
      <c r="AF25" s="902">
        <f t="shared" si="5"/>
        <v>0</v>
      </c>
      <c r="AG25" s="903">
        <f>IF($P$48=1, $V$21*$M$28, 0)</f>
        <v>0</v>
      </c>
      <c r="AH25" s="902">
        <f t="shared" si="6"/>
        <v>0</v>
      </c>
      <c r="AI25" s="170"/>
      <c r="AJ25" s="170"/>
      <c r="AK25" s="108"/>
      <c r="AL25" s="255"/>
      <c r="AM25" s="137"/>
      <c r="AN25" s="137"/>
      <c r="AO25" s="137"/>
    </row>
    <row r="26" spans="1:41" s="37" customFormat="1" ht="16.149999999999999" customHeight="1" x14ac:dyDescent="0.2">
      <c r="B26" s="1055"/>
      <c r="C26" s="1055"/>
      <c r="D26" s="1053" t="str">
        <f>ListAVS!$B$79&amp;" [kg] "</f>
        <v xml:space="preserve">Obliczona waga frontu [kg] </v>
      </c>
      <c r="E26" s="1053"/>
      <c r="F26" s="1053"/>
      <c r="G26" s="1054"/>
      <c r="H26" s="582">
        <f>$T$90</f>
        <v>0</v>
      </c>
      <c r="I26" s="227" t="str">
        <f>IF($M28&gt;0,IF($H26&gt;0,IF($H23=0,$N$41," ")," ")," ")&amp;IF(AND(H28&gt;0, H23=0, Z87=3, $J$4=0), $N$39, " ")</f>
        <v xml:space="preserve">  </v>
      </c>
      <c r="J26" s="227"/>
      <c r="K26" s="227"/>
      <c r="L26" s="227"/>
      <c r="O26" s="118"/>
      <c r="Q26" s="118"/>
      <c r="S26" s="717" t="s">
        <v>732</v>
      </c>
      <c r="T26" s="928" t="str">
        <f>IF(AND(H27&gt;=$AB$50, H27&lt;=$AC$53), "ano", "ne")</f>
        <v>ne</v>
      </c>
      <c r="X26" s="108"/>
      <c r="Y26" s="898" t="str">
        <f>CenAVS!A22</f>
        <v xml:space="preserve">alu nakładany Tip-on 120° Aventos HF     </v>
      </c>
      <c r="Z26" s="898" t="str">
        <f>CenAVS!B22</f>
        <v>72T550A.TL</v>
      </c>
      <c r="AA26" s="883" t="str">
        <f>CenAVS!C22</f>
        <v>NI</v>
      </c>
      <c r="AB26" s="665"/>
      <c r="AC26" s="899">
        <f>CenAVS!F22</f>
        <v>8.4674200000000006</v>
      </c>
      <c r="AD26" s="900">
        <f t="shared" si="3"/>
        <v>0</v>
      </c>
      <c r="AE26" s="901"/>
      <c r="AF26" s="902">
        <f t="shared" si="5"/>
        <v>0</v>
      </c>
      <c r="AG26" s="901"/>
      <c r="AH26" s="902">
        <f t="shared" si="6"/>
        <v>0</v>
      </c>
      <c r="AI26" s="170"/>
      <c r="AJ26" s="170"/>
      <c r="AK26" s="108"/>
      <c r="AL26" s="692"/>
      <c r="AM26" s="137"/>
      <c r="AN26" s="137"/>
      <c r="AO26" s="137"/>
    </row>
    <row r="27" spans="1:41" s="37" customFormat="1" ht="16.149999999999999" customHeight="1" thickBot="1" x14ac:dyDescent="0.25">
      <c r="B27" s="1011" t="str">
        <f>ListAVS!$B$86&amp;" LF "</f>
        <v xml:space="preserve">Współczynnik mocy LF </v>
      </c>
      <c r="C27" s="1012"/>
      <c r="D27" s="1012"/>
      <c r="E27" s="1012"/>
      <c r="F27" s="1012"/>
      <c r="G27" s="1013"/>
      <c r="H27" s="400">
        <f>IF(H23&gt;0, H22*H23, H22*H26)</f>
        <v>0</v>
      </c>
      <c r="I27" s="961" t="str">
        <f>IF(OR($T25="ne", $H28=0), " ", IF(AND(H27&gt;0, H27&lt;$AB$50), $T$44, IF($H27&gt;$AC$53,$N$44,IF(AND($H27&gt;$AC$51, $H$16&lt;=$AC$52),$N$45, IF($H$16&gt;$AC$52, $Q$45, " "))))&amp;IF(OR(H27&gt;$AC$53, $M28=0)," ",IF(AND($S20=2,$H27&gt;$AC$51),$U$45,"  ")))</f>
        <v xml:space="preserve"> </v>
      </c>
      <c r="J27" s="227"/>
      <c r="K27" s="268"/>
      <c r="L27" s="227"/>
      <c r="O27" s="153" t="s">
        <v>49</v>
      </c>
      <c r="P27" s="165">
        <f>IF(F22&gt;0,IF(F22&gt;=H22,F22,0),H22)</f>
        <v>0</v>
      </c>
      <c r="Q27" s="118"/>
      <c r="X27" s="108"/>
      <c r="Y27" s="898" t="str">
        <f>CenAVS!A23</f>
        <v xml:space="preserve">alu zawias środkowy        </v>
      </c>
      <c r="Z27" s="898" t="str">
        <f>CenAVS!B23</f>
        <v>78Z550AT</v>
      </c>
      <c r="AA27" s="883" t="str">
        <f>CenAVS!C23</f>
        <v>NI</v>
      </c>
      <c r="AB27" s="665"/>
      <c r="AC27" s="899">
        <f>CenAVS!F23</f>
        <v>11.149290000000001</v>
      </c>
      <c r="AD27" s="900">
        <f t="shared" si="3"/>
        <v>0</v>
      </c>
      <c r="AE27" s="901"/>
      <c r="AF27" s="902">
        <f t="shared" ref="AF27:AF38" si="7">$AC27*AE27</f>
        <v>0</v>
      </c>
      <c r="AG27" s="901"/>
      <c r="AH27" s="902">
        <f t="shared" si="6"/>
        <v>0</v>
      </c>
      <c r="AI27" s="318"/>
      <c r="AJ27" s="318"/>
      <c r="AK27" s="108"/>
      <c r="AL27" s="255"/>
      <c r="AM27" s="137"/>
    </row>
    <row r="28" spans="1:41" ht="16.149999999999999" customHeight="1" thickBot="1" x14ac:dyDescent="0.25">
      <c r="B28" s="1011" t="str">
        <f>ListAVS!$B$71&amp;" "</f>
        <v xml:space="preserve">Ilość szafek </v>
      </c>
      <c r="C28" s="1012"/>
      <c r="D28" s="1012"/>
      <c r="E28" s="1012"/>
      <c r="F28" s="1012"/>
      <c r="G28" s="1012"/>
      <c r="H28" s="261"/>
      <c r="I28" s="256"/>
      <c r="J28" s="270"/>
      <c r="K28" s="401"/>
      <c r="L28" s="402"/>
      <c r="M28" s="315">
        <f>IF($H21*$P27=0,0,IF(SUM($H23,$H26)=0,0,IF($P27&gt;$AC$59,0,IF(P27&lt;$AB$56,0,IF(OR(T25="ne", T26="ne"),0,$H28)))))</f>
        <v>0</v>
      </c>
      <c r="N28" s="37" t="s">
        <v>50</v>
      </c>
      <c r="O28" s="39"/>
      <c r="P28" s="39"/>
      <c r="Q28" s="39"/>
      <c r="R28" s="137"/>
      <c r="S28" s="690" t="s">
        <v>51</v>
      </c>
      <c r="T28" s="691">
        <f>IF(H23&gt;0,H23,H26)</f>
        <v>0</v>
      </c>
      <c r="U28" s="37">
        <f>IF(SUM(H23,H26)=0,0,IF(H23&gt;0,1,2))</f>
        <v>0</v>
      </c>
      <c r="V28" s="571" t="s">
        <v>52</v>
      </c>
      <c r="W28" s="118"/>
      <c r="Y28" s="898" t="str">
        <f>CenAVS!A24</f>
        <v xml:space="preserve">adapter alu do ramion teleskop. P     </v>
      </c>
      <c r="Z28" s="898" t="str">
        <f>CenAVS!B24</f>
        <v>175H5B00   R</v>
      </c>
      <c r="AA28" s="883" t="str">
        <f>CenAVS!C24</f>
        <v>NI</v>
      </c>
      <c r="AB28" s="665"/>
      <c r="AC28" s="899">
        <f>CenAVS!F24</f>
        <v>9.9110600000000009</v>
      </c>
      <c r="AD28" s="900">
        <f t="shared" si="3"/>
        <v>0</v>
      </c>
      <c r="AE28" s="901"/>
      <c r="AF28" s="902">
        <f t="shared" si="7"/>
        <v>0</v>
      </c>
      <c r="AG28" s="901"/>
      <c r="AH28" s="902">
        <f t="shared" ref="AH28:AH38" si="8">$AC28*AG28</f>
        <v>0</v>
      </c>
      <c r="AI28" s="170"/>
      <c r="AJ28" s="170"/>
      <c r="AL28" s="692"/>
      <c r="AM28" s="37"/>
    </row>
    <row r="29" spans="1:41" ht="16.149999999999999" customHeight="1" x14ac:dyDescent="0.2">
      <c r="A29" s="137"/>
      <c r="B29" s="227" t="str">
        <f>IF(H28&gt;0,IF(U28=0," ",IF(U28=1,$N$53,$N$54))," ")&amp;IF(H28&gt;0,IF(U28=0," ",IF(U28=1,$N$55,$N$56))," ")</f>
        <v xml:space="preserve">  </v>
      </c>
      <c r="C29" s="227"/>
      <c r="D29" s="227"/>
      <c r="E29" s="227"/>
      <c r="F29" s="227"/>
      <c r="G29" s="227"/>
      <c r="H29" s="403"/>
      <c r="I29" s="256"/>
      <c r="J29" s="404"/>
      <c r="K29" s="404"/>
      <c r="L29" s="404"/>
      <c r="N29" s="137"/>
      <c r="O29" s="137"/>
      <c r="P29" s="137"/>
      <c r="Q29" s="137"/>
      <c r="Y29" s="898" t="str">
        <f>CenAVS!A25</f>
        <v xml:space="preserve">adapter alu do ramion teleskop. L     </v>
      </c>
      <c r="Z29" s="898" t="str">
        <f>CenAVS!B25</f>
        <v>175H5B00   L</v>
      </c>
      <c r="AA29" s="883" t="str">
        <f>CenAVS!C25</f>
        <v>NI</v>
      </c>
      <c r="AB29" s="665"/>
      <c r="AC29" s="899">
        <f>CenAVS!F25</f>
        <v>9.9110600000000009</v>
      </c>
      <c r="AD29" s="900">
        <f t="shared" si="3"/>
        <v>0</v>
      </c>
      <c r="AE29" s="901"/>
      <c r="AF29" s="902">
        <f t="shared" si="7"/>
        <v>0</v>
      </c>
      <c r="AG29" s="901"/>
      <c r="AH29" s="902">
        <f t="shared" si="8"/>
        <v>0</v>
      </c>
      <c r="AI29" s="170"/>
      <c r="AJ29" s="170"/>
    </row>
    <row r="30" spans="1:41" ht="18.75" customHeight="1" x14ac:dyDescent="0.2">
      <c r="B30" s="275" t="str">
        <f>IF(F22=0," ",IF(F22&gt;1200,"TKH = max. 1200!",IF(F22&lt;480,"TKH = min. 480!",IF(F22&lt;H22,$N$59,IF(H28&gt;0,IF(F22=0," ",IF(AND(F22&gt;0,M28=1), $N$58," "))," ")))))</f>
        <v xml:space="preserve"> </v>
      </c>
      <c r="C30" s="248"/>
      <c r="D30" s="396"/>
      <c r="E30" s="396"/>
      <c r="F30" s="274"/>
      <c r="G30" s="274"/>
      <c r="H30" s="396"/>
      <c r="I30" s="264"/>
      <c r="J30" s="264"/>
      <c r="K30" s="396"/>
      <c r="L30" s="265"/>
      <c r="N30" s="137"/>
      <c r="O30" s="137"/>
      <c r="P30" s="137"/>
      <c r="Q30" s="137"/>
      <c r="Y30" s="898" t="str">
        <f>CenAVS!A26</f>
        <v xml:space="preserve">adapter alu do zawiasu środkowego      </v>
      </c>
      <c r="Z30" s="898" t="str">
        <f>CenAVS!B26</f>
        <v>175H5A00</v>
      </c>
      <c r="AA30" s="883" t="str">
        <f>CenAVS!C26</f>
        <v>NI</v>
      </c>
      <c r="AB30" s="665"/>
      <c r="AC30" s="899">
        <f>CenAVS!F26</f>
        <v>9.9110600000000009</v>
      </c>
      <c r="AD30" s="900">
        <f t="shared" si="3"/>
        <v>0</v>
      </c>
      <c r="AE30" s="901"/>
      <c r="AF30" s="902">
        <f t="shared" si="7"/>
        <v>0</v>
      </c>
      <c r="AG30" s="901"/>
      <c r="AH30" s="902">
        <f t="shared" si="8"/>
        <v>0</v>
      </c>
      <c r="AI30" s="170"/>
      <c r="AJ30" s="170"/>
    </row>
    <row r="31" spans="1:41" ht="13.5" customHeight="1" x14ac:dyDescent="0.2">
      <c r="B31" s="1101" t="str">
        <f>IF(OR(AND($S$9=2, $M$17&gt;0), AND($S$20=2, $M$28&gt;0)), ListAVS!$B$176, " ")</f>
        <v xml:space="preserve"> </v>
      </c>
      <c r="C31" s="1101"/>
      <c r="D31" s="1101"/>
      <c r="E31" s="1101"/>
      <c r="F31" s="1101"/>
      <c r="G31" s="1101"/>
      <c r="H31" s="1101"/>
      <c r="I31" s="1101"/>
      <c r="J31" s="1101"/>
      <c r="K31" s="1101"/>
      <c r="L31" s="787"/>
      <c r="S31" s="138">
        <f>IF($T$31=FALSE,2,1)</f>
        <v>1</v>
      </c>
      <c r="T31" s="1063" t="b">
        <v>1</v>
      </c>
      <c r="U31" s="1064"/>
      <c r="V31" s="139" t="s">
        <v>56</v>
      </c>
      <c r="W31" s="140"/>
      <c r="Y31" s="898"/>
      <c r="Z31" s="898"/>
      <c r="AA31" s="883"/>
      <c r="AB31" s="665"/>
      <c r="AC31" s="899"/>
      <c r="AD31" s="900"/>
      <c r="AE31" s="901"/>
      <c r="AF31" s="902"/>
      <c r="AG31" s="901"/>
      <c r="AH31" s="902"/>
      <c r="AI31" s="170"/>
      <c r="AJ31" s="170"/>
      <c r="AL31" s="693"/>
    </row>
    <row r="32" spans="1:41" ht="13.5" customHeight="1" x14ac:dyDescent="0.2">
      <c r="B32" s="1101"/>
      <c r="C32" s="1101"/>
      <c r="D32" s="1101"/>
      <c r="E32" s="1101"/>
      <c r="F32" s="1101"/>
      <c r="G32" s="1101"/>
      <c r="H32" s="1101"/>
      <c r="I32" s="1101"/>
      <c r="J32" s="1101"/>
      <c r="K32" s="1101"/>
      <c r="L32" s="787"/>
      <c r="Y32" s="898"/>
      <c r="Z32" s="898"/>
      <c r="AA32" s="883"/>
      <c r="AB32" s="665"/>
      <c r="AC32" s="899"/>
      <c r="AD32" s="900"/>
      <c r="AE32" s="901"/>
      <c r="AF32" s="902"/>
      <c r="AG32" s="901"/>
      <c r="AH32" s="902"/>
      <c r="AI32" s="170"/>
      <c r="AJ32" s="170"/>
      <c r="AL32" s="693"/>
    </row>
    <row r="33" spans="2:39" ht="13.5" customHeight="1" x14ac:dyDescent="0.2">
      <c r="B33" s="1101"/>
      <c r="C33" s="1101"/>
      <c r="D33" s="1101"/>
      <c r="E33" s="1101"/>
      <c r="F33" s="1101"/>
      <c r="G33" s="1101"/>
      <c r="H33" s="1101"/>
      <c r="I33" s="1101"/>
      <c r="J33" s="1101"/>
      <c r="K33" s="1101"/>
      <c r="L33" s="255"/>
      <c r="Y33" s="898" t="str">
        <f>CenAVS!A27</f>
        <v xml:space="preserve">          </v>
      </c>
      <c r="Z33" s="898">
        <f>CenAVS!B27</f>
        <v>0</v>
      </c>
      <c r="AA33" s="883">
        <f>CenAVS!C27</f>
        <v>0</v>
      </c>
      <c r="AB33" s="665"/>
      <c r="AC33" s="899">
        <f>CenAVS!F27</f>
        <v>0</v>
      </c>
      <c r="AD33" s="900">
        <f t="shared" si="3"/>
        <v>0</v>
      </c>
      <c r="AE33" s="901"/>
      <c r="AF33" s="902">
        <f t="shared" si="7"/>
        <v>0</v>
      </c>
      <c r="AG33" s="901"/>
      <c r="AH33" s="902">
        <f t="shared" si="8"/>
        <v>0</v>
      </c>
      <c r="AI33" s="170"/>
      <c r="AJ33" s="170"/>
      <c r="AL33" s="693"/>
    </row>
    <row r="34" spans="2:39" ht="12.75" x14ac:dyDescent="0.2">
      <c r="B34" s="272"/>
      <c r="C34" s="255"/>
      <c r="D34" s="266"/>
      <c r="E34" s="266"/>
      <c r="F34" s="266"/>
      <c r="G34" s="266"/>
      <c r="H34" s="266"/>
      <c r="I34" s="255"/>
      <c r="J34" s="266"/>
      <c r="K34" s="266"/>
      <c r="L34" s="255"/>
      <c r="Y34" s="898"/>
      <c r="Z34" s="898"/>
      <c r="AA34" s="883"/>
      <c r="AB34" s="665"/>
      <c r="AC34" s="899"/>
      <c r="AD34" s="900">
        <f t="shared" si="3"/>
        <v>0</v>
      </c>
      <c r="AE34" s="901"/>
      <c r="AF34" s="902">
        <f t="shared" si="7"/>
        <v>0</v>
      </c>
      <c r="AG34" s="901"/>
      <c r="AH34" s="902">
        <f t="shared" si="8"/>
        <v>0</v>
      </c>
      <c r="AI34" s="170"/>
      <c r="AJ34" s="170"/>
    </row>
    <row r="35" spans="2:39" ht="12.75" x14ac:dyDescent="0.2">
      <c r="B35" s="272"/>
      <c r="C35" s="548" t="str">
        <f>IF(OR(AND($H16&gt;$AB$52, $H$16&lt;$AC$53, $M17=1), AND($H27&gt;$AB$52, $H$27&lt;$AC$53, $M$28=1)), $S$46," ")</f>
        <v xml:space="preserve"> </v>
      </c>
      <c r="D35" s="266"/>
      <c r="E35" s="266"/>
      <c r="F35" s="266"/>
      <c r="G35" s="266"/>
      <c r="H35" s="266"/>
      <c r="I35" s="255"/>
      <c r="J35" s="266"/>
      <c r="K35" s="266"/>
      <c r="L35" s="255"/>
      <c r="N35" s="37" t="str">
        <f>ListAVS!B177</f>
        <v>Cena bez zasilacza!</v>
      </c>
      <c r="Y35" s="898"/>
      <c r="Z35" s="898"/>
      <c r="AA35" s="883"/>
      <c r="AB35" s="665"/>
      <c r="AC35" s="899"/>
      <c r="AD35" s="900">
        <f t="shared" si="3"/>
        <v>0</v>
      </c>
      <c r="AE35" s="903"/>
      <c r="AF35" s="902">
        <f t="shared" si="7"/>
        <v>0</v>
      </c>
      <c r="AG35" s="903"/>
      <c r="AH35" s="902">
        <f t="shared" si="8"/>
        <v>0</v>
      </c>
      <c r="AI35" s="170"/>
      <c r="AJ35" s="170"/>
    </row>
    <row r="36" spans="2:39" ht="12.75" x14ac:dyDescent="0.2">
      <c r="B36" s="272"/>
      <c r="C36" s="255"/>
      <c r="D36" s="266"/>
      <c r="E36" s="266"/>
      <c r="F36" s="266"/>
      <c r="G36" s="266"/>
      <c r="H36" s="266"/>
      <c r="I36" s="255"/>
      <c r="J36" s="266"/>
      <c r="K36" s="266"/>
      <c r="L36" s="255"/>
      <c r="Y36" s="898" t="str">
        <f>CenAVS!A162</f>
        <v xml:space="preserve">prowadnik krzyżakowy mimośród wkręt 8 5mm     </v>
      </c>
      <c r="Z36" s="898" t="str">
        <f>CenAVS!B162</f>
        <v>173H7100</v>
      </c>
      <c r="AA36" s="883" t="str">
        <f>CenAVS!C162</f>
        <v>NI</v>
      </c>
      <c r="AB36" s="665"/>
      <c r="AC36" s="899">
        <f>CenAVS!F162</f>
        <v>1.7393000000000001</v>
      </c>
      <c r="AD36" s="900">
        <f t="shared" si="3"/>
        <v>0</v>
      </c>
      <c r="AE36" s="903"/>
      <c r="AF36" s="902">
        <f t="shared" si="7"/>
        <v>0</v>
      </c>
      <c r="AG36" s="903"/>
      <c r="AH36" s="902">
        <f t="shared" si="8"/>
        <v>0</v>
      </c>
      <c r="AI36" s="170"/>
      <c r="AJ36" s="170"/>
    </row>
    <row r="37" spans="2:39" ht="12.75" x14ac:dyDescent="0.2">
      <c r="B37" s="272"/>
      <c r="C37" s="255" t="str">
        <f>"*  "&amp;ListAVS!$B$184</f>
        <v>*  Jedynie do frontów asymetrycznych: wpisz teoretyczną wysokość TKH</v>
      </c>
      <c r="D37" s="266"/>
      <c r="E37" s="266"/>
      <c r="F37" s="266"/>
      <c r="G37" s="266"/>
      <c r="H37" s="266"/>
      <c r="I37" s="255"/>
      <c r="J37" s="266"/>
      <c r="K37" s="266"/>
      <c r="L37" s="255"/>
      <c r="N37" s="37" t="str">
        <f>" "&amp;ListAVS!$B$116</f>
        <v xml:space="preserve"> Wprowadź wagę lub wypełnij wszystkie komórki</v>
      </c>
      <c r="Y37" s="898" t="str">
        <f>CenAVS!A163</f>
        <v xml:space="preserve">prowadnik krzyżakowy mimośród Expando 8 5mm     </v>
      </c>
      <c r="Z37" s="898" t="str">
        <f>CenAVS!B163</f>
        <v>174H7100E </v>
      </c>
      <c r="AA37" s="883" t="str">
        <f>CenAVS!C163</f>
        <v>NI</v>
      </c>
      <c r="AB37" s="665"/>
      <c r="AC37" s="899">
        <f>CenAVS!F163</f>
        <v>2.1260500000000002</v>
      </c>
      <c r="AD37" s="900">
        <f t="shared" si="3"/>
        <v>0</v>
      </c>
      <c r="AE37" s="903"/>
      <c r="AF37" s="902">
        <f t="shared" si="7"/>
        <v>0</v>
      </c>
      <c r="AG37" s="903"/>
      <c r="AH37" s="902">
        <f t="shared" si="8"/>
        <v>0</v>
      </c>
      <c r="AI37" s="170"/>
      <c r="AJ37" s="170"/>
    </row>
    <row r="38" spans="2:39" ht="12.75" x14ac:dyDescent="0.2">
      <c r="B38" s="255"/>
      <c r="C38" s="255" t="str">
        <f>" ( "&amp;ListAVS!$B$185&amp;")"</f>
        <v xml:space="preserve"> ( TKH = Wysokość frontu górnego (mm) x 2 + szczeliny)</v>
      </c>
      <c r="D38" s="255"/>
      <c r="E38" s="255"/>
      <c r="F38" s="255"/>
      <c r="G38" s="255"/>
      <c r="H38" s="255"/>
      <c r="I38" s="255"/>
      <c r="J38" s="255"/>
      <c r="K38" s="255"/>
      <c r="L38" s="255"/>
      <c r="N38" s="137"/>
      <c r="Y38" s="898"/>
      <c r="Z38" s="898"/>
      <c r="AA38" s="883"/>
      <c r="AB38" s="665"/>
      <c r="AC38" s="899"/>
      <c r="AD38" s="900"/>
      <c r="AE38" s="903"/>
      <c r="AF38" s="902">
        <f t="shared" si="7"/>
        <v>0</v>
      </c>
      <c r="AG38" s="903"/>
      <c r="AH38" s="902">
        <f t="shared" si="8"/>
        <v>0</v>
      </c>
      <c r="AI38" s="170"/>
      <c r="AJ38" s="170"/>
    </row>
    <row r="39" spans="2:39" ht="12.75" x14ac:dyDescent="0.2">
      <c r="B39" s="255"/>
      <c r="C39" s="255" t="str">
        <f>" "&amp;ListAVS!$B$328&amp;" '"&amp;ListAVS!$B$195&amp;"' "</f>
        <v xml:space="preserve"> Do obliczenia TKH użyj 'Obliczanie frontów asymetrycznych' </v>
      </c>
      <c r="D39" s="255"/>
      <c r="E39" s="255"/>
      <c r="F39" s="255"/>
      <c r="G39" s="255"/>
      <c r="H39" s="255"/>
      <c r="I39" s="255"/>
      <c r="J39" s="255"/>
      <c r="K39" s="255"/>
      <c r="L39" s="255"/>
      <c r="N39" s="37" t="str">
        <f>" "&amp;ListAVS!$B$118</f>
        <v xml:space="preserve"> Wprowadź na górze masę objętościową </v>
      </c>
      <c r="Y39" s="898"/>
      <c r="Z39" s="898"/>
      <c r="AA39" s="883"/>
      <c r="AB39" s="665"/>
      <c r="AC39" s="899"/>
      <c r="AD39" s="900"/>
      <c r="AE39" s="903"/>
      <c r="AF39" s="902"/>
      <c r="AG39" s="903"/>
      <c r="AH39" s="902"/>
      <c r="AI39" s="170"/>
      <c r="AJ39" s="170"/>
    </row>
    <row r="40" spans="2:39" ht="12.75" x14ac:dyDescent="0.2">
      <c r="B40" s="255"/>
      <c r="D40" s="255"/>
      <c r="E40" s="255"/>
      <c r="F40" s="255"/>
      <c r="G40" s="255"/>
      <c r="H40" s="255"/>
      <c r="I40" s="255"/>
      <c r="J40" s="255"/>
      <c r="K40" s="255"/>
      <c r="L40" s="255"/>
      <c r="Y40" s="898"/>
      <c r="Z40" s="898"/>
      <c r="AA40" s="883"/>
      <c r="AB40" s="665"/>
      <c r="AC40" s="899"/>
      <c r="AD40" s="900"/>
      <c r="AE40" s="903"/>
      <c r="AF40" s="902"/>
      <c r="AG40" s="903"/>
      <c r="AH40" s="902"/>
      <c r="AI40" s="170"/>
      <c r="AJ40" s="170"/>
    </row>
    <row r="41" spans="2:39" ht="12.75" x14ac:dyDescent="0.2">
      <c r="B41" s="255"/>
      <c r="C41" s="255" t="str">
        <f>"** "&amp;ListAVS!$B$187</f>
        <v>** Jeżeli znasz wagę i nie chcesz skorzystać z "obliczenie wagi"</v>
      </c>
      <c r="D41" s="255"/>
      <c r="E41" s="255"/>
      <c r="F41" s="255"/>
      <c r="G41" s="255"/>
      <c r="H41" s="255"/>
      <c r="I41" s="255"/>
      <c r="J41" s="255"/>
      <c r="K41" s="255"/>
      <c r="L41" s="255"/>
      <c r="N41" s="37" t="str">
        <f>"◄ "&amp;ListAVS!$B$112</f>
        <v>◄ wartość będzie wykorzystana do obliczenia LF</v>
      </c>
      <c r="Y41" s="898"/>
      <c r="Z41" s="898"/>
      <c r="AA41" s="883"/>
      <c r="AB41" s="665"/>
      <c r="AC41" s="899"/>
      <c r="AD41" s="900"/>
      <c r="AE41" s="903"/>
      <c r="AF41" s="902"/>
      <c r="AG41" s="903"/>
      <c r="AH41" s="902"/>
      <c r="AI41" s="170"/>
      <c r="AJ41" s="170"/>
    </row>
    <row r="42" spans="2:39" ht="12.75" x14ac:dyDescent="0.2">
      <c r="B42" s="266"/>
      <c r="D42" s="255"/>
      <c r="E42" s="255"/>
      <c r="F42" s="255"/>
      <c r="G42" s="255"/>
      <c r="H42" s="255"/>
      <c r="I42" s="255"/>
      <c r="J42" s="255"/>
      <c r="K42" s="255"/>
      <c r="L42" s="255"/>
      <c r="N42" s="37" t="str">
        <f>" * "&amp;ListAVS!$B$128</f>
        <v xml:space="preserve"> * Wypełnij wartości</v>
      </c>
      <c r="Y42" s="898" t="str">
        <f>CenAVS!A166</f>
        <v xml:space="preserve">prowadnik prosty wkręt 8 5mm stal     </v>
      </c>
      <c r="Z42" s="898" t="str">
        <f>CenAVS!B166</f>
        <v>175H3100</v>
      </c>
      <c r="AA42" s="883" t="str">
        <f>CenAVS!C166</f>
        <v>NI</v>
      </c>
      <c r="AB42" s="665">
        <f>SUM(AE42,AG42)</f>
        <v>0</v>
      </c>
      <c r="AC42" s="899">
        <f>CenAVS!F166</f>
        <v>1.65564</v>
      </c>
      <c r="AD42" s="900">
        <f t="shared" si="3"/>
        <v>0</v>
      </c>
      <c r="AE42" s="903">
        <f>IF($R$48=2,SUM($V$10*2, $Q$10*2, $Q$11*2, $Q$12*2)*$M$17,0)</f>
        <v>0</v>
      </c>
      <c r="AF42" s="902">
        <f>$AC42*AE42</f>
        <v>0</v>
      </c>
      <c r="AG42" s="903">
        <f>IF($R$48=2,SUM($V$21*2, $Q$21*2, $Q$22*2, $Q$23*2)*$M$28,0)</f>
        <v>0</v>
      </c>
      <c r="AH42" s="902">
        <f>$AC42*AG42</f>
        <v>0</v>
      </c>
      <c r="AI42" s="170"/>
      <c r="AJ42" s="170"/>
    </row>
    <row r="43" spans="2:39" ht="12.75" x14ac:dyDescent="0.2">
      <c r="B43" s="255"/>
      <c r="C43" s="255"/>
      <c r="D43" s="255"/>
      <c r="E43" s="255"/>
      <c r="F43" s="255"/>
      <c r="G43" s="255"/>
      <c r="H43" s="255"/>
      <c r="I43" s="255"/>
      <c r="J43" s="255"/>
      <c r="K43" s="255"/>
      <c r="L43" s="255"/>
      <c r="Y43" s="898" t="str">
        <f>CenAVS!A167</f>
        <v xml:space="preserve">prowadnik prosty Expando 8 5mm stal     </v>
      </c>
      <c r="Z43" s="898" t="str">
        <f>CenAVS!B167</f>
        <v>177H3100E </v>
      </c>
      <c r="AA43" s="883" t="str">
        <f>CenAVS!C167</f>
        <v>NI</v>
      </c>
      <c r="AB43" s="665">
        <f>SUM(AE43,AG43)</f>
        <v>0</v>
      </c>
      <c r="AC43" s="899">
        <f>CenAVS!F167</f>
        <v>1.8724499999999999</v>
      </c>
      <c r="AD43" s="900">
        <f t="shared" si="3"/>
        <v>0</v>
      </c>
      <c r="AE43" s="903">
        <f>IF($R$48=1,SUM($V$10*2, $Q$10*2, $Q$11*2, $Q$12*2)*$M$17,0)</f>
        <v>0</v>
      </c>
      <c r="AF43" s="902">
        <f>$AC43*AE45</f>
        <v>0</v>
      </c>
      <c r="AG43" s="903">
        <f>IF($R$48=1,SUM($V$21*2, $Q$21*2, $Q$22*2, $Q$23*2)*$M$28,0)</f>
        <v>0</v>
      </c>
      <c r="AH43" s="902">
        <f>$AC43*AG43</f>
        <v>0</v>
      </c>
      <c r="AI43" s="170"/>
      <c r="AJ43" s="170"/>
    </row>
    <row r="44" spans="2:39" s="37" customFormat="1" ht="12.75" x14ac:dyDescent="0.2">
      <c r="B44" s="274"/>
      <c r="C44" s="255"/>
      <c r="D44" s="255"/>
      <c r="E44" s="255"/>
      <c r="F44" s="255"/>
      <c r="G44" s="255"/>
      <c r="H44" s="255"/>
      <c r="I44" s="255"/>
      <c r="J44" s="398"/>
      <c r="K44" s="398"/>
      <c r="L44" s="255"/>
      <c r="N44" s="37" t="str">
        <f>" max. "&amp;$AC$53&amp;"! "&amp;ListAVS!$B$122</f>
        <v xml:space="preserve"> max. 38600! Popraw wagę albo wysokość</v>
      </c>
      <c r="T44" s="37" t="str">
        <f>" min. "&amp;$AB$50&amp;"! "&amp;ListAVS!$B$122</f>
        <v xml:space="preserve"> min. 2700! Popraw wagę albo wysokość</v>
      </c>
      <c r="X44" s="108"/>
      <c r="Y44" s="898">
        <f>CenAVS!A169</f>
        <v>0</v>
      </c>
      <c r="Z44" s="898">
        <f>CenAVS!B169</f>
        <v>0</v>
      </c>
      <c r="AA44" s="883">
        <f>CenAVS!C169</f>
        <v>0</v>
      </c>
      <c r="AB44" s="665"/>
      <c r="AC44" s="899">
        <f>CenAVS!F169</f>
        <v>0</v>
      </c>
      <c r="AD44" s="900">
        <f t="shared" si="3"/>
        <v>0</v>
      </c>
      <c r="AE44" s="903"/>
      <c r="AF44" s="902">
        <f>$AC44*AE44</f>
        <v>0</v>
      </c>
      <c r="AG44" s="903"/>
      <c r="AH44" s="902">
        <f>$AC44*AG44</f>
        <v>0</v>
      </c>
      <c r="AI44" s="170"/>
      <c r="AJ44" s="170"/>
      <c r="AK44" s="108"/>
      <c r="AL44" s="108"/>
      <c r="AM44" s="137"/>
    </row>
    <row r="45" spans="2:39" s="37" customFormat="1" x14ac:dyDescent="0.2">
      <c r="N45" s="37" t="str">
        <f>" "&amp;ListAVS!$B$120&amp;"!"</f>
        <v xml:space="preserve"> Dodatkowy trzeci siłownik!</v>
      </c>
      <c r="O45" s="118"/>
      <c r="Q45" s="37" t="str">
        <f>" "&amp;ListAVS!$B$121&amp;"!"</f>
        <v xml:space="preserve"> Dwie pary siłowników!</v>
      </c>
      <c r="U45" s="149" t="str">
        <f>" "&amp;ListAVS!$B$126&amp;"!"</f>
        <v xml:space="preserve"> Druga jednostka napędu!</v>
      </c>
      <c r="X45" s="108"/>
      <c r="Y45" s="898" t="str">
        <f>CenAVS!A171</f>
        <v xml:space="preserve">Aventos HF/HL/HS - Top Servo-Drive      </v>
      </c>
      <c r="Z45" s="898" t="str">
        <f>CenAVS!B171</f>
        <v>23.A000</v>
      </c>
      <c r="AA45" s="883" t="str">
        <f>CenAVS!C171</f>
        <v>R7037</v>
      </c>
      <c r="AB45" s="665">
        <f>SUM(AE45,AG45)</f>
        <v>0</v>
      </c>
      <c r="AC45" s="899">
        <f>CenAVS!F171</f>
        <v>905.30219999999997</v>
      </c>
      <c r="AD45" s="900">
        <f t="shared" si="3"/>
        <v>0</v>
      </c>
      <c r="AE45" s="903">
        <f>IF($S$9=1, 0, $M$17)+IF(AND($S$9=2, $H$16&gt;$AB$52), $M$17, 0)</f>
        <v>0</v>
      </c>
      <c r="AF45" s="902">
        <f>$AC45*AE45</f>
        <v>0</v>
      </c>
      <c r="AG45" s="903">
        <f>IF($S$20=1, 0, $M$28)+IF(AND($S$20=2, $H$27&gt;$AB$52), $M$28, 0)</f>
        <v>0</v>
      </c>
      <c r="AH45" s="902">
        <f>$AC45*AG45</f>
        <v>0</v>
      </c>
      <c r="AI45" s="170"/>
      <c r="AJ45" s="170"/>
      <c r="AK45" s="108"/>
      <c r="AL45" s="108"/>
    </row>
    <row r="46" spans="2:39" s="37" customFormat="1" x14ac:dyDescent="0.2">
      <c r="N46" s="37" t="str">
        <f>" "&amp;ListAVS!$B$235&amp;"!"</f>
        <v xml:space="preserve"> Konieczna ścianka środkowa!</v>
      </c>
      <c r="O46" s="118"/>
      <c r="Q46" s="118"/>
      <c r="S46" s="37" t="str">
        <f>" "&amp;ListAVS!$B$236&amp;"!"</f>
        <v xml:space="preserve"> Dla trzeciego dodatkowego siłownika wymagana jest ścianka środkowa, dla dwóch siłowników wymagana jest podwójna ścianka środkowa!</v>
      </c>
      <c r="X46" s="108"/>
      <c r="AG46" s="118"/>
      <c r="AI46" s="170"/>
      <c r="AJ46" s="170"/>
      <c r="AK46" s="108"/>
      <c r="AL46" s="108"/>
    </row>
    <row r="47" spans="2:39" x14ac:dyDescent="0.2">
      <c r="B47" s="144"/>
      <c r="Y47" s="37"/>
      <c r="Z47" s="37"/>
      <c r="AA47" s="37"/>
      <c r="AB47" s="37"/>
      <c r="AC47" s="144" t="str">
        <f>ListAVS!$B$61&amp;" "</f>
        <v xml:space="preserve">Cena całkowita bez VAT </v>
      </c>
      <c r="AD47" s="171">
        <f>SUM(AD9:AD45)</f>
        <v>0</v>
      </c>
      <c r="AE47" s="37"/>
      <c r="AF47" s="37">
        <f>SUM(AF9:AF46)</f>
        <v>0</v>
      </c>
      <c r="AG47" s="37"/>
      <c r="AH47" s="37">
        <f>SUM(AH9:AH46)</f>
        <v>0</v>
      </c>
      <c r="AI47" s="170"/>
      <c r="AJ47" s="170"/>
      <c r="AM47" s="37"/>
    </row>
    <row r="48" spans="2:39" x14ac:dyDescent="0.2">
      <c r="N48" s="117">
        <f>HF!$L$33</f>
        <v>1</v>
      </c>
      <c r="P48" s="117">
        <f>HF!$N$33</f>
        <v>1</v>
      </c>
      <c r="R48" s="117">
        <f>HF!$P$33</f>
        <v>1</v>
      </c>
      <c r="T48" s="117">
        <f>MenuAVS!$P$28</f>
        <v>1</v>
      </c>
      <c r="Y48" s="897">
        <f>HF!$R$33</f>
        <v>1</v>
      </c>
      <c r="Z48" s="108" t="str">
        <f>Param!M10</f>
        <v>Parametry HF</v>
      </c>
      <c r="AI48" s="170"/>
      <c r="AJ48" s="170"/>
    </row>
    <row r="49" spans="2:44" x14ac:dyDescent="0.2">
      <c r="B49" s="316"/>
      <c r="C49" s="317"/>
      <c r="D49" s="317"/>
      <c r="E49" s="317"/>
      <c r="F49" s="317"/>
      <c r="G49" s="317"/>
      <c r="I49" s="317"/>
      <c r="J49" s="317"/>
      <c r="N49" s="153" t="s">
        <v>7</v>
      </c>
      <c r="P49" s="153" t="s">
        <v>8</v>
      </c>
      <c r="R49" s="153" t="s">
        <v>9</v>
      </c>
      <c r="T49" s="153" t="s">
        <v>6</v>
      </c>
      <c r="W49" s="154" t="s">
        <v>677</v>
      </c>
      <c r="Y49" s="896" t="s">
        <v>676</v>
      </c>
      <c r="Z49" s="108" t="str">
        <f>Param!M11</f>
        <v>Zdvihač</v>
      </c>
      <c r="AA49" s="108" t="str">
        <f>Param!N11</f>
        <v>ks</v>
      </c>
      <c r="AB49" s="108" t="str">
        <f>Param!O11</f>
        <v>min</v>
      </c>
      <c r="AC49" s="108" t="str">
        <f>Param!P11</f>
        <v>max</v>
      </c>
      <c r="AD49" s="108" t="str">
        <f>Param!Q11</f>
        <v>alu max.</v>
      </c>
      <c r="AI49" s="170"/>
      <c r="AJ49" s="170"/>
    </row>
    <row r="50" spans="2:44" x14ac:dyDescent="0.2">
      <c r="B50" s="317"/>
      <c r="C50" s="317"/>
      <c r="D50" s="317"/>
      <c r="E50" s="317"/>
      <c r="F50" s="317"/>
      <c r="G50" s="317"/>
      <c r="I50" s="317"/>
      <c r="J50" s="317"/>
      <c r="N50" s="37" t="str">
        <f>ListAVS!$B$134</f>
        <v>Expando</v>
      </c>
      <c r="P50" s="37" t="str">
        <f>ListAVS!$B$134</f>
        <v>Expando</v>
      </c>
      <c r="R50" s="37" t="str">
        <f>ListAVS!$B$134</f>
        <v>Expando</v>
      </c>
      <c r="T50" s="37" t="str">
        <f>ListAVS!$B$146</f>
        <v>Jasnoszary (HGR)</v>
      </c>
      <c r="W50" s="149" t="s">
        <v>58</v>
      </c>
      <c r="Y50" s="108" t="s">
        <v>105</v>
      </c>
      <c r="Z50" s="108" t="str">
        <f>Param!M12</f>
        <v>22F2500</v>
      </c>
      <c r="AA50" s="108">
        <f>Param!N12</f>
        <v>1</v>
      </c>
      <c r="AB50" s="108">
        <f>Param!O12</f>
        <v>2700</v>
      </c>
      <c r="AC50" s="108">
        <f>Param!P12</f>
        <v>11500</v>
      </c>
      <c r="AI50" s="37"/>
      <c r="AJ50" s="37"/>
    </row>
    <row r="51" spans="2:44" x14ac:dyDescent="0.2">
      <c r="B51" s="316"/>
      <c r="C51" s="317"/>
      <c r="D51" s="317"/>
      <c r="E51" s="317"/>
      <c r="F51" s="317"/>
      <c r="G51" s="317"/>
      <c r="I51" s="317"/>
      <c r="J51" s="317"/>
      <c r="N51" s="37" t="str">
        <f>ListAVS!$B$135</f>
        <v>na wkręty</v>
      </c>
      <c r="P51" s="37" t="str">
        <f>ListAVS!$B$135</f>
        <v>na wkręty</v>
      </c>
      <c r="R51" s="37" t="str">
        <f>ListAVS!$B$135</f>
        <v>na wkręty</v>
      </c>
      <c r="T51" s="37" t="str">
        <f>ListAVS!$B$147</f>
        <v>Ciemnoszary (TGR)</v>
      </c>
      <c r="W51" s="149" t="s">
        <v>59</v>
      </c>
      <c r="Y51" s="108" t="s">
        <v>678</v>
      </c>
      <c r="Z51" s="108" t="str">
        <f>Param!M13</f>
        <v>22F2800</v>
      </c>
      <c r="AA51" s="108">
        <f>Param!N13</f>
        <v>1</v>
      </c>
      <c r="AB51" s="108">
        <f>Param!O13</f>
        <v>11500</v>
      </c>
      <c r="AC51" s="108">
        <f>Param!P13</f>
        <v>19300</v>
      </c>
      <c r="AD51" s="108">
        <f>Param!Q13</f>
        <v>19300</v>
      </c>
      <c r="AI51" s="37"/>
      <c r="AJ51" s="37"/>
    </row>
    <row r="52" spans="2:44" x14ac:dyDescent="0.2">
      <c r="B52" s="144"/>
      <c r="C52" s="317"/>
      <c r="T52" s="37" t="str">
        <f>ListAVS!$B$148</f>
        <v>Jedwabiście biały (SW)</v>
      </c>
      <c r="Z52" s="108" t="str">
        <f>Param!M14</f>
        <v>22F2800</v>
      </c>
      <c r="AA52" s="108">
        <f>Param!N14</f>
        <v>1.5</v>
      </c>
      <c r="AB52" s="108">
        <f>Param!O14</f>
        <v>19300</v>
      </c>
      <c r="AC52" s="108">
        <f>Param!P14</f>
        <v>28950</v>
      </c>
      <c r="AD52" s="108">
        <f>Param!Q14</f>
        <v>0</v>
      </c>
    </row>
    <row r="53" spans="2:44" x14ac:dyDescent="0.2">
      <c r="B53" s="144"/>
      <c r="N53" s="37" t="str">
        <f>ListAVS!B188&amp;". "</f>
        <v xml:space="preserve">W celu określenia rodzaju siłownika będzie wykorzystana podana waga. </v>
      </c>
      <c r="Z53" s="108" t="str">
        <f>Param!M15</f>
        <v>22F2800</v>
      </c>
      <c r="AA53" s="108">
        <f>Param!N15</f>
        <v>2</v>
      </c>
      <c r="AB53" s="108">
        <f>Param!O15</f>
        <v>23000</v>
      </c>
      <c r="AC53" s="108">
        <f>Param!P15</f>
        <v>38600</v>
      </c>
      <c r="AD53" s="108">
        <f>Param!Q15</f>
        <v>0</v>
      </c>
    </row>
    <row r="54" spans="2:44" x14ac:dyDescent="0.2">
      <c r="B54" s="155"/>
      <c r="D54" s="155"/>
      <c r="E54" s="155"/>
      <c r="F54" s="155"/>
      <c r="G54" s="155"/>
      <c r="I54" s="155"/>
      <c r="J54" s="155"/>
      <c r="N54" s="37" t="str">
        <f>ListAVS!B189&amp;". "</f>
        <v xml:space="preserve">W celu określenia rodzaju siłownika będzie wykorzystana obliczona waga. </v>
      </c>
    </row>
    <row r="55" spans="2:44" x14ac:dyDescent="0.2">
      <c r="N55" s="37" t="str">
        <f>ListAVS!B190</f>
        <v>Jeżeli chcesz wykorzystać obliczoną wagę, zmaż podaną wartość</v>
      </c>
      <c r="Z55" s="108" t="str">
        <f>Param!M17</f>
        <v>Teleskop</v>
      </c>
      <c r="AB55" s="108" t="str">
        <f>Param!O17</f>
        <v>min</v>
      </c>
      <c r="AC55" s="108" t="str">
        <f>Param!P17</f>
        <v>max</v>
      </c>
      <c r="AD55" s="108">
        <f>Param!Q17</f>
        <v>0</v>
      </c>
    </row>
    <row r="56" spans="2:44" s="37" customFormat="1" x14ac:dyDescent="0.2">
      <c r="N56" s="37" t="str">
        <f>ListAVS!B191</f>
        <v>Jeżeli chcesz wykorzystać podaną wagą, wpisz ją w pole</v>
      </c>
      <c r="X56" s="108"/>
      <c r="Y56" s="108"/>
      <c r="Z56" s="108" t="str">
        <f>Param!M18</f>
        <v>20F3200</v>
      </c>
      <c r="AA56" s="108">
        <f>Param!N18</f>
        <v>0</v>
      </c>
      <c r="AB56" s="108">
        <f>Param!O18</f>
        <v>480</v>
      </c>
      <c r="AC56" s="108">
        <f>Param!P18</f>
        <v>605</v>
      </c>
      <c r="AD56" s="108">
        <f>Param!Q18</f>
        <v>0</v>
      </c>
      <c r="AE56" s="108"/>
      <c r="AF56" s="108"/>
      <c r="AG56" s="108"/>
      <c r="AH56" s="108"/>
      <c r="AI56" s="108"/>
      <c r="AJ56" s="108"/>
      <c r="AK56" s="108"/>
      <c r="AL56" s="108"/>
      <c r="AM56" s="137"/>
      <c r="AN56" s="137"/>
      <c r="AO56" s="137"/>
    </row>
    <row r="57" spans="2:44" s="37" customFormat="1" x14ac:dyDescent="0.2">
      <c r="N57" s="37">
        <f>ListAVS!B192</f>
        <v>0</v>
      </c>
      <c r="X57" s="108"/>
      <c r="Y57" s="108"/>
      <c r="Z57" s="108" t="str">
        <f>Param!M19</f>
        <v>20F3500</v>
      </c>
      <c r="AA57" s="108">
        <f>Param!N19</f>
        <v>0</v>
      </c>
      <c r="AB57" s="108">
        <f>Param!O19</f>
        <v>605</v>
      </c>
      <c r="AC57" s="108">
        <f>Param!P19</f>
        <v>890</v>
      </c>
      <c r="AD57" s="108">
        <f>Param!Q19</f>
        <v>0</v>
      </c>
      <c r="AE57" s="108"/>
      <c r="AF57" s="108"/>
      <c r="AG57" s="108"/>
      <c r="AH57" s="108"/>
      <c r="AI57" s="108"/>
      <c r="AJ57" s="108"/>
      <c r="AK57" s="108"/>
      <c r="AL57" s="108"/>
      <c r="AM57" s="137"/>
      <c r="AN57" s="137"/>
      <c r="AO57" s="137"/>
    </row>
    <row r="58" spans="2:44" x14ac:dyDescent="0.2">
      <c r="N58" s="37" t="str">
        <f>ListAVS!B193</f>
        <v>Do wyboru podnośnika teleskopowego zostanie wykorzystana teoretyczna wysokość TKH</v>
      </c>
      <c r="Z58" s="108" t="str">
        <f>Param!M20</f>
        <v>20F3900</v>
      </c>
      <c r="AA58" s="108">
        <f>Param!N20</f>
        <v>0</v>
      </c>
      <c r="AB58" s="108">
        <f>Param!O20</f>
        <v>890</v>
      </c>
      <c r="AC58" s="108">
        <f>Param!P20</f>
        <v>1200</v>
      </c>
      <c r="AD58" s="108">
        <f>Param!Q20</f>
        <v>0</v>
      </c>
    </row>
    <row r="59" spans="2:44" x14ac:dyDescent="0.2">
      <c r="N59" s="37" t="str">
        <f>ListAVS!B194</f>
        <v xml:space="preserve">Wysokość teoretyczna TKH nie może być mniejsza niż KH </v>
      </c>
      <c r="AB59" s="108" t="str">
        <f>Param!O21</f>
        <v>max.</v>
      </c>
      <c r="AC59" s="108">
        <f>Param!P21</f>
        <v>1200</v>
      </c>
      <c r="AD59" s="108">
        <f>Param!Q21</f>
        <v>0</v>
      </c>
    </row>
    <row r="62" spans="2:44" ht="12.75" x14ac:dyDescent="0.2">
      <c r="Y62" s="671"/>
      <c r="Z62" s="671"/>
      <c r="AA62" s="671"/>
      <c r="AB62" s="671"/>
      <c r="AC62" s="671"/>
      <c r="AD62" s="671"/>
      <c r="AE62" s="671"/>
      <c r="AF62" s="671"/>
      <c r="AG62" s="671"/>
      <c r="AH62" s="671"/>
    </row>
    <row r="63" spans="2:44" ht="12.75" x14ac:dyDescent="0.2">
      <c r="Y63" s="671"/>
      <c r="Z63" s="671"/>
      <c r="AA63" s="671"/>
      <c r="AB63" s="671"/>
      <c r="AC63" s="671"/>
      <c r="AD63" s="671"/>
      <c r="AE63" s="671"/>
      <c r="AF63" s="671"/>
      <c r="AG63" s="671"/>
      <c r="AH63" s="671"/>
    </row>
    <row r="64" spans="2:44" ht="21" customHeight="1" x14ac:dyDescent="0.2">
      <c r="Y64" s="671"/>
      <c r="Z64" s="671"/>
      <c r="AA64" s="671"/>
      <c r="AB64" s="671"/>
      <c r="AC64" s="671"/>
      <c r="AD64" s="671"/>
      <c r="AE64" s="671"/>
      <c r="AF64" s="671"/>
      <c r="AG64" s="671"/>
      <c r="AH64" s="671"/>
      <c r="AN64" s="404"/>
      <c r="AO64" s="404"/>
      <c r="AP64" s="227"/>
      <c r="AQ64" s="227"/>
      <c r="AR64" s="227"/>
    </row>
    <row r="65" spans="1:46" s="404" customFormat="1" ht="16.149999999999999" customHeight="1" x14ac:dyDescent="0.25">
      <c r="A65" s="227"/>
      <c r="B65" s="227"/>
      <c r="C65" s="227"/>
      <c r="D65" s="227"/>
      <c r="E65" s="227"/>
      <c r="F65" s="227"/>
      <c r="G65" s="227"/>
      <c r="H65" s="227"/>
      <c r="I65" s="227"/>
      <c r="J65" s="227"/>
      <c r="K65" s="227"/>
      <c r="L65" s="227"/>
      <c r="M65" s="227"/>
      <c r="N65" s="227"/>
      <c r="O65" s="268"/>
      <c r="P65" s="227"/>
      <c r="Q65" s="268"/>
      <c r="R65" s="227"/>
      <c r="S65" s="227"/>
      <c r="T65" s="227"/>
      <c r="U65" s="227"/>
      <c r="V65" s="227"/>
      <c r="W65" s="227"/>
      <c r="X65" s="671"/>
      <c r="Y65" s="671"/>
      <c r="Z65" s="671"/>
      <c r="AA65" s="671"/>
      <c r="AB65" s="671"/>
      <c r="AC65" s="671"/>
      <c r="AD65" s="671"/>
      <c r="AE65" s="671"/>
      <c r="AF65" s="671"/>
      <c r="AG65" s="671"/>
      <c r="AH65" s="671"/>
      <c r="AI65" s="671"/>
      <c r="AJ65" s="671"/>
      <c r="AK65" s="671"/>
      <c r="AL65" s="671"/>
      <c r="AP65" s="227"/>
      <c r="AQ65" s="227"/>
      <c r="AR65" s="227"/>
      <c r="AS65" s="227"/>
      <c r="AT65" s="227"/>
    </row>
    <row r="66" spans="1:46" s="404" customFormat="1" ht="16.149999999999999" customHeight="1" x14ac:dyDescent="0.25">
      <c r="A66" s="227"/>
      <c r="B66" s="227"/>
      <c r="C66" s="227"/>
      <c r="D66" s="227"/>
      <c r="E66" s="227"/>
      <c r="F66" s="227"/>
      <c r="G66" s="227"/>
      <c r="H66" s="227"/>
      <c r="I66" s="227"/>
      <c r="J66" s="227"/>
      <c r="K66" s="227"/>
      <c r="L66" s="227"/>
      <c r="M66" s="227"/>
      <c r="N66" s="227"/>
      <c r="O66" s="268"/>
      <c r="P66" s="262"/>
      <c r="Q66" s="268"/>
      <c r="R66" s="227"/>
      <c r="S66" s="227"/>
      <c r="T66" s="227"/>
      <c r="U66" s="227"/>
      <c r="V66" s="227"/>
      <c r="W66" s="227"/>
      <c r="X66" s="671"/>
      <c r="Y66" s="671"/>
      <c r="Z66" s="671"/>
      <c r="AA66" s="671"/>
      <c r="AB66" s="671"/>
      <c r="AC66" s="671"/>
      <c r="AD66" s="671"/>
      <c r="AE66" s="671"/>
      <c r="AF66" s="671"/>
      <c r="AG66" s="671"/>
      <c r="AH66" s="671"/>
      <c r="AI66" s="671"/>
      <c r="AJ66" s="671"/>
      <c r="AK66" s="671"/>
      <c r="AL66" s="671"/>
      <c r="AP66" s="227"/>
      <c r="AQ66" s="227"/>
      <c r="AR66" s="227"/>
      <c r="AS66" s="227"/>
      <c r="AT66" s="227"/>
    </row>
    <row r="67" spans="1:46" s="404" customFormat="1" ht="16.149999999999999" customHeight="1" x14ac:dyDescent="0.25">
      <c r="A67" s="227"/>
      <c r="B67" s="227"/>
      <c r="C67" s="227"/>
      <c r="D67" s="227"/>
      <c r="E67" s="227"/>
      <c r="F67" s="227"/>
      <c r="G67" s="227"/>
      <c r="H67" s="227"/>
      <c r="I67" s="227"/>
      <c r="J67" s="227"/>
      <c r="K67" s="227"/>
      <c r="L67" s="227"/>
      <c r="M67" s="227"/>
      <c r="N67" s="227"/>
      <c r="O67" s="268"/>
      <c r="P67" s="227"/>
      <c r="Q67" s="268"/>
      <c r="R67" s="227"/>
      <c r="S67" s="227"/>
      <c r="T67" s="227"/>
      <c r="U67" s="227"/>
      <c r="V67" s="227"/>
      <c r="W67" s="227"/>
      <c r="X67" s="671"/>
      <c r="Y67" s="671"/>
      <c r="Z67" s="671"/>
      <c r="AA67" s="671"/>
      <c r="AB67" s="671"/>
      <c r="AC67" s="671"/>
      <c r="AD67" s="671"/>
      <c r="AE67" s="671"/>
      <c r="AF67" s="671"/>
      <c r="AG67" s="671"/>
      <c r="AH67" s="671"/>
      <c r="AI67" s="671"/>
      <c r="AJ67" s="671"/>
      <c r="AK67" s="671"/>
      <c r="AL67" s="671"/>
      <c r="AP67" s="227"/>
      <c r="AQ67" s="227"/>
      <c r="AR67" s="227"/>
      <c r="AS67" s="227"/>
      <c r="AT67" s="227"/>
    </row>
    <row r="68" spans="1:46" s="404" customFormat="1" ht="16.149999999999999" customHeight="1" x14ac:dyDescent="0.2">
      <c r="A68" s="227"/>
      <c r="B68" s="227"/>
      <c r="C68" s="227"/>
      <c r="D68" s="227"/>
      <c r="E68" s="227"/>
      <c r="F68" s="227"/>
      <c r="G68" s="227"/>
      <c r="H68" s="227"/>
      <c r="I68" s="227"/>
      <c r="J68" s="227"/>
      <c r="K68" s="227"/>
      <c r="L68" s="227"/>
      <c r="M68" s="227"/>
      <c r="N68" s="227"/>
      <c r="O68" s="268"/>
      <c r="P68" s="227"/>
      <c r="Q68" s="268"/>
      <c r="R68" s="227"/>
      <c r="S68" s="227"/>
      <c r="T68" s="227"/>
      <c r="U68" s="227"/>
      <c r="V68" s="227"/>
      <c r="W68" s="227"/>
      <c r="X68" s="671"/>
      <c r="Y68" s="671"/>
      <c r="Z68" s="671"/>
      <c r="AA68" s="671"/>
      <c r="AB68" s="671"/>
      <c r="AC68" s="671"/>
      <c r="AD68" s="671"/>
      <c r="AE68" s="671"/>
      <c r="AF68" s="671"/>
      <c r="AG68" s="671"/>
      <c r="AH68" s="671"/>
      <c r="AI68" s="671"/>
      <c r="AJ68" s="671"/>
      <c r="AK68" s="671"/>
      <c r="AL68" s="671"/>
      <c r="AN68" s="137"/>
      <c r="AO68" s="137"/>
      <c r="AP68" s="37"/>
      <c r="AQ68" s="37"/>
      <c r="AR68" s="37"/>
      <c r="AS68" s="227"/>
      <c r="AT68" s="227"/>
    </row>
    <row r="69" spans="1:46" x14ac:dyDescent="0.2">
      <c r="O69" s="37"/>
      <c r="Q69" s="37"/>
      <c r="X69" s="37"/>
      <c r="Y69" s="37"/>
      <c r="Z69" s="37"/>
      <c r="AA69" s="118"/>
      <c r="AB69" s="37"/>
      <c r="AC69" s="118"/>
      <c r="AD69" s="37"/>
      <c r="AE69" s="37"/>
    </row>
    <row r="70" spans="1:46" x14ac:dyDescent="0.2">
      <c r="N70" s="172" t="str">
        <f>ListAVS!$B$73</f>
        <v>Obliczanie wagi frontów</v>
      </c>
      <c r="O70" s="173"/>
      <c r="P70" s="173"/>
      <c r="Q70" s="173"/>
      <c r="R70" s="173"/>
      <c r="X70" s="37"/>
      <c r="Y70" s="37"/>
      <c r="Z70" s="37"/>
      <c r="AA70" s="118"/>
      <c r="AB70" s="37"/>
      <c r="AC70" s="118"/>
      <c r="AD70" s="37"/>
      <c r="AE70" s="37"/>
    </row>
    <row r="71" spans="1:46" ht="15.75" customHeight="1" x14ac:dyDescent="0.2">
      <c r="O71" s="174" t="str">
        <f>ListAVS!$B$180&amp;"  "</f>
        <v xml:space="preserve">Wykonanie frontów  </v>
      </c>
      <c r="Q71" s="37"/>
      <c r="T71" s="300">
        <f>J4</f>
        <v>0</v>
      </c>
      <c r="U71" s="175" t="str">
        <f>IF($Z$78=3,IF($T$71=0,$Y$74," "),IF($T$71&gt;0,$Y$75," "))</f>
        <v xml:space="preserve"> </v>
      </c>
      <c r="X71" s="37"/>
      <c r="Y71" s="149" t="str">
        <f>IF($Z$78=1,$Z$79,IF($Z$78=2,$Z$80,$Z$81&amp;" "&amp;$Y$81&amp;"kg/m3"))&amp;" A~"&amp;$T$79&amp;"/ B~"&amp;$T$88&amp;"mm"</f>
        <v>MDF (760 kg/m3) A~0/ B~0mm</v>
      </c>
      <c r="Z71" s="118"/>
      <c r="AA71" s="37"/>
      <c r="AC71" s="118"/>
      <c r="AD71" s="37"/>
      <c r="AE71" s="37"/>
    </row>
    <row r="72" spans="1:46" ht="13.5" customHeight="1" x14ac:dyDescent="0.2">
      <c r="O72" s="37"/>
      <c r="P72" s="1098" t="str">
        <f>IF($Z$78&lt;&gt;3,$Y$73," ")&amp;"      "</f>
        <v xml:space="preserve"> Możesz zmienić wartości we Wstępie do planowania      </v>
      </c>
      <c r="Q72" s="1098"/>
      <c r="R72" s="1098"/>
      <c r="S72" s="1098"/>
      <c r="T72" s="1098"/>
      <c r="X72" s="37"/>
      <c r="Y72" s="37"/>
      <c r="Z72" s="118"/>
      <c r="AA72" s="37"/>
      <c r="AC72" s="118"/>
      <c r="AD72" s="37"/>
      <c r="AE72" s="37"/>
    </row>
    <row r="73" spans="1:46" x14ac:dyDescent="0.2">
      <c r="N73" s="137"/>
      <c r="O73" s="37"/>
      <c r="Q73" s="37"/>
      <c r="X73" s="37"/>
      <c r="Y73" s="37" t="str">
        <f>" "&amp;ListAVS!$B$410</f>
        <v xml:space="preserve"> Możesz zmienić wartości we Wstępie do planowania</v>
      </c>
      <c r="Z73" s="118"/>
      <c r="AA73" s="37"/>
      <c r="AC73" s="118"/>
      <c r="AD73" s="37"/>
      <c r="AE73" s="37"/>
    </row>
    <row r="74" spans="1:46" x14ac:dyDescent="0.2">
      <c r="N74" s="137"/>
      <c r="O74" s="37"/>
      <c r="Q74" s="37"/>
      <c r="X74" s="37"/>
      <c r="Y74" s="37" t="str">
        <f>" "&amp;ListAVS!$B$245&amp;" [kg/m3]"</f>
        <v xml:space="preserve"> Podaj masę objętościową [kg/m3]</v>
      </c>
      <c r="Z74" s="118"/>
      <c r="AA74" s="37"/>
      <c r="AC74" s="118"/>
      <c r="AD74" s="37"/>
      <c r="AE74" s="37"/>
    </row>
    <row r="75" spans="1:46" x14ac:dyDescent="0.2">
      <c r="O75" s="37"/>
      <c r="Q75" s="37"/>
      <c r="X75" s="37"/>
      <c r="Y75" s="37" t="str">
        <f>" "&amp;ListAVS!$B$241&amp;" '"&amp;ListAVS!$B$92&amp;"'"</f>
        <v xml:space="preserve"> Wartość obowiązuje tylko dla opcji 'Inne – wybrana gęstość materiału'</v>
      </c>
      <c r="Z75" s="118"/>
      <c r="AA75" s="37"/>
      <c r="AC75" s="118"/>
      <c r="AD75" s="37"/>
      <c r="AE75" s="37"/>
    </row>
    <row r="76" spans="1:46" ht="15.75" customHeight="1" x14ac:dyDescent="0.2">
      <c r="N76" s="1099"/>
      <c r="O76" s="1099"/>
      <c r="P76" s="1099"/>
      <c r="Q76" s="1100"/>
      <c r="R76" s="1082" t="str">
        <f>F9</f>
        <v>Korpus A</v>
      </c>
      <c r="S76" s="1083"/>
      <c r="T76" s="1084"/>
      <c r="X76" s="37"/>
      <c r="Y76" s="37"/>
      <c r="Z76" s="118"/>
      <c r="AA76" s="37"/>
      <c r="AC76" s="118"/>
      <c r="AD76" s="37"/>
      <c r="AE76" s="37"/>
      <c r="AP76" s="118"/>
      <c r="AQ76" s="118"/>
      <c r="AR76" s="118"/>
    </row>
    <row r="77" spans="1:46" s="118" customFormat="1" ht="13.5" customHeight="1" x14ac:dyDescent="0.2">
      <c r="A77" s="37"/>
      <c r="N77" s="1079" t="str">
        <f>ListAVS!$B$74&amp;" KB [mm] "</f>
        <v xml:space="preserve">Szerokość korpusu KB [mm] </v>
      </c>
      <c r="O77" s="1080"/>
      <c r="P77" s="1080"/>
      <c r="Q77" s="1080"/>
      <c r="R77" s="1080"/>
      <c r="S77" s="1081"/>
      <c r="T77" s="300">
        <f>H10</f>
        <v>0</v>
      </c>
      <c r="U77" s="108"/>
      <c r="W77" s="37"/>
      <c r="X77" s="37"/>
      <c r="Y77" s="37">
        <f>T77*T78*T79</f>
        <v>0</v>
      </c>
      <c r="Z77" s="37"/>
      <c r="AA77" s="37"/>
      <c r="AD77" s="37"/>
      <c r="AE77" s="37"/>
      <c r="AF77" s="108"/>
      <c r="AG77" s="108"/>
      <c r="AH77" s="108"/>
      <c r="AI77" s="108"/>
      <c r="AJ77" s="108"/>
      <c r="AK77" s="108"/>
      <c r="AL77" s="108"/>
      <c r="AM77" s="137"/>
      <c r="AN77" s="137"/>
      <c r="AO77" s="137"/>
    </row>
    <row r="78" spans="1:46" s="118" customFormat="1" ht="13.5" customHeight="1" x14ac:dyDescent="0.2">
      <c r="A78" s="37"/>
      <c r="N78" s="1079" t="str">
        <f>ListAVS!$B$75&amp;" KH [mm] "</f>
        <v xml:space="preserve">Wysokość korpusu KH [mm] </v>
      </c>
      <c r="O78" s="1080"/>
      <c r="P78" s="1080"/>
      <c r="Q78" s="1080"/>
      <c r="R78" s="1080"/>
      <c r="S78" s="1081"/>
      <c r="T78" s="300">
        <f>H11</f>
        <v>0</v>
      </c>
      <c r="U78" s="108"/>
      <c r="W78" s="37"/>
      <c r="X78" s="37"/>
      <c r="Y78" s="37">
        <f>Y77/1000000000</f>
        <v>0</v>
      </c>
      <c r="Z78" s="117">
        <v>1</v>
      </c>
      <c r="AD78" s="37"/>
      <c r="AE78" s="37"/>
      <c r="AF78" s="108"/>
      <c r="AG78" s="108"/>
      <c r="AH78" s="108"/>
      <c r="AI78" s="108"/>
      <c r="AJ78" s="108"/>
      <c r="AK78" s="108"/>
      <c r="AL78" s="108"/>
      <c r="AM78" s="137"/>
      <c r="AN78" s="137"/>
      <c r="AO78" s="137"/>
    </row>
    <row r="79" spans="1:46" s="118" customFormat="1" ht="13.5" customHeight="1" x14ac:dyDescent="0.2">
      <c r="A79" s="37"/>
      <c r="N79" s="1079" t="str">
        <f>ListAVS!$B$80&amp;" TS [mm] "</f>
        <v xml:space="preserve">Grubość frontu TS [mm] </v>
      </c>
      <c r="O79" s="1080"/>
      <c r="P79" s="1080"/>
      <c r="Q79" s="1080"/>
      <c r="R79" s="1080"/>
      <c r="S79" s="1081"/>
      <c r="T79" s="578">
        <f>H13</f>
        <v>0</v>
      </c>
      <c r="U79" s="130" t="str">
        <f>IF(SUM(T77,T78)=0," ",IF(T79=0," ● "&amp;ListAVS!$B$129," "))</f>
        <v xml:space="preserve"> </v>
      </c>
      <c r="W79" s="37"/>
      <c r="X79" s="37"/>
      <c r="Y79" s="319">
        <f>MenuAVS!$C$31</f>
        <v>760</v>
      </c>
      <c r="Z79" s="175" t="str">
        <f>ListAVS!$B$90&amp;" ("&amp;Y79&amp;" kg/m3)"</f>
        <v>MDF (760 kg/m3)</v>
      </c>
      <c r="AD79" s="37"/>
      <c r="AE79" s="37"/>
      <c r="AF79" s="108"/>
      <c r="AG79" s="108"/>
      <c r="AH79" s="108"/>
      <c r="AI79" s="108"/>
      <c r="AJ79" s="108"/>
      <c r="AK79" s="108"/>
      <c r="AL79" s="108"/>
      <c r="AM79" s="137"/>
      <c r="AN79" s="137"/>
      <c r="AO79" s="137"/>
    </row>
    <row r="80" spans="1:46" s="118" customFormat="1" ht="13.5" customHeight="1" x14ac:dyDescent="0.2">
      <c r="A80" s="37"/>
      <c r="N80" s="1079" t="str">
        <f>ListAVS!$B$83&amp;" [kg] "</f>
        <v xml:space="preserve">Waga uchwytu [kg] </v>
      </c>
      <c r="O80" s="1080"/>
      <c r="P80" s="1080"/>
      <c r="Q80" s="1080"/>
      <c r="R80" s="1080"/>
      <c r="S80" s="1081"/>
      <c r="T80" s="578">
        <f>H14</f>
        <v>0</v>
      </c>
      <c r="U80" s="130" t="str">
        <f>IF(SUM(T77,T78)=0," ",IF(T80=0," ● "&amp;ListAVS!$B$130," "))</f>
        <v xml:space="preserve"> </v>
      </c>
      <c r="W80" s="37"/>
      <c r="X80" s="37"/>
      <c r="Y80" s="319">
        <f>MenuAVS!$C$32</f>
        <v>680</v>
      </c>
      <c r="Z80" s="175" t="str">
        <f>ListAVS!$B$91&amp;" ("&amp;Y80&amp;" kg/m3)"</f>
        <v>Płyta wiórowa (680 kg/m3)</v>
      </c>
      <c r="AD80" s="37"/>
      <c r="AE80" s="37"/>
      <c r="AF80" s="108"/>
      <c r="AG80" s="108"/>
      <c r="AH80" s="108"/>
      <c r="AI80" s="108"/>
      <c r="AJ80" s="108"/>
      <c r="AK80" s="108"/>
      <c r="AL80" s="108"/>
      <c r="AM80" s="137"/>
      <c r="AN80" s="137"/>
      <c r="AO80" s="137"/>
    </row>
    <row r="81" spans="1:44" s="118" customFormat="1" ht="13.5" customHeight="1" x14ac:dyDescent="0.2">
      <c r="A81" s="37"/>
      <c r="N81" s="1079" t="str">
        <f>ListAVS!$B$79&amp;" [kg] "</f>
        <v xml:space="preserve">Obliczona waga frontu [kg] </v>
      </c>
      <c r="O81" s="1080"/>
      <c r="P81" s="1080"/>
      <c r="Q81" s="1080"/>
      <c r="R81" s="1080"/>
      <c r="S81" s="1081"/>
      <c r="T81" s="185">
        <f>IF(X81=0,0,X81+T80)</f>
        <v>0</v>
      </c>
      <c r="U81" s="119"/>
      <c r="W81" s="37"/>
      <c r="X81" s="186">
        <f>IF(T77*T78*T79=0,0,IF(Z78=1,Y78*Y79,IF(Z78=2,Y78*Y80,Y78*Y81)))</f>
        <v>0</v>
      </c>
      <c r="Y81" s="37">
        <f>$T$71</f>
        <v>0</v>
      </c>
      <c r="Z81" s="175" t="str">
        <f>ListAVS!$B$92</f>
        <v>Inne – wybrana gęstość materiału</v>
      </c>
      <c r="AD81" s="37"/>
      <c r="AE81" s="37"/>
      <c r="AF81" s="108"/>
      <c r="AG81" s="108"/>
      <c r="AH81" s="108"/>
      <c r="AI81" s="108"/>
      <c r="AJ81" s="108"/>
      <c r="AK81" s="108"/>
      <c r="AL81" s="108"/>
      <c r="AM81" s="137"/>
      <c r="AN81" s="137"/>
      <c r="AO81" s="137"/>
      <c r="AP81" s="37"/>
      <c r="AQ81" s="37"/>
      <c r="AR81" s="37"/>
    </row>
    <row r="82" spans="1:44" ht="13.5" customHeight="1" x14ac:dyDescent="0.2">
      <c r="O82" s="142" t="str">
        <f>IF(T81&gt;0,IF(T80=0,$Y$95," ")," ")</f>
        <v xml:space="preserve"> </v>
      </c>
      <c r="Q82" s="37"/>
      <c r="U82" s="130"/>
      <c r="X82" s="37"/>
      <c r="Y82" s="37"/>
      <c r="Z82" s="118"/>
      <c r="AA82" s="37"/>
      <c r="AC82" s="118"/>
      <c r="AD82" s="37"/>
      <c r="AE82" s="37"/>
    </row>
    <row r="83" spans="1:44" x14ac:dyDescent="0.2">
      <c r="O83" s="37"/>
      <c r="Q83" s="37"/>
      <c r="X83" s="37"/>
      <c r="Y83" s="37"/>
      <c r="Z83" s="118"/>
      <c r="AA83" s="37"/>
      <c r="AC83" s="118"/>
      <c r="AD83" s="37"/>
      <c r="AE83" s="37"/>
      <c r="AP83" s="118"/>
      <c r="AQ83" s="118"/>
      <c r="AR83" s="118"/>
    </row>
    <row r="84" spans="1:44" s="118" customFormat="1" x14ac:dyDescent="0.2">
      <c r="A84" s="37"/>
      <c r="N84" s="37"/>
      <c r="O84" s="37"/>
      <c r="P84" s="37"/>
      <c r="Q84" s="37"/>
      <c r="R84" s="37"/>
      <c r="S84" s="37"/>
      <c r="T84" s="37"/>
      <c r="U84" s="37"/>
      <c r="V84" s="37"/>
      <c r="W84" s="37"/>
      <c r="X84" s="37"/>
      <c r="Y84" s="37"/>
      <c r="AA84" s="37"/>
      <c r="AD84" s="37"/>
      <c r="AE84" s="37"/>
      <c r="AF84" s="108"/>
      <c r="AG84" s="108"/>
      <c r="AH84" s="108"/>
      <c r="AI84" s="108"/>
      <c r="AJ84" s="108"/>
      <c r="AK84" s="108"/>
      <c r="AL84" s="108"/>
      <c r="AM84" s="137"/>
      <c r="AN84" s="137"/>
      <c r="AO84" s="137"/>
    </row>
    <row r="85" spans="1:44" s="118" customFormat="1" ht="15.75" customHeight="1" x14ac:dyDescent="0.2">
      <c r="A85" s="37"/>
      <c r="Q85" s="37"/>
      <c r="R85" s="1082" t="str">
        <f>D20</f>
        <v xml:space="preserve"> </v>
      </c>
      <c r="S85" s="1083"/>
      <c r="T85" s="1084"/>
      <c r="U85" s="37"/>
      <c r="V85" s="37"/>
      <c r="W85" s="37"/>
      <c r="X85" s="37"/>
      <c r="AA85" s="37"/>
      <c r="AD85" s="37"/>
      <c r="AE85" s="37"/>
      <c r="AF85" s="108"/>
      <c r="AG85" s="108"/>
      <c r="AH85" s="108"/>
      <c r="AI85" s="108"/>
      <c r="AJ85" s="108"/>
      <c r="AK85" s="108"/>
      <c r="AL85" s="108"/>
      <c r="AM85" s="137"/>
      <c r="AN85" s="137"/>
      <c r="AO85" s="137"/>
    </row>
    <row r="86" spans="1:44" s="118" customFormat="1" ht="13.5" customHeight="1" x14ac:dyDescent="0.2">
      <c r="A86" s="37"/>
      <c r="N86" s="1079" t="str">
        <f>ListAVS!$B$74&amp;" KB [mm] "</f>
        <v xml:space="preserve">Szerokość korpusu KB [mm] </v>
      </c>
      <c r="O86" s="1080"/>
      <c r="P86" s="1080"/>
      <c r="Q86" s="1080"/>
      <c r="R86" s="1080"/>
      <c r="S86" s="1081"/>
      <c r="T86" s="300">
        <f>H21</f>
        <v>0</v>
      </c>
      <c r="U86" s="108"/>
      <c r="V86" s="37"/>
      <c r="W86" s="37"/>
      <c r="X86" s="37"/>
      <c r="Y86" s="37">
        <f>T86*T87*T88</f>
        <v>0</v>
      </c>
      <c r="Z86" s="37"/>
      <c r="AA86" s="37"/>
      <c r="AD86" s="37"/>
      <c r="AE86" s="37"/>
      <c r="AF86" s="108"/>
      <c r="AG86" s="108"/>
      <c r="AH86" s="108"/>
      <c r="AI86" s="108"/>
      <c r="AJ86" s="108"/>
      <c r="AK86" s="108"/>
      <c r="AL86" s="108"/>
      <c r="AM86" s="137"/>
      <c r="AN86" s="137"/>
      <c r="AO86" s="137"/>
    </row>
    <row r="87" spans="1:44" s="118" customFormat="1" ht="13.5" customHeight="1" x14ac:dyDescent="0.2">
      <c r="A87" s="37"/>
      <c r="N87" s="1079" t="str">
        <f>ListAVS!$B$75&amp;" KH [mm] "</f>
        <v xml:space="preserve">Wysokość korpusu KH [mm] </v>
      </c>
      <c r="O87" s="1080"/>
      <c r="P87" s="1080"/>
      <c r="Q87" s="1080"/>
      <c r="R87" s="1080"/>
      <c r="S87" s="1081"/>
      <c r="T87" s="300">
        <f>H22</f>
        <v>0</v>
      </c>
      <c r="U87" s="108"/>
      <c r="V87" s="37"/>
      <c r="W87" s="37"/>
      <c r="X87" s="37"/>
      <c r="Y87" s="37">
        <f>Y86/1000000000</f>
        <v>0</v>
      </c>
      <c r="Z87" s="182">
        <f>Z78</f>
        <v>1</v>
      </c>
      <c r="AD87" s="37"/>
      <c r="AE87" s="37"/>
      <c r="AF87" s="108"/>
      <c r="AG87" s="108"/>
      <c r="AH87" s="108"/>
      <c r="AI87" s="108"/>
      <c r="AJ87" s="108"/>
      <c r="AK87" s="108"/>
      <c r="AL87" s="108"/>
      <c r="AM87" s="137"/>
      <c r="AN87" s="137"/>
      <c r="AO87" s="137"/>
    </row>
    <row r="88" spans="1:44" s="118" customFormat="1" ht="13.5" customHeight="1" x14ac:dyDescent="0.2">
      <c r="A88" s="37"/>
      <c r="N88" s="1079" t="str">
        <f>ListAVS!$B$80&amp;" TS [mm] "</f>
        <v xml:space="preserve">Grubość frontu TS [mm] </v>
      </c>
      <c r="O88" s="1080"/>
      <c r="P88" s="1080"/>
      <c r="Q88" s="1080"/>
      <c r="R88" s="1080"/>
      <c r="S88" s="1081"/>
      <c r="T88" s="581">
        <f>H24</f>
        <v>0</v>
      </c>
      <c r="U88" s="130" t="str">
        <f>IF(SUM(T86,T87)=0," ",IF(T88=0," ● "&amp;ListAVS!$B$129," "))</f>
        <v xml:space="preserve"> </v>
      </c>
      <c r="X88" s="37"/>
      <c r="Y88" s="319">
        <f>$Y$79</f>
        <v>760</v>
      </c>
      <c r="Z88" s="37" t="str">
        <f>$Z$79</f>
        <v>MDF (760 kg/m3)</v>
      </c>
      <c r="AD88" s="37"/>
      <c r="AE88" s="37"/>
      <c r="AF88" s="108"/>
      <c r="AG88" s="108"/>
      <c r="AH88" s="108"/>
      <c r="AI88" s="108"/>
      <c r="AJ88" s="108"/>
      <c r="AK88" s="108"/>
      <c r="AL88" s="108"/>
      <c r="AM88" s="137"/>
      <c r="AN88" s="137"/>
      <c r="AO88" s="137"/>
    </row>
    <row r="89" spans="1:44" s="118" customFormat="1" ht="13.5" customHeight="1" x14ac:dyDescent="0.2">
      <c r="A89" s="37"/>
      <c r="N89" s="1079" t="str">
        <f>ListAVS!$B$83&amp;" [kg] "</f>
        <v xml:space="preserve">Waga uchwytu [kg] </v>
      </c>
      <c r="O89" s="1080"/>
      <c r="P89" s="1080"/>
      <c r="Q89" s="1080"/>
      <c r="R89" s="1080"/>
      <c r="S89" s="1081"/>
      <c r="T89" s="581">
        <f>H25</f>
        <v>0</v>
      </c>
      <c r="U89" s="130" t="str">
        <f>IF(SUM(T86,T87)=0," ",IF(T89=0," ● "&amp;ListAVS!$B$130," "))</f>
        <v xml:space="preserve"> </v>
      </c>
      <c r="X89" s="37"/>
      <c r="Y89" s="319">
        <f>$Y$80</f>
        <v>680</v>
      </c>
      <c r="Z89" s="37" t="str">
        <f>$Z$80</f>
        <v>Płyta wiórowa (680 kg/m3)</v>
      </c>
      <c r="AD89" s="37"/>
      <c r="AE89" s="37"/>
      <c r="AF89" s="108"/>
      <c r="AG89" s="108"/>
      <c r="AH89" s="108"/>
      <c r="AI89" s="108"/>
      <c r="AJ89" s="108"/>
      <c r="AK89" s="108"/>
      <c r="AL89" s="108"/>
      <c r="AM89" s="137"/>
      <c r="AN89" s="137"/>
      <c r="AO89" s="137"/>
    </row>
    <row r="90" spans="1:44" s="118" customFormat="1" ht="13.5" customHeight="1" x14ac:dyDescent="0.2">
      <c r="A90" s="37"/>
      <c r="N90" s="1079" t="str">
        <f>ListAVS!$B$79&amp;" [kg] "</f>
        <v xml:space="preserve">Obliczona waga frontu [kg] </v>
      </c>
      <c r="O90" s="1080"/>
      <c r="P90" s="1080"/>
      <c r="Q90" s="1080"/>
      <c r="R90" s="1080"/>
      <c r="S90" s="1081"/>
      <c r="T90" s="185">
        <f>IF(X90=0,0,X90+T89)</f>
        <v>0</v>
      </c>
      <c r="U90" s="119"/>
      <c r="X90" s="186">
        <f>IF(T86*T87*T88=0,0,IF(Z87=1,Y87*Y88,IF(Z87=2,Y87*Y89,Y87*Y90)))</f>
        <v>0</v>
      </c>
      <c r="Y90" s="37">
        <f>$Y$81</f>
        <v>0</v>
      </c>
      <c r="Z90" s="37" t="str">
        <f>$Z$81</f>
        <v>Inne – wybrana gęstość materiału</v>
      </c>
      <c r="AD90" s="37"/>
      <c r="AE90" s="37"/>
      <c r="AF90" s="108"/>
      <c r="AG90" s="108"/>
      <c r="AH90" s="108"/>
      <c r="AI90" s="108"/>
      <c r="AJ90" s="108"/>
      <c r="AK90" s="108"/>
      <c r="AL90" s="108"/>
      <c r="AM90" s="137"/>
      <c r="AN90" s="137"/>
      <c r="AO90" s="137"/>
    </row>
    <row r="91" spans="1:44" s="118" customFormat="1" x14ac:dyDescent="0.2">
      <c r="A91" s="37"/>
      <c r="N91" s="37"/>
      <c r="O91" s="142" t="str">
        <f>IF(T90&gt;0,IF(T89=0,$Y$95," ")," ")</f>
        <v xml:space="preserve"> </v>
      </c>
      <c r="P91" s="37"/>
      <c r="Q91" s="37"/>
      <c r="R91" s="37"/>
      <c r="S91" s="37"/>
      <c r="T91" s="37"/>
      <c r="U91" s="37"/>
      <c r="V91" s="37"/>
      <c r="W91" s="37"/>
      <c r="X91" s="37"/>
      <c r="Y91" s="37"/>
      <c r="AA91" s="37"/>
      <c r="AD91" s="37"/>
      <c r="AE91" s="37"/>
      <c r="AF91" s="108"/>
      <c r="AG91" s="108"/>
      <c r="AH91" s="108"/>
      <c r="AI91" s="108"/>
      <c r="AJ91" s="108"/>
      <c r="AK91" s="108"/>
      <c r="AL91" s="108"/>
      <c r="AM91" s="137"/>
      <c r="AN91" s="137"/>
      <c r="AO91" s="137"/>
    </row>
    <row r="92" spans="1:44" s="118" customFormat="1" x14ac:dyDescent="0.2">
      <c r="A92" s="37"/>
      <c r="N92" s="37"/>
      <c r="O92" s="37"/>
      <c r="P92" s="37"/>
      <c r="Q92" s="37"/>
      <c r="R92" s="37"/>
      <c r="S92" s="37"/>
      <c r="T92" s="37"/>
      <c r="U92" s="37"/>
      <c r="V92" s="37"/>
      <c r="W92" s="37"/>
      <c r="X92" s="37"/>
      <c r="Y92" s="37"/>
      <c r="AA92" s="37"/>
      <c r="AD92" s="37"/>
      <c r="AE92" s="37"/>
      <c r="AF92" s="108"/>
      <c r="AG92" s="108"/>
      <c r="AH92" s="108"/>
      <c r="AI92" s="108"/>
      <c r="AJ92" s="108"/>
      <c r="AK92" s="108"/>
      <c r="AL92" s="108"/>
      <c r="AM92" s="137"/>
      <c r="AN92" s="137"/>
      <c r="AO92" s="137"/>
    </row>
    <row r="93" spans="1:44" s="118" customFormat="1" x14ac:dyDescent="0.2">
      <c r="A93" s="37"/>
      <c r="N93" s="37"/>
      <c r="O93" s="37"/>
      <c r="P93" s="37"/>
      <c r="Q93" s="37"/>
      <c r="R93" s="37"/>
      <c r="S93" s="37"/>
      <c r="T93" s="37"/>
      <c r="U93" s="37"/>
      <c r="V93" s="37"/>
      <c r="W93" s="37"/>
      <c r="X93" s="37"/>
      <c r="Y93" s="37"/>
      <c r="AA93" s="37"/>
      <c r="AD93" s="37"/>
      <c r="AE93" s="37"/>
      <c r="AF93" s="108"/>
      <c r="AG93" s="108"/>
      <c r="AH93" s="108"/>
      <c r="AI93" s="108"/>
      <c r="AJ93" s="108"/>
      <c r="AK93" s="108"/>
      <c r="AL93" s="108"/>
      <c r="AM93" s="137"/>
      <c r="AN93" s="137"/>
      <c r="AO93" s="137"/>
    </row>
    <row r="94" spans="1:44" s="118" customFormat="1" x14ac:dyDescent="0.2">
      <c r="A94" s="37"/>
      <c r="N94" s="37"/>
      <c r="O94" s="37"/>
      <c r="P94" s="37"/>
      <c r="Q94" s="37"/>
      <c r="R94" s="37"/>
      <c r="S94" s="37"/>
      <c r="T94" s="37"/>
      <c r="U94" s="37"/>
      <c r="V94" s="37"/>
      <c r="W94" s="37"/>
      <c r="X94" s="37"/>
      <c r="Y94" s="37"/>
      <c r="AA94" s="37"/>
      <c r="AD94" s="37"/>
      <c r="AE94" s="37"/>
      <c r="AF94" s="108"/>
      <c r="AG94" s="108"/>
      <c r="AH94" s="108"/>
      <c r="AI94" s="108"/>
      <c r="AJ94" s="108"/>
      <c r="AK94" s="108"/>
      <c r="AL94" s="108"/>
      <c r="AM94" s="137"/>
      <c r="AN94" s="137"/>
      <c r="AO94" s="137"/>
    </row>
    <row r="95" spans="1:44" s="118" customFormat="1" x14ac:dyDescent="0.2">
      <c r="A95" s="37"/>
      <c r="N95" s="37"/>
      <c r="O95" s="37"/>
      <c r="P95" s="37"/>
      <c r="Q95" s="37"/>
      <c r="R95" s="37"/>
      <c r="S95" s="1088"/>
      <c r="T95" s="1088"/>
      <c r="U95" s="37"/>
      <c r="V95" s="37"/>
      <c r="W95" s="37"/>
      <c r="X95" s="37"/>
      <c r="Y95" s="37" t="str">
        <f>ListAVS!$B$103&amp;"!"</f>
        <v>Bez wagi uchwytu!</v>
      </c>
      <c r="AA95" s="37"/>
      <c r="AD95" s="37"/>
      <c r="AE95" s="37"/>
      <c r="AF95" s="108"/>
      <c r="AG95" s="108"/>
      <c r="AH95" s="108"/>
      <c r="AI95" s="108"/>
      <c r="AJ95" s="108"/>
      <c r="AK95" s="108"/>
      <c r="AL95" s="108"/>
      <c r="AM95" s="137"/>
      <c r="AN95" s="137"/>
      <c r="AO95" s="137"/>
    </row>
    <row r="96" spans="1:44" s="118" customFormat="1" x14ac:dyDescent="0.2">
      <c r="A96" s="37"/>
      <c r="N96" s="37"/>
      <c r="O96" s="37"/>
      <c r="P96" s="37"/>
      <c r="Q96" s="37"/>
      <c r="R96" s="37"/>
      <c r="S96" s="37"/>
      <c r="T96" s="37"/>
      <c r="U96" s="37"/>
      <c r="V96" s="37"/>
      <c r="W96" s="37"/>
      <c r="X96" s="37"/>
      <c r="Y96" s="37"/>
      <c r="Z96" s="37"/>
      <c r="AB96" s="37"/>
      <c r="AD96" s="37"/>
      <c r="AE96" s="37"/>
      <c r="AF96" s="108"/>
      <c r="AG96" s="108"/>
      <c r="AH96" s="108"/>
      <c r="AI96" s="108"/>
      <c r="AJ96" s="108"/>
      <c r="AK96" s="108"/>
      <c r="AL96" s="108"/>
      <c r="AM96" s="137"/>
      <c r="AN96" s="137"/>
      <c r="AO96" s="137"/>
    </row>
    <row r="97" spans="1:44" s="118" customFormat="1" x14ac:dyDescent="0.2">
      <c r="A97" s="37"/>
      <c r="N97" s="37"/>
      <c r="O97" s="148"/>
      <c r="P97" s="148"/>
      <c r="Q97" s="148"/>
      <c r="R97" s="148"/>
      <c r="S97" s="148"/>
      <c r="T97" s="148"/>
      <c r="U97" s="148"/>
      <c r="V97" s="148"/>
      <c r="W97" s="148"/>
      <c r="X97" s="37"/>
      <c r="Y97" s="37"/>
      <c r="AB97" s="37"/>
      <c r="AD97" s="37"/>
      <c r="AE97" s="37"/>
      <c r="AF97" s="108"/>
      <c r="AG97" s="108"/>
      <c r="AH97" s="108"/>
      <c r="AI97" s="108"/>
      <c r="AJ97" s="108"/>
      <c r="AK97" s="108"/>
      <c r="AL97" s="108"/>
      <c r="AM97" s="137"/>
      <c r="AN97" s="137"/>
      <c r="AO97" s="137"/>
    </row>
    <row r="98" spans="1:44" s="118" customFormat="1" x14ac:dyDescent="0.2">
      <c r="A98" s="37"/>
      <c r="N98" s="37"/>
      <c r="O98" s="148"/>
      <c r="P98" s="148"/>
      <c r="Q98" s="148"/>
      <c r="R98" s="148"/>
      <c r="S98" s="148"/>
      <c r="T98" s="148"/>
      <c r="U98" s="148"/>
      <c r="V98" s="148"/>
      <c r="W98" s="148"/>
      <c r="X98" s="37"/>
      <c r="Y98" s="37"/>
      <c r="Z98" s="37"/>
      <c r="AB98" s="37"/>
      <c r="AD98" s="37"/>
      <c r="AE98" s="37"/>
      <c r="AF98" s="108"/>
      <c r="AG98" s="108"/>
      <c r="AH98" s="108"/>
      <c r="AI98" s="108"/>
      <c r="AJ98" s="108"/>
      <c r="AK98" s="108"/>
      <c r="AL98" s="108"/>
      <c r="AM98" s="137"/>
      <c r="AN98" s="137"/>
      <c r="AO98" s="137"/>
      <c r="AP98" s="37"/>
      <c r="AQ98" s="37"/>
      <c r="AR98" s="37"/>
    </row>
    <row r="99" spans="1:44" s="37" customFormat="1" ht="15" customHeight="1" x14ac:dyDescent="0.2">
      <c r="A99" s="1045"/>
      <c r="O99" s="118"/>
      <c r="Q99" s="118"/>
      <c r="X99" s="108"/>
      <c r="Y99" s="108"/>
      <c r="Z99" s="108"/>
      <c r="AA99" s="108"/>
      <c r="AB99" s="108"/>
      <c r="AC99" s="108"/>
      <c r="AD99" s="108"/>
      <c r="AE99" s="108"/>
      <c r="AF99" s="108"/>
      <c r="AG99" s="108"/>
      <c r="AH99" s="108"/>
      <c r="AI99" s="108"/>
      <c r="AJ99" s="108"/>
      <c r="AK99" s="108"/>
      <c r="AL99" s="108"/>
      <c r="AM99" s="137"/>
      <c r="AN99" s="137"/>
      <c r="AO99" s="137"/>
    </row>
    <row r="100" spans="1:44" s="37" customFormat="1" ht="15" customHeight="1" x14ac:dyDescent="0.2">
      <c r="A100" s="1045"/>
      <c r="B100" s="320" t="str">
        <f>ListAVS!$B$195</f>
        <v>Obliczanie frontów asymetrycznych</v>
      </c>
      <c r="O100" s="118"/>
      <c r="Q100" s="118"/>
      <c r="X100" s="108"/>
      <c r="Y100" s="108"/>
      <c r="Z100" s="108"/>
      <c r="AA100" s="108"/>
      <c r="AB100" s="108"/>
      <c r="AC100" s="108"/>
      <c r="AD100" s="108"/>
      <c r="AE100" s="108"/>
      <c r="AF100" s="108"/>
      <c r="AG100" s="108"/>
      <c r="AH100" s="108"/>
      <c r="AI100" s="108"/>
      <c r="AJ100" s="108"/>
      <c r="AK100" s="108"/>
      <c r="AL100" s="108"/>
      <c r="AM100" s="137"/>
      <c r="AN100" s="137"/>
      <c r="AO100" s="137"/>
    </row>
    <row r="101" spans="1:44" s="37" customFormat="1" ht="15" customHeight="1" x14ac:dyDescent="0.2">
      <c r="A101" s="1045"/>
      <c r="B101" s="545"/>
      <c r="C101" s="545"/>
      <c r="D101" s="545"/>
      <c r="E101" s="545"/>
      <c r="F101" s="545"/>
      <c r="G101" s="545"/>
      <c r="H101" s="545"/>
      <c r="I101" s="545"/>
      <c r="J101" s="545"/>
      <c r="K101" s="545"/>
      <c r="L101" s="545"/>
      <c r="M101" s="545"/>
      <c r="N101" s="545"/>
      <c r="O101" s="546"/>
      <c r="P101" s="545"/>
      <c r="Q101" s="546"/>
      <c r="R101" s="545"/>
      <c r="S101" s="545"/>
      <c r="T101" s="545"/>
      <c r="U101" s="545"/>
      <c r="V101" s="545"/>
      <c r="W101" s="545"/>
      <c r="X101" s="108"/>
      <c r="Y101" s="108"/>
      <c r="Z101" s="108"/>
      <c r="AA101" s="108"/>
      <c r="AB101" s="108"/>
      <c r="AC101" s="108"/>
      <c r="AD101" s="108"/>
      <c r="AE101" s="108"/>
      <c r="AF101" s="108"/>
      <c r="AG101" s="108"/>
      <c r="AH101" s="108"/>
      <c r="AI101" s="108"/>
      <c r="AJ101" s="108"/>
      <c r="AK101" s="108"/>
      <c r="AL101" s="108"/>
      <c r="AM101" s="137"/>
      <c r="AN101" s="137"/>
      <c r="AO101" s="137"/>
    </row>
    <row r="102" spans="1:44" s="37" customFormat="1" ht="15" customHeight="1" x14ac:dyDescent="0.2">
      <c r="A102" s="1045"/>
      <c r="B102" s="1075" t="str">
        <f>"   "&amp;ListAVS!$B$198</f>
        <v xml:space="preserve">   Parametry korpusu</v>
      </c>
      <c r="C102" s="1076"/>
      <c r="D102" s="1076"/>
      <c r="E102" s="1076"/>
      <c r="F102" s="1076"/>
      <c r="G102" s="1076"/>
      <c r="H102" s="1076"/>
      <c r="I102" s="1077"/>
      <c r="J102" s="1078"/>
      <c r="K102" s="545"/>
      <c r="L102" s="545"/>
      <c r="M102" s="545"/>
      <c r="N102" s="545"/>
      <c r="O102" s="546"/>
      <c r="P102" s="545"/>
      <c r="Q102" s="546"/>
      <c r="R102" s="545"/>
      <c r="S102" s="545"/>
      <c r="T102" s="545"/>
      <c r="U102" s="545"/>
      <c r="V102" s="545"/>
      <c r="W102" s="545"/>
      <c r="X102" s="108"/>
      <c r="Y102" s="108"/>
      <c r="Z102" s="108"/>
      <c r="AA102" s="108"/>
      <c r="AB102" s="108"/>
      <c r="AC102" s="108"/>
      <c r="AD102" s="108"/>
      <c r="AE102" s="108"/>
      <c r="AF102" s="108"/>
      <c r="AG102" s="108"/>
      <c r="AH102" s="108"/>
      <c r="AI102" s="108"/>
      <c r="AJ102" s="108"/>
      <c r="AK102" s="108"/>
      <c r="AL102" s="108"/>
      <c r="AM102" s="137"/>
      <c r="AN102" s="137"/>
      <c r="AO102" s="137"/>
    </row>
    <row r="103" spans="1:44" s="37" customFormat="1" ht="15" customHeight="1" x14ac:dyDescent="0.2">
      <c r="A103" s="1045"/>
      <c r="B103" s="1070" t="str">
        <f>ListAVS!$B$75&amp;" KH [mm] "</f>
        <v xml:space="preserve">Wysokość korpusu KH [mm] </v>
      </c>
      <c r="C103" s="1071"/>
      <c r="D103" s="1071"/>
      <c r="E103" s="1071"/>
      <c r="F103" s="1071"/>
      <c r="G103" s="1071"/>
      <c r="H103" s="1072"/>
      <c r="I103" s="1073"/>
      <c r="J103" s="1073"/>
      <c r="K103" s="547" t="str">
        <f>IF(I103&lt;480, " min. 480", IF(I103&gt;1200, " max. 1200", " "))</f>
        <v xml:space="preserve"> min. 480</v>
      </c>
      <c r="L103" s="545"/>
      <c r="M103" s="545"/>
      <c r="N103" s="1089" t="s">
        <v>755</v>
      </c>
      <c r="O103" s="1089" t="s">
        <v>756</v>
      </c>
      <c r="P103" s="545"/>
      <c r="Q103" s="545"/>
      <c r="R103" s="545"/>
      <c r="S103" s="545"/>
      <c r="T103" s="545"/>
      <c r="U103" s="545"/>
      <c r="V103" s="545"/>
      <c r="W103" s="545"/>
      <c r="X103" s="108"/>
      <c r="Y103" s="108"/>
      <c r="Z103" s="108"/>
      <c r="AA103" s="108"/>
      <c r="AB103" s="108"/>
      <c r="AC103" s="108"/>
      <c r="AD103" s="108"/>
      <c r="AE103" s="108"/>
      <c r="AF103" s="108"/>
      <c r="AG103" s="108"/>
      <c r="AH103" s="108"/>
      <c r="AI103" s="108"/>
      <c r="AJ103" s="108"/>
      <c r="AK103" s="108"/>
      <c r="AL103" s="108"/>
      <c r="AM103" s="137"/>
      <c r="AN103" s="137"/>
      <c r="AO103" s="137"/>
    </row>
    <row r="104" spans="1:44" s="37" customFormat="1" ht="15" customHeight="1" x14ac:dyDescent="0.2">
      <c r="A104" s="1045"/>
      <c r="B104" s="1070" t="str">
        <f>ListAVS!$B$201&amp;" F1 [mm] "</f>
        <v xml:space="preserve">Szczelina na górze F1 [mm] </v>
      </c>
      <c r="C104" s="1071"/>
      <c r="D104" s="1071"/>
      <c r="E104" s="1071"/>
      <c r="F104" s="1071"/>
      <c r="G104" s="1071"/>
      <c r="H104" s="1072"/>
      <c r="I104" s="1073"/>
      <c r="J104" s="1073"/>
      <c r="K104" s="548"/>
      <c r="L104" s="545"/>
      <c r="M104" s="549"/>
      <c r="N104" s="1089"/>
      <c r="O104" s="1089"/>
      <c r="P104" s="545"/>
      <c r="Q104" s="545"/>
      <c r="R104" s="545"/>
      <c r="S104" s="545"/>
      <c r="T104" s="545"/>
      <c r="U104" s="545"/>
      <c r="V104" s="545"/>
      <c r="W104" s="545"/>
      <c r="X104" s="108"/>
      <c r="Y104" s="108"/>
      <c r="Z104" s="108"/>
      <c r="AA104" s="108"/>
      <c r="AB104" s="108"/>
      <c r="AC104" s="108"/>
      <c r="AD104" s="108"/>
      <c r="AE104" s="108"/>
      <c r="AF104" s="108"/>
      <c r="AG104" s="108"/>
      <c r="AH104" s="108"/>
      <c r="AI104" s="108"/>
      <c r="AJ104" s="108"/>
      <c r="AK104" s="108"/>
      <c r="AL104" s="108"/>
      <c r="AM104" s="137"/>
    </row>
    <row r="105" spans="1:44" ht="15" customHeight="1" x14ac:dyDescent="0.2">
      <c r="A105" s="1045"/>
      <c r="B105" s="1070" t="str">
        <f>ListAVS!$B$202&amp;" F2 [mm] "</f>
        <v xml:space="preserve">Szczelina pomiędzy frontami F2 [mm] </v>
      </c>
      <c r="C105" s="1071"/>
      <c r="D105" s="1071"/>
      <c r="E105" s="1071"/>
      <c r="F105" s="1071"/>
      <c r="G105" s="1071"/>
      <c r="H105" s="1072"/>
      <c r="I105" s="1086"/>
      <c r="J105" s="1087"/>
      <c r="K105" s="547" t="str">
        <f>IF($I$103=0," ",IF($I$105&lt;1.5," min. 1,5 mm!"," "))</f>
        <v xml:space="preserve"> </v>
      </c>
      <c r="L105" s="545"/>
      <c r="M105" s="545"/>
      <c r="N105" s="1089"/>
      <c r="O105" s="1089"/>
      <c r="P105" s="545"/>
      <c r="Q105" s="545"/>
      <c r="R105" s="545"/>
      <c r="S105" s="545"/>
      <c r="T105" s="545"/>
      <c r="U105" s="545"/>
      <c r="V105" s="545"/>
      <c r="W105" s="545"/>
      <c r="AM105" s="37"/>
      <c r="AN105" s="37"/>
      <c r="AO105" s="37"/>
    </row>
    <row r="106" spans="1:44" ht="15" customHeight="1" x14ac:dyDescent="0.2">
      <c r="A106" s="1045"/>
      <c r="B106" s="1070" t="str">
        <f>ListAVS!$B$203&amp;" F3 [mm] "</f>
        <v xml:space="preserve">Szczelina na dole F3 [mm] </v>
      </c>
      <c r="C106" s="1071"/>
      <c r="D106" s="1071"/>
      <c r="E106" s="1071"/>
      <c r="F106" s="1071"/>
      <c r="G106" s="1071"/>
      <c r="H106" s="1072"/>
      <c r="I106" s="1073"/>
      <c r="J106" s="1073"/>
      <c r="K106" s="545"/>
      <c r="L106" s="545"/>
      <c r="M106" s="553" t="s">
        <v>757</v>
      </c>
      <c r="N106" s="118">
        <v>170</v>
      </c>
      <c r="O106" s="118">
        <v>189</v>
      </c>
      <c r="P106" s="545"/>
      <c r="Q106" s="545"/>
      <c r="R106" s="545"/>
      <c r="S106" s="545"/>
      <c r="T106" s="545"/>
      <c r="U106" s="545"/>
      <c r="V106" s="545"/>
      <c r="W106" s="545"/>
      <c r="AM106" s="37"/>
      <c r="AN106" s="37"/>
      <c r="AO106" s="37"/>
    </row>
    <row r="107" spans="1:44" ht="15" customHeight="1" x14ac:dyDescent="0.2">
      <c r="A107" s="1045"/>
      <c r="B107" s="1070" t="str">
        <f>ListAVS!$B$204&amp;" [mm] "</f>
        <v xml:space="preserve">Grubość dna korpusu [mm] </v>
      </c>
      <c r="C107" s="1071"/>
      <c r="D107" s="1071"/>
      <c r="E107" s="1071"/>
      <c r="F107" s="1071"/>
      <c r="G107" s="1071"/>
      <c r="H107" s="1072"/>
      <c r="I107" s="1073"/>
      <c r="J107" s="1073"/>
      <c r="K107" s="545"/>
      <c r="L107" s="545"/>
      <c r="M107" s="553" t="s">
        <v>768</v>
      </c>
      <c r="N107" s="248">
        <v>93</v>
      </c>
      <c r="O107" s="248">
        <v>116</v>
      </c>
      <c r="P107" s="545"/>
      <c r="Q107" s="545"/>
      <c r="R107" s="545"/>
      <c r="S107" s="545"/>
      <c r="T107" s="545"/>
      <c r="U107" s="545"/>
      <c r="V107" s="545"/>
      <c r="W107" s="545"/>
      <c r="AM107" s="37"/>
      <c r="AN107" s="37"/>
      <c r="AO107" s="37"/>
    </row>
    <row r="108" spans="1:44" ht="15" customHeight="1" x14ac:dyDescent="0.2">
      <c r="A108" s="1045"/>
      <c r="B108" s="545"/>
      <c r="C108" s="545"/>
      <c r="D108" s="545"/>
      <c r="E108" s="545"/>
      <c r="F108" s="545"/>
      <c r="G108" s="545"/>
      <c r="H108" s="545"/>
      <c r="I108" s="545"/>
      <c r="J108" s="550"/>
      <c r="K108" s="545"/>
      <c r="L108" s="545"/>
      <c r="M108" s="553"/>
      <c r="P108" s="545"/>
      <c r="Q108" s="545"/>
      <c r="R108" s="545"/>
      <c r="S108" s="545"/>
      <c r="T108" s="545"/>
      <c r="U108" s="545"/>
      <c r="V108" s="545"/>
      <c r="W108" s="545"/>
      <c r="AM108" s="37"/>
      <c r="AN108" s="37"/>
      <c r="AO108" s="37"/>
    </row>
    <row r="109" spans="1:44" ht="15" customHeight="1" x14ac:dyDescent="0.2">
      <c r="A109" s="1045"/>
      <c r="B109" s="1091" t="str">
        <f>"   "&amp;ListAVS!$B$206</f>
        <v xml:space="preserve">   Wyniki planowania</v>
      </c>
      <c r="C109" s="1092"/>
      <c r="D109" s="1092"/>
      <c r="E109" s="1092"/>
      <c r="F109" s="1092"/>
      <c r="G109" s="1092"/>
      <c r="H109" s="1092"/>
      <c r="I109" s="1092"/>
      <c r="J109" s="1093"/>
      <c r="K109" s="545"/>
      <c r="L109" s="545"/>
      <c r="M109" s="545"/>
      <c r="N109" s="957" t="s">
        <v>762</v>
      </c>
      <c r="O109" s="958" t="s">
        <v>762</v>
      </c>
      <c r="P109" s="545"/>
      <c r="Q109" s="545"/>
      <c r="R109" s="545"/>
      <c r="S109" s="545"/>
      <c r="T109" s="545"/>
      <c r="U109" s="545"/>
      <c r="V109" s="545"/>
      <c r="W109" s="545"/>
      <c r="AM109" s="37"/>
      <c r="AN109" s="37"/>
      <c r="AO109" s="37"/>
    </row>
    <row r="110" spans="1:44" ht="15" customHeight="1" x14ac:dyDescent="0.2">
      <c r="A110" s="1045"/>
      <c r="B110" s="1094"/>
      <c r="C110" s="1095"/>
      <c r="D110" s="1095"/>
      <c r="E110" s="1095"/>
      <c r="F110" s="1095"/>
      <c r="G110" s="1096" t="str">
        <f>ListAVS!$B$207&amp;" [mm] "</f>
        <v xml:space="preserve">Możliwe wysokości frontów [mm] </v>
      </c>
      <c r="H110" s="1096"/>
      <c r="I110" s="1096"/>
      <c r="J110" s="1097"/>
      <c r="K110" s="545"/>
      <c r="L110" s="545"/>
      <c r="M110" s="545"/>
      <c r="N110" s="545" t="s">
        <v>754</v>
      </c>
      <c r="O110" s="545" t="s">
        <v>754</v>
      </c>
      <c r="P110" s="545"/>
      <c r="Q110" s="545"/>
      <c r="R110" s="545"/>
      <c r="S110" s="545"/>
      <c r="T110" s="545"/>
      <c r="U110" s="545"/>
      <c r="V110" s="545"/>
      <c r="W110" s="545"/>
      <c r="AM110" s="37"/>
      <c r="AN110" s="37"/>
      <c r="AO110" s="37"/>
    </row>
    <row r="111" spans="1:44" ht="15" customHeight="1" x14ac:dyDescent="0.2">
      <c r="A111" s="1045"/>
      <c r="B111" s="1069" t="str">
        <f>ListAVS!$B$208</f>
        <v>Front górny (FHo) w granicach</v>
      </c>
      <c r="C111" s="1069"/>
      <c r="D111" s="1069"/>
      <c r="E111" s="1069"/>
      <c r="F111" s="1069"/>
      <c r="G111" s="551" t="s">
        <v>60</v>
      </c>
      <c r="H111" s="552" t="str">
        <f>IF(AND($I$103&gt;=480, $I$103&lt;=519), $N$111, IF(AND($I$103&gt;=520, $I$103&lt;=1200), $O$111, $S$115))</f>
        <v>nie można</v>
      </c>
      <c r="I111" s="551" t="s">
        <v>61</v>
      </c>
      <c r="J111" s="552" t="str">
        <f>IF(AND($I$103&gt;=480, $I$103&lt;=519), $N$115, IF(AND($I$103&gt;=520, $I$103&lt;=1200), $O$115, $S$115))</f>
        <v>nie można</v>
      </c>
      <c r="K111" s="545"/>
      <c r="L111" s="545"/>
      <c r="M111" s="545"/>
      <c r="N111" s="546">
        <f>SUM(I103, -I104, -I105, -I106, -N120)</f>
        <v>0</v>
      </c>
      <c r="O111" s="546">
        <f>SUM(I103, -I104, -I105, -I106, -O120)</f>
        <v>0</v>
      </c>
      <c r="P111" s="545"/>
      <c r="Q111" s="545"/>
      <c r="R111" s="545"/>
      <c r="S111" s="545"/>
      <c r="T111" s="545"/>
      <c r="U111" s="545"/>
      <c r="V111" s="545"/>
      <c r="W111" s="545"/>
      <c r="AM111" s="37"/>
      <c r="AN111" s="37"/>
      <c r="AO111" s="37"/>
    </row>
    <row r="112" spans="1:44" ht="15" customHeight="1" x14ac:dyDescent="0.2">
      <c r="A112" s="1045"/>
      <c r="B112" s="1069" t="str">
        <f>ListAVS!$B$209</f>
        <v>Front dolny (FHu) w granicach</v>
      </c>
      <c r="C112" s="1069"/>
      <c r="D112" s="1069"/>
      <c r="E112" s="1069"/>
      <c r="F112" s="1069"/>
      <c r="G112" s="551" t="s">
        <v>60</v>
      </c>
      <c r="H112" s="552" t="str">
        <f>IF(AND($I$103&gt;=480, $I$103&lt;=519), $N$118, IF(AND($I$103&gt;=520, $I$103&lt;=1200), $O$118, $S$115))</f>
        <v>nie można</v>
      </c>
      <c r="I112" s="551" t="s">
        <v>61</v>
      </c>
      <c r="J112" s="552" t="str">
        <f>IF(AND($I$103&gt;=480, $I$103&lt;=519), $N$120, IF(AND($I$103&gt;=520, $I$103&lt;=1200), $O$120, $S$115))</f>
        <v>nie można</v>
      </c>
      <c r="K112" s="545"/>
      <c r="L112" s="545"/>
      <c r="M112" s="545"/>
      <c r="N112" s="545" t="s">
        <v>758</v>
      </c>
      <c r="O112" s="545" t="s">
        <v>758</v>
      </c>
      <c r="P112" s="545"/>
      <c r="Q112" s="545"/>
      <c r="R112" s="545"/>
      <c r="S112" s="545"/>
      <c r="T112" s="545"/>
      <c r="U112" s="545"/>
      <c r="V112" s="545"/>
      <c r="W112" s="545"/>
      <c r="AM112" s="37"/>
      <c r="AN112" s="37"/>
      <c r="AO112" s="37"/>
    </row>
    <row r="113" spans="1:41" ht="15" customHeight="1" x14ac:dyDescent="0.2">
      <c r="A113" s="1045"/>
      <c r="B113" s="694"/>
      <c r="C113" s="694"/>
      <c r="D113" s="694"/>
      <c r="E113" s="694"/>
      <c r="F113" s="694"/>
      <c r="G113" s="694"/>
      <c r="H113" s="694"/>
      <c r="I113" s="545"/>
      <c r="J113" s="545"/>
      <c r="K113" s="545"/>
      <c r="L113" s="545"/>
      <c r="M113" s="545"/>
      <c r="N113" s="546">
        <f>ROUNDUP(SUM(519, -$I$104, -$I$105, -$I$106)/2, 0)</f>
        <v>260</v>
      </c>
      <c r="O113" s="546">
        <f>ROUNDUP(SUM(1200, -$I$104, -$I$105, -$I$106)/2, 0)</f>
        <v>600</v>
      </c>
      <c r="P113" s="545" t="s">
        <v>759</v>
      </c>
      <c r="Q113" s="545"/>
      <c r="R113" s="545"/>
      <c r="S113" s="545"/>
      <c r="T113" s="545"/>
      <c r="U113" s="545"/>
      <c r="V113" s="545"/>
      <c r="W113" s="545"/>
      <c r="AM113" s="37"/>
      <c r="AN113" s="37"/>
      <c r="AO113" s="37"/>
    </row>
    <row r="114" spans="1:41" ht="15" customHeight="1" x14ac:dyDescent="0.2">
      <c r="A114" s="1045"/>
      <c r="B114" s="1070" t="str">
        <f>ListAVS!$B$215&amp;" FHo [mm] "</f>
        <v xml:space="preserve">Wysokość frontu górnego FHo [mm] </v>
      </c>
      <c r="C114" s="1071"/>
      <c r="D114" s="1071"/>
      <c r="E114" s="1071"/>
      <c r="F114" s="1071"/>
      <c r="G114" s="1071"/>
      <c r="H114" s="1072"/>
      <c r="I114" s="1073"/>
      <c r="J114" s="1073"/>
      <c r="K114" s="547" t="str">
        <f>IF($I$103=0," ",IF($I$114&gt;$J$111,V114,IF($I$114&lt;$H$111,$S$114," ")))</f>
        <v xml:space="preserve"> </v>
      </c>
      <c r="L114" s="545"/>
      <c r="M114" s="545"/>
      <c r="N114" s="546">
        <f>SUM(I103, -I104, -I105, -I106, -N118)</f>
        <v>-219</v>
      </c>
      <c r="O114" s="248">
        <f>SUM(I103, -I104, -I105, -I106, -O118)</f>
        <v>-238</v>
      </c>
      <c r="P114" s="545" t="s">
        <v>760</v>
      </c>
      <c r="Q114" s="545"/>
      <c r="R114" s="545"/>
      <c r="S114" s="545" t="str">
        <f>" min. "&amp;TEXT($H$111,"#")&amp;" mm!"</f>
        <v xml:space="preserve"> min. nie można mm!</v>
      </c>
      <c r="T114" s="545"/>
      <c r="U114" s="545"/>
      <c r="V114" s="545" t="str">
        <f>" max. "&amp;TEXT($J$111,"#")&amp;" mm!"</f>
        <v xml:space="preserve"> max. nie można mm!</v>
      </c>
      <c r="W114" s="545"/>
      <c r="AM114" s="37"/>
      <c r="AN114" s="37"/>
      <c r="AO114" s="37"/>
    </row>
    <row r="115" spans="1:41" ht="15" customHeight="1" x14ac:dyDescent="0.2">
      <c r="A115" s="1045"/>
      <c r="B115" s="1070" t="str">
        <f>ListAVS!$B$216&amp;" FHu [mm] "</f>
        <v xml:space="preserve">Wysokość frontu dolnego FHu [mm] </v>
      </c>
      <c r="C115" s="1071"/>
      <c r="D115" s="1071"/>
      <c r="E115" s="1071"/>
      <c r="F115" s="1071"/>
      <c r="G115" s="1071"/>
      <c r="H115" s="1072"/>
      <c r="I115" s="1074" t="str">
        <f>IF($I$114&lt;$H$111,$S$115,IF($I$114&gt;$J$111,$S$115,+$I$103-$I$104-$I$105-$I$106-$I$114))</f>
        <v>nie można</v>
      </c>
      <c r="J115" s="1074"/>
      <c r="K115" s="548"/>
      <c r="L115" s="545"/>
      <c r="M115" s="545"/>
      <c r="N115" s="959">
        <f>IF($N$114&gt;$N$113, $N$113, $N$114)</f>
        <v>-219</v>
      </c>
      <c r="O115" s="959">
        <f>IF($O$114&gt;$O$113, $O$113, $O$114)</f>
        <v>-238</v>
      </c>
      <c r="P115" s="545" t="s">
        <v>767</v>
      </c>
      <c r="R115" s="545"/>
      <c r="S115" s="545" t="str">
        <f>ListAVS!B212</f>
        <v>nie można</v>
      </c>
      <c r="T115" s="545"/>
      <c r="U115" s="545"/>
      <c r="V115" s="545"/>
      <c r="W115" s="545"/>
      <c r="AM115" s="37"/>
      <c r="AN115" s="37"/>
      <c r="AO115" s="37"/>
    </row>
    <row r="116" spans="1:41" ht="15" customHeight="1" x14ac:dyDescent="0.2">
      <c r="A116" s="1045"/>
      <c r="B116" s="1070" t="str">
        <f>ListAVS!$B$217&amp;" H [mm] "</f>
        <v xml:space="preserve">Pozycja siłownika H [mm] </v>
      </c>
      <c r="C116" s="1071"/>
      <c r="D116" s="1071"/>
      <c r="E116" s="1071"/>
      <c r="F116" s="1071"/>
      <c r="G116" s="1071"/>
      <c r="H116" s="1072"/>
      <c r="I116" s="1074" t="str">
        <f>IF(AND($I$103&gt;=480, $I$103&lt;520), $N$107, IF(AND($I$103&gt;=520, $I$103&lt;=1200), $O$107, $S$115))</f>
        <v>nie można</v>
      </c>
      <c r="J116" s="1074"/>
      <c r="K116" s="545"/>
      <c r="L116" s="545"/>
      <c r="M116" s="545"/>
      <c r="N116" s="957" t="s">
        <v>761</v>
      </c>
      <c r="O116" s="958" t="s">
        <v>761</v>
      </c>
      <c r="P116" s="545"/>
      <c r="Q116" s="545"/>
      <c r="R116" s="545"/>
      <c r="S116" s="545"/>
      <c r="T116" s="545"/>
      <c r="U116" s="545"/>
      <c r="V116" s="545"/>
      <c r="W116" s="545"/>
      <c r="AM116" s="37"/>
      <c r="AN116" s="37"/>
      <c r="AO116" s="37"/>
    </row>
    <row r="117" spans="1:41" ht="15" customHeight="1" x14ac:dyDescent="0.2">
      <c r="A117" s="1045"/>
      <c r="B117" s="1070" t="str">
        <f>ListAVS!$B$218&amp;" Z [mm] "</f>
        <v xml:space="preserve">Pozycja podkładki montażowej do podnośnika teleskopowego Z [mm] </v>
      </c>
      <c r="C117" s="1071"/>
      <c r="D117" s="1071"/>
      <c r="E117" s="1071"/>
      <c r="F117" s="1071"/>
      <c r="G117" s="1071"/>
      <c r="H117" s="1072"/>
      <c r="I117" s="1074" t="str">
        <f>IF(AND($I$103&gt;=480, $I$103&lt;520), $N$106, IF(AND($I$103&gt;=520, $I$103&lt;=1200), $O$106, $S$115))</f>
        <v>nie można</v>
      </c>
      <c r="J117" s="1074"/>
      <c r="K117" s="545"/>
      <c r="L117" s="545"/>
      <c r="M117" s="545"/>
      <c r="N117" s="545" t="s">
        <v>754</v>
      </c>
      <c r="O117" s="545" t="s">
        <v>754</v>
      </c>
      <c r="P117" s="545"/>
      <c r="Q117" s="545"/>
      <c r="R117" s="545"/>
      <c r="S117" s="545"/>
      <c r="T117" s="545"/>
      <c r="U117" s="545"/>
      <c r="V117" s="545"/>
      <c r="W117" s="545"/>
      <c r="AM117" s="37"/>
      <c r="AN117" s="37"/>
      <c r="AO117" s="37"/>
    </row>
    <row r="118" spans="1:41" ht="15" customHeight="1" x14ac:dyDescent="0.2">
      <c r="A118" s="1045"/>
      <c r="B118" s="1070" t="str">
        <f>ListAVS!$B$219&amp;" TKH [mm] * "</f>
        <v xml:space="preserve">Teoretyczna wysokość korpusu TKH [mm] * </v>
      </c>
      <c r="C118" s="1071"/>
      <c r="D118" s="1071"/>
      <c r="E118" s="1071"/>
      <c r="F118" s="1071"/>
      <c r="G118" s="1071"/>
      <c r="H118" s="1072"/>
      <c r="I118" s="1090" t="str">
        <f>IF($I$115=$S$115, $S$115, IF($Q$118&gt;=480, IF($Q$118&lt;=1202, $Q$118, $S$115)," "))</f>
        <v>nie można</v>
      </c>
      <c r="J118" s="1090"/>
      <c r="K118" s="545"/>
      <c r="L118" s="545"/>
      <c r="M118" s="545"/>
      <c r="N118" s="546">
        <f>SUM(N106, 32, 17, $I$107, -$I$106)</f>
        <v>219</v>
      </c>
      <c r="O118" s="546">
        <f>SUM(O106, 32, 17, $I$107, -$I$106)</f>
        <v>238</v>
      </c>
      <c r="P118" s="545" t="s">
        <v>62</v>
      </c>
      <c r="Q118" s="545">
        <f>ROUND(SUM($I$114*2+$I$104+$I$105+$I$106), -1)</f>
        <v>0</v>
      </c>
      <c r="R118" s="545"/>
      <c r="S118" s="545"/>
      <c r="T118" s="545"/>
      <c r="U118" s="545"/>
      <c r="V118" s="545"/>
      <c r="W118" s="545"/>
      <c r="AM118" s="37"/>
      <c r="AN118" s="37"/>
      <c r="AO118" s="37"/>
    </row>
    <row r="119" spans="1:41" ht="15" customHeight="1" x14ac:dyDescent="0.2">
      <c r="A119" s="1045"/>
      <c r="B119" s="545"/>
      <c r="C119" s="545"/>
      <c r="D119" s="545"/>
      <c r="E119" s="545"/>
      <c r="F119" s="545"/>
      <c r="G119" s="545"/>
      <c r="H119" s="545"/>
      <c r="I119" s="545"/>
      <c r="J119" s="545"/>
      <c r="K119" s="545"/>
      <c r="L119" s="545"/>
      <c r="M119" s="545"/>
      <c r="N119" s="545" t="s">
        <v>758</v>
      </c>
      <c r="O119" s="545" t="s">
        <v>758</v>
      </c>
      <c r="P119" s="545"/>
      <c r="Q119" s="546"/>
      <c r="R119" s="545"/>
      <c r="S119" s="545"/>
      <c r="T119" s="545"/>
      <c r="U119" s="545"/>
      <c r="V119" s="545"/>
      <c r="W119" s="545"/>
      <c r="AM119" s="37"/>
      <c r="AN119" s="37"/>
      <c r="AO119" s="37"/>
    </row>
    <row r="120" spans="1:41" ht="15" customHeight="1" x14ac:dyDescent="0.2">
      <c r="A120" s="1045"/>
      <c r="B120" s="553" t="s">
        <v>63</v>
      </c>
      <c r="C120" s="545" t="str">
        <f>ListAVS!$B$221</f>
        <v xml:space="preserve">Wprowadź tę wysokość do tabelki służącej do planowania podnośników </v>
      </c>
      <c r="D120" s="545"/>
      <c r="E120" s="545"/>
      <c r="F120" s="545"/>
      <c r="G120" s="545"/>
      <c r="H120" s="545"/>
      <c r="I120" s="545"/>
      <c r="J120" s="545"/>
      <c r="K120" s="545"/>
      <c r="L120" s="545"/>
      <c r="M120" s="545"/>
      <c r="N120" s="546">
        <f>ROUNDDOWN(SUM(I103, -I104, -I105, -I106)/2, 0)</f>
        <v>0</v>
      </c>
      <c r="O120" s="546">
        <f>ROUNDDOWN(SUM(I103, -I104, -I105, -I106)/2, 0)</f>
        <v>0</v>
      </c>
      <c r="P120" s="545"/>
      <c r="Q120" s="546"/>
      <c r="R120" s="545"/>
      <c r="S120" s="545"/>
      <c r="T120" s="545"/>
      <c r="U120" s="545"/>
      <c r="V120" s="545"/>
      <c r="W120" s="545"/>
      <c r="AM120" s="37"/>
    </row>
    <row r="121" spans="1:41" ht="15" customHeight="1" x14ac:dyDescent="0.2">
      <c r="A121" s="1045"/>
      <c r="B121" s="545"/>
      <c r="C121" s="545"/>
      <c r="D121" s="545"/>
      <c r="E121" s="545"/>
      <c r="F121" s="545"/>
      <c r="G121" s="545"/>
      <c r="H121" s="545"/>
      <c r="I121" s="545"/>
      <c r="J121" s="545"/>
      <c r="K121" s="545"/>
      <c r="L121" s="545"/>
      <c r="M121" s="545"/>
      <c r="N121" s="545"/>
      <c r="O121" s="546"/>
      <c r="P121" s="545"/>
      <c r="Q121" s="546"/>
      <c r="R121" s="545"/>
      <c r="S121" s="545"/>
      <c r="T121" s="545"/>
      <c r="U121" s="545"/>
      <c r="V121" s="545"/>
      <c r="W121" s="545"/>
    </row>
    <row r="122" spans="1:41" ht="15" customHeight="1" x14ac:dyDescent="0.2">
      <c r="A122" s="1045"/>
      <c r="B122" s="545"/>
      <c r="C122" s="545"/>
      <c r="D122" s="545"/>
      <c r="E122" s="545"/>
      <c r="F122" s="545"/>
      <c r="G122" s="545"/>
      <c r="H122" s="545"/>
      <c r="I122" s="545"/>
      <c r="J122" s="545"/>
      <c r="K122" s="545"/>
      <c r="L122" s="545"/>
      <c r="M122" s="545"/>
      <c r="N122" s="545"/>
      <c r="O122" s="546"/>
      <c r="P122" s="545"/>
      <c r="Q122" s="546"/>
      <c r="R122" s="545"/>
      <c r="S122" s="545"/>
      <c r="T122" s="545"/>
      <c r="U122" s="545"/>
      <c r="V122" s="545"/>
      <c r="W122" s="545"/>
    </row>
    <row r="123" spans="1:41" ht="15" customHeight="1" x14ac:dyDescent="0.2">
      <c r="A123" s="1045"/>
      <c r="B123" s="545"/>
      <c r="C123" s="545"/>
      <c r="D123" s="545"/>
      <c r="E123" s="545"/>
      <c r="F123" s="545"/>
      <c r="G123" s="545"/>
      <c r="H123" s="545"/>
      <c r="I123" s="545"/>
      <c r="J123" s="545"/>
      <c r="K123" s="545"/>
      <c r="L123" s="545"/>
      <c r="M123" s="545"/>
      <c r="N123" s="545"/>
      <c r="O123" s="546"/>
      <c r="P123" s="545"/>
      <c r="Q123" s="546"/>
      <c r="R123" s="545"/>
      <c r="S123" s="545"/>
      <c r="T123" s="545"/>
      <c r="U123" s="545"/>
      <c r="V123" s="545"/>
      <c r="W123" s="545"/>
    </row>
    <row r="124" spans="1:41" ht="15" customHeight="1" x14ac:dyDescent="0.2">
      <c r="A124" s="1045"/>
      <c r="B124" s="545"/>
      <c r="C124" s="545"/>
      <c r="D124" s="545"/>
      <c r="E124" s="545"/>
      <c r="F124" s="545"/>
      <c r="G124" s="545"/>
      <c r="H124" s="545"/>
      <c r="I124" s="545"/>
      <c r="J124" s="545"/>
      <c r="K124" s="545"/>
      <c r="L124" s="545"/>
      <c r="M124" s="545"/>
      <c r="N124" s="545"/>
      <c r="O124" s="546"/>
      <c r="P124" s="545"/>
      <c r="Q124" s="546"/>
      <c r="R124" s="545"/>
      <c r="S124" s="545"/>
      <c r="T124" s="545"/>
      <c r="U124" s="545"/>
      <c r="V124" s="545"/>
      <c r="W124" s="545"/>
    </row>
    <row r="125" spans="1:41" ht="15" customHeight="1" x14ac:dyDescent="0.2">
      <c r="A125" s="1045"/>
      <c r="B125" s="554"/>
      <c r="C125" s="554"/>
      <c r="D125" s="545"/>
      <c r="E125" s="545"/>
      <c r="F125" s="545"/>
      <c r="G125" s="545"/>
      <c r="H125" s="545"/>
      <c r="I125" s="1085" t="str">
        <f>ListAVS!$B$168</f>
        <v>Z powrotem</v>
      </c>
      <c r="J125" s="1085"/>
      <c r="K125" s="545"/>
      <c r="L125" s="545"/>
      <c r="M125" s="545"/>
      <c r="N125" s="545"/>
      <c r="O125" s="546"/>
      <c r="P125" s="545"/>
      <c r="Q125" s="546"/>
      <c r="R125" s="545"/>
      <c r="S125" s="545"/>
      <c r="T125" s="545"/>
      <c r="U125" s="545"/>
      <c r="V125" s="545"/>
      <c r="W125" s="545"/>
    </row>
    <row r="126" spans="1:41" s="37" customFormat="1" ht="15" customHeight="1" x14ac:dyDescent="0.2">
      <c r="A126" s="1045"/>
      <c r="O126" s="118"/>
      <c r="Q126" s="118"/>
      <c r="X126" s="108"/>
      <c r="Y126" s="108"/>
      <c r="Z126" s="108"/>
      <c r="AA126" s="108"/>
      <c r="AB126" s="108"/>
      <c r="AC126" s="108"/>
      <c r="AD126" s="108"/>
      <c r="AE126" s="108"/>
      <c r="AF126" s="108"/>
      <c r="AG126" s="108"/>
      <c r="AH126" s="108"/>
      <c r="AI126" s="108"/>
      <c r="AJ126" s="108"/>
      <c r="AK126" s="108"/>
      <c r="AL126" s="108"/>
      <c r="AM126" s="137"/>
      <c r="AN126" s="137"/>
      <c r="AO126" s="137"/>
    </row>
    <row r="127" spans="1:41" s="37" customFormat="1" ht="15" customHeight="1" x14ac:dyDescent="0.2">
      <c r="A127" s="1045"/>
      <c r="O127" s="118"/>
      <c r="Q127" s="118"/>
      <c r="X127" s="108"/>
      <c r="Y127" s="108"/>
      <c r="Z127" s="108"/>
      <c r="AA127" s="108"/>
      <c r="AB127" s="108"/>
      <c r="AC127" s="108"/>
      <c r="AD127" s="108"/>
      <c r="AE127" s="108"/>
      <c r="AF127" s="108"/>
      <c r="AG127" s="108"/>
      <c r="AH127" s="108"/>
      <c r="AI127" s="108"/>
      <c r="AJ127" s="108"/>
      <c r="AK127" s="108"/>
      <c r="AL127" s="108"/>
      <c r="AM127" s="137"/>
      <c r="AN127" s="137"/>
      <c r="AO127" s="137"/>
    </row>
    <row r="128" spans="1:41" s="37" customFormat="1" ht="15" customHeight="1" x14ac:dyDescent="0.2">
      <c r="A128" s="1045"/>
      <c r="O128" s="118"/>
      <c r="Q128" s="118"/>
      <c r="X128" s="108"/>
      <c r="Y128" s="108"/>
      <c r="Z128" s="108"/>
      <c r="AA128" s="108"/>
      <c r="AB128" s="108"/>
      <c r="AC128" s="108"/>
      <c r="AD128" s="108"/>
      <c r="AE128" s="108"/>
      <c r="AF128" s="108"/>
      <c r="AG128" s="108"/>
      <c r="AH128" s="108"/>
      <c r="AI128" s="108"/>
      <c r="AJ128" s="108"/>
      <c r="AK128" s="108"/>
      <c r="AL128" s="108"/>
      <c r="AM128" s="137"/>
      <c r="AN128" s="137"/>
      <c r="AO128" s="137"/>
    </row>
    <row r="129" spans="1:48" s="37" customFormat="1" ht="15" customHeight="1" x14ac:dyDescent="0.2">
      <c r="A129" s="1045"/>
      <c r="O129" s="118"/>
      <c r="Q129" s="118"/>
      <c r="X129" s="108"/>
      <c r="Y129" s="108"/>
      <c r="Z129" s="108"/>
      <c r="AA129" s="108"/>
      <c r="AB129" s="108"/>
      <c r="AC129" s="108"/>
      <c r="AD129" s="108"/>
      <c r="AE129" s="108"/>
      <c r="AF129" s="108"/>
      <c r="AG129" s="108"/>
      <c r="AH129" s="108"/>
      <c r="AI129" s="108"/>
      <c r="AJ129" s="108"/>
      <c r="AK129" s="108"/>
      <c r="AL129" s="108"/>
      <c r="AM129" s="137"/>
      <c r="AN129" s="137"/>
      <c r="AO129" s="137"/>
    </row>
    <row r="130" spans="1:48" s="37" customFormat="1" ht="15" customHeight="1" x14ac:dyDescent="0.2">
      <c r="A130" s="1045"/>
      <c r="O130" s="118"/>
      <c r="Q130" s="118"/>
      <c r="X130" s="108"/>
      <c r="Y130" s="108"/>
      <c r="Z130" s="108"/>
      <c r="AA130" s="108"/>
      <c r="AB130" s="108"/>
      <c r="AC130" s="108"/>
      <c r="AD130" s="108"/>
      <c r="AE130" s="108"/>
      <c r="AF130" s="108"/>
      <c r="AG130" s="108"/>
      <c r="AH130" s="108"/>
      <c r="AI130" s="108"/>
      <c r="AJ130" s="108"/>
      <c r="AK130" s="108"/>
      <c r="AL130" s="108"/>
      <c r="AM130" s="137"/>
      <c r="AN130" s="137"/>
      <c r="AO130" s="137"/>
    </row>
    <row r="131" spans="1:48" s="37" customFormat="1" x14ac:dyDescent="0.2">
      <c r="A131" s="1045"/>
      <c r="O131" s="118"/>
      <c r="Q131" s="118"/>
      <c r="X131" s="108"/>
      <c r="Y131" s="108"/>
      <c r="Z131" s="108"/>
      <c r="AA131" s="108"/>
      <c r="AB131" s="108"/>
      <c r="AC131" s="108"/>
      <c r="AD131" s="108"/>
      <c r="AE131" s="108"/>
      <c r="AF131" s="108"/>
      <c r="AG131" s="108"/>
      <c r="AH131" s="108"/>
      <c r="AI131" s="108"/>
      <c r="AJ131" s="108"/>
      <c r="AK131" s="108"/>
      <c r="AL131" s="108"/>
      <c r="AM131" s="137"/>
      <c r="AN131" s="137"/>
      <c r="AO131" s="137"/>
    </row>
    <row r="132" spans="1:48" s="37" customFormat="1" x14ac:dyDescent="0.2">
      <c r="A132" s="1045"/>
      <c r="O132" s="118"/>
      <c r="Q132" s="118"/>
      <c r="X132" s="108"/>
      <c r="Y132" s="108"/>
      <c r="Z132" s="108"/>
      <c r="AA132" s="108"/>
      <c r="AB132" s="108"/>
      <c r="AC132" s="108"/>
      <c r="AD132" s="108"/>
      <c r="AE132" s="108"/>
      <c r="AF132" s="108"/>
      <c r="AG132" s="108"/>
      <c r="AH132" s="108"/>
      <c r="AI132" s="108"/>
      <c r="AJ132" s="108"/>
      <c r="AK132" s="108"/>
      <c r="AL132" s="108"/>
      <c r="AM132" s="137"/>
      <c r="AN132" s="137"/>
      <c r="AO132" s="137"/>
    </row>
    <row r="133" spans="1:48" s="37" customFormat="1" x14ac:dyDescent="0.2">
      <c r="A133" s="1045"/>
      <c r="O133" s="118"/>
      <c r="Q133" s="118"/>
      <c r="X133" s="108"/>
      <c r="Y133" s="108"/>
      <c r="Z133" s="108"/>
      <c r="AA133" s="108"/>
      <c r="AB133" s="108"/>
      <c r="AC133" s="108"/>
      <c r="AD133" s="108"/>
      <c r="AE133" s="108"/>
      <c r="AF133" s="108"/>
      <c r="AG133" s="108"/>
      <c r="AH133" s="108"/>
      <c r="AI133" s="108"/>
      <c r="AJ133" s="108"/>
      <c r="AK133" s="108"/>
      <c r="AL133" s="108"/>
      <c r="AM133" s="137"/>
      <c r="AN133" s="137"/>
      <c r="AO133" s="137"/>
    </row>
    <row r="134" spans="1:48" s="37" customFormat="1" x14ac:dyDescent="0.2">
      <c r="A134" s="1045"/>
      <c r="O134" s="118"/>
      <c r="Q134" s="118"/>
      <c r="X134" s="108"/>
      <c r="Y134" s="108"/>
      <c r="Z134" s="108"/>
      <c r="AA134" s="108"/>
      <c r="AB134" s="108"/>
      <c r="AC134" s="108"/>
      <c r="AD134" s="108"/>
      <c r="AE134" s="108"/>
      <c r="AF134" s="108"/>
      <c r="AG134" s="108"/>
      <c r="AH134" s="108"/>
      <c r="AI134" s="108"/>
      <c r="AJ134" s="108"/>
      <c r="AK134" s="108"/>
      <c r="AL134" s="108"/>
      <c r="AM134" s="137"/>
      <c r="AN134" s="137"/>
      <c r="AO134" s="137"/>
    </row>
    <row r="135" spans="1:48" s="37" customFormat="1" x14ac:dyDescent="0.2">
      <c r="A135" s="1045"/>
      <c r="O135" s="118"/>
      <c r="Q135" s="118"/>
      <c r="X135" s="108"/>
      <c r="Y135" s="108"/>
      <c r="Z135" s="108"/>
      <c r="AA135" s="108"/>
      <c r="AB135" s="108"/>
      <c r="AC135" s="108"/>
      <c r="AD135" s="108"/>
      <c r="AE135" s="108"/>
      <c r="AF135" s="108"/>
      <c r="AG135" s="108"/>
      <c r="AH135" s="108"/>
      <c r="AI135" s="108"/>
      <c r="AJ135" s="108"/>
      <c r="AK135" s="108"/>
      <c r="AL135" s="108"/>
      <c r="AM135" s="137"/>
      <c r="AN135" s="137"/>
      <c r="AO135" s="137"/>
    </row>
    <row r="136" spans="1:48" s="37" customFormat="1" x14ac:dyDescent="0.2">
      <c r="A136" s="1045"/>
      <c r="O136" s="118"/>
      <c r="Q136" s="118"/>
      <c r="X136" s="108"/>
      <c r="Y136" s="108"/>
      <c r="Z136" s="108"/>
      <c r="AA136" s="108"/>
      <c r="AB136" s="108"/>
      <c r="AC136" s="108"/>
      <c r="AD136" s="108"/>
      <c r="AE136" s="108"/>
      <c r="AF136" s="108"/>
      <c r="AG136" s="108"/>
      <c r="AH136" s="108"/>
      <c r="AI136" s="108"/>
      <c r="AJ136" s="108"/>
      <c r="AK136" s="108"/>
      <c r="AL136" s="108"/>
      <c r="AM136" s="137"/>
      <c r="AN136" s="137"/>
      <c r="AO136" s="137"/>
    </row>
    <row r="137" spans="1:48" s="37" customFormat="1" x14ac:dyDescent="0.2">
      <c r="A137" s="1045"/>
      <c r="O137" s="118"/>
      <c r="Q137" s="118"/>
      <c r="X137" s="108"/>
      <c r="Y137" s="108"/>
      <c r="Z137" s="108"/>
      <c r="AA137" s="108"/>
      <c r="AB137" s="108"/>
      <c r="AC137" s="108"/>
      <c r="AD137" s="108"/>
      <c r="AE137" s="108"/>
      <c r="AF137" s="108"/>
      <c r="AG137" s="108"/>
      <c r="AH137" s="108"/>
      <c r="AI137" s="108"/>
      <c r="AJ137" s="108"/>
      <c r="AK137" s="108"/>
      <c r="AL137" s="108"/>
      <c r="AM137" s="137"/>
      <c r="AN137" s="137"/>
      <c r="AO137" s="137"/>
    </row>
    <row r="138" spans="1:48" s="37" customFormat="1" x14ac:dyDescent="0.2">
      <c r="A138" s="1045"/>
      <c r="O138" s="118"/>
      <c r="Q138" s="118"/>
      <c r="X138" s="108"/>
      <c r="Y138" s="108"/>
      <c r="Z138" s="108"/>
      <c r="AA138" s="108"/>
      <c r="AB138" s="108"/>
      <c r="AC138" s="108"/>
      <c r="AD138" s="108"/>
      <c r="AE138" s="108"/>
      <c r="AF138" s="108"/>
      <c r="AG138" s="108"/>
      <c r="AH138" s="108"/>
      <c r="AI138" s="108"/>
      <c r="AJ138" s="108"/>
      <c r="AK138" s="108"/>
      <c r="AL138" s="108"/>
      <c r="AM138" s="137"/>
      <c r="AN138" s="137"/>
      <c r="AO138" s="137"/>
    </row>
    <row r="139" spans="1:48" x14ac:dyDescent="0.2">
      <c r="A139" s="1045"/>
    </row>
    <row r="140" spans="1:48" ht="15" customHeight="1" x14ac:dyDescent="0.2">
      <c r="A140" s="1045"/>
      <c r="B140" s="308" t="s">
        <v>11</v>
      </c>
      <c r="C140" s="321"/>
      <c r="D140" s="308"/>
      <c r="E140" s="308"/>
      <c r="F140" s="308"/>
      <c r="G140" s="308"/>
      <c r="H140" s="308"/>
      <c r="I140" s="308"/>
      <c r="J140" s="308"/>
      <c r="K140" s="308"/>
      <c r="L140" s="308"/>
    </row>
    <row r="141" spans="1:48" s="118" customFormat="1" x14ac:dyDescent="0.2">
      <c r="A141" s="1045"/>
      <c r="B141" s="37"/>
      <c r="C141" s="37"/>
      <c r="D141" s="37"/>
      <c r="E141" s="37"/>
      <c r="F141" s="37"/>
      <c r="G141" s="37"/>
      <c r="H141" s="37"/>
      <c r="I141" s="37"/>
      <c r="J141" s="37"/>
      <c r="K141" s="37"/>
      <c r="L141" s="37"/>
      <c r="M141" s="37"/>
      <c r="N141" s="37"/>
      <c r="P141" s="37"/>
      <c r="R141" s="37"/>
      <c r="S141" s="37"/>
      <c r="T141" s="37"/>
      <c r="U141" s="37"/>
      <c r="V141" s="37"/>
      <c r="W141" s="37"/>
      <c r="X141" s="108"/>
      <c r="Y141" s="108"/>
      <c r="Z141" s="108"/>
      <c r="AA141" s="108"/>
      <c r="AB141" s="108"/>
      <c r="AC141" s="108"/>
      <c r="AD141" s="108"/>
      <c r="AE141" s="108"/>
      <c r="AF141" s="108"/>
      <c r="AG141" s="108"/>
      <c r="AH141" s="108"/>
      <c r="AI141" s="108"/>
      <c r="AJ141" s="108"/>
      <c r="AK141" s="108"/>
      <c r="AL141" s="108"/>
      <c r="AM141" s="137"/>
      <c r="AN141" s="137"/>
      <c r="AO141" s="137"/>
      <c r="AP141" s="37"/>
      <c r="AQ141" s="37"/>
      <c r="AR141" s="37"/>
      <c r="AS141" s="37"/>
      <c r="AT141" s="37"/>
      <c r="AU141" s="137"/>
      <c r="AV141" s="137"/>
    </row>
    <row r="142" spans="1:48" s="118" customFormat="1" ht="13.15" customHeight="1" x14ac:dyDescent="0.2">
      <c r="A142" s="1045"/>
      <c r="B142" s="37" t="s">
        <v>791</v>
      </c>
      <c r="C142" s="37"/>
      <c r="D142" s="37"/>
      <c r="E142" s="37"/>
      <c r="F142" s="37"/>
      <c r="G142" s="37"/>
      <c r="H142" s="37"/>
      <c r="I142" s="37"/>
      <c r="J142" s="37"/>
      <c r="K142" s="37"/>
      <c r="L142" s="37"/>
      <c r="M142" s="37"/>
      <c r="N142" s="37"/>
      <c r="P142" s="37"/>
      <c r="R142" s="37"/>
      <c r="S142" s="37"/>
      <c r="T142" s="37"/>
      <c r="U142" s="37"/>
      <c r="V142" s="37"/>
      <c r="W142" s="37"/>
      <c r="X142" s="108"/>
      <c r="Y142" s="108"/>
      <c r="Z142" s="108"/>
      <c r="AA142" s="108"/>
      <c r="AB142" s="108"/>
      <c r="AC142" s="108"/>
      <c r="AD142" s="108"/>
      <c r="AE142" s="108"/>
      <c r="AF142" s="108"/>
      <c r="AG142" s="108"/>
      <c r="AH142" s="108"/>
      <c r="AI142" s="108"/>
      <c r="AJ142" s="108"/>
      <c r="AK142" s="108"/>
      <c r="AL142" s="108"/>
      <c r="AM142" s="137"/>
      <c r="AN142" s="137"/>
      <c r="AO142" s="137"/>
      <c r="AP142" s="37"/>
      <c r="AQ142" s="37"/>
      <c r="AR142" s="37"/>
      <c r="AS142" s="37"/>
      <c r="AT142" s="37"/>
      <c r="AU142" s="137"/>
      <c r="AV142" s="137"/>
    </row>
    <row r="143" spans="1:48" s="118" customFormat="1" ht="13.15" customHeight="1" x14ac:dyDescent="0.2">
      <c r="A143" s="1045"/>
      <c r="B143" s="37" t="s">
        <v>790</v>
      </c>
      <c r="C143" s="37"/>
      <c r="D143" s="37"/>
      <c r="E143" s="37"/>
      <c r="F143" s="37"/>
      <c r="G143" s="37"/>
      <c r="H143" s="37"/>
      <c r="I143" s="37"/>
      <c r="J143" s="37"/>
      <c r="K143" s="37"/>
      <c r="L143" s="37"/>
      <c r="M143" s="37"/>
      <c r="N143" s="37"/>
      <c r="P143" s="37"/>
      <c r="R143" s="37"/>
      <c r="S143" s="37"/>
      <c r="T143" s="37"/>
      <c r="U143" s="37"/>
      <c r="V143" s="37"/>
      <c r="W143" s="37"/>
      <c r="X143" s="108"/>
      <c r="Y143" s="108"/>
      <c r="Z143" s="108"/>
      <c r="AA143" s="108"/>
      <c r="AB143" s="108"/>
      <c r="AC143" s="108"/>
      <c r="AD143" s="108"/>
      <c r="AE143" s="108"/>
      <c r="AF143" s="108"/>
      <c r="AG143" s="108"/>
      <c r="AH143" s="108"/>
      <c r="AI143" s="108"/>
      <c r="AJ143" s="108"/>
      <c r="AK143" s="108"/>
      <c r="AL143" s="108"/>
      <c r="AM143" s="137"/>
      <c r="AN143" s="137"/>
      <c r="AO143" s="137"/>
      <c r="AP143" s="37"/>
      <c r="AQ143" s="37"/>
      <c r="AR143" s="37"/>
      <c r="AS143" s="37"/>
      <c r="AT143" s="37"/>
      <c r="AU143" s="137"/>
      <c r="AV143" s="137"/>
    </row>
    <row r="144" spans="1:48" s="118" customFormat="1" ht="13.15" customHeight="1" x14ac:dyDescent="0.2">
      <c r="A144" s="1045"/>
      <c r="B144" s="37"/>
      <c r="C144" s="37"/>
      <c r="D144" s="37"/>
      <c r="E144" s="37"/>
      <c r="F144" s="37"/>
      <c r="G144" s="37"/>
      <c r="H144" s="37"/>
      <c r="I144" s="37"/>
      <c r="J144" s="37"/>
      <c r="K144" s="37"/>
      <c r="L144" s="37"/>
      <c r="M144" s="37"/>
      <c r="N144" s="37"/>
      <c r="P144" s="37"/>
      <c r="R144" s="37"/>
      <c r="S144" s="37"/>
      <c r="T144" s="37"/>
      <c r="U144" s="37"/>
      <c r="V144" s="37"/>
      <c r="W144" s="37"/>
      <c r="X144" s="108"/>
      <c r="Y144" s="108"/>
      <c r="Z144" s="108"/>
      <c r="AA144" s="108"/>
      <c r="AB144" s="108"/>
      <c r="AC144" s="108"/>
      <c r="AD144" s="108"/>
      <c r="AE144" s="108"/>
      <c r="AF144" s="108"/>
      <c r="AG144" s="108"/>
      <c r="AH144" s="108"/>
      <c r="AI144" s="108"/>
      <c r="AJ144" s="108"/>
      <c r="AK144" s="108"/>
      <c r="AL144" s="108"/>
      <c r="AM144" s="137"/>
      <c r="AN144" s="137"/>
      <c r="AO144" s="137"/>
      <c r="AP144" s="37"/>
      <c r="AQ144" s="37"/>
      <c r="AR144" s="37"/>
      <c r="AS144" s="37"/>
      <c r="AT144" s="37"/>
      <c r="AU144" s="137"/>
      <c r="AV144" s="137"/>
    </row>
    <row r="145" spans="1:48" s="118" customFormat="1" ht="12.75" x14ac:dyDescent="0.2">
      <c r="A145" s="1045"/>
      <c r="B145" s="255" t="str">
        <f>ListAVS!$B$303</f>
        <v>Odpowiedni siłownik będzie określony za pomocą współczynnika mocy</v>
      </c>
      <c r="C145" s="255"/>
      <c r="D145" s="255"/>
      <c r="E145" s="255"/>
      <c r="F145" s="255"/>
      <c r="G145" s="255"/>
      <c r="H145" s="255"/>
      <c r="I145" s="255"/>
      <c r="J145" s="255"/>
      <c r="K145" s="255"/>
      <c r="L145" s="255"/>
      <c r="M145" s="37"/>
      <c r="N145" s="37"/>
      <c r="P145" s="37"/>
      <c r="R145" s="37"/>
      <c r="S145" s="37"/>
      <c r="T145" s="37"/>
      <c r="U145" s="37"/>
      <c r="V145" s="37"/>
      <c r="W145" s="37"/>
      <c r="X145" s="108"/>
      <c r="Y145" s="108"/>
      <c r="Z145" s="108"/>
      <c r="AA145" s="108"/>
      <c r="AB145" s="108"/>
      <c r="AC145" s="108"/>
      <c r="AD145" s="108"/>
      <c r="AE145" s="108"/>
      <c r="AF145" s="108"/>
      <c r="AG145" s="108"/>
      <c r="AH145" s="108"/>
      <c r="AI145" s="108"/>
      <c r="AJ145" s="108"/>
      <c r="AK145" s="108"/>
      <c r="AL145" s="108"/>
      <c r="AM145" s="137"/>
      <c r="AN145" s="137"/>
      <c r="AO145" s="137"/>
      <c r="AP145" s="37"/>
      <c r="AQ145" s="37"/>
      <c r="AR145" s="37"/>
      <c r="AS145" s="37"/>
      <c r="AT145" s="37"/>
      <c r="AU145" s="137"/>
      <c r="AV145" s="137"/>
    </row>
    <row r="146" spans="1:48" s="118" customFormat="1" ht="12.75" x14ac:dyDescent="0.2">
      <c r="A146" s="1045"/>
      <c r="B146" s="255" t="str">
        <f>ListAVS!$B$304</f>
        <v>Współczynnik mocy zależy od wagi dolnego i górnego frontu oraz od wysokości korpusu</v>
      </c>
      <c r="C146" s="255"/>
      <c r="D146" s="255"/>
      <c r="E146" s="255"/>
      <c r="F146" s="255"/>
      <c r="G146" s="255"/>
      <c r="H146" s="255"/>
      <c r="I146" s="255"/>
      <c r="J146" s="255"/>
      <c r="K146" s="255"/>
      <c r="L146" s="255"/>
      <c r="M146" s="37"/>
      <c r="N146" s="37"/>
      <c r="P146" s="37"/>
      <c r="R146" s="37"/>
      <c r="S146" s="37"/>
      <c r="T146" s="37"/>
      <c r="U146" s="37"/>
      <c r="V146" s="37"/>
      <c r="W146" s="37"/>
      <c r="X146" s="108"/>
      <c r="Y146" s="108"/>
      <c r="Z146" s="108"/>
      <c r="AA146" s="108"/>
      <c r="AB146" s="108"/>
      <c r="AC146" s="108"/>
      <c r="AD146" s="108"/>
      <c r="AE146" s="108"/>
      <c r="AF146" s="108"/>
      <c r="AG146" s="108"/>
      <c r="AH146" s="108"/>
      <c r="AI146" s="108"/>
      <c r="AJ146" s="108"/>
      <c r="AK146" s="108"/>
      <c r="AL146" s="108"/>
      <c r="AM146" s="137"/>
      <c r="AN146" s="137"/>
      <c r="AO146" s="137"/>
      <c r="AP146" s="37"/>
      <c r="AQ146" s="37"/>
      <c r="AR146" s="37"/>
      <c r="AS146" s="37"/>
      <c r="AT146" s="37"/>
      <c r="AU146" s="137"/>
      <c r="AV146" s="137"/>
    </row>
    <row r="147" spans="1:48" s="118" customFormat="1" ht="12.75" x14ac:dyDescent="0.2">
      <c r="A147" s="1045"/>
      <c r="B147" s="255"/>
      <c r="C147" s="695"/>
      <c r="D147" s="695"/>
      <c r="E147" s="695"/>
      <c r="F147" s="695"/>
      <c r="G147" s="695"/>
      <c r="H147" s="695"/>
      <c r="I147" s="695"/>
      <c r="J147" s="695"/>
      <c r="K147" s="695"/>
      <c r="L147" s="695"/>
      <c r="M147" s="37"/>
      <c r="N147" s="37"/>
      <c r="P147" s="37"/>
      <c r="R147" s="37"/>
      <c r="S147" s="37"/>
      <c r="T147" s="37"/>
      <c r="U147" s="37"/>
      <c r="V147" s="37"/>
      <c r="W147" s="37"/>
      <c r="X147" s="108"/>
      <c r="Y147" s="108"/>
      <c r="Z147" s="108"/>
      <c r="AA147" s="108"/>
      <c r="AB147" s="108"/>
      <c r="AC147" s="108"/>
      <c r="AD147" s="108"/>
      <c r="AE147" s="108"/>
      <c r="AF147" s="108"/>
      <c r="AG147" s="108"/>
      <c r="AH147" s="108"/>
      <c r="AI147" s="108"/>
      <c r="AJ147" s="108"/>
      <c r="AK147" s="108"/>
      <c r="AL147" s="108"/>
      <c r="AM147" s="137"/>
      <c r="AN147" s="137"/>
      <c r="AO147" s="137"/>
      <c r="AP147" s="37"/>
      <c r="AQ147" s="37"/>
      <c r="AR147" s="37"/>
      <c r="AS147" s="37"/>
      <c r="AT147" s="37"/>
      <c r="AU147" s="137"/>
      <c r="AV147" s="137"/>
    </row>
    <row r="148" spans="1:48" s="118" customFormat="1" ht="15" customHeight="1" x14ac:dyDescent="0.2">
      <c r="A148" s="1045"/>
      <c r="B148" s="696"/>
      <c r="C148" s="696"/>
      <c r="D148" s="696"/>
      <c r="E148" s="696"/>
      <c r="F148" s="696"/>
      <c r="G148" s="696"/>
      <c r="H148" s="696"/>
      <c r="I148" s="696"/>
      <c r="J148" s="696"/>
      <c r="K148" s="696"/>
      <c r="L148" s="696"/>
      <c r="M148" s="37"/>
      <c r="N148" s="37"/>
      <c r="P148" s="37"/>
      <c r="R148" s="37"/>
      <c r="S148" s="37"/>
      <c r="T148" s="37"/>
      <c r="U148" s="37"/>
      <c r="V148" s="37"/>
      <c r="W148" s="37"/>
      <c r="X148" s="108"/>
      <c r="Y148" s="108"/>
      <c r="Z148" s="108"/>
      <c r="AA148" s="108"/>
      <c r="AB148" s="108"/>
      <c r="AC148" s="108"/>
      <c r="AD148" s="108"/>
      <c r="AE148" s="108"/>
      <c r="AF148" s="108"/>
      <c r="AG148" s="108"/>
      <c r="AH148" s="108"/>
      <c r="AI148" s="108"/>
      <c r="AJ148" s="108"/>
      <c r="AK148" s="108"/>
      <c r="AL148" s="108"/>
      <c r="AM148" s="137"/>
      <c r="AN148" s="137"/>
      <c r="AO148" s="137"/>
      <c r="AP148" s="37"/>
      <c r="AQ148" s="37"/>
      <c r="AR148" s="37"/>
      <c r="AS148" s="37"/>
      <c r="AT148" s="37"/>
      <c r="AU148" s="137"/>
      <c r="AV148" s="137"/>
    </row>
    <row r="149" spans="1:48" s="118" customFormat="1" ht="18" customHeight="1" x14ac:dyDescent="0.2">
      <c r="A149" s="1045"/>
      <c r="B149" s="697"/>
      <c r="C149" s="697"/>
      <c r="D149" s="698" t="str">
        <f>ListAVS!$B$86&amp;" = "</f>
        <v xml:space="preserve">Współczynnik mocy = </v>
      </c>
      <c r="E149" s="1068" t="str">
        <f>ListAVS!$B$320&amp;" [kg]"</f>
        <v>wysokość korpusu (KH) [mm] x waga obu frontów wraz z uchwytem [kg]</v>
      </c>
      <c r="F149" s="1068"/>
      <c r="G149" s="1068"/>
      <c r="H149" s="1068"/>
      <c r="I149" s="1068"/>
      <c r="J149" s="1068"/>
      <c r="K149" s="1068"/>
      <c r="L149" s="1068"/>
      <c r="M149" s="37"/>
      <c r="N149" s="37"/>
      <c r="P149" s="37"/>
      <c r="R149" s="37"/>
      <c r="S149" s="37"/>
      <c r="T149" s="37"/>
      <c r="U149" s="37"/>
      <c r="V149" s="37"/>
      <c r="W149" s="37"/>
      <c r="X149" s="108"/>
      <c r="Y149" s="108"/>
      <c r="Z149" s="108"/>
      <c r="AA149" s="108"/>
      <c r="AB149" s="108"/>
      <c r="AC149" s="108"/>
      <c r="AD149" s="108"/>
      <c r="AE149" s="108"/>
      <c r="AF149" s="108"/>
      <c r="AG149" s="108"/>
      <c r="AH149" s="108"/>
      <c r="AI149" s="108"/>
      <c r="AJ149" s="108"/>
      <c r="AK149" s="108"/>
      <c r="AL149" s="108"/>
      <c r="AM149" s="137"/>
      <c r="AN149" s="137"/>
      <c r="AO149" s="137"/>
      <c r="AP149" s="37"/>
      <c r="AQ149" s="37"/>
      <c r="AR149" s="37"/>
      <c r="AS149" s="37"/>
      <c r="AT149" s="37"/>
      <c r="AU149" s="137"/>
      <c r="AV149" s="137"/>
    </row>
    <row r="150" spans="1:48" s="118" customFormat="1" ht="12" customHeight="1" x14ac:dyDescent="0.2">
      <c r="A150" s="1045"/>
      <c r="B150" s="255"/>
      <c r="C150" s="255"/>
      <c r="D150" s="255"/>
      <c r="E150" s="255"/>
      <c r="F150" s="255"/>
      <c r="G150" s="255"/>
      <c r="H150" s="255"/>
      <c r="I150" s="255"/>
      <c r="J150" s="255"/>
      <c r="K150" s="255"/>
      <c r="L150" s="255"/>
      <c r="M150" s="37"/>
      <c r="N150" s="37"/>
      <c r="P150" s="37"/>
      <c r="R150" s="37"/>
      <c r="S150" s="37"/>
      <c r="T150" s="37"/>
      <c r="U150" s="37"/>
      <c r="V150" s="37"/>
      <c r="W150" s="37"/>
      <c r="X150" s="108"/>
      <c r="Y150" s="108"/>
      <c r="Z150" s="108"/>
      <c r="AA150" s="108"/>
      <c r="AB150" s="108"/>
      <c r="AC150" s="108"/>
      <c r="AD150" s="108"/>
      <c r="AE150" s="108"/>
      <c r="AF150" s="108"/>
      <c r="AG150" s="108"/>
      <c r="AH150" s="108"/>
      <c r="AI150" s="108"/>
      <c r="AJ150" s="108"/>
      <c r="AK150" s="108"/>
      <c r="AL150" s="108"/>
      <c r="AM150" s="137"/>
      <c r="AN150" s="137"/>
      <c r="AO150" s="137"/>
      <c r="AP150" s="37"/>
      <c r="AQ150" s="37"/>
      <c r="AR150" s="37"/>
      <c r="AS150" s="37"/>
      <c r="AT150" s="37"/>
      <c r="AU150" s="137"/>
      <c r="AV150" s="137"/>
    </row>
    <row r="151" spans="1:48" s="118" customFormat="1" ht="12.75" x14ac:dyDescent="0.2">
      <c r="A151" s="1045"/>
      <c r="B151" s="255" t="str">
        <f>ListAVS!$B$308</f>
        <v>Jeżeli współczynnik mocy jest większy niż 19300, doda się trzeci siłownik.</v>
      </c>
      <c r="C151" s="255"/>
      <c r="D151" s="255"/>
      <c r="E151" s="255"/>
      <c r="F151" s="255"/>
      <c r="G151" s="255"/>
      <c r="H151" s="255"/>
      <c r="I151" s="255"/>
      <c r="J151" s="255"/>
      <c r="K151" s="255"/>
      <c r="L151" s="255"/>
      <c r="M151" s="37"/>
      <c r="N151" s="108"/>
      <c r="P151" s="37"/>
      <c r="R151" s="37"/>
      <c r="S151" s="37"/>
      <c r="T151" s="37"/>
      <c r="U151" s="37"/>
      <c r="V151" s="37"/>
      <c r="W151" s="37"/>
      <c r="X151" s="108"/>
      <c r="Y151" s="108"/>
      <c r="Z151" s="108"/>
      <c r="AA151" s="108"/>
      <c r="AB151" s="108"/>
      <c r="AC151" s="108"/>
      <c r="AD151" s="108"/>
      <c r="AE151" s="108"/>
      <c r="AF151" s="108"/>
      <c r="AG151" s="108"/>
      <c r="AH151" s="108"/>
      <c r="AI151" s="108"/>
      <c r="AJ151" s="108"/>
      <c r="AK151" s="108"/>
      <c r="AL151" s="108"/>
      <c r="AM151" s="137"/>
      <c r="AN151" s="137"/>
      <c r="AO151" s="137"/>
      <c r="AP151" s="37"/>
      <c r="AQ151" s="37"/>
      <c r="AR151" s="37"/>
      <c r="AS151" s="37"/>
      <c r="AT151" s="37"/>
      <c r="AU151" s="137"/>
      <c r="AV151" s="137"/>
    </row>
    <row r="152" spans="1:48" s="118" customFormat="1" ht="12.75" x14ac:dyDescent="0.2">
      <c r="A152" s="1045"/>
      <c r="B152" s="255" t="str">
        <f>ListAVS!$B$309</f>
        <v>Jeżeli współczynnik mocy jest większy niż 28950, doda się druga para siłowników.</v>
      </c>
      <c r="C152" s="255"/>
      <c r="D152" s="255"/>
      <c r="E152" s="255"/>
      <c r="F152" s="255"/>
      <c r="G152" s="255"/>
      <c r="H152" s="255"/>
      <c r="I152" s="255"/>
      <c r="J152" s="255"/>
      <c r="K152" s="255"/>
      <c r="L152" s="255"/>
      <c r="M152" s="37"/>
      <c r="N152" s="108"/>
      <c r="P152" s="37"/>
      <c r="R152" s="37"/>
      <c r="S152" s="37"/>
      <c r="T152" s="37"/>
      <c r="U152" s="37"/>
      <c r="V152" s="37"/>
      <c r="W152" s="37"/>
      <c r="X152" s="108"/>
      <c r="Y152" s="108"/>
      <c r="Z152" s="108"/>
      <c r="AA152" s="108"/>
      <c r="AB152" s="108"/>
      <c r="AC152" s="108"/>
      <c r="AD152" s="108"/>
      <c r="AE152" s="108"/>
      <c r="AF152" s="108"/>
      <c r="AG152" s="108"/>
      <c r="AH152" s="108"/>
      <c r="AI152" s="108"/>
      <c r="AJ152" s="108"/>
      <c r="AK152" s="108"/>
      <c r="AL152" s="108"/>
      <c r="AM152" s="137"/>
      <c r="AN152" s="137"/>
      <c r="AO152" s="137"/>
      <c r="AP152" s="37"/>
      <c r="AQ152" s="37"/>
      <c r="AR152" s="37"/>
      <c r="AS152" s="37"/>
      <c r="AT152" s="37"/>
      <c r="AU152" s="137"/>
      <c r="AV152" s="137"/>
    </row>
    <row r="153" spans="1:48" s="118" customFormat="1" ht="12.75" x14ac:dyDescent="0.2">
      <c r="A153" s="1045"/>
      <c r="B153" s="255" t="str">
        <f>ListAVS!$B$310</f>
        <v>W przypadku wybrania SERVO-DRIVE dodawana jest także druga jednostka napędu</v>
      </c>
      <c r="C153" s="255"/>
      <c r="D153" s="255"/>
      <c r="E153" s="255"/>
      <c r="F153" s="255"/>
      <c r="G153" s="255"/>
      <c r="H153" s="255"/>
      <c r="I153" s="255"/>
      <c r="J153" s="255"/>
      <c r="K153" s="255"/>
      <c r="L153" s="255"/>
      <c r="M153" s="37"/>
      <c r="N153" s="37"/>
      <c r="P153" s="37"/>
      <c r="R153" s="37"/>
      <c r="S153" s="37"/>
      <c r="T153" s="37"/>
      <c r="U153" s="37"/>
      <c r="V153" s="37"/>
      <c r="W153" s="37"/>
      <c r="X153" s="108"/>
      <c r="Y153" s="108"/>
      <c r="Z153" s="108"/>
      <c r="AA153" s="108"/>
      <c r="AB153" s="108"/>
      <c r="AC153" s="108"/>
      <c r="AD153" s="108"/>
      <c r="AE153" s="108"/>
      <c r="AF153" s="108"/>
      <c r="AG153" s="108"/>
      <c r="AH153" s="108"/>
      <c r="AI153" s="108"/>
      <c r="AJ153" s="108"/>
      <c r="AK153" s="108"/>
      <c r="AL153" s="108"/>
      <c r="AM153" s="137"/>
      <c r="AN153" s="137"/>
      <c r="AO153" s="137"/>
      <c r="AP153" s="37"/>
      <c r="AQ153" s="37"/>
      <c r="AR153" s="37"/>
      <c r="AS153" s="37"/>
      <c r="AT153" s="37"/>
      <c r="AU153" s="137"/>
      <c r="AV153" s="137"/>
    </row>
    <row r="154" spans="1:48" s="118" customFormat="1" ht="12.75" x14ac:dyDescent="0.2">
      <c r="A154" s="1045"/>
      <c r="B154" s="273" t="str">
        <f>ListAVS!$B$182</f>
        <v>Dodatkowy trzeci siłownik można zastosować jedynie z pełnym frontem dolnym!</v>
      </c>
      <c r="C154" s="255"/>
      <c r="D154" s="255"/>
      <c r="E154" s="255"/>
      <c r="F154" s="255"/>
      <c r="G154" s="255"/>
      <c r="H154" s="255"/>
      <c r="I154" s="255"/>
      <c r="J154" s="255"/>
      <c r="K154" s="255"/>
      <c r="L154" s="255"/>
      <c r="M154" s="37"/>
      <c r="N154" s="37"/>
      <c r="P154" s="37"/>
      <c r="R154" s="37"/>
      <c r="S154" s="37"/>
      <c r="T154" s="37"/>
      <c r="U154" s="37"/>
      <c r="V154" s="37"/>
      <c r="W154" s="37"/>
      <c r="X154" s="108"/>
      <c r="Y154" s="108"/>
      <c r="Z154" s="108"/>
      <c r="AA154" s="108"/>
      <c r="AB154" s="108"/>
      <c r="AC154" s="108"/>
      <c r="AD154" s="108"/>
      <c r="AE154" s="108"/>
      <c r="AF154" s="108"/>
      <c r="AG154" s="108"/>
      <c r="AH154" s="108"/>
      <c r="AI154" s="108"/>
      <c r="AJ154" s="108"/>
      <c r="AK154" s="108"/>
      <c r="AL154" s="108"/>
      <c r="AM154" s="137"/>
      <c r="AN154" s="137"/>
      <c r="AO154" s="137"/>
      <c r="AP154" s="37"/>
      <c r="AQ154" s="37"/>
      <c r="AR154" s="37"/>
      <c r="AS154" s="37"/>
      <c r="AT154" s="37"/>
      <c r="AU154" s="137"/>
      <c r="AV154" s="137"/>
    </row>
    <row r="155" spans="1:48" s="118" customFormat="1" ht="12.75" x14ac:dyDescent="0.2">
      <c r="A155" s="1045"/>
      <c r="B155" s="255"/>
      <c r="C155" s="255"/>
      <c r="D155" s="255"/>
      <c r="E155" s="255"/>
      <c r="F155" s="255"/>
      <c r="G155" s="255"/>
      <c r="H155" s="255"/>
      <c r="I155" s="255"/>
      <c r="J155" s="255"/>
      <c r="K155" s="255"/>
      <c r="L155" s="255"/>
      <c r="M155" s="37"/>
      <c r="N155" s="37"/>
      <c r="P155" s="37"/>
      <c r="R155" s="37"/>
      <c r="S155" s="37"/>
      <c r="T155" s="37"/>
      <c r="U155" s="37"/>
      <c r="V155" s="37"/>
      <c r="W155" s="37"/>
      <c r="X155" s="108"/>
      <c r="Y155" s="108"/>
      <c r="Z155" s="108"/>
      <c r="AA155" s="108"/>
      <c r="AB155" s="108"/>
      <c r="AC155" s="108"/>
      <c r="AD155" s="108"/>
      <c r="AE155" s="108"/>
      <c r="AF155" s="108"/>
      <c r="AG155" s="108"/>
      <c r="AH155" s="108"/>
      <c r="AI155" s="108"/>
      <c r="AJ155" s="108"/>
      <c r="AK155" s="108"/>
      <c r="AL155" s="108"/>
      <c r="AM155" s="137"/>
      <c r="AN155" s="137"/>
      <c r="AO155" s="137"/>
      <c r="AP155" s="37"/>
      <c r="AQ155" s="37"/>
      <c r="AR155" s="37"/>
      <c r="AS155" s="37"/>
      <c r="AT155" s="37"/>
      <c r="AU155" s="137"/>
      <c r="AV155" s="137"/>
    </row>
    <row r="156" spans="1:48" s="118" customFormat="1" ht="12.75" x14ac:dyDescent="0.2">
      <c r="A156" s="1045"/>
      <c r="B156" s="255" t="str">
        <f>ListAVS!$B$312</f>
        <v>Jeśli znasz wagę frontu, możesz ją wprowadzić, w przeciwnym razie skorzystaj z „Obliczenia wagi”.</v>
      </c>
      <c r="C156" s="255"/>
      <c r="D156" s="255"/>
      <c r="E156" s="255"/>
      <c r="F156" s="255"/>
      <c r="G156" s="255"/>
      <c r="H156" s="255"/>
      <c r="I156" s="255"/>
      <c r="J156" s="255"/>
      <c r="K156" s="255"/>
      <c r="L156" s="255"/>
      <c r="M156" s="37"/>
      <c r="N156" s="37"/>
      <c r="P156" s="37"/>
      <c r="R156" s="37"/>
      <c r="S156" s="37"/>
      <c r="T156" s="37"/>
      <c r="U156" s="37"/>
      <c r="V156" s="37"/>
      <c r="W156" s="37"/>
      <c r="X156" s="108"/>
      <c r="Y156" s="108"/>
      <c r="Z156" s="108"/>
      <c r="AA156" s="108"/>
      <c r="AB156" s="108"/>
      <c r="AC156" s="108"/>
      <c r="AD156" s="108"/>
      <c r="AE156" s="108"/>
      <c r="AF156" s="108"/>
      <c r="AG156" s="108"/>
      <c r="AH156" s="108"/>
      <c r="AI156" s="108"/>
      <c r="AJ156" s="108"/>
      <c r="AK156" s="108"/>
      <c r="AL156" s="108"/>
      <c r="AM156" s="137"/>
      <c r="AN156" s="137"/>
      <c r="AO156" s="137"/>
      <c r="AP156" s="37"/>
      <c r="AQ156" s="37"/>
      <c r="AR156" s="37"/>
      <c r="AS156" s="37"/>
      <c r="AT156" s="37"/>
      <c r="AU156" s="137"/>
      <c r="AV156" s="137"/>
    </row>
    <row r="157" spans="1:48" s="118" customFormat="1" ht="12.75" x14ac:dyDescent="0.2">
      <c r="A157" s="1045"/>
      <c r="B157" s="255" t="str">
        <f>ListAVS!$B$313</f>
        <v>W tabeli wprowadzona wartość ma pierwszeństwo aby skorzystać z wagi obliczeniowej, należy usunąć wprowadzoną wartość.</v>
      </c>
      <c r="C157" s="255"/>
      <c r="D157" s="255"/>
      <c r="E157" s="255"/>
      <c r="F157" s="255"/>
      <c r="G157" s="255"/>
      <c r="H157" s="255"/>
      <c r="I157" s="255"/>
      <c r="J157" s="255"/>
      <c r="K157" s="255"/>
      <c r="L157" s="255"/>
      <c r="M157" s="37"/>
      <c r="N157" s="37"/>
      <c r="P157" s="37"/>
      <c r="R157" s="37"/>
      <c r="S157" s="37"/>
      <c r="T157" s="37"/>
      <c r="U157" s="37"/>
      <c r="V157" s="37"/>
      <c r="W157" s="37"/>
      <c r="X157" s="108"/>
      <c r="Y157" s="108"/>
      <c r="Z157" s="108"/>
      <c r="AA157" s="108"/>
      <c r="AB157" s="108"/>
      <c r="AC157" s="108"/>
      <c r="AD157" s="108"/>
      <c r="AE157" s="108"/>
      <c r="AF157" s="108"/>
      <c r="AG157" s="108"/>
      <c r="AH157" s="108"/>
      <c r="AI157" s="108"/>
      <c r="AJ157" s="108"/>
      <c r="AK157" s="108"/>
      <c r="AL157" s="108"/>
      <c r="AM157" s="137"/>
      <c r="AN157" s="137"/>
      <c r="AO157" s="137"/>
      <c r="AP157" s="37"/>
      <c r="AQ157" s="37"/>
      <c r="AR157" s="37"/>
      <c r="AS157" s="37"/>
      <c r="AT157" s="37"/>
      <c r="AU157" s="137"/>
      <c r="AV157" s="137"/>
    </row>
    <row r="158" spans="1:48" s="118" customFormat="1" ht="12.75" x14ac:dyDescent="0.2">
      <c r="A158" s="1045"/>
      <c r="B158" s="255"/>
      <c r="C158" s="255"/>
      <c r="D158" s="255"/>
      <c r="E158" s="255"/>
      <c r="F158" s="255"/>
      <c r="G158" s="255"/>
      <c r="H158" s="255"/>
      <c r="I158" s="255"/>
      <c r="J158" s="255"/>
      <c r="K158" s="255"/>
      <c r="L158" s="255"/>
      <c r="M158" s="37"/>
      <c r="N158" s="37"/>
      <c r="P158" s="37"/>
      <c r="R158" s="37"/>
      <c r="S158" s="37"/>
      <c r="T158" s="37"/>
      <c r="U158" s="37"/>
      <c r="V158" s="37"/>
      <c r="W158" s="37"/>
      <c r="X158" s="108"/>
      <c r="Y158" s="108"/>
      <c r="Z158" s="108"/>
      <c r="AA158" s="108"/>
      <c r="AB158" s="108"/>
      <c r="AC158" s="108"/>
      <c r="AD158" s="108"/>
      <c r="AE158" s="108"/>
      <c r="AF158" s="108"/>
      <c r="AG158" s="108"/>
      <c r="AH158" s="108"/>
      <c r="AI158" s="108"/>
      <c r="AJ158" s="108"/>
      <c r="AK158" s="108"/>
      <c r="AL158" s="108"/>
      <c r="AM158" s="137"/>
      <c r="AN158" s="137"/>
      <c r="AO158" s="137"/>
      <c r="AP158" s="37"/>
      <c r="AQ158" s="37"/>
      <c r="AR158" s="37"/>
      <c r="AS158" s="37"/>
      <c r="AT158" s="37"/>
      <c r="AU158" s="137"/>
      <c r="AV158" s="137"/>
    </row>
    <row r="159" spans="1:48" s="118" customFormat="1" ht="12.75" x14ac:dyDescent="0.2">
      <c r="A159" s="1045"/>
      <c r="B159" s="255" t="str">
        <f>ListAVS!$B$323&amp;". "&amp;ListAVS!$B$324&amp;"."</f>
        <v>Długość podnośnika teleskopowego zależy od wysokości korpusu KH. W przypadku frontów asymetrycznych wykorzystuje się wysokość teoretyczną TKH.</v>
      </c>
      <c r="C159" s="255"/>
      <c r="D159" s="255"/>
      <c r="E159" s="255"/>
      <c r="F159" s="255"/>
      <c r="G159" s="255"/>
      <c r="H159" s="255"/>
      <c r="I159" s="255"/>
      <c r="J159" s="255"/>
      <c r="K159" s="255"/>
      <c r="L159" s="255"/>
      <c r="M159" s="37"/>
      <c r="N159" s="37"/>
      <c r="P159" s="37"/>
      <c r="R159" s="37"/>
      <c r="S159" s="37"/>
      <c r="T159" s="37"/>
      <c r="U159" s="37"/>
      <c r="V159" s="37"/>
      <c r="W159" s="37"/>
      <c r="X159" s="108"/>
      <c r="Y159" s="108"/>
      <c r="Z159" s="108"/>
      <c r="AA159" s="108"/>
      <c r="AB159" s="108"/>
      <c r="AC159" s="108"/>
      <c r="AD159" s="108"/>
      <c r="AE159" s="108"/>
      <c r="AF159" s="108"/>
      <c r="AG159" s="108"/>
      <c r="AH159" s="108"/>
      <c r="AI159" s="108"/>
      <c r="AJ159" s="108"/>
      <c r="AK159" s="108"/>
      <c r="AL159" s="108"/>
      <c r="AM159" s="137"/>
      <c r="AN159" s="137"/>
      <c r="AO159" s="137"/>
      <c r="AP159" s="37"/>
      <c r="AQ159" s="37"/>
      <c r="AR159" s="37"/>
      <c r="AS159" s="37"/>
      <c r="AT159" s="37"/>
      <c r="AU159" s="137"/>
      <c r="AV159" s="137"/>
    </row>
    <row r="160" spans="1:48" s="118" customFormat="1" ht="12" customHeight="1" x14ac:dyDescent="0.2">
      <c r="A160" s="1045"/>
      <c r="B160" s="255"/>
      <c r="C160" s="255"/>
      <c r="D160" s="255"/>
      <c r="E160" s="255"/>
      <c r="F160" s="255"/>
      <c r="G160" s="255"/>
      <c r="H160" s="255"/>
      <c r="I160" s="255"/>
      <c r="J160" s="255"/>
      <c r="K160" s="255"/>
      <c r="L160" s="255"/>
      <c r="M160" s="37"/>
      <c r="N160" s="37"/>
      <c r="P160" s="37"/>
      <c r="R160" s="37"/>
      <c r="S160" s="37"/>
      <c r="T160" s="37"/>
      <c r="U160" s="37"/>
      <c r="V160" s="37"/>
      <c r="W160" s="37"/>
      <c r="X160" s="108"/>
      <c r="Y160" s="108"/>
      <c r="Z160" s="108"/>
      <c r="AA160" s="108"/>
      <c r="AB160" s="108"/>
      <c r="AC160" s="108"/>
      <c r="AD160" s="108"/>
      <c r="AE160" s="108"/>
      <c r="AF160" s="108"/>
      <c r="AG160" s="108"/>
      <c r="AH160" s="108"/>
      <c r="AI160" s="108"/>
      <c r="AJ160" s="108"/>
      <c r="AK160" s="108"/>
      <c r="AL160" s="108"/>
      <c r="AM160" s="137"/>
      <c r="AN160" s="137"/>
      <c r="AO160" s="137"/>
      <c r="AP160" s="37"/>
      <c r="AQ160" s="37"/>
      <c r="AR160" s="37"/>
      <c r="AS160" s="37"/>
      <c r="AT160" s="37"/>
      <c r="AU160" s="137"/>
      <c r="AV160" s="137"/>
    </row>
    <row r="161" spans="1:48" s="37" customFormat="1" ht="15" customHeight="1" x14ac:dyDescent="0.2">
      <c r="A161" s="1045"/>
      <c r="B161" s="699" t="str">
        <f>" "&amp;ListAVS!$B$163&amp;":"</f>
        <v xml:space="preserve"> Fronty asymetryczne:</v>
      </c>
      <c r="C161" s="700"/>
      <c r="D161" s="700"/>
      <c r="E161" s="700"/>
      <c r="F161" s="700"/>
      <c r="G161" s="700"/>
      <c r="H161" s="700"/>
      <c r="I161" s="700"/>
      <c r="J161" s="700"/>
      <c r="K161" s="700"/>
      <c r="L161" s="700"/>
      <c r="O161" s="118"/>
      <c r="Q161" s="118"/>
      <c r="X161" s="108"/>
      <c r="Y161" s="108"/>
      <c r="Z161" s="108"/>
      <c r="AA161" s="108"/>
      <c r="AB161" s="108"/>
      <c r="AC161" s="108"/>
      <c r="AD161" s="108"/>
      <c r="AE161" s="108"/>
      <c r="AF161" s="108"/>
      <c r="AG161" s="108"/>
      <c r="AH161" s="108"/>
      <c r="AI161" s="108"/>
      <c r="AJ161" s="108"/>
      <c r="AK161" s="108"/>
      <c r="AL161" s="108"/>
      <c r="AM161" s="137"/>
      <c r="AN161" s="137"/>
      <c r="AO161" s="137"/>
      <c r="AU161" s="137"/>
      <c r="AV161" s="137"/>
    </row>
    <row r="162" spans="1:48" s="37" customFormat="1" ht="18" customHeight="1" x14ac:dyDescent="0.2">
      <c r="A162" s="1045"/>
      <c r="B162" s="701" t="str">
        <f>" "&amp;ListAVS!$B$321</f>
        <v xml:space="preserve"> Teoretyczna wysokość korpusu (TKH) = wysokość frontu górnego (FHo) x 2 + szczeliny</v>
      </c>
      <c r="C162" s="700"/>
      <c r="D162" s="700"/>
      <c r="E162" s="700"/>
      <c r="F162" s="700"/>
      <c r="G162" s="700"/>
      <c r="H162" s="700"/>
      <c r="I162" s="700"/>
      <c r="J162" s="700"/>
      <c r="K162" s="700"/>
      <c r="L162" s="700"/>
      <c r="O162" s="118"/>
      <c r="Q162" s="118"/>
      <c r="X162" s="108"/>
      <c r="Y162" s="108"/>
      <c r="Z162" s="108"/>
      <c r="AA162" s="108"/>
      <c r="AB162" s="108"/>
      <c r="AC162" s="108"/>
      <c r="AD162" s="108"/>
      <c r="AE162" s="108"/>
      <c r="AF162" s="108"/>
      <c r="AG162" s="108"/>
      <c r="AH162" s="108"/>
      <c r="AI162" s="108"/>
      <c r="AJ162" s="108"/>
      <c r="AK162" s="108"/>
      <c r="AL162" s="108"/>
      <c r="AM162" s="137"/>
      <c r="AN162" s="137"/>
      <c r="AO162" s="137"/>
      <c r="AU162" s="137"/>
      <c r="AV162" s="137"/>
    </row>
    <row r="163" spans="1:48" s="37" customFormat="1" ht="12.75" x14ac:dyDescent="0.2">
      <c r="A163" s="1045"/>
      <c r="B163" s="255"/>
      <c r="C163" s="255"/>
      <c r="D163" s="255"/>
      <c r="E163" s="255"/>
      <c r="F163" s="255"/>
      <c r="G163" s="255"/>
      <c r="H163" s="255"/>
      <c r="I163" s="255"/>
      <c r="J163" s="255"/>
      <c r="K163" s="255"/>
      <c r="L163" s="255"/>
      <c r="O163" s="118"/>
      <c r="Q163" s="118"/>
      <c r="X163" s="108"/>
      <c r="Y163" s="108"/>
      <c r="Z163" s="108"/>
      <c r="AA163" s="108"/>
      <c r="AB163" s="108"/>
      <c r="AC163" s="108"/>
      <c r="AD163" s="108"/>
      <c r="AE163" s="108"/>
      <c r="AF163" s="108"/>
      <c r="AG163" s="108"/>
      <c r="AH163" s="108"/>
      <c r="AI163" s="108"/>
      <c r="AJ163" s="108"/>
      <c r="AK163" s="108"/>
      <c r="AL163" s="108"/>
      <c r="AM163" s="137"/>
      <c r="AN163" s="137"/>
      <c r="AO163" s="137"/>
      <c r="AU163" s="137"/>
      <c r="AV163" s="137"/>
    </row>
    <row r="164" spans="1:48" s="37" customFormat="1" ht="12.75" x14ac:dyDescent="0.2">
      <c r="A164" s="1045"/>
      <c r="B164" s="255" t="str">
        <f>ListAVS!$B$316</f>
        <v>W przypadku frontów asymetrycznych, większy front musi być na górze!</v>
      </c>
      <c r="C164" s="255"/>
      <c r="D164" s="255"/>
      <c r="E164" s="255"/>
      <c r="F164" s="255"/>
      <c r="G164" s="255"/>
      <c r="H164" s="255"/>
      <c r="I164" s="255"/>
      <c r="J164" s="255"/>
      <c r="K164" s="255"/>
      <c r="L164" s="255"/>
      <c r="O164" s="118"/>
      <c r="Q164" s="118"/>
      <c r="X164" s="108"/>
      <c r="Y164" s="108"/>
      <c r="Z164" s="108"/>
      <c r="AA164" s="108"/>
      <c r="AB164" s="108"/>
      <c r="AC164" s="108"/>
      <c r="AD164" s="108"/>
      <c r="AE164" s="108"/>
      <c r="AF164" s="108"/>
      <c r="AG164" s="108"/>
      <c r="AH164" s="108"/>
      <c r="AI164" s="108"/>
      <c r="AJ164" s="108"/>
      <c r="AK164" s="108"/>
      <c r="AL164" s="108"/>
      <c r="AM164" s="137"/>
      <c r="AN164" s="137"/>
      <c r="AO164" s="137"/>
      <c r="AU164" s="137"/>
      <c r="AV164" s="137"/>
    </row>
    <row r="165" spans="1:48" s="37" customFormat="1" ht="12.75" x14ac:dyDescent="0.2">
      <c r="A165" s="1045"/>
      <c r="B165" s="255"/>
      <c r="C165" s="255"/>
      <c r="D165" s="255"/>
      <c r="E165" s="255"/>
      <c r="F165" s="255"/>
      <c r="G165" s="255"/>
      <c r="H165" s="255"/>
      <c r="I165" s="255"/>
      <c r="J165" s="255"/>
      <c r="K165" s="255"/>
      <c r="L165" s="255"/>
      <c r="O165" s="118"/>
      <c r="Q165" s="118"/>
      <c r="X165" s="108"/>
      <c r="Y165" s="108"/>
      <c r="Z165" s="108"/>
      <c r="AA165" s="108"/>
      <c r="AB165" s="108"/>
      <c r="AC165" s="108"/>
      <c r="AD165" s="108"/>
      <c r="AE165" s="108"/>
      <c r="AF165" s="108"/>
      <c r="AG165" s="108"/>
      <c r="AH165" s="108"/>
      <c r="AI165" s="108"/>
      <c r="AJ165" s="108"/>
      <c r="AK165" s="108"/>
      <c r="AL165" s="108"/>
      <c r="AM165" s="137"/>
      <c r="AN165" s="137"/>
      <c r="AO165" s="137"/>
      <c r="AU165" s="137"/>
      <c r="AV165" s="137"/>
    </row>
    <row r="166" spans="1:48" s="37" customFormat="1" ht="12.75" x14ac:dyDescent="0.2">
      <c r="A166" s="1045"/>
      <c r="B166" s="255" t="str">
        <f>ListAVS!$B$326</f>
        <v>Jeżeli podasz wartość TKH, będzie ona wykorzystana do określenia długości podnośnika teleskopowego</v>
      </c>
      <c r="C166" s="255"/>
      <c r="D166" s="255"/>
      <c r="E166" s="255"/>
      <c r="F166" s="255"/>
      <c r="G166" s="255"/>
      <c r="H166" s="255"/>
      <c r="I166" s="255"/>
      <c r="J166" s="255"/>
      <c r="K166" s="255"/>
      <c r="L166" s="255"/>
      <c r="O166" s="118"/>
      <c r="Q166" s="118"/>
      <c r="X166" s="108"/>
      <c r="Y166" s="108"/>
      <c r="Z166" s="108"/>
      <c r="AA166" s="108"/>
      <c r="AB166" s="108"/>
      <c r="AC166" s="108"/>
      <c r="AD166" s="108"/>
      <c r="AE166" s="108"/>
      <c r="AF166" s="108"/>
      <c r="AG166" s="108"/>
      <c r="AH166" s="108"/>
      <c r="AI166" s="108"/>
      <c r="AJ166" s="108"/>
      <c r="AK166" s="108"/>
      <c r="AL166" s="108"/>
      <c r="AM166" s="137"/>
      <c r="AN166" s="137"/>
      <c r="AO166" s="137"/>
      <c r="AU166" s="137"/>
      <c r="AV166" s="137"/>
    </row>
    <row r="167" spans="1:48" s="37" customFormat="1" ht="12.75" x14ac:dyDescent="0.2">
      <c r="A167" s="1045"/>
      <c r="B167" s="255" t="str">
        <f>ListAVS!$B$327</f>
        <v>Jeśli nie masz asymetrycznych frontów, zostaw pole puste</v>
      </c>
      <c r="C167" s="255"/>
      <c r="D167" s="255"/>
      <c r="E167" s="255"/>
      <c r="F167" s="255"/>
      <c r="G167" s="255"/>
      <c r="H167" s="255"/>
      <c r="I167" s="255"/>
      <c r="J167" s="255"/>
      <c r="K167" s="255"/>
      <c r="L167" s="255"/>
      <c r="O167" s="118"/>
      <c r="Q167" s="118"/>
      <c r="X167" s="108"/>
      <c r="Y167" s="108"/>
      <c r="Z167" s="108"/>
      <c r="AA167" s="108"/>
      <c r="AB167" s="108"/>
      <c r="AC167" s="108"/>
      <c r="AD167" s="108"/>
      <c r="AE167" s="108"/>
      <c r="AF167" s="108"/>
      <c r="AG167" s="108"/>
      <c r="AH167" s="108"/>
      <c r="AI167" s="108"/>
      <c r="AJ167" s="108"/>
      <c r="AK167" s="108"/>
      <c r="AL167" s="108"/>
      <c r="AM167" s="137"/>
      <c r="AN167" s="137"/>
      <c r="AO167" s="137"/>
      <c r="AU167" s="137"/>
      <c r="AV167" s="137"/>
    </row>
    <row r="168" spans="1:48" s="37" customFormat="1" ht="12.75" x14ac:dyDescent="0.2">
      <c r="A168" s="1045"/>
      <c r="B168" s="255" t="str">
        <f>ListAVS!$B$328&amp;" ' "&amp;ListAVS!$B$195&amp;"' "</f>
        <v xml:space="preserve">Do obliczenia TKH użyj ' Obliczanie frontów asymetrycznych' </v>
      </c>
      <c r="C168" s="255"/>
      <c r="D168" s="255"/>
      <c r="E168" s="255"/>
      <c r="F168" s="255"/>
      <c r="G168" s="255"/>
      <c r="H168" s="255"/>
      <c r="I168" s="255"/>
      <c r="J168" s="255"/>
      <c r="K168" s="255"/>
      <c r="L168" s="255"/>
      <c r="O168" s="118"/>
      <c r="Q168" s="118"/>
      <c r="X168" s="108"/>
      <c r="Y168" s="108"/>
      <c r="Z168" s="108"/>
      <c r="AA168" s="108"/>
      <c r="AB168" s="108"/>
      <c r="AC168" s="108"/>
      <c r="AD168" s="108"/>
      <c r="AE168" s="108"/>
      <c r="AF168" s="108"/>
      <c r="AG168" s="108"/>
      <c r="AH168" s="108"/>
      <c r="AI168" s="108"/>
      <c r="AJ168" s="108"/>
      <c r="AK168" s="108"/>
      <c r="AL168" s="108"/>
      <c r="AM168" s="137"/>
      <c r="AN168" s="137"/>
      <c r="AO168" s="137"/>
      <c r="AU168" s="137"/>
      <c r="AV168" s="137"/>
    </row>
    <row r="169" spans="1:48" s="37" customFormat="1" ht="12.75" x14ac:dyDescent="0.2">
      <c r="A169" s="1045"/>
      <c r="B169" s="255"/>
      <c r="C169" s="255"/>
      <c r="D169" s="255"/>
      <c r="E169" s="255"/>
      <c r="F169" s="255"/>
      <c r="G169" s="255"/>
      <c r="H169" s="255"/>
      <c r="I169" s="255"/>
      <c r="J169" s="255"/>
      <c r="K169" s="255"/>
      <c r="L169" s="255"/>
      <c r="O169" s="118"/>
      <c r="Q169" s="118"/>
      <c r="X169" s="108"/>
      <c r="Y169" s="108"/>
      <c r="Z169" s="108"/>
      <c r="AA169" s="108"/>
      <c r="AB169" s="108"/>
      <c r="AC169" s="108"/>
      <c r="AD169" s="108"/>
      <c r="AE169" s="108"/>
      <c r="AF169" s="108"/>
      <c r="AG169" s="108"/>
      <c r="AH169" s="108"/>
      <c r="AI169" s="108"/>
      <c r="AJ169" s="108"/>
      <c r="AK169" s="108"/>
      <c r="AL169" s="108"/>
      <c r="AM169" s="137"/>
      <c r="AN169" s="137"/>
      <c r="AO169" s="137"/>
      <c r="AU169" s="137"/>
      <c r="AV169" s="137"/>
    </row>
    <row r="170" spans="1:48" s="37" customFormat="1" ht="12.75" x14ac:dyDescent="0.2">
      <c r="A170" s="1045"/>
      <c r="B170" s="255"/>
      <c r="C170" s="255"/>
      <c r="D170" s="255"/>
      <c r="E170" s="255"/>
      <c r="F170" s="255"/>
      <c r="G170" s="255"/>
      <c r="H170" s="255"/>
      <c r="I170" s="255"/>
      <c r="J170" s="255"/>
      <c r="K170" s="255"/>
      <c r="L170" s="255"/>
      <c r="O170" s="118"/>
      <c r="Q170" s="118"/>
      <c r="X170" s="108"/>
      <c r="Y170" s="108"/>
      <c r="Z170" s="108"/>
      <c r="AA170" s="108"/>
      <c r="AB170" s="108"/>
      <c r="AC170" s="108"/>
      <c r="AD170" s="108"/>
      <c r="AE170" s="108"/>
      <c r="AF170" s="108"/>
      <c r="AG170" s="108"/>
      <c r="AH170" s="108"/>
      <c r="AI170" s="108"/>
      <c r="AJ170" s="108"/>
      <c r="AK170" s="108"/>
      <c r="AL170" s="108"/>
      <c r="AM170" s="137"/>
      <c r="AN170" s="137"/>
      <c r="AO170" s="137"/>
      <c r="AU170" s="137"/>
      <c r="AV170" s="137"/>
    </row>
    <row r="171" spans="1:48" s="37" customFormat="1" ht="12.75" x14ac:dyDescent="0.2">
      <c r="A171" s="1045"/>
      <c r="B171" s="255" t="str">
        <f>ListAVS!$B$306</f>
        <v>Aby zmienić kolor zaślepek przejdź do „Wprowadzenie do planowania”</v>
      </c>
      <c r="C171" s="255"/>
      <c r="D171" s="255"/>
      <c r="E171" s="255"/>
      <c r="F171" s="255"/>
      <c r="G171" s="255"/>
      <c r="H171" s="255"/>
      <c r="I171" s="255"/>
      <c r="J171" s="255"/>
      <c r="K171" s="255"/>
      <c r="L171" s="255"/>
      <c r="O171" s="118"/>
      <c r="Q171" s="118"/>
      <c r="X171" s="108"/>
      <c r="Y171" s="108"/>
      <c r="Z171" s="108"/>
      <c r="AA171" s="108"/>
      <c r="AB171" s="108"/>
      <c r="AC171" s="108"/>
      <c r="AD171" s="108"/>
      <c r="AE171" s="108"/>
      <c r="AF171" s="108"/>
      <c r="AG171" s="108"/>
      <c r="AH171" s="108"/>
      <c r="AI171" s="108"/>
      <c r="AJ171" s="108"/>
      <c r="AK171" s="108"/>
      <c r="AL171" s="108"/>
      <c r="AM171" s="137"/>
      <c r="AN171" s="137"/>
      <c r="AO171" s="137"/>
      <c r="AU171" s="137"/>
      <c r="AV171" s="137"/>
    </row>
    <row r="172" spans="1:48" s="37" customFormat="1" ht="12.75" x14ac:dyDescent="0.2">
      <c r="A172" s="1045"/>
      <c r="B172" s="255"/>
      <c r="C172" s="255"/>
      <c r="D172" s="255"/>
      <c r="E172" s="255"/>
      <c r="F172" s="255"/>
      <c r="G172" s="255"/>
      <c r="H172" s="255"/>
      <c r="I172" s="255"/>
      <c r="J172" s="255"/>
      <c r="K172" s="255"/>
      <c r="L172" s="255"/>
      <c r="O172" s="118"/>
      <c r="Q172" s="118"/>
      <c r="X172" s="108"/>
      <c r="Y172" s="108"/>
      <c r="Z172" s="108"/>
      <c r="AA172" s="108"/>
      <c r="AB172" s="108"/>
      <c r="AC172" s="108"/>
      <c r="AD172" s="108"/>
      <c r="AE172" s="108"/>
      <c r="AF172" s="108"/>
      <c r="AG172" s="108"/>
      <c r="AH172" s="108"/>
      <c r="AI172" s="108"/>
      <c r="AJ172" s="108"/>
      <c r="AK172" s="108"/>
      <c r="AL172" s="108"/>
      <c r="AM172" s="137"/>
      <c r="AN172" s="137"/>
      <c r="AO172" s="137"/>
      <c r="AU172" s="137"/>
      <c r="AV172" s="137"/>
    </row>
    <row r="173" spans="1:48" s="37" customFormat="1" ht="12.75" x14ac:dyDescent="0.2">
      <c r="A173" s="1045"/>
      <c r="B173" s="255"/>
      <c r="C173" s="255"/>
      <c r="D173" s="255"/>
      <c r="E173" s="255"/>
      <c r="F173" s="255"/>
      <c r="G173" s="255"/>
      <c r="H173" s="255"/>
      <c r="I173" s="255"/>
      <c r="J173" s="255"/>
      <c r="K173" s="255"/>
      <c r="L173" s="255"/>
      <c r="O173" s="118"/>
      <c r="Q173" s="118"/>
      <c r="X173" s="108"/>
      <c r="Y173" s="108"/>
      <c r="Z173" s="108"/>
      <c r="AA173" s="108"/>
      <c r="AB173" s="108"/>
      <c r="AC173" s="108"/>
      <c r="AD173" s="108"/>
      <c r="AE173" s="108"/>
      <c r="AF173" s="108"/>
      <c r="AG173" s="108"/>
      <c r="AH173" s="108"/>
      <c r="AI173" s="108"/>
      <c r="AJ173" s="108"/>
      <c r="AK173" s="108"/>
      <c r="AL173" s="108"/>
      <c r="AM173" s="137"/>
      <c r="AN173" s="137"/>
      <c r="AO173" s="137"/>
      <c r="AU173" s="137"/>
      <c r="AV173" s="137"/>
    </row>
    <row r="174" spans="1:48" s="37" customFormat="1" ht="12.75" x14ac:dyDescent="0.2">
      <c r="A174" s="1045"/>
      <c r="B174" s="255"/>
      <c r="C174" s="255"/>
      <c r="D174" s="255"/>
      <c r="E174" s="255"/>
      <c r="F174" s="255"/>
      <c r="G174" s="255"/>
      <c r="H174" s="255"/>
      <c r="I174" s="255"/>
      <c r="J174" s="255"/>
      <c r="K174" s="255"/>
      <c r="L174" s="255"/>
      <c r="O174" s="118"/>
      <c r="Q174" s="118"/>
      <c r="X174" s="108"/>
      <c r="Y174" s="108"/>
      <c r="Z174" s="108"/>
      <c r="AA174" s="108"/>
      <c r="AB174" s="108"/>
      <c r="AC174" s="108"/>
      <c r="AD174" s="108"/>
      <c r="AE174" s="108"/>
      <c r="AF174" s="108"/>
      <c r="AG174" s="108"/>
      <c r="AH174" s="108"/>
      <c r="AI174" s="108"/>
      <c r="AJ174" s="108"/>
      <c r="AK174" s="108"/>
      <c r="AL174" s="108"/>
      <c r="AM174" s="137"/>
      <c r="AN174" s="137"/>
      <c r="AO174" s="137"/>
      <c r="AU174" s="137"/>
      <c r="AV174" s="137"/>
    </row>
    <row r="175" spans="1:48" s="37" customFormat="1" ht="12.75" x14ac:dyDescent="0.2">
      <c r="A175" s="1045"/>
      <c r="B175" s="255"/>
      <c r="C175" s="255"/>
      <c r="D175" s="255"/>
      <c r="E175" s="255"/>
      <c r="F175" s="255"/>
      <c r="G175" s="255"/>
      <c r="H175" s="255"/>
      <c r="I175" s="255"/>
      <c r="J175" s="255"/>
      <c r="K175" s="255"/>
      <c r="L175" s="255"/>
      <c r="O175" s="118"/>
      <c r="Q175" s="118"/>
      <c r="X175" s="108"/>
      <c r="Y175" s="108"/>
      <c r="Z175" s="108"/>
      <c r="AA175" s="108"/>
      <c r="AB175" s="108"/>
      <c r="AC175" s="108"/>
      <c r="AD175" s="108"/>
      <c r="AE175" s="108"/>
      <c r="AF175" s="108"/>
      <c r="AG175" s="108"/>
      <c r="AH175" s="108"/>
      <c r="AI175" s="108"/>
      <c r="AJ175" s="108"/>
      <c r="AK175" s="108"/>
      <c r="AL175" s="108"/>
      <c r="AM175" s="137"/>
      <c r="AN175" s="137"/>
      <c r="AO175" s="137"/>
      <c r="AU175" s="137"/>
      <c r="AV175" s="137"/>
    </row>
    <row r="176" spans="1:48" s="37" customFormat="1" ht="12.75" x14ac:dyDescent="0.2">
      <c r="A176" s="1045"/>
      <c r="B176" s="255"/>
      <c r="C176" s="255"/>
      <c r="D176" s="255"/>
      <c r="E176" s="255"/>
      <c r="F176" s="255"/>
      <c r="G176" s="255"/>
      <c r="H176" s="255"/>
      <c r="I176" s="255"/>
      <c r="J176" s="255"/>
      <c r="K176" s="255"/>
      <c r="L176" s="255"/>
      <c r="O176" s="118"/>
      <c r="Q176" s="118"/>
      <c r="X176" s="108"/>
      <c r="Y176" s="108"/>
      <c r="Z176" s="108"/>
      <c r="AA176" s="108"/>
      <c r="AB176" s="108"/>
      <c r="AC176" s="108"/>
      <c r="AD176" s="108"/>
      <c r="AE176" s="108"/>
      <c r="AF176" s="108"/>
      <c r="AG176" s="108"/>
      <c r="AH176" s="108"/>
      <c r="AI176" s="108"/>
      <c r="AJ176" s="108"/>
      <c r="AK176" s="108"/>
      <c r="AL176" s="108"/>
      <c r="AM176" s="137"/>
      <c r="AN176" s="137"/>
      <c r="AO176" s="137"/>
      <c r="AU176" s="137"/>
      <c r="AV176" s="137"/>
    </row>
    <row r="177" spans="1:48" s="37" customFormat="1" ht="12.75" x14ac:dyDescent="0.2">
      <c r="A177" s="1045"/>
      <c r="B177" s="255"/>
      <c r="C177" s="255"/>
      <c r="D177" s="255"/>
      <c r="E177" s="255"/>
      <c r="F177" s="255"/>
      <c r="G177" s="255"/>
      <c r="H177" s="255"/>
      <c r="I177" s="255"/>
      <c r="J177" s="255"/>
      <c r="K177" s="255"/>
      <c r="L177" s="255"/>
      <c r="O177" s="118"/>
      <c r="Q177" s="118"/>
      <c r="X177" s="108"/>
      <c r="Y177" s="108"/>
      <c r="Z177" s="108"/>
      <c r="AA177" s="108"/>
      <c r="AB177" s="108"/>
      <c r="AC177" s="108"/>
      <c r="AD177" s="108"/>
      <c r="AE177" s="108"/>
      <c r="AF177" s="108"/>
      <c r="AG177" s="108"/>
      <c r="AH177" s="108"/>
      <c r="AI177" s="108"/>
      <c r="AJ177" s="108"/>
      <c r="AK177" s="108"/>
      <c r="AL177" s="108"/>
      <c r="AM177" s="137"/>
      <c r="AN177" s="137"/>
      <c r="AO177" s="137"/>
      <c r="AU177" s="137"/>
      <c r="AV177" s="137"/>
    </row>
    <row r="178" spans="1:48" s="37" customFormat="1" ht="12.75" x14ac:dyDescent="0.2">
      <c r="A178" s="1045"/>
      <c r="B178" s="255"/>
      <c r="C178" s="255"/>
      <c r="D178" s="255"/>
      <c r="E178" s="255"/>
      <c r="F178" s="255"/>
      <c r="G178" s="255"/>
      <c r="H178" s="255"/>
      <c r="I178" s="255"/>
      <c r="J178" s="255"/>
      <c r="K178" s="255"/>
      <c r="L178" s="255"/>
      <c r="O178" s="118"/>
      <c r="Q178" s="118"/>
      <c r="X178" s="108"/>
      <c r="Y178" s="108"/>
      <c r="Z178" s="108"/>
      <c r="AA178" s="108"/>
      <c r="AB178" s="108"/>
      <c r="AC178" s="108"/>
      <c r="AD178" s="108"/>
      <c r="AE178" s="108"/>
      <c r="AF178" s="108"/>
      <c r="AG178" s="108"/>
      <c r="AH178" s="108"/>
      <c r="AI178" s="108"/>
      <c r="AJ178" s="108"/>
      <c r="AK178" s="108"/>
      <c r="AL178" s="108"/>
      <c r="AM178" s="137"/>
      <c r="AN178" s="137"/>
      <c r="AO178" s="137"/>
      <c r="AU178" s="137"/>
      <c r="AV178" s="137"/>
    </row>
    <row r="179" spans="1:48" s="37" customFormat="1" ht="12.75" x14ac:dyDescent="0.2">
      <c r="A179" s="1045"/>
      <c r="B179" s="255"/>
      <c r="C179" s="255"/>
      <c r="D179" s="255"/>
      <c r="E179" s="255"/>
      <c r="F179" s="255"/>
      <c r="G179" s="255"/>
      <c r="H179" s="255"/>
      <c r="I179" s="255"/>
      <c r="J179" s="255"/>
      <c r="K179" s="255"/>
      <c r="L179" s="702" t="str">
        <f>ListAVS!$B$168</f>
        <v>Z powrotem</v>
      </c>
      <c r="O179" s="118"/>
      <c r="Q179" s="118"/>
      <c r="X179" s="108"/>
      <c r="Y179" s="108"/>
      <c r="Z179" s="108"/>
      <c r="AA179" s="108"/>
      <c r="AB179" s="108"/>
      <c r="AC179" s="108"/>
      <c r="AD179" s="108"/>
      <c r="AE179" s="108"/>
      <c r="AF179" s="108"/>
      <c r="AG179" s="108"/>
      <c r="AH179" s="108"/>
      <c r="AI179" s="108"/>
      <c r="AJ179" s="108"/>
      <c r="AK179" s="108"/>
      <c r="AL179" s="108"/>
      <c r="AM179" s="137"/>
      <c r="AN179" s="137"/>
      <c r="AO179" s="137"/>
      <c r="AU179" s="137"/>
      <c r="AV179" s="137"/>
    </row>
    <row r="180" spans="1:48" s="37" customFormat="1" ht="12.75" x14ac:dyDescent="0.2">
      <c r="A180" s="1045"/>
      <c r="B180" s="255"/>
      <c r="C180" s="255"/>
      <c r="D180" s="255"/>
      <c r="E180" s="255"/>
      <c r="F180" s="255"/>
      <c r="G180" s="255"/>
      <c r="H180" s="255"/>
      <c r="I180" s="255"/>
      <c r="J180" s="255"/>
      <c r="K180" s="255"/>
      <c r="L180" s="255"/>
      <c r="O180" s="118"/>
      <c r="Q180" s="118"/>
      <c r="X180" s="108"/>
      <c r="Y180" s="108"/>
      <c r="Z180" s="108"/>
      <c r="AA180" s="108"/>
      <c r="AB180" s="108"/>
      <c r="AC180" s="108"/>
      <c r="AD180" s="108"/>
      <c r="AE180" s="108"/>
      <c r="AF180" s="108"/>
      <c r="AG180" s="108"/>
      <c r="AH180" s="108"/>
      <c r="AI180" s="108"/>
      <c r="AJ180" s="108"/>
      <c r="AK180" s="108"/>
      <c r="AL180" s="108"/>
      <c r="AM180" s="137"/>
      <c r="AN180" s="137"/>
      <c r="AO180" s="137"/>
      <c r="AU180" s="137"/>
      <c r="AV180" s="137"/>
    </row>
    <row r="181" spans="1:48" s="37" customFormat="1" x14ac:dyDescent="0.2">
      <c r="A181" s="1045"/>
      <c r="O181" s="118"/>
      <c r="Q181" s="118"/>
      <c r="X181" s="108"/>
      <c r="Y181" s="108"/>
      <c r="Z181" s="108"/>
      <c r="AA181" s="108"/>
      <c r="AB181" s="108"/>
      <c r="AC181" s="108"/>
      <c r="AD181" s="108"/>
      <c r="AE181" s="108"/>
      <c r="AF181" s="108"/>
      <c r="AG181" s="108"/>
      <c r="AH181" s="108"/>
      <c r="AI181" s="108"/>
      <c r="AJ181" s="108"/>
      <c r="AK181" s="108"/>
      <c r="AL181" s="108"/>
      <c r="AM181" s="137"/>
      <c r="AN181" s="137"/>
      <c r="AO181" s="137"/>
      <c r="AU181" s="137"/>
      <c r="AV181" s="137"/>
    </row>
    <row r="182" spans="1:48" s="37" customFormat="1" x14ac:dyDescent="0.2">
      <c r="A182" s="1045"/>
      <c r="O182" s="118"/>
      <c r="Q182" s="118"/>
      <c r="X182" s="108"/>
      <c r="Y182" s="108"/>
      <c r="Z182" s="108"/>
      <c r="AA182" s="108"/>
      <c r="AB182" s="108"/>
      <c r="AC182" s="108"/>
      <c r="AD182" s="108"/>
      <c r="AE182" s="108"/>
      <c r="AF182" s="108"/>
      <c r="AG182" s="108"/>
      <c r="AH182" s="108"/>
      <c r="AI182" s="108"/>
      <c r="AJ182" s="108"/>
      <c r="AK182" s="108"/>
      <c r="AL182" s="108"/>
      <c r="AM182" s="137"/>
      <c r="AN182" s="137"/>
      <c r="AO182" s="137"/>
      <c r="AU182" s="137"/>
      <c r="AV182" s="137"/>
    </row>
    <row r="183" spans="1:48" s="37" customFormat="1" x14ac:dyDescent="0.2">
      <c r="A183" s="1045"/>
      <c r="O183" s="118"/>
      <c r="Q183" s="118"/>
      <c r="X183" s="108"/>
      <c r="Y183" s="108"/>
      <c r="Z183" s="108"/>
      <c r="AA183" s="108"/>
      <c r="AB183" s="108"/>
      <c r="AC183" s="108"/>
      <c r="AD183" s="108"/>
      <c r="AE183" s="108"/>
      <c r="AF183" s="108"/>
      <c r="AG183" s="108"/>
      <c r="AH183" s="108"/>
      <c r="AI183" s="108"/>
      <c r="AJ183" s="108"/>
      <c r="AK183" s="108"/>
      <c r="AL183" s="108"/>
      <c r="AM183" s="137"/>
      <c r="AN183" s="137"/>
      <c r="AO183" s="137"/>
      <c r="AU183" s="137"/>
      <c r="AV183" s="137"/>
    </row>
    <row r="184" spans="1:48" s="37" customFormat="1" x14ac:dyDescent="0.2">
      <c r="A184" s="1045"/>
      <c r="O184" s="118"/>
      <c r="Q184" s="118"/>
      <c r="X184" s="108"/>
      <c r="Y184" s="108"/>
      <c r="Z184" s="108"/>
      <c r="AA184" s="108"/>
      <c r="AB184" s="108"/>
      <c r="AC184" s="108"/>
      <c r="AD184" s="108"/>
      <c r="AE184" s="108"/>
      <c r="AF184" s="108"/>
      <c r="AG184" s="108"/>
      <c r="AH184" s="108"/>
      <c r="AI184" s="108"/>
      <c r="AJ184" s="108"/>
      <c r="AK184" s="108"/>
      <c r="AL184" s="108"/>
      <c r="AM184" s="137"/>
      <c r="AN184" s="137"/>
      <c r="AO184" s="137"/>
      <c r="AU184" s="137"/>
      <c r="AV184" s="137"/>
    </row>
    <row r="185" spans="1:48" s="37" customFormat="1" x14ac:dyDescent="0.2">
      <c r="O185" s="118"/>
      <c r="Q185" s="118"/>
      <c r="X185" s="108"/>
      <c r="Y185" s="108"/>
      <c r="Z185" s="108"/>
      <c r="AA185" s="108"/>
      <c r="AB185" s="108"/>
      <c r="AC185" s="108"/>
      <c r="AD185" s="108"/>
      <c r="AE185" s="108"/>
      <c r="AF185" s="108"/>
      <c r="AG185" s="108"/>
      <c r="AH185" s="108"/>
      <c r="AI185" s="108"/>
      <c r="AJ185" s="108"/>
      <c r="AK185" s="108"/>
      <c r="AL185" s="108"/>
      <c r="AM185" s="137"/>
      <c r="AN185" s="137"/>
      <c r="AO185" s="137"/>
      <c r="AU185" s="137"/>
      <c r="AV185" s="137"/>
    </row>
    <row r="186" spans="1:48" s="37" customFormat="1" x14ac:dyDescent="0.2">
      <c r="O186" s="118"/>
      <c r="Q186" s="118"/>
      <c r="X186" s="108"/>
      <c r="Y186" s="108"/>
      <c r="Z186" s="108"/>
      <c r="AA186" s="108"/>
      <c r="AB186" s="108"/>
      <c r="AC186" s="108"/>
      <c r="AD186" s="108"/>
      <c r="AE186" s="108"/>
      <c r="AF186" s="108"/>
      <c r="AG186" s="108"/>
      <c r="AH186" s="108"/>
      <c r="AI186" s="108"/>
      <c r="AJ186" s="108"/>
      <c r="AK186" s="108"/>
      <c r="AL186" s="108"/>
      <c r="AM186" s="137"/>
      <c r="AN186" s="137"/>
      <c r="AO186" s="137"/>
      <c r="AU186" s="137"/>
      <c r="AV186" s="137"/>
    </row>
    <row r="187" spans="1:48" s="37" customFormat="1" x14ac:dyDescent="0.2">
      <c r="O187" s="118"/>
      <c r="Q187" s="118"/>
      <c r="X187" s="108"/>
      <c r="Y187" s="108"/>
      <c r="Z187" s="108"/>
      <c r="AA187" s="108"/>
      <c r="AB187" s="108"/>
      <c r="AC187" s="108"/>
      <c r="AD187" s="108"/>
      <c r="AE187" s="108"/>
      <c r="AF187" s="108"/>
      <c r="AG187" s="108"/>
      <c r="AH187" s="108"/>
      <c r="AI187" s="108"/>
      <c r="AJ187" s="108"/>
      <c r="AK187" s="108"/>
      <c r="AL187" s="108"/>
      <c r="AM187" s="137"/>
      <c r="AN187" s="137"/>
      <c r="AO187" s="137"/>
      <c r="AU187" s="137"/>
      <c r="AV187" s="137"/>
    </row>
    <row r="188" spans="1:48" s="37" customFormat="1" x14ac:dyDescent="0.2">
      <c r="O188" s="118"/>
      <c r="Q188" s="118"/>
      <c r="X188" s="108"/>
      <c r="Y188" s="108"/>
      <c r="Z188" s="108"/>
      <c r="AA188" s="108"/>
      <c r="AB188" s="108"/>
      <c r="AC188" s="108"/>
      <c r="AD188" s="108"/>
      <c r="AE188" s="108"/>
      <c r="AF188" s="108"/>
      <c r="AG188" s="108"/>
      <c r="AH188" s="108"/>
      <c r="AI188" s="108"/>
      <c r="AJ188" s="108"/>
      <c r="AK188" s="108"/>
      <c r="AL188" s="108"/>
      <c r="AM188" s="137"/>
      <c r="AN188" s="137"/>
      <c r="AO188" s="137"/>
      <c r="AU188" s="137"/>
      <c r="AV188" s="137"/>
    </row>
    <row r="189" spans="1:48" s="37" customFormat="1" x14ac:dyDescent="0.2">
      <c r="O189" s="118"/>
      <c r="Q189" s="118"/>
      <c r="X189" s="108"/>
      <c r="Y189" s="108"/>
      <c r="Z189" s="108"/>
      <c r="AA189" s="108"/>
      <c r="AB189" s="108"/>
      <c r="AC189" s="108"/>
      <c r="AD189" s="108"/>
      <c r="AE189" s="108"/>
      <c r="AF189" s="108"/>
      <c r="AG189" s="108"/>
      <c r="AH189" s="108"/>
      <c r="AI189" s="108"/>
      <c r="AJ189" s="108"/>
      <c r="AK189" s="108"/>
      <c r="AL189" s="108"/>
      <c r="AM189" s="137"/>
      <c r="AN189" s="137"/>
      <c r="AO189" s="137"/>
      <c r="AU189" s="137"/>
      <c r="AV189" s="137"/>
    </row>
    <row r="190" spans="1:48" s="37" customFormat="1" x14ac:dyDescent="0.2">
      <c r="O190" s="118"/>
      <c r="Q190" s="118"/>
      <c r="X190" s="108"/>
      <c r="Y190" s="108"/>
      <c r="Z190" s="108"/>
      <c r="AA190" s="108"/>
      <c r="AB190" s="108"/>
      <c r="AC190" s="108"/>
      <c r="AD190" s="108"/>
      <c r="AE190" s="108"/>
      <c r="AF190" s="108"/>
      <c r="AG190" s="108"/>
      <c r="AH190" s="108"/>
      <c r="AI190" s="108"/>
      <c r="AJ190" s="108"/>
      <c r="AK190" s="108"/>
      <c r="AL190" s="108"/>
      <c r="AM190" s="137"/>
      <c r="AN190" s="137"/>
      <c r="AO190" s="137"/>
      <c r="AU190" s="137"/>
      <c r="AV190" s="137"/>
    </row>
    <row r="191" spans="1:48" s="37" customFormat="1" x14ac:dyDescent="0.2">
      <c r="O191" s="118"/>
      <c r="Q191" s="118"/>
      <c r="X191" s="108"/>
      <c r="Y191" s="108"/>
      <c r="Z191" s="108"/>
      <c r="AA191" s="108"/>
      <c r="AB191" s="108"/>
      <c r="AC191" s="108"/>
      <c r="AD191" s="108"/>
      <c r="AE191" s="108"/>
      <c r="AF191" s="108"/>
      <c r="AG191" s="108"/>
      <c r="AH191" s="108"/>
      <c r="AI191" s="108"/>
      <c r="AJ191" s="108"/>
      <c r="AK191" s="108"/>
      <c r="AL191" s="108"/>
      <c r="AM191" s="137"/>
      <c r="AN191" s="137"/>
      <c r="AO191" s="137"/>
      <c r="AU191" s="137"/>
      <c r="AV191" s="137"/>
    </row>
    <row r="192" spans="1:48" s="37" customFormat="1" x14ac:dyDescent="0.2">
      <c r="O192" s="118"/>
      <c r="Q192" s="118"/>
      <c r="X192" s="108"/>
      <c r="Y192" s="108"/>
      <c r="Z192" s="108"/>
      <c r="AA192" s="108"/>
      <c r="AB192" s="108"/>
      <c r="AC192" s="108"/>
      <c r="AD192" s="108"/>
      <c r="AE192" s="108"/>
      <c r="AF192" s="108"/>
      <c r="AG192" s="108"/>
      <c r="AH192" s="108"/>
      <c r="AI192" s="108"/>
      <c r="AJ192" s="108"/>
      <c r="AK192" s="108"/>
      <c r="AL192" s="108"/>
      <c r="AM192" s="137"/>
      <c r="AN192" s="137"/>
      <c r="AO192" s="137"/>
      <c r="AU192" s="137"/>
      <c r="AV192" s="137"/>
    </row>
    <row r="193" spans="15:48" s="37" customFormat="1" x14ac:dyDescent="0.2">
      <c r="O193" s="118"/>
      <c r="Q193" s="118"/>
      <c r="X193" s="108"/>
      <c r="Y193" s="108"/>
      <c r="Z193" s="108"/>
      <c r="AA193" s="108"/>
      <c r="AB193" s="108"/>
      <c r="AC193" s="108"/>
      <c r="AD193" s="108"/>
      <c r="AE193" s="108"/>
      <c r="AF193" s="108"/>
      <c r="AG193" s="108"/>
      <c r="AH193" s="108"/>
      <c r="AI193" s="108"/>
      <c r="AJ193" s="108"/>
      <c r="AK193" s="108"/>
      <c r="AL193" s="108"/>
      <c r="AM193" s="137"/>
      <c r="AN193" s="137"/>
      <c r="AO193" s="137"/>
      <c r="AU193" s="137"/>
      <c r="AV193" s="137"/>
    </row>
    <row r="194" spans="15:48" s="37" customFormat="1" x14ac:dyDescent="0.2">
      <c r="O194" s="118"/>
      <c r="Q194" s="118"/>
      <c r="X194" s="108"/>
      <c r="Y194" s="108"/>
      <c r="Z194" s="108"/>
      <c r="AA194" s="108"/>
      <c r="AB194" s="108"/>
      <c r="AC194" s="108"/>
      <c r="AD194" s="108"/>
      <c r="AE194" s="108"/>
      <c r="AF194" s="108"/>
      <c r="AG194" s="108"/>
      <c r="AH194" s="108"/>
      <c r="AI194" s="108"/>
      <c r="AJ194" s="108"/>
      <c r="AK194" s="108"/>
      <c r="AL194" s="108"/>
      <c r="AM194" s="137"/>
      <c r="AN194" s="137"/>
      <c r="AO194" s="137"/>
      <c r="AU194" s="137"/>
      <c r="AV194" s="137"/>
    </row>
    <row r="195" spans="15:48" s="37" customFormat="1" x14ac:dyDescent="0.2">
      <c r="O195" s="118"/>
      <c r="Q195" s="118"/>
      <c r="X195" s="108"/>
      <c r="Y195" s="108"/>
      <c r="Z195" s="108"/>
      <c r="AA195" s="108"/>
      <c r="AB195" s="108"/>
      <c r="AC195" s="108"/>
      <c r="AD195" s="108"/>
      <c r="AE195" s="108"/>
      <c r="AF195" s="108"/>
      <c r="AG195" s="108"/>
      <c r="AH195" s="108"/>
      <c r="AI195" s="108"/>
      <c r="AJ195" s="108"/>
      <c r="AK195" s="108"/>
      <c r="AL195" s="108"/>
      <c r="AM195" s="137"/>
      <c r="AN195" s="137"/>
      <c r="AO195" s="137"/>
      <c r="AU195" s="137"/>
      <c r="AV195" s="137"/>
    </row>
    <row r="196" spans="15:48" s="37" customFormat="1" x14ac:dyDescent="0.2">
      <c r="O196" s="118"/>
      <c r="Q196" s="118"/>
      <c r="X196" s="108"/>
      <c r="Y196" s="108"/>
      <c r="Z196" s="108"/>
      <c r="AA196" s="108"/>
      <c r="AB196" s="108"/>
      <c r="AC196" s="108"/>
      <c r="AD196" s="108"/>
      <c r="AE196" s="108"/>
      <c r="AF196" s="108"/>
      <c r="AG196" s="108"/>
      <c r="AH196" s="108"/>
      <c r="AI196" s="108"/>
      <c r="AJ196" s="108"/>
      <c r="AK196" s="108"/>
      <c r="AL196" s="108"/>
      <c r="AM196" s="137"/>
      <c r="AN196" s="137"/>
      <c r="AO196" s="137"/>
      <c r="AU196" s="137"/>
      <c r="AV196" s="137"/>
    </row>
    <row r="197" spans="15:48" s="37" customFormat="1" x14ac:dyDescent="0.2">
      <c r="O197" s="118"/>
      <c r="Q197" s="118"/>
      <c r="X197" s="108"/>
      <c r="Y197" s="108"/>
      <c r="Z197" s="108"/>
      <c r="AA197" s="108"/>
      <c r="AB197" s="108"/>
      <c r="AC197" s="108"/>
      <c r="AD197" s="108"/>
      <c r="AE197" s="108"/>
      <c r="AF197" s="108"/>
      <c r="AG197" s="108"/>
      <c r="AH197" s="108"/>
      <c r="AI197" s="108"/>
      <c r="AJ197" s="108"/>
      <c r="AK197" s="108"/>
      <c r="AL197" s="108"/>
      <c r="AM197" s="137"/>
      <c r="AN197" s="137"/>
      <c r="AO197" s="137"/>
      <c r="AU197" s="137"/>
      <c r="AV197" s="137"/>
    </row>
    <row r="198" spans="15:48" s="37" customFormat="1" x14ac:dyDescent="0.2">
      <c r="O198" s="118"/>
      <c r="Q198" s="118"/>
      <c r="X198" s="108"/>
      <c r="Y198" s="108"/>
      <c r="Z198" s="108"/>
      <c r="AA198" s="108"/>
      <c r="AB198" s="108"/>
      <c r="AC198" s="108"/>
      <c r="AD198" s="108"/>
      <c r="AE198" s="108"/>
      <c r="AF198" s="108"/>
      <c r="AG198" s="108"/>
      <c r="AH198" s="108"/>
      <c r="AI198" s="108"/>
      <c r="AJ198" s="108"/>
      <c r="AK198" s="108"/>
      <c r="AL198" s="108"/>
      <c r="AM198" s="137"/>
      <c r="AN198" s="137"/>
      <c r="AO198" s="137"/>
      <c r="AU198" s="137"/>
      <c r="AV198" s="137"/>
    </row>
    <row r="199" spans="15:48" s="37" customFormat="1" x14ac:dyDescent="0.2">
      <c r="O199" s="118"/>
      <c r="Q199" s="118"/>
      <c r="X199" s="108"/>
      <c r="Y199" s="108"/>
      <c r="Z199" s="108"/>
      <c r="AA199" s="108"/>
      <c r="AB199" s="108"/>
      <c r="AC199" s="108"/>
      <c r="AD199" s="108"/>
      <c r="AE199" s="108"/>
      <c r="AF199" s="108"/>
      <c r="AG199" s="108"/>
      <c r="AH199" s="108"/>
      <c r="AI199" s="108"/>
      <c r="AJ199" s="108"/>
      <c r="AK199" s="108"/>
      <c r="AL199" s="108"/>
      <c r="AM199" s="137"/>
      <c r="AN199" s="137"/>
      <c r="AO199" s="137"/>
      <c r="AU199" s="137"/>
      <c r="AV199" s="137"/>
    </row>
    <row r="200" spans="15:48" s="37" customFormat="1" x14ac:dyDescent="0.2">
      <c r="O200" s="118"/>
      <c r="Q200" s="118"/>
      <c r="X200" s="108"/>
      <c r="Y200" s="108"/>
      <c r="Z200" s="108"/>
      <c r="AA200" s="108"/>
      <c r="AB200" s="108"/>
      <c r="AC200" s="108"/>
      <c r="AD200" s="108"/>
      <c r="AE200" s="108"/>
      <c r="AF200" s="108"/>
      <c r="AG200" s="108"/>
      <c r="AH200" s="108"/>
      <c r="AI200" s="108"/>
      <c r="AJ200" s="108"/>
      <c r="AK200" s="108"/>
      <c r="AL200" s="108"/>
      <c r="AM200" s="137"/>
      <c r="AN200" s="137"/>
      <c r="AO200" s="137"/>
      <c r="AU200" s="137"/>
      <c r="AV200" s="137"/>
    </row>
    <row r="201" spans="15:48" s="37" customFormat="1" x14ac:dyDescent="0.2">
      <c r="O201" s="118"/>
      <c r="Q201" s="118"/>
      <c r="X201" s="108"/>
      <c r="Y201" s="108"/>
      <c r="Z201" s="108"/>
      <c r="AA201" s="108"/>
      <c r="AB201" s="108"/>
      <c r="AC201" s="108"/>
      <c r="AD201" s="108"/>
      <c r="AE201" s="108"/>
      <c r="AF201" s="108"/>
      <c r="AG201" s="108"/>
      <c r="AH201" s="108"/>
      <c r="AI201" s="108"/>
      <c r="AJ201" s="108"/>
      <c r="AK201" s="108"/>
      <c r="AL201" s="108"/>
      <c r="AM201" s="137"/>
      <c r="AN201" s="137"/>
      <c r="AO201" s="137"/>
      <c r="AU201" s="137"/>
      <c r="AV201" s="137"/>
    </row>
    <row r="202" spans="15:48" s="37" customFormat="1" x14ac:dyDescent="0.2">
      <c r="O202" s="118"/>
      <c r="Q202" s="118"/>
      <c r="X202" s="108"/>
      <c r="Y202" s="108"/>
      <c r="Z202" s="108"/>
      <c r="AA202" s="108"/>
      <c r="AB202" s="108"/>
      <c r="AC202" s="108"/>
      <c r="AD202" s="108"/>
      <c r="AE202" s="108"/>
      <c r="AF202" s="108"/>
      <c r="AG202" s="108"/>
      <c r="AH202" s="108"/>
      <c r="AI202" s="108"/>
      <c r="AJ202" s="108"/>
      <c r="AK202" s="108"/>
      <c r="AL202" s="108"/>
      <c r="AM202" s="137"/>
      <c r="AN202" s="137"/>
      <c r="AO202" s="137"/>
      <c r="AU202" s="137"/>
      <c r="AV202" s="137"/>
    </row>
  </sheetData>
  <sheetProtection algorithmName="SHA-512" hashValue="D0KAhruzEPGnVwnYbfNODhRAG3fvhWLsz2k38D1Bukb36f7wEz6/hGE1wwlzonZwoLmiZsuHyP51ofhRyOJBMQ==" saltValue="2IhONMjqSxCafAAhHwad5A==" spinCount="100000" sheet="1" objects="1" scenarios="1"/>
  <mergeCells count="84">
    <mergeCell ref="T31:U31"/>
    <mergeCell ref="B17:G17"/>
    <mergeCell ref="B24:C26"/>
    <mergeCell ref="D24:G24"/>
    <mergeCell ref="N78:S78"/>
    <mergeCell ref="D25:G25"/>
    <mergeCell ref="T20:U20"/>
    <mergeCell ref="B21:G21"/>
    <mergeCell ref="B22:D22"/>
    <mergeCell ref="D26:G26"/>
    <mergeCell ref="B23:G23"/>
    <mergeCell ref="B20:C20"/>
    <mergeCell ref="F20:H20"/>
    <mergeCell ref="B27:G27"/>
    <mergeCell ref="B28:G28"/>
    <mergeCell ref="B31:K33"/>
    <mergeCell ref="N79:S79"/>
    <mergeCell ref="N80:S80"/>
    <mergeCell ref="N81:S81"/>
    <mergeCell ref="P72:T72"/>
    <mergeCell ref="N76:Q76"/>
    <mergeCell ref="R76:T76"/>
    <mergeCell ref="N77:S77"/>
    <mergeCell ref="B117:H117"/>
    <mergeCell ref="B118:H118"/>
    <mergeCell ref="I118:J118"/>
    <mergeCell ref="B107:H107"/>
    <mergeCell ref="I107:J107"/>
    <mergeCell ref="B109:J109"/>
    <mergeCell ref="B110:F110"/>
    <mergeCell ref="G110:J110"/>
    <mergeCell ref="B111:F111"/>
    <mergeCell ref="N90:S90"/>
    <mergeCell ref="R85:T85"/>
    <mergeCell ref="I117:J117"/>
    <mergeCell ref="I104:J104"/>
    <mergeCell ref="I125:J125"/>
    <mergeCell ref="N89:S89"/>
    <mergeCell ref="N86:S86"/>
    <mergeCell ref="N87:S87"/>
    <mergeCell ref="N88:S88"/>
    <mergeCell ref="I105:J105"/>
    <mergeCell ref="I106:J106"/>
    <mergeCell ref="S95:T95"/>
    <mergeCell ref="N103:N105"/>
    <mergeCell ref="O103:O105"/>
    <mergeCell ref="A139:A184"/>
    <mergeCell ref="E149:L149"/>
    <mergeCell ref="B112:F112"/>
    <mergeCell ref="B114:H114"/>
    <mergeCell ref="I114:J114"/>
    <mergeCell ref="B115:H115"/>
    <mergeCell ref="I115:J115"/>
    <mergeCell ref="B116:H116"/>
    <mergeCell ref="I116:J116"/>
    <mergeCell ref="A99:A138"/>
    <mergeCell ref="B102:J102"/>
    <mergeCell ref="B103:H103"/>
    <mergeCell ref="I103:J103"/>
    <mergeCell ref="B104:H104"/>
    <mergeCell ref="B105:H105"/>
    <mergeCell ref="B106:H106"/>
    <mergeCell ref="B16:G16"/>
    <mergeCell ref="E5:J5"/>
    <mergeCell ref="K4:L5"/>
    <mergeCell ref="B2:C2"/>
    <mergeCell ref="AN10:AO10"/>
    <mergeCell ref="B9:C9"/>
    <mergeCell ref="D13:G13"/>
    <mergeCell ref="D14:G14"/>
    <mergeCell ref="D15:G15"/>
    <mergeCell ref="B13:C15"/>
    <mergeCell ref="F9:H9"/>
    <mergeCell ref="B7:C7"/>
    <mergeCell ref="G7:H7"/>
    <mergeCell ref="T9:U9"/>
    <mergeCell ref="AN9:AO9"/>
    <mergeCell ref="B10:G10"/>
    <mergeCell ref="AN12:AQ13"/>
    <mergeCell ref="AN14:AQ15"/>
    <mergeCell ref="AP1:AU1"/>
    <mergeCell ref="B11:D11"/>
    <mergeCell ref="B12:G12"/>
    <mergeCell ref="AN8:AO8"/>
  </mergeCells>
  <phoneticPr fontId="117" type="noConversion"/>
  <conditionalFormatting sqref="E9">
    <cfRule type="expression" dxfId="374" priority="23">
      <formula>$M$17&gt;0</formula>
    </cfRule>
    <cfRule type="expression" dxfId="373" priority="24">
      <formula>$M$17&gt;0</formula>
    </cfRule>
  </conditionalFormatting>
  <conditionalFormatting sqref="E28">
    <cfRule type="expression" dxfId="372" priority="22">
      <formula>$M$28&gt;0</formula>
    </cfRule>
  </conditionalFormatting>
  <conditionalFormatting sqref="I12">
    <cfRule type="expression" dxfId="371" priority="18">
      <formula>$M$17=0</formula>
    </cfRule>
    <cfRule type="containsText" dxfId="370" priority="19" operator="containsText" text="Doplňte">
      <formula>NOT(ISERROR(SEARCH("Doplňte",I12)))</formula>
    </cfRule>
  </conditionalFormatting>
  <conditionalFormatting sqref="I15">
    <cfRule type="expression" dxfId="369" priority="15">
      <formula>$M$17=0</formula>
    </cfRule>
    <cfRule type="containsText" dxfId="368" priority="16" operator="containsText" text="Doplňte">
      <formula>NOT(ISERROR(SEARCH("Doplňte",I15)))</formula>
    </cfRule>
  </conditionalFormatting>
  <conditionalFormatting sqref="B19">
    <cfRule type="expression" dxfId="367" priority="9">
      <formula>$M$17=0</formula>
    </cfRule>
    <cfRule type="containsText" dxfId="366" priority="10" operator="containsText" text="Doplňte">
      <formula>NOT(ISERROR(SEARCH("Doplňte",B19)))</formula>
    </cfRule>
  </conditionalFormatting>
  <conditionalFormatting sqref="B30">
    <cfRule type="containsText" dxfId="365" priority="8" operator="containsText" text="Doplňte">
      <formula>NOT(ISERROR(SEARCH("Doplňte",B30)))</formula>
    </cfRule>
  </conditionalFormatting>
  <conditionalFormatting sqref="B30">
    <cfRule type="expression" dxfId="364" priority="7">
      <formula>$M$28=0</formula>
    </cfRule>
  </conditionalFormatting>
  <conditionalFormatting sqref="E20">
    <cfRule type="expression" dxfId="363" priority="6">
      <formula>$M$28&gt;0</formula>
    </cfRule>
  </conditionalFormatting>
  <conditionalFormatting sqref="I23">
    <cfRule type="expression" dxfId="362" priority="3">
      <formula>$M$28=0</formula>
    </cfRule>
    <cfRule type="containsText" dxfId="361" priority="4" operator="containsText" text="Doplňte">
      <formula>NOT(ISERROR(SEARCH("Doplňte",I23)))</formula>
    </cfRule>
  </conditionalFormatting>
  <conditionalFormatting sqref="I26">
    <cfRule type="expression" dxfId="360" priority="1">
      <formula>$M$28=0</formula>
    </cfRule>
    <cfRule type="containsText" dxfId="359" priority="2" operator="containsText" text="Doplňte">
      <formula>NOT(ISERROR(SEARCH("Doplňte",I26)))</formula>
    </cfRule>
  </conditionalFormatting>
  <hyperlinks>
    <hyperlink ref="I125:J125" location="HFw!A1" tooltip=" " display="HFw!A1" xr:uid="{1A257DEF-F61A-409D-A12F-D0C3AE1B3F3F}"/>
    <hyperlink ref="AL19" location="HFw!A300" tooltip=" " display="HFw!A300" xr:uid="{C42DAE4E-DA3C-4C5B-B852-C10CE40C891E}"/>
    <hyperlink ref="AL5" location="HFw!A140" tooltip=" " display="HFw!A140" xr:uid="{A09C8EB4-C331-4869-86EE-0CDC086D2BDB}"/>
    <hyperlink ref="L179" location="HFw!A1" tooltip=" " display="HFw!A1" xr:uid="{019F1425-D9A6-4E2C-B839-65F9991534DC}"/>
    <hyperlink ref="AL9" location="SumAVS!A1" tooltip=" " display="SumAVS!A1" xr:uid="{2DDFC9EE-AF97-4C76-8444-32C868F6BB82}"/>
    <hyperlink ref="AL10" location="OrdAVS!A1" tooltip=" " display="OrdAVS!A1" xr:uid="{30B30DB3-F4EC-435D-AB81-7AC061D773A4}"/>
    <hyperlink ref="AL7" location="AcsAVS!A1" tooltip=" " display="AcsAVS!A1" xr:uid="{30C8D19D-8B3C-4F08-8818-3B9D860E5554}"/>
    <hyperlink ref="AL4" location="MenuAVS!A1" tooltip=" " display="MenuAVS!A1" xr:uid="{5D15B3BB-9912-4043-8664-4698C8286CAA}"/>
    <hyperlink ref="X4" location="HFw!A200" display="výpočet" xr:uid="{60351947-08EA-4DE9-BADA-CA09ABD0D61B}"/>
    <hyperlink ref="AL19" location="HFw!A100" tooltip=" " display="HFw!A100" xr:uid="{4DCE8612-828F-42AC-BA91-036A413CC6C1}"/>
    <hyperlink ref="B2" location="HF!A1" tooltip=" " display=" AVENTOS HF" xr:uid="{B1FEF743-47EA-4D06-902D-DC18F0CF58AF}"/>
  </hyperlinks>
  <pageMargins left="0.62992125984251968" right="0.23622047244094488" top="0.74803149606299213" bottom="0.74803149606299213" header="0.31496062992125984" footer="0.31496062992125984"/>
  <pageSetup paperSize="9" orientation="portrait" horizontalDpi="4294967293"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55651" r:id="rId4" name="Drop Down 3">
              <controlPr defaultSize="0" autoLine="0" autoPict="0">
                <anchor moveWithCells="1">
                  <from>
                    <xdr:col>3</xdr:col>
                    <xdr:colOff>19050</xdr:colOff>
                    <xdr:row>6</xdr:row>
                    <xdr:rowOff>0</xdr:rowOff>
                  </from>
                  <to>
                    <xdr:col>6</xdr:col>
                    <xdr:colOff>9525</xdr:colOff>
                    <xdr:row>7</xdr:row>
                    <xdr:rowOff>0</xdr:rowOff>
                  </to>
                </anchor>
              </controlPr>
            </control>
          </mc:Choice>
        </mc:AlternateContent>
        <mc:AlternateContent xmlns:mc="http://schemas.openxmlformats.org/markup-compatibility/2006">
          <mc:Choice Requires="x14">
            <control shapeId="155653" r:id="rId5" name="Drop Down 5">
              <controlPr defaultSize="0" autoLine="0" autoPict="0">
                <anchor moveWithCells="1">
                  <from>
                    <xdr:col>1</xdr:col>
                    <xdr:colOff>9525</xdr:colOff>
                    <xdr:row>9</xdr:row>
                    <xdr:rowOff>9525</xdr:rowOff>
                  </from>
                  <to>
                    <xdr:col>3</xdr:col>
                    <xdr:colOff>19050</xdr:colOff>
                    <xdr:row>10</xdr:row>
                    <xdr:rowOff>0</xdr:rowOff>
                  </to>
                </anchor>
              </controlPr>
            </control>
          </mc:Choice>
        </mc:AlternateContent>
        <mc:AlternateContent xmlns:mc="http://schemas.openxmlformats.org/markup-compatibility/2006">
          <mc:Choice Requires="x14">
            <control shapeId="155654" r:id="rId6" name="Drop Down 6">
              <controlPr defaultSize="0" autoLine="0" autoPict="0">
                <anchor moveWithCells="1">
                  <from>
                    <xdr:col>1</xdr:col>
                    <xdr:colOff>9525</xdr:colOff>
                    <xdr:row>20</xdr:row>
                    <xdr:rowOff>9525</xdr:rowOff>
                  </from>
                  <to>
                    <xdr:col>2</xdr:col>
                    <xdr:colOff>571500</xdr:colOff>
                    <xdr:row>20</xdr:row>
                    <xdr:rowOff>200025</xdr:rowOff>
                  </to>
                </anchor>
              </controlPr>
            </control>
          </mc:Choice>
        </mc:AlternateContent>
        <mc:AlternateContent xmlns:mc="http://schemas.openxmlformats.org/markup-compatibility/2006">
          <mc:Choice Requires="x14">
            <control shapeId="155655" r:id="rId7" name="Drop Down 7">
              <controlPr defaultSize="0" autoLine="0" autoPict="0">
                <anchor moveWithCells="1">
                  <from>
                    <xdr:col>6</xdr:col>
                    <xdr:colOff>0</xdr:colOff>
                    <xdr:row>3</xdr:row>
                    <xdr:rowOff>9525</xdr:rowOff>
                  </from>
                  <to>
                    <xdr:col>8</xdr:col>
                    <xdr:colOff>571500</xdr:colOff>
                    <xdr:row>4</xdr:row>
                    <xdr:rowOff>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4B26F-61F5-4B5A-A84B-D90D0FA30EB3}">
  <sheetPr codeName="Sheet17">
    <tabColor theme="9" tint="0.59999389629810485"/>
  </sheetPr>
  <dimension ref="A1:BL179"/>
  <sheetViews>
    <sheetView showGridLines="0" showRowColHeaders="0" zoomScaleNormal="100" workbookViewId="0">
      <selection activeCell="L27" sqref="L27"/>
    </sheetView>
  </sheetViews>
  <sheetFormatPr defaultColWidth="8.28515625" defaultRowHeight="12" x14ac:dyDescent="0.2"/>
  <cols>
    <col min="1" max="1" width="1.28515625" style="37" customWidth="1"/>
    <col min="2" max="9" width="8.5703125" style="37" customWidth="1"/>
    <col min="10" max="10" width="6.7109375" style="37" customWidth="1"/>
    <col min="11" max="11" width="10.42578125" style="37" customWidth="1"/>
    <col min="12" max="12" width="17.28515625" style="37" customWidth="1"/>
    <col min="13" max="14" width="6.42578125" style="37" hidden="1" customWidth="1"/>
    <col min="15" max="15" width="6.42578125" style="118" hidden="1" customWidth="1"/>
    <col min="16" max="16" width="6.42578125" style="37" hidden="1" customWidth="1"/>
    <col min="17" max="17" width="6" style="118" hidden="1" customWidth="1"/>
    <col min="18" max="18" width="6.42578125" style="37" hidden="1" customWidth="1"/>
    <col min="19" max="19" width="7.7109375" style="37" hidden="1" customWidth="1"/>
    <col min="20" max="23" width="6.42578125" style="37" hidden="1" customWidth="1"/>
    <col min="24" max="24" width="10" style="36" hidden="1" customWidth="1"/>
    <col min="25" max="25" width="37.28515625" style="36" hidden="1" customWidth="1"/>
    <col min="26" max="26" width="13.5703125" style="36" hidden="1" customWidth="1"/>
    <col min="27" max="29" width="6.7109375" style="36" hidden="1" customWidth="1"/>
    <col min="30" max="30" width="9.42578125" style="36" hidden="1" customWidth="1"/>
    <col min="31" max="36" width="6.7109375" style="36" hidden="1" customWidth="1"/>
    <col min="37" max="37" width="5.28515625" style="36" customWidth="1"/>
    <col min="38" max="38" width="25" style="36" customWidth="1"/>
    <col min="39" max="39" width="8.28515625" style="121"/>
    <col min="40" max="41" width="13.28515625" style="121" customWidth="1"/>
    <col min="42" max="43" width="19.7109375" style="121" customWidth="1"/>
    <col min="44" max="55" width="8.28515625" style="121"/>
    <col min="56" max="57" width="16.28515625" style="121" customWidth="1"/>
    <col min="58" max="58" width="18.7109375" style="121" customWidth="1"/>
    <col min="59" max="59" width="23" style="121" customWidth="1"/>
    <col min="60" max="16384" width="8.28515625" style="121"/>
  </cols>
  <sheetData>
    <row r="1" spans="1:64" ht="4.5" customHeight="1" thickBot="1" x14ac:dyDescent="0.25">
      <c r="L1" s="121"/>
      <c r="BD1" s="1104"/>
      <c r="BE1" s="1104"/>
      <c r="BF1" s="1104"/>
      <c r="BG1" s="1104"/>
      <c r="BH1" s="1104"/>
      <c r="BI1" s="1104"/>
      <c r="BJ1" s="1104"/>
      <c r="BK1" s="1104"/>
      <c r="BL1" s="1104"/>
    </row>
    <row r="2" spans="1:64" s="36" customFormat="1" ht="19.5" customHeight="1" thickBot="1" x14ac:dyDescent="0.25">
      <c r="B2" s="1048" t="s">
        <v>671</v>
      </c>
      <c r="C2" s="1048"/>
      <c r="D2" s="884"/>
      <c r="E2" s="884"/>
      <c r="F2" s="884"/>
      <c r="G2" s="884"/>
      <c r="H2" s="884"/>
      <c r="I2" s="884"/>
      <c r="J2" s="884"/>
      <c r="K2" s="884"/>
      <c r="L2" s="884"/>
      <c r="O2" s="36" t="s">
        <v>64</v>
      </c>
      <c r="S2" s="117">
        <v>3</v>
      </c>
      <c r="AL2" s="307" t="str">
        <f>ListAVS!$B$153</f>
        <v>Przejdź do</v>
      </c>
    </row>
    <row r="3" spans="1:64" ht="3.75" customHeight="1" x14ac:dyDescent="0.2">
      <c r="B3" s="312"/>
      <c r="C3" s="306"/>
      <c r="D3" s="306"/>
      <c r="E3" s="306"/>
      <c r="F3" s="306"/>
      <c r="G3" s="306"/>
      <c r="H3" s="306"/>
      <c r="I3" s="306"/>
      <c r="J3" s="306"/>
      <c r="K3" s="306"/>
      <c r="L3" s="121"/>
      <c r="X3" s="121"/>
      <c r="Y3" s="121"/>
      <c r="Z3" s="121"/>
      <c r="AA3" s="121"/>
      <c r="AB3" s="121"/>
      <c r="AC3" s="121"/>
      <c r="AD3" s="121"/>
      <c r="AE3" s="121"/>
      <c r="AF3" s="121"/>
      <c r="AG3" s="121"/>
      <c r="AH3" s="121"/>
      <c r="AI3" s="121"/>
      <c r="AJ3" s="121"/>
    </row>
    <row r="4" spans="1:64" ht="16.149999999999999" customHeight="1" thickBot="1" x14ac:dyDescent="0.25">
      <c r="B4" s="313" t="str">
        <f>ListAVS!$B$19&amp;" ***"</f>
        <v>Szerokie ramki aluminiowe ***</v>
      </c>
      <c r="C4" s="306"/>
      <c r="D4" s="122"/>
      <c r="E4" s="306"/>
      <c r="F4" s="269" t="str">
        <f>ListAVS!$B$180&amp;"  "</f>
        <v xml:space="preserve">Wykonanie frontów  </v>
      </c>
      <c r="J4" s="251"/>
      <c r="K4" s="592" t="str">
        <f>U71</f>
        <v xml:space="preserve"> </v>
      </c>
      <c r="L4" s="593"/>
      <c r="O4" s="117">
        <v>1</v>
      </c>
      <c r="S4" s="122" t="str">
        <f>" "&amp;ListAVS!$B$41&amp;" A "</f>
        <v xml:space="preserve"> Cena za korpus A </v>
      </c>
      <c r="X4" s="121" t="s">
        <v>28</v>
      </c>
      <c r="Y4" s="121"/>
      <c r="Z4" s="121"/>
      <c r="AA4" s="121"/>
      <c r="AB4" s="121"/>
      <c r="AC4" s="121"/>
      <c r="AD4" s="121"/>
      <c r="AE4" s="121"/>
      <c r="AF4" s="121"/>
      <c r="AG4" s="121"/>
      <c r="AH4" s="121"/>
      <c r="AI4" s="121"/>
      <c r="AJ4" s="121"/>
      <c r="AL4" s="383" t="str">
        <f>" "&amp;ListAVS!$B$154</f>
        <v xml:space="preserve"> Wprowadzenie do planowania</v>
      </c>
    </row>
    <row r="5" spans="1:64" ht="16.149999999999999" customHeight="1" x14ac:dyDescent="0.2">
      <c r="B5" s="121"/>
      <c r="C5" s="306"/>
      <c r="D5" s="306"/>
      <c r="E5" s="1105" t="str">
        <f>IF($AF$77&lt;&gt;3,$Y$76," ")&amp;"      "</f>
        <v xml:space="preserve"> Możesz zmienić wartości we Wstępie do planowania      </v>
      </c>
      <c r="F5" s="1105"/>
      <c r="G5" s="1105"/>
      <c r="H5" s="1105"/>
      <c r="I5" s="1105"/>
      <c r="J5" s="1105"/>
      <c r="K5" s="306"/>
      <c r="L5" s="121"/>
      <c r="O5" s="118" t="s">
        <v>65</v>
      </c>
      <c r="S5" s="37" t="str">
        <f>" "&amp;ListAVS!$B$41&amp;" B "</f>
        <v xml:space="preserve"> Cena za korpus B </v>
      </c>
      <c r="X5" s="121"/>
      <c r="Y5" s="121"/>
      <c r="Z5" s="121"/>
      <c r="AA5" s="121"/>
      <c r="AB5" s="121"/>
      <c r="AC5" s="121"/>
      <c r="AD5" s="121"/>
      <c r="AE5" s="121"/>
      <c r="AF5" s="121"/>
      <c r="AG5" s="121"/>
      <c r="AH5" s="121"/>
      <c r="AI5" s="121"/>
      <c r="AJ5" s="121"/>
      <c r="AL5" s="608" t="str">
        <f>" "&amp;ListAVS!$B$155</f>
        <v xml:space="preserve"> Pomoc</v>
      </c>
    </row>
    <row r="6" spans="1:64" ht="22.5" customHeight="1" x14ac:dyDescent="0.2">
      <c r="B6" s="314"/>
      <c r="C6" s="306"/>
      <c r="D6" s="306"/>
      <c r="E6" s="306"/>
      <c r="F6" s="121"/>
      <c r="G6" s="590"/>
      <c r="H6" s="590"/>
      <c r="I6" s="590"/>
      <c r="J6" s="590"/>
      <c r="K6" s="590"/>
      <c r="L6" s="121"/>
      <c r="O6" s="323" t="s">
        <v>66</v>
      </c>
      <c r="S6" s="37" t="str">
        <f>" "&amp;ListAVS!$B$61</f>
        <v xml:space="preserve"> Cena całkowita bez VAT</v>
      </c>
      <c r="X6" s="121"/>
      <c r="Y6" s="121"/>
      <c r="Z6" s="121"/>
      <c r="AA6" s="121"/>
      <c r="AB6" s="121"/>
      <c r="AC6" s="121"/>
      <c r="AD6" s="121"/>
      <c r="AE6" s="121"/>
      <c r="AF6" s="121"/>
      <c r="AG6" s="121"/>
      <c r="AH6" s="121"/>
      <c r="AI6" s="121"/>
      <c r="AJ6" s="121"/>
      <c r="AL6" s="555"/>
      <c r="BD6" s="122"/>
      <c r="BE6" s="122"/>
      <c r="BF6" s="122"/>
      <c r="BG6" s="122"/>
    </row>
    <row r="7" spans="1:64" ht="16.149999999999999" customHeight="1" x14ac:dyDescent="0.2">
      <c r="B7" s="1102" t="str">
        <f>ListAVS!$B$51&amp;":   "</f>
        <v xml:space="preserve">Cena okucia:   </v>
      </c>
      <c r="C7" s="1103"/>
      <c r="D7" s="227"/>
      <c r="E7" s="254"/>
      <c r="F7" s="254"/>
      <c r="G7" s="1061">
        <f>IF(S2=1,$AF$47,IF($S$2=2,$AH$47,IF($S$2=3,$AD$47,0)))</f>
        <v>0</v>
      </c>
      <c r="H7" s="1062"/>
      <c r="I7" s="227"/>
      <c r="J7" s="227"/>
      <c r="K7" s="227"/>
      <c r="L7" s="227"/>
      <c r="Y7" s="938" t="str">
        <f>$B$2</f>
        <v xml:space="preserve"> AVENTOS HF top</v>
      </c>
      <c r="Z7" s="157"/>
      <c r="AA7" s="157"/>
      <c r="AB7" s="157"/>
      <c r="AC7" s="157"/>
      <c r="AD7" s="158"/>
      <c r="AE7" s="37"/>
      <c r="AF7" s="37"/>
      <c r="AG7" s="118"/>
      <c r="AH7" s="37"/>
      <c r="AI7" s="39"/>
      <c r="AJ7" s="39"/>
      <c r="AL7" s="544" t="str">
        <f>" "&amp;ListAVS!$B$160</f>
        <v xml:space="preserve"> Dodatki</v>
      </c>
      <c r="BD7" s="122"/>
      <c r="BE7" s="122"/>
      <c r="BF7" s="122"/>
      <c r="BG7" s="122"/>
    </row>
    <row r="8" spans="1:64" ht="25.15" customHeight="1" thickBot="1" x14ac:dyDescent="0.25">
      <c r="B8" s="227"/>
      <c r="C8" s="227"/>
      <c r="E8" s="227"/>
      <c r="F8" s="227"/>
      <c r="G8" s="227"/>
      <c r="H8" s="579" t="str">
        <f>IF(AND(OR($S$9=2, $S$20=2), $AD$47&gt;0), $N$35, " ")</f>
        <v xml:space="preserve"> </v>
      </c>
      <c r="I8" s="227"/>
      <c r="J8" s="227"/>
      <c r="K8" s="227"/>
      <c r="L8" s="227"/>
      <c r="Y8" s="159" t="str">
        <f>ListAVS!B52</f>
        <v>Nazwa</v>
      </c>
      <c r="Z8" s="160" t="str">
        <f>ListAVS!$B$53</f>
        <v>Kod asortymentu</v>
      </c>
      <c r="AA8" s="161" t="str">
        <f>ListAVS!B54</f>
        <v>Kolor</v>
      </c>
      <c r="AB8" s="161" t="str">
        <f>ListAVS!B56</f>
        <v>Sztuka</v>
      </c>
      <c r="AC8" s="162" t="str">
        <f>ListAVS!B58</f>
        <v>Cena za sztukę</v>
      </c>
      <c r="AD8" s="161" t="str">
        <f>ListAVS!B59</f>
        <v>W sumie</v>
      </c>
      <c r="AE8" s="204" t="s">
        <v>29</v>
      </c>
      <c r="AF8" s="163" t="s">
        <v>30</v>
      </c>
      <c r="AG8" s="163" t="s">
        <v>31</v>
      </c>
      <c r="AH8" s="163" t="s">
        <v>30</v>
      </c>
      <c r="AI8" s="170"/>
      <c r="AJ8" s="170"/>
      <c r="AL8" s="671"/>
      <c r="AN8" s="1046" t="str">
        <f>"  "&amp;ListAVS!$B$86&amp;" LF "</f>
        <v xml:space="preserve">  Współczynnik mocy LF </v>
      </c>
      <c r="AO8" s="1046"/>
      <c r="AP8" s="953" t="s">
        <v>769</v>
      </c>
      <c r="AQ8" s="953" t="s">
        <v>770</v>
      </c>
      <c r="BD8" s="122"/>
      <c r="BE8" s="122"/>
      <c r="BF8" s="626"/>
      <c r="BG8" s="122"/>
    </row>
    <row r="9" spans="1:64" ht="16.149999999999999" customHeight="1" thickBot="1" x14ac:dyDescent="0.25">
      <c r="B9" s="1051" t="str">
        <f>"▼ "&amp;ListAVS!$B$318</f>
        <v>▼ Sposób otwierania</v>
      </c>
      <c r="C9" s="1052"/>
      <c r="D9" s="406" t="str">
        <f>IF($M$17&gt;0, ListAVS!$B$37&amp;": ", " ")</f>
        <v xml:space="preserve"> </v>
      </c>
      <c r="E9" s="688" t="str">
        <f>IF(SUM($AE$9:$AE$10)&gt;0,25,IF(SUM($AE$11:$AE$12)&gt;0,28," "))</f>
        <v xml:space="preserve"> </v>
      </c>
      <c r="F9" s="1056" t="str">
        <f>ListAVS!$B$64&amp;" A"</f>
        <v>Korpus A</v>
      </c>
      <c r="G9" s="1057"/>
      <c r="H9" s="1058"/>
      <c r="I9" s="227"/>
      <c r="J9" s="227"/>
      <c r="K9" s="227"/>
      <c r="L9" s="227"/>
      <c r="N9" s="39" t="s">
        <v>32</v>
      </c>
      <c r="O9" s="39"/>
      <c r="P9" s="39" t="s">
        <v>33</v>
      </c>
      <c r="Q9" s="39"/>
      <c r="S9" s="138">
        <v>1</v>
      </c>
      <c r="T9" s="1063" t="b">
        <v>0</v>
      </c>
      <c r="U9" s="1064"/>
      <c r="V9" s="139" t="s">
        <v>34</v>
      </c>
      <c r="W9" s="140"/>
      <c r="X9" s="108"/>
      <c r="Y9" s="898" t="str">
        <f>CenAVS!A11</f>
        <v xml:space="preserve">Aventos HF Top słaby, wkręty      </v>
      </c>
      <c r="Z9" s="898" t="str">
        <f>CenAVS!B11</f>
        <v>22F2500</v>
      </c>
      <c r="AA9" s="883" t="str">
        <f>CenAVS!C11</f>
        <v>ZN</v>
      </c>
      <c r="AB9" s="665">
        <f t="shared" ref="AB9:AB15" si="0">SUM(AE9,AG9)</f>
        <v>0</v>
      </c>
      <c r="AC9" s="899">
        <f>CenAVS!F11</f>
        <v>180.23612</v>
      </c>
      <c r="AD9" s="900">
        <f>AB9*AC9</f>
        <v>0</v>
      </c>
      <c r="AE9" s="901">
        <f>IF($Y$48=1,ROUNDUP($M$17*$O$11,0),0)</f>
        <v>0</v>
      </c>
      <c r="AF9" s="902">
        <f t="shared" ref="AF9:AF38" si="1">$AC9*AE9</f>
        <v>0</v>
      </c>
      <c r="AG9" s="901">
        <f>IF($Y$48=1,ROUNDUP($M$28*$O$22,0),0)</f>
        <v>0</v>
      </c>
      <c r="AH9" s="902">
        <f t="shared" ref="AH9:AH38" si="2">$AC9*AG9</f>
        <v>0</v>
      </c>
      <c r="AI9" s="170"/>
      <c r="AJ9" s="170"/>
      <c r="AL9" s="383" t="str">
        <f>" "&amp;ListAVS!$B$157</f>
        <v xml:space="preserve"> Rodzaje korpusów</v>
      </c>
      <c r="AN9" s="1049" t="s">
        <v>786</v>
      </c>
      <c r="AO9" s="1050"/>
      <c r="AP9" s="689" t="s">
        <v>680</v>
      </c>
      <c r="AQ9" s="689" t="s">
        <v>681</v>
      </c>
      <c r="BD9" s="122"/>
      <c r="BE9" s="122"/>
      <c r="BF9" s="626"/>
      <c r="BG9" s="122"/>
    </row>
    <row r="10" spans="1:64" s="122" customFormat="1" ht="16.149999999999999" customHeight="1" thickBot="1" x14ac:dyDescent="0.25">
      <c r="A10" s="37"/>
      <c r="B10" s="1011" t="str">
        <f>ListAVS!$B$74&amp;" KB [mm] "</f>
        <v xml:space="preserve">Szerokość korpusu KB [mm] </v>
      </c>
      <c r="C10" s="1012"/>
      <c r="D10" s="1012"/>
      <c r="E10" s="1012"/>
      <c r="F10" s="1012"/>
      <c r="G10" s="1013"/>
      <c r="H10" s="260"/>
      <c r="I10" s="256" t="str">
        <f>IF(H10=0," ",IF($H10&lt;220," min. 220mm", IF($H10&gt;1800, " max. 1800mm", " ")))&amp;IF(H17&gt;0,IF(H10=0,"● "&amp;ListAVS!$B$129," ")," ")</f>
        <v xml:space="preserve">  </v>
      </c>
      <c r="J10" s="227"/>
      <c r="K10" s="404"/>
      <c r="L10" s="227"/>
      <c r="M10" s="37"/>
      <c r="N10" s="894"/>
      <c r="O10" s="895"/>
      <c r="P10" s="37" t="s">
        <v>35</v>
      </c>
      <c r="Q10" s="118">
        <f>IF(AND($P$16&gt;=$AB$54,$P$16&lt;=$AC$54),SUM($O$11:$O$12),0)</f>
        <v>0</v>
      </c>
      <c r="R10" s="37"/>
      <c r="S10" s="137"/>
      <c r="T10" s="203" t="s">
        <v>36</v>
      </c>
      <c r="U10" s="39"/>
      <c r="V10" s="203" t="s">
        <v>37</v>
      </c>
      <c r="W10" s="39"/>
      <c r="X10" s="108"/>
      <c r="Y10" s="898" t="str">
        <f>CenAVS!A12</f>
        <v xml:space="preserve">Aventos HF Top słaby, eurowkręty      </v>
      </c>
      <c r="Z10" s="898" t="str">
        <f>CenAVS!B12</f>
        <v>22F2510</v>
      </c>
      <c r="AA10" s="883" t="str">
        <f>CenAVS!C12</f>
        <v>ZN</v>
      </c>
      <c r="AB10" s="665">
        <f t="shared" si="0"/>
        <v>0</v>
      </c>
      <c r="AC10" s="899">
        <f>CenAVS!F12</f>
        <v>181.63767999999999</v>
      </c>
      <c r="AD10" s="900">
        <f t="shared" ref="AD10:AD45" si="3">AB10*AC10</f>
        <v>0</v>
      </c>
      <c r="AE10" s="901">
        <f>IF($Y$48=2,ROUNDUP($M$17*$O$11,0),0)</f>
        <v>0</v>
      </c>
      <c r="AF10" s="902">
        <f t="shared" si="1"/>
        <v>0</v>
      </c>
      <c r="AG10" s="901">
        <f>IF($Y$48=2,ROUNDUP($M$28*$O$22,0),0)</f>
        <v>0</v>
      </c>
      <c r="AH10" s="902">
        <f t="shared" si="2"/>
        <v>0</v>
      </c>
      <c r="AI10" s="170"/>
      <c r="AJ10" s="170"/>
      <c r="AK10" s="36"/>
      <c r="AL10" s="383" t="str">
        <f>" "&amp;ListAVS!$B$158</f>
        <v xml:space="preserve"> Zamówienie</v>
      </c>
      <c r="AM10" s="121"/>
      <c r="AN10" s="1049" t="s">
        <v>734</v>
      </c>
      <c r="AO10" s="1050"/>
      <c r="AP10" s="689" t="s">
        <v>682</v>
      </c>
      <c r="AQ10" s="689" t="s">
        <v>683</v>
      </c>
      <c r="BF10" s="626"/>
    </row>
    <row r="11" spans="1:64" s="122" customFormat="1" ht="16.149999999999999" customHeight="1" x14ac:dyDescent="0.2">
      <c r="A11" s="37"/>
      <c r="B11" s="1011" t="str">
        <f>ListAVS!$B$75&amp;" [mm]"</f>
        <v>Wysokość korpusu [mm]</v>
      </c>
      <c r="C11" s="1012"/>
      <c r="D11" s="1012"/>
      <c r="E11" s="297" t="s">
        <v>38</v>
      </c>
      <c r="F11" s="260"/>
      <c r="G11" s="295" t="s">
        <v>39</v>
      </c>
      <c r="H11" s="260"/>
      <c r="I11" s="256" t="str">
        <f>IF(H11=0," ",IF($H11&lt;480," min. 480mm",IF($H11&gt;1200," max. 1 200mm"," ")))&amp;IF(H17&gt;0,IF(H11=0,"● "&amp;ListAVS!$B$129," ")," ")</f>
        <v xml:space="preserve">  </v>
      </c>
      <c r="J11" s="227"/>
      <c r="K11" s="227"/>
      <c r="L11" s="227"/>
      <c r="M11" s="37"/>
      <c r="N11" s="37" t="s">
        <v>40</v>
      </c>
      <c r="O11" s="118">
        <f>IF($H16&lt;$AB$50,0,IF($H16&lt;=$AC$50,1,0))</f>
        <v>0</v>
      </c>
      <c r="P11" s="37" t="s">
        <v>41</v>
      </c>
      <c r="Q11" s="118">
        <f>IF(AND($P$16&gt;=$AB$55,$P$16&lt;=$AC$55),SUM($O$11:$O$12),0)</f>
        <v>0</v>
      </c>
      <c r="R11" s="37"/>
      <c r="S11" s="37"/>
      <c r="T11" s="37" t="s">
        <v>42</v>
      </c>
      <c r="U11" s="895">
        <f>IF($N$48=1, IF(OR($H$10&gt;=1200, $T$17&gt;=12), 3, 2))+IF($N$48=1,IF(OR($H$10=1800, $T$17&gt;=20), 1, 0))</f>
        <v>0</v>
      </c>
      <c r="V11" s="37" t="s">
        <v>43</v>
      </c>
      <c r="W11" s="895">
        <f>IF($P$48=1, IF(OR($H$10&gt;=1200, $T$17&gt;=12), 3, 2))+IF($P$48=1,IF(OR($H$10=1800, $T$17&gt;=20), 1, 0))</f>
        <v>0</v>
      </c>
      <c r="X11" s="108"/>
      <c r="Y11" s="898" t="str">
        <f>CenAVS!A13</f>
        <v xml:space="preserve">Aventos HF Top mocny, wkręty      </v>
      </c>
      <c r="Z11" s="898" t="str">
        <f>CenAVS!B13</f>
        <v>22F2800</v>
      </c>
      <c r="AA11" s="883" t="str">
        <f>CenAVS!C13</f>
        <v>ZN</v>
      </c>
      <c r="AB11" s="665">
        <f t="shared" si="0"/>
        <v>0</v>
      </c>
      <c r="AC11" s="899">
        <f>CenAVS!F13</f>
        <v>196.99925999999999</v>
      </c>
      <c r="AD11" s="900">
        <f t="shared" si="3"/>
        <v>0</v>
      </c>
      <c r="AE11" s="901">
        <f>IF($Y$48=1,ROUNDUP($M$17*$O$12,0),0)</f>
        <v>0</v>
      </c>
      <c r="AF11" s="902">
        <f t="shared" si="1"/>
        <v>0</v>
      </c>
      <c r="AG11" s="901">
        <f>IF($Y$48=1,ROUNDUP($M$28*$O$23,0),0)</f>
        <v>0</v>
      </c>
      <c r="AH11" s="902">
        <f t="shared" si="2"/>
        <v>0</v>
      </c>
      <c r="AI11" s="170"/>
      <c r="AJ11" s="170"/>
      <c r="AK11" s="36"/>
      <c r="AM11" s="121"/>
      <c r="AN11" s="37"/>
      <c r="AO11" s="37"/>
      <c r="AP11" s="37"/>
      <c r="AQ11" s="37"/>
    </row>
    <row r="12" spans="1:64" s="122" customFormat="1" ht="16.149999999999999" customHeight="1" x14ac:dyDescent="0.2">
      <c r="A12" s="37"/>
      <c r="B12" s="1011" t="str">
        <f>ListAVS!$B$77&amp;" [kg] ** "</f>
        <v xml:space="preserve">Waga frontu wraz z uchwytem [kg] ** </v>
      </c>
      <c r="C12" s="1012"/>
      <c r="D12" s="1012"/>
      <c r="E12" s="1012"/>
      <c r="F12" s="1012"/>
      <c r="G12" s="1013"/>
      <c r="H12" s="258"/>
      <c r="I12" s="227" t="str">
        <f>IF($T14="ne", " ", IF(AND($H12=0,$H15=0, $H17&gt;0),$N$38," "))&amp;IF(AND($H17&gt;0, $H12&gt;0, $M17&gt;0),$N$41," ")</f>
        <v xml:space="preserve">  </v>
      </c>
      <c r="J12" s="227"/>
      <c r="K12" s="227"/>
      <c r="L12" s="227"/>
      <c r="M12" s="37"/>
      <c r="N12" s="37" t="s">
        <v>44</v>
      </c>
      <c r="O12" s="118">
        <f>IF($H16&lt;$AB$51,0,IF($H16&lt;=$AC$51,1,0))</f>
        <v>0</v>
      </c>
      <c r="P12" s="37" t="s">
        <v>48</v>
      </c>
      <c r="Q12" s="118">
        <f>IF(AND($P$16&gt;=$AB$56,$P$16&lt;=$AC$56),SUM($O$11:$O$12),0)</f>
        <v>0</v>
      </c>
      <c r="R12" s="37"/>
      <c r="S12" s="37"/>
      <c r="T12" s="37" t="s">
        <v>46</v>
      </c>
      <c r="U12" s="118">
        <f>IF($N$48=2, IF(OR($H$10&gt;=1200, $T$17&gt;=12), 3, 2))+IF($N$48=2,IF(OR($H$10=1800, $T$17&gt;=20), 1, 0))</f>
        <v>2</v>
      </c>
      <c r="V12" s="37" t="s">
        <v>47</v>
      </c>
      <c r="W12" s="118">
        <f>IF($P$48=2, IF(OR($H$10&gt;=1200, $T$17&gt;=12), 3, 2))+IF($P$48=2,IF(OR($H$10=1800, $T$17&gt;=20), 1, 0))</f>
        <v>2</v>
      </c>
      <c r="X12" s="108"/>
      <c r="Y12" s="898" t="str">
        <f>CenAVS!A14</f>
        <v xml:space="preserve">Aventos HF Top mocny, eurowkręty      </v>
      </c>
      <c r="Z12" s="898" t="str">
        <f>CenAVS!B14</f>
        <v>22F2810</v>
      </c>
      <c r="AA12" s="883" t="str">
        <f>CenAVS!C14</f>
        <v>ZN</v>
      </c>
      <c r="AB12" s="665">
        <f t="shared" si="0"/>
        <v>0</v>
      </c>
      <c r="AC12" s="899">
        <f>CenAVS!F14</f>
        <v>198.53095999999996</v>
      </c>
      <c r="AD12" s="900">
        <f t="shared" si="3"/>
        <v>0</v>
      </c>
      <c r="AE12" s="901">
        <f>IF($Y$48=2,ROUNDUP($M$17*$O$12,0),0)</f>
        <v>0</v>
      </c>
      <c r="AF12" s="902">
        <f t="shared" si="1"/>
        <v>0</v>
      </c>
      <c r="AG12" s="901">
        <f>IF($Y$48=2,ROUNDUP($M$28*$O$23,0),0)</f>
        <v>0</v>
      </c>
      <c r="AH12" s="902">
        <f t="shared" si="2"/>
        <v>0</v>
      </c>
      <c r="AI12" s="170"/>
      <c r="AJ12" s="170"/>
      <c r="AK12" s="36"/>
      <c r="AL12" s="36"/>
      <c r="AM12" s="121"/>
      <c r="AN12" s="1043" t="str">
        <f>ListAVS!$B$86&amp;" LF = "&amp;ListAVS!$B$320&amp;" [kg]"</f>
        <v>Współczynnik mocy LF = wysokość korpusu (KH) [mm] x waga obu frontów wraz z uchwytem [kg]</v>
      </c>
      <c r="AO12" s="1043"/>
      <c r="AP12" s="1043"/>
      <c r="AQ12" s="1043"/>
      <c r="BD12" s="627"/>
      <c r="BE12" s="627"/>
      <c r="BF12" s="627"/>
      <c r="BG12" s="627"/>
    </row>
    <row r="13" spans="1:64" s="122" customFormat="1" ht="16.149999999999999" customHeight="1" x14ac:dyDescent="0.2">
      <c r="A13" s="37"/>
      <c r="B13" s="1106" t="str">
        <f>ListAVS!$B$293</f>
        <v>Obliczenie wagi</v>
      </c>
      <c r="C13" s="1106"/>
      <c r="D13" s="1107" t="str">
        <f>ListAVS!$B$80&amp;" TS [mm] "</f>
        <v xml:space="preserve">Grubość frontu TS [mm] </v>
      </c>
      <c r="E13" s="1107"/>
      <c r="F13" s="1107"/>
      <c r="G13" s="1108"/>
      <c r="H13" s="259"/>
      <c r="I13" s="256"/>
      <c r="J13" s="227"/>
      <c r="K13" s="227"/>
      <c r="L13" s="227"/>
      <c r="M13" s="37"/>
      <c r="N13" s="37"/>
      <c r="O13" s="118"/>
      <c r="P13" s="37"/>
      <c r="Q13" s="118"/>
      <c r="R13" s="37"/>
      <c r="S13" s="37"/>
      <c r="T13" s="37"/>
      <c r="U13" s="118"/>
      <c r="V13" s="37"/>
      <c r="W13" s="118"/>
      <c r="X13" s="108"/>
      <c r="Y13" s="898" t="str">
        <f>CenAVS!A15</f>
        <v xml:space="preserve">zestaw ramion teleskop. HF Top 480-610mm     </v>
      </c>
      <c r="Z13" s="898" t="str">
        <f>CenAVS!B15</f>
        <v>22F3200</v>
      </c>
      <c r="AA13" s="883" t="str">
        <f>CenAVS!C15</f>
        <v>NI</v>
      </c>
      <c r="AB13" s="665">
        <f t="shared" si="0"/>
        <v>0</v>
      </c>
      <c r="AC13" s="899">
        <f>CenAVS!F15</f>
        <v>85.664479999999998</v>
      </c>
      <c r="AD13" s="900">
        <f t="shared" si="3"/>
        <v>0</v>
      </c>
      <c r="AE13" s="901">
        <f>ROUNDUP($M$17*Q10,0)</f>
        <v>0</v>
      </c>
      <c r="AF13" s="902">
        <f t="shared" si="1"/>
        <v>0</v>
      </c>
      <c r="AG13" s="901">
        <f>ROUNDUP($M$28*Q21,0)</f>
        <v>0</v>
      </c>
      <c r="AH13" s="902">
        <f t="shared" si="2"/>
        <v>0</v>
      </c>
      <c r="AI13" s="170"/>
      <c r="AJ13" s="170"/>
      <c r="AK13" s="36"/>
      <c r="AL13" s="36"/>
      <c r="AM13" s="121"/>
      <c r="AN13" s="1043"/>
      <c r="AO13" s="1043"/>
      <c r="AP13" s="1043"/>
      <c r="AQ13" s="1043"/>
      <c r="BD13" s="627"/>
      <c r="BE13" s="627"/>
      <c r="BF13" s="627"/>
      <c r="BG13" s="627"/>
    </row>
    <row r="14" spans="1:64" s="122" customFormat="1" ht="16.149999999999999" customHeight="1" x14ac:dyDescent="0.2">
      <c r="A14" s="37"/>
      <c r="B14" s="1106"/>
      <c r="C14" s="1106"/>
      <c r="D14" s="1053" t="str">
        <f>ListAVS!$B$83&amp;" [kg] "</f>
        <v xml:space="preserve">Waga uchwytu [kg] </v>
      </c>
      <c r="E14" s="1053"/>
      <c r="F14" s="1053"/>
      <c r="G14" s="1054"/>
      <c r="H14" s="258"/>
      <c r="I14" s="227" t="str">
        <f>IF(M17=0, " ", IF(AND(H12=0, S9=1, H14=0), " ● "&amp;ListAVS!$B$130," "))</f>
        <v xml:space="preserve"> </v>
      </c>
      <c r="J14" s="227"/>
      <c r="K14" s="227"/>
      <c r="L14" s="227"/>
      <c r="M14" s="37"/>
      <c r="N14" s="37"/>
      <c r="O14" s="118"/>
      <c r="P14" s="37"/>
      <c r="Q14" s="118"/>
      <c r="R14" s="37"/>
      <c r="S14" s="717" t="s">
        <v>79</v>
      </c>
      <c r="T14" s="928" t="str">
        <f>IF(AND(220&lt;=H10, H10&lt;=1800, 480&lt;=P16, P16&lt;=1200),"ano","ne")</f>
        <v>ne</v>
      </c>
      <c r="U14" s="118"/>
      <c r="V14" s="37"/>
      <c r="W14" s="118"/>
      <c r="X14" s="108"/>
      <c r="Y14" s="898" t="str">
        <f>CenAVS!A16</f>
        <v xml:space="preserve">zestaw ramion teleskop. HF Top 600-910mm     </v>
      </c>
      <c r="Z14" s="898" t="str">
        <f>CenAVS!B16</f>
        <v>22F3500</v>
      </c>
      <c r="AA14" s="883" t="str">
        <f>CenAVS!C16</f>
        <v>NI</v>
      </c>
      <c r="AB14" s="665">
        <f t="shared" si="0"/>
        <v>0</v>
      </c>
      <c r="AC14" s="899">
        <f>CenAVS!F16</f>
        <v>105.22162</v>
      </c>
      <c r="AD14" s="900">
        <f t="shared" si="3"/>
        <v>0</v>
      </c>
      <c r="AE14" s="901">
        <f>ROUNDUP($M$17*Q11,0)</f>
        <v>0</v>
      </c>
      <c r="AF14" s="902">
        <f t="shared" si="1"/>
        <v>0</v>
      </c>
      <c r="AG14" s="901">
        <f>ROUNDUP($M$28*Q22,0)</f>
        <v>0</v>
      </c>
      <c r="AH14" s="902">
        <f t="shared" si="2"/>
        <v>0</v>
      </c>
      <c r="AI14" s="170"/>
      <c r="AJ14" s="170"/>
      <c r="AK14" s="36"/>
      <c r="AL14" s="36"/>
      <c r="AM14" s="121"/>
      <c r="AN14" s="1044"/>
      <c r="AO14" s="1044"/>
      <c r="AP14" s="1044"/>
      <c r="AQ14" s="1044"/>
      <c r="BD14" s="627"/>
      <c r="BE14" s="627"/>
      <c r="BF14" s="627"/>
      <c r="BG14" s="627"/>
    </row>
    <row r="15" spans="1:64" s="122" customFormat="1" ht="16.149999999999999" customHeight="1" x14ac:dyDescent="0.2">
      <c r="A15" s="37"/>
      <c r="B15" s="1106"/>
      <c r="C15" s="1106"/>
      <c r="D15" s="1053" t="str">
        <f>ListAVS!$B$79&amp;" [kg] "</f>
        <v xml:space="preserve">Obliczona waga frontu [kg] </v>
      </c>
      <c r="E15" s="1053"/>
      <c r="F15" s="1053"/>
      <c r="G15" s="1054"/>
      <c r="H15" s="259">
        <f>$T$81</f>
        <v>0</v>
      </c>
      <c r="I15" s="227" t="str">
        <f>IF($M17&gt;0,IF($H15&gt;0,IF($H12=0,$N$41," ")," ")," ")&amp;IF(AND(H17&gt;0, H12=0, Z78=3, $J$4=0), $N$39, " ")</f>
        <v xml:space="preserve">  </v>
      </c>
      <c r="J15" s="227"/>
      <c r="K15" s="227"/>
      <c r="L15" s="227"/>
      <c r="M15" s="37"/>
      <c r="N15" s="37"/>
      <c r="O15" s="118"/>
      <c r="P15" s="37"/>
      <c r="Q15" s="37"/>
      <c r="R15" s="37"/>
      <c r="S15" s="717" t="s">
        <v>732</v>
      </c>
      <c r="T15" s="928" t="str">
        <f>IF(AND(H16&gt;=$AB$50, H16&lt;=$AC$51), "ano", "ne")</f>
        <v>ne</v>
      </c>
      <c r="U15" s="37"/>
      <c r="V15" s="37"/>
      <c r="W15" s="37"/>
      <c r="X15" s="108"/>
      <c r="Y15" s="898" t="str">
        <f>CenAVS!A17</f>
        <v xml:space="preserve">zestaw ramion teleskop. HF Top 840-1200mm     </v>
      </c>
      <c r="Z15" s="898" t="str">
        <f>CenAVS!B17</f>
        <v>22F3900</v>
      </c>
      <c r="AA15" s="883" t="str">
        <f>CenAVS!C17</f>
        <v>NI</v>
      </c>
      <c r="AB15" s="665">
        <f t="shared" si="0"/>
        <v>0</v>
      </c>
      <c r="AC15" s="899">
        <f>CenAVS!F17</f>
        <v>124.77875</v>
      </c>
      <c r="AD15" s="900">
        <f t="shared" si="3"/>
        <v>0</v>
      </c>
      <c r="AE15" s="901">
        <f>ROUNDUP($M$17*Q12,0)</f>
        <v>0</v>
      </c>
      <c r="AF15" s="902">
        <f t="shared" si="1"/>
        <v>0</v>
      </c>
      <c r="AG15" s="901">
        <f>ROUNDUP($M$28*Q23,0)</f>
        <v>0</v>
      </c>
      <c r="AH15" s="902">
        <f t="shared" si="2"/>
        <v>0</v>
      </c>
      <c r="AI15" s="170"/>
      <c r="AJ15" s="170"/>
      <c r="AK15" s="36"/>
      <c r="AL15" s="36"/>
      <c r="AM15" s="121"/>
      <c r="AN15" s="1044"/>
      <c r="AO15" s="1044"/>
      <c r="AP15" s="1044"/>
      <c r="AQ15" s="1044"/>
      <c r="BD15" s="627"/>
      <c r="BE15" s="627"/>
      <c r="BF15" s="627"/>
      <c r="BG15" s="627"/>
    </row>
    <row r="16" spans="1:64" s="122" customFormat="1" ht="16.149999999999999" customHeight="1" thickBot="1" x14ac:dyDescent="0.25">
      <c r="A16" s="37"/>
      <c r="B16" s="1011" t="str">
        <f>ListAVS!$B$86&amp;" LF "</f>
        <v xml:space="preserve">Współczynnik mocy LF </v>
      </c>
      <c r="C16" s="1012"/>
      <c r="D16" s="1012"/>
      <c r="E16" s="1012"/>
      <c r="F16" s="1012"/>
      <c r="G16" s="1013"/>
      <c r="H16" s="400">
        <f>IF(H12&gt;0, H11*H12, H11*H15)</f>
        <v>0</v>
      </c>
      <c r="I16" s="256" t="str">
        <f>IF(OR($T14="ne", $H17=0), " ", IF(AND(H16&gt;0, H16&lt;$AB$50), $T$44, IF($H16&gt;$AC$51, $N$44, "  ")))</f>
        <v xml:space="preserve"> </v>
      </c>
      <c r="J16" s="227"/>
      <c r="K16" s="227"/>
      <c r="L16" s="227"/>
      <c r="M16" s="37"/>
      <c r="N16" s="37"/>
      <c r="O16" s="153" t="s">
        <v>49</v>
      </c>
      <c r="P16" s="165">
        <f>IF(F11&gt;0,IF(F11&gt;=H11,F11,0),H11)</f>
        <v>0</v>
      </c>
      <c r="Q16" s="37"/>
      <c r="R16" s="37"/>
      <c r="S16" s="37"/>
      <c r="T16" s="37"/>
      <c r="U16" s="37"/>
      <c r="V16" s="37"/>
      <c r="W16" s="37"/>
      <c r="X16" s="108"/>
      <c r="Y16" s="898" t="str">
        <f>CenAVS!A47</f>
        <v xml:space="preserve">Zaślepki HF/HL/HS - Top bez SD jasnoszare HGR   </v>
      </c>
      <c r="Z16" s="898" t="str">
        <f>CenAVS!B47</f>
        <v>22.8000</v>
      </c>
      <c r="AA16" s="883" t="str">
        <f>CenAVS!C47</f>
        <v>HGR</v>
      </c>
      <c r="AB16" s="665">
        <f t="shared" ref="AB16:AB25" si="4">SUM(AE16,AG16)</f>
        <v>0</v>
      </c>
      <c r="AC16" s="899">
        <f>CenAVS!F47</f>
        <v>27.586120000000001</v>
      </c>
      <c r="AD16" s="900">
        <f t="shared" si="3"/>
        <v>0</v>
      </c>
      <c r="AE16" s="903">
        <f>IF(AND($S$9=1, $T$48=1), SUM($AE$9:$AE$12), 0)</f>
        <v>0</v>
      </c>
      <c r="AF16" s="902">
        <f t="shared" si="1"/>
        <v>0</v>
      </c>
      <c r="AG16" s="903">
        <f>IF(AND($S$20=1, $T$48=1), SUM($AG$9:$AG$12), 0)</f>
        <v>0</v>
      </c>
      <c r="AH16" s="902">
        <f t="shared" si="2"/>
        <v>0</v>
      </c>
      <c r="AI16" s="170"/>
      <c r="AJ16" s="170"/>
      <c r="AK16" s="36"/>
      <c r="AL16" s="277"/>
      <c r="AM16" s="121"/>
      <c r="AN16" s="137"/>
      <c r="AO16" s="137"/>
      <c r="AP16" s="37"/>
      <c r="AQ16" s="37"/>
    </row>
    <row r="17" spans="1:56" s="122" customFormat="1" ht="16.149999999999999" customHeight="1" thickBot="1" x14ac:dyDescent="0.25">
      <c r="A17" s="37"/>
      <c r="B17" s="1011" t="str">
        <f>ListAVS!$B$71&amp;" "</f>
        <v xml:space="preserve">Ilość szafek </v>
      </c>
      <c r="C17" s="1012"/>
      <c r="D17" s="1012"/>
      <c r="E17" s="1012"/>
      <c r="F17" s="1012"/>
      <c r="G17" s="1012"/>
      <c r="H17" s="410"/>
      <c r="I17" s="256"/>
      <c r="J17" s="227"/>
      <c r="K17" s="227"/>
      <c r="L17" s="227"/>
      <c r="M17" s="315">
        <f>IF($H10*$P16=0,0,IF(SUM($H12,$H15)=0,0,IF($P16&gt;$AC$57,0,IF(P16&lt;$AB$54,0,IF(OR(T14="ne", T15="ne"),0,$H17)))))</f>
        <v>0</v>
      </c>
      <c r="N17" s="37" t="s">
        <v>50</v>
      </c>
      <c r="O17" s="37"/>
      <c r="P17" s="37"/>
      <c r="Q17" s="37"/>
      <c r="R17" s="37"/>
      <c r="S17" s="690" t="s">
        <v>51</v>
      </c>
      <c r="T17" s="691">
        <f>IF(H12&gt;0,H12,H15)</f>
        <v>0</v>
      </c>
      <c r="U17" s="37">
        <f>IF(SUM(H12,H15)=0,0,IF(H12&gt;0,1,2))</f>
        <v>0</v>
      </c>
      <c r="V17" s="571" t="s">
        <v>52</v>
      </c>
      <c r="W17" s="37"/>
      <c r="X17" s="108"/>
      <c r="Y17" s="898" t="str">
        <f>CenAVS!A48</f>
        <v xml:space="preserve">zaślepki HF/HL/HS - Top bez SD ciemnoszare TGR   </v>
      </c>
      <c r="Z17" s="898" t="str">
        <f>CenAVS!B48</f>
        <v>22.8000</v>
      </c>
      <c r="AA17" s="883" t="str">
        <f>CenAVS!C48</f>
        <v>TGR</v>
      </c>
      <c r="AB17" s="665">
        <f t="shared" si="4"/>
        <v>0</v>
      </c>
      <c r="AC17" s="899">
        <f>CenAVS!F48</f>
        <v>30.106369999999998</v>
      </c>
      <c r="AD17" s="900">
        <f t="shared" si="3"/>
        <v>0</v>
      </c>
      <c r="AE17" s="903">
        <f>IF(AND($S$9=1, $T$48=2), SUM($AE$9:$AE$12), 0)</f>
        <v>0</v>
      </c>
      <c r="AF17" s="902">
        <f t="shared" si="1"/>
        <v>0</v>
      </c>
      <c r="AG17" s="903">
        <f>IF(AND($S$20=1, $T$48=2), SUM($AG$9:$AG$12), 0)</f>
        <v>0</v>
      </c>
      <c r="AH17" s="902">
        <f t="shared" si="2"/>
        <v>0</v>
      </c>
      <c r="AI17" s="170"/>
      <c r="AJ17" s="170"/>
      <c r="AK17" s="36"/>
      <c r="AM17" s="121"/>
      <c r="AN17" s="545" t="s">
        <v>771</v>
      </c>
      <c r="AO17" s="137"/>
      <c r="AP17" s="37"/>
      <c r="AQ17" s="37"/>
      <c r="BD17" s="625"/>
    </row>
    <row r="18" spans="1:56" s="122" customFormat="1" ht="16.149999999999999" customHeight="1" x14ac:dyDescent="0.2">
      <c r="A18" s="37"/>
      <c r="B18" s="227" t="str">
        <f>IF(H17&gt;0,IF(U17=0," ",IF(U17=1,$N$53,$N$54))," ")&amp;IF(H17&gt;0,IF(U17=0," ",IF(U17=1,$N$55,$N$56))," ")</f>
        <v xml:space="preserve">  </v>
      </c>
      <c r="C18" s="227"/>
      <c r="D18" s="227"/>
      <c r="E18" s="227"/>
      <c r="F18" s="262"/>
      <c r="G18" s="262"/>
      <c r="H18" s="227"/>
      <c r="I18" s="227"/>
      <c r="J18" s="227"/>
      <c r="K18" s="227"/>
      <c r="L18" s="227"/>
      <c r="M18" s="37"/>
      <c r="N18" s="37"/>
      <c r="O18" s="37"/>
      <c r="P18" s="37"/>
      <c r="Q18" s="37"/>
      <c r="R18" s="37"/>
      <c r="S18" s="37"/>
      <c r="T18" s="37"/>
      <c r="U18" s="37"/>
      <c r="V18" s="37"/>
      <c r="W18" s="37"/>
      <c r="X18" s="108"/>
      <c r="Y18" s="898" t="str">
        <f>CenAVS!A49</f>
        <v xml:space="preserve">Zaślepki HF/HL/HS - Top bez SD białe SW   </v>
      </c>
      <c r="Z18" s="898" t="str">
        <f>CenAVS!B49</f>
        <v>22.8000</v>
      </c>
      <c r="AA18" s="883" t="str">
        <f>CenAVS!C49</f>
        <v>SW</v>
      </c>
      <c r="AB18" s="665">
        <f t="shared" si="4"/>
        <v>0</v>
      </c>
      <c r="AC18" s="899">
        <f>CenAVS!F49</f>
        <v>30.106369999999998</v>
      </c>
      <c r="AD18" s="900">
        <f t="shared" si="3"/>
        <v>0</v>
      </c>
      <c r="AE18" s="903">
        <f>IF(AND($S$9=1, $T$48=3), SUM($AE$9:$AE$12), 0)</f>
        <v>0</v>
      </c>
      <c r="AF18" s="902">
        <f t="shared" si="1"/>
        <v>0</v>
      </c>
      <c r="AG18" s="903">
        <f>IF(AND($S$20=1, $T$48=3), SUM($AG$9:$AG$12), 0)</f>
        <v>0</v>
      </c>
      <c r="AH18" s="902">
        <f t="shared" si="2"/>
        <v>0</v>
      </c>
      <c r="AI18" s="170"/>
      <c r="AJ18" s="170"/>
      <c r="AK18" s="36"/>
      <c r="AM18" s="121"/>
      <c r="AN18" s="545" t="s">
        <v>772</v>
      </c>
      <c r="AO18" s="137"/>
      <c r="AP18" s="37"/>
      <c r="AQ18" s="37"/>
    </row>
    <row r="19" spans="1:56" s="122" customFormat="1" ht="25.15" customHeight="1" thickBot="1" x14ac:dyDescent="0.25">
      <c r="A19" s="37"/>
      <c r="B19" s="586" t="str">
        <f>IF(F11=0," ",IF(F11&gt;1200,"TKH = max. 1200!",IF(F11&lt;480,"TKH = min. 480!",IF(F11&lt;H11,$N$59,IF(H17&gt;0,IF(F11=0," ",IF(AND(F11&gt;0,M17=1), $N$58," "))," ")))))</f>
        <v xml:space="preserve"> </v>
      </c>
      <c r="C19" s="227"/>
      <c r="D19" s="227"/>
      <c r="E19" s="227"/>
      <c r="F19" s="262"/>
      <c r="G19" s="262"/>
      <c r="H19" s="227"/>
      <c r="I19" s="227"/>
      <c r="J19" s="227"/>
      <c r="K19" s="227"/>
      <c r="L19" s="227"/>
      <c r="M19" s="37"/>
      <c r="N19" s="37"/>
      <c r="O19" s="37"/>
      <c r="P19" s="37"/>
      <c r="Q19" s="37"/>
      <c r="R19" s="37"/>
      <c r="S19" s="37"/>
      <c r="T19" s="37"/>
      <c r="U19" s="37"/>
      <c r="V19" s="37"/>
      <c r="W19" s="37"/>
      <c r="X19" s="108"/>
      <c r="Y19" s="898" t="str">
        <f>CenAVS!A50</f>
        <v xml:space="preserve">zaślepki HF/HL/HS - Top do SD jasnoszare HGR   </v>
      </c>
      <c r="Z19" s="898" t="str">
        <f>CenAVS!B50</f>
        <v>23.8000</v>
      </c>
      <c r="AA19" s="883" t="str">
        <f>CenAVS!C50</f>
        <v>HGR</v>
      </c>
      <c r="AB19" s="665">
        <f t="shared" si="4"/>
        <v>0</v>
      </c>
      <c r="AC19" s="899">
        <f>CenAVS!F50</f>
        <v>284.41748999999999</v>
      </c>
      <c r="AD19" s="900">
        <f t="shared" si="3"/>
        <v>0</v>
      </c>
      <c r="AE19" s="903">
        <f>IF(AND($S$9=2, $T$48=1), $AE$45, 0)</f>
        <v>0</v>
      </c>
      <c r="AF19" s="902">
        <f t="shared" si="1"/>
        <v>0</v>
      </c>
      <c r="AG19" s="903">
        <f>IF(AND($S$20=2, $T$48=1), $AG$45, 0)</f>
        <v>0</v>
      </c>
      <c r="AH19" s="902">
        <f t="shared" si="2"/>
        <v>0</v>
      </c>
      <c r="AI19" s="170"/>
      <c r="AJ19" s="170"/>
      <c r="AK19" s="36"/>
      <c r="AL19" s="584" t="str">
        <f>" "&amp;ListAVS!$B$195</f>
        <v xml:space="preserve"> Obliczanie frontów asymetrycznych</v>
      </c>
      <c r="AM19" s="121"/>
      <c r="AN19" s="137"/>
      <c r="AO19" s="137"/>
      <c r="AP19" s="37"/>
      <c r="AQ19" s="37"/>
    </row>
    <row r="20" spans="1:56" s="122" customFormat="1" ht="16.149999999999999" customHeight="1" thickBot="1" x14ac:dyDescent="0.25">
      <c r="A20" s="37"/>
      <c r="B20" s="1051" t="str">
        <f>"▼ "&amp;ListAVS!$B$318</f>
        <v>▼ Sposób otwierania</v>
      </c>
      <c r="C20" s="1052"/>
      <c r="D20" s="406" t="str">
        <f>IF($M$28&gt;0, ListAVS!$B$37&amp;": ", " ")</f>
        <v xml:space="preserve"> </v>
      </c>
      <c r="E20" s="688" t="str">
        <f>IF(SUM($AG$9:$AG$10)&gt;0,25,IF(SUM($AG$11:$AG$12)&gt;0,28," "))</f>
        <v xml:space="preserve"> </v>
      </c>
      <c r="F20" s="1056" t="str">
        <f>ListAVS!$B$64&amp;" B"</f>
        <v>Korpus B</v>
      </c>
      <c r="G20" s="1057"/>
      <c r="H20" s="1058"/>
      <c r="I20" s="227"/>
      <c r="J20" s="227"/>
      <c r="K20" s="227"/>
      <c r="L20" s="227"/>
      <c r="M20" s="37"/>
      <c r="N20" s="39" t="s">
        <v>53</v>
      </c>
      <c r="O20" s="39"/>
      <c r="P20" s="39" t="s">
        <v>33</v>
      </c>
      <c r="Q20" s="39"/>
      <c r="R20" s="37"/>
      <c r="S20" s="138">
        <v>1</v>
      </c>
      <c r="T20" s="1063" t="b">
        <v>0</v>
      </c>
      <c r="U20" s="1064"/>
      <c r="V20" s="139" t="s">
        <v>34</v>
      </c>
      <c r="W20" s="140"/>
      <c r="X20" s="108"/>
      <c r="Y20" s="898" t="str">
        <f>CenAVS!A51</f>
        <v xml:space="preserve">Zaślepki HF/HL/HS - Top do SD ciemnoszare TGR   </v>
      </c>
      <c r="Z20" s="898" t="str">
        <f>CenAVS!B51</f>
        <v>23.8000</v>
      </c>
      <c r="AA20" s="883" t="str">
        <f>CenAVS!C51</f>
        <v>TGR</v>
      </c>
      <c r="AB20" s="665">
        <f t="shared" si="4"/>
        <v>0</v>
      </c>
      <c r="AC20" s="899">
        <f>CenAVS!F51</f>
        <v>295.60313000000002</v>
      </c>
      <c r="AD20" s="900">
        <f t="shared" si="3"/>
        <v>0</v>
      </c>
      <c r="AE20" s="903">
        <f>IF(AND($S$9=2, $T$48=2), $AE$45, 0)</f>
        <v>0</v>
      </c>
      <c r="AF20" s="902">
        <f t="shared" si="1"/>
        <v>0</v>
      </c>
      <c r="AG20" s="903">
        <f>IF(AND($S$20=2, $T$48=2), $AG$45, 0)</f>
        <v>0</v>
      </c>
      <c r="AH20" s="902">
        <f t="shared" si="2"/>
        <v>0</v>
      </c>
      <c r="AI20" s="170"/>
      <c r="AJ20" s="170"/>
      <c r="AK20" s="36"/>
      <c r="AM20" s="121"/>
      <c r="AN20" s="121"/>
      <c r="AO20" s="121"/>
      <c r="AP20" s="121"/>
    </row>
    <row r="21" spans="1:56" s="122" customFormat="1" ht="16.149999999999999" customHeight="1" x14ac:dyDescent="0.2">
      <c r="A21" s="37"/>
      <c r="B21" s="1011" t="str">
        <f>ListAVS!$B$74&amp;" KB [mm] "</f>
        <v xml:space="preserve">Szerokość korpusu KB [mm] </v>
      </c>
      <c r="C21" s="1012"/>
      <c r="D21" s="1012"/>
      <c r="E21" s="1012"/>
      <c r="F21" s="1012"/>
      <c r="G21" s="1013"/>
      <c r="H21" s="260"/>
      <c r="I21" s="256" t="str">
        <f>IF(H21=0," ",IF($H21&lt;220," min. 220mm",IF($H21&gt;1800," max. 1 800mm"," ")))&amp;IF(H28&gt;0,IF(H21=0,"● "&amp;ListAVS!$B$129," ")," ")</f>
        <v xml:space="preserve">  </v>
      </c>
      <c r="J21" s="227"/>
      <c r="K21" s="227"/>
      <c r="L21" s="227"/>
      <c r="M21" s="37"/>
      <c r="N21" s="894"/>
      <c r="O21" s="895"/>
      <c r="P21" s="37" t="s">
        <v>35</v>
      </c>
      <c r="Q21" s="118">
        <f>IF(AND($P$27&gt;=$AB$54,$P$27&lt;=$AC$54),SUM($O$22:$O$23),0)</f>
        <v>0</v>
      </c>
      <c r="R21" s="37"/>
      <c r="S21" s="37"/>
      <c r="T21" s="203" t="s">
        <v>54</v>
      </c>
      <c r="U21" s="39"/>
      <c r="V21" s="203" t="s">
        <v>55</v>
      </c>
      <c r="W21" s="39"/>
      <c r="X21" s="108"/>
      <c r="Y21" s="898" t="str">
        <f>CenAVS!A52</f>
        <v xml:space="preserve">Zaślepki HF/HL/HS - Top do SD białe SW   </v>
      </c>
      <c r="Z21" s="898" t="str">
        <f>CenAVS!B52</f>
        <v>23.8000</v>
      </c>
      <c r="AA21" s="883" t="str">
        <f>CenAVS!C52</f>
        <v>SW</v>
      </c>
      <c r="AB21" s="665">
        <f t="shared" si="4"/>
        <v>0</v>
      </c>
      <c r="AC21" s="899">
        <f>CenAVS!F52</f>
        <v>295.60313000000002</v>
      </c>
      <c r="AD21" s="900">
        <f t="shared" si="3"/>
        <v>0</v>
      </c>
      <c r="AE21" s="903">
        <f>IF(AND($S$9=2, $T$48=3), $AE$45, 0)</f>
        <v>0</v>
      </c>
      <c r="AF21" s="902">
        <f t="shared" si="1"/>
        <v>0</v>
      </c>
      <c r="AG21" s="903">
        <f>IF(AND($S$20=2, $T$48=3), $AG$45, 0)</f>
        <v>0</v>
      </c>
      <c r="AH21" s="902">
        <f t="shared" si="2"/>
        <v>0</v>
      </c>
      <c r="AI21" s="170"/>
      <c r="AJ21" s="170"/>
      <c r="AK21" s="36"/>
      <c r="AL21" s="583"/>
      <c r="AM21" s="121"/>
      <c r="AN21" s="121"/>
      <c r="AO21" s="121"/>
      <c r="AP21" s="121"/>
    </row>
    <row r="22" spans="1:56" s="122" customFormat="1" ht="16.149999999999999" customHeight="1" x14ac:dyDescent="0.2">
      <c r="A22" s="37"/>
      <c r="B22" s="1011" t="str">
        <f>ListAVS!$B$75&amp;" [mm]"</f>
        <v>Wysokość korpusu [mm]</v>
      </c>
      <c r="C22" s="1012"/>
      <c r="D22" s="1012"/>
      <c r="E22" s="297" t="s">
        <v>38</v>
      </c>
      <c r="F22" s="260"/>
      <c r="G22" s="295" t="s">
        <v>39</v>
      </c>
      <c r="H22" s="260"/>
      <c r="I22" s="256" t="str">
        <f>IF(H22=0," ",IF($H22&lt;480," min. 480mm",IF($H22&gt;1200," max. 1 200mm"," ")))&amp;IF(H28&gt;0,IF(H22=0,"● "&amp;ListAVS!$B$129," ")," ")</f>
        <v xml:space="preserve">  </v>
      </c>
      <c r="J22" s="227"/>
      <c r="K22" s="227"/>
      <c r="L22" s="227"/>
      <c r="M22" s="37"/>
      <c r="N22" s="37" t="s">
        <v>40</v>
      </c>
      <c r="O22" s="118">
        <f>IF($H27&lt;$AB$50,0,IF($H27&lt;=$AC$50,1,0))</f>
        <v>0</v>
      </c>
      <c r="P22" s="37" t="s">
        <v>41</v>
      </c>
      <c r="Q22" s="118">
        <f>IF(AND($P$27&gt;=$AB$55,$P$27&lt;=$AC$55),SUM($O$22:$O$23),0)</f>
        <v>0</v>
      </c>
      <c r="R22" s="37"/>
      <c r="S22" s="37"/>
      <c r="T22" s="37" t="s">
        <v>42</v>
      </c>
      <c r="U22" s="895">
        <f>IF($N$48=1, IF(OR($H$21&gt;=1200, $T$28&gt;=12), 3, 2))+IF($N$48=1,IF(OR($H$21=1800, $T$28&gt;=20), 1, 0))</f>
        <v>0</v>
      </c>
      <c r="V22" s="37" t="s">
        <v>43</v>
      </c>
      <c r="W22" s="895">
        <f>IF($P$48=1, IF(OR($H$21&gt;=1200, $T$28&gt;=12), 3, 2))+IF($P$48=1,IF(OR($H$21=1800, $T$28&gt;=20), 1, 0))</f>
        <v>0</v>
      </c>
      <c r="X22" s="108"/>
      <c r="Y22" s="898" t="str">
        <f>CenAVS!A18</f>
        <v xml:space="preserve">nakładany Tip-on wkręt 120°       </v>
      </c>
      <c r="Z22" s="898" t="str">
        <f>CenAVS!B18</f>
        <v>70T5550.TL</v>
      </c>
      <c r="AA22" s="883" t="str">
        <f>CenAVS!C18</f>
        <v>NI</v>
      </c>
      <c r="AB22" s="665">
        <f t="shared" si="4"/>
        <v>0</v>
      </c>
      <c r="AC22" s="899">
        <f>CenAVS!F18</f>
        <v>5.5152999999999999</v>
      </c>
      <c r="AD22" s="900">
        <f t="shared" si="3"/>
        <v>0</v>
      </c>
      <c r="AE22" s="903">
        <f>$U$12*$M$17</f>
        <v>0</v>
      </c>
      <c r="AF22" s="902">
        <f t="shared" si="1"/>
        <v>0</v>
      </c>
      <c r="AG22" s="903">
        <f>$U$23*$M$28</f>
        <v>0</v>
      </c>
      <c r="AH22" s="902">
        <f t="shared" si="2"/>
        <v>0</v>
      </c>
      <c r="AI22" s="170"/>
      <c r="AJ22" s="170"/>
      <c r="AK22" s="36"/>
      <c r="AL22" s="277"/>
      <c r="AM22" s="121"/>
      <c r="AN22" s="121"/>
      <c r="AO22" s="121"/>
      <c r="AP22" s="121"/>
    </row>
    <row r="23" spans="1:56" s="122" customFormat="1" ht="16.149999999999999" customHeight="1" x14ac:dyDescent="0.2">
      <c r="A23" s="37"/>
      <c r="B23" s="1011" t="str">
        <f>ListAVS!$B$77&amp;" [kg] ** "</f>
        <v xml:space="preserve">Waga frontu wraz z uchwytem [kg] ** </v>
      </c>
      <c r="C23" s="1012"/>
      <c r="D23" s="1012"/>
      <c r="E23" s="1012"/>
      <c r="F23" s="1012"/>
      <c r="G23" s="1013"/>
      <c r="H23" s="258"/>
      <c r="I23" s="227" t="str">
        <f>IF($H28=0," ",IF(SUM($H23,$H26)=0,$N$38," "))&amp;IF($H28&gt;0,IF($H23&gt;0,$N$41," ")," ")</f>
        <v xml:space="preserve">  </v>
      </c>
      <c r="J23" s="227"/>
      <c r="K23" s="227"/>
      <c r="L23" s="227"/>
      <c r="M23" s="37"/>
      <c r="N23" s="37" t="s">
        <v>44</v>
      </c>
      <c r="O23" s="118">
        <f>IF($H27&lt;$AB$51,0,IF($H27&lt;=$AC$51,1,IF($H27&gt;$AB$52,1.5,0)))</f>
        <v>0</v>
      </c>
      <c r="P23" s="37" t="s">
        <v>48</v>
      </c>
      <c r="Q23" s="118">
        <f>IF(AND($P$27&gt;=$AB$56,$P$27&lt;=$AC$56),SUM($O$22:$O$23),0)</f>
        <v>0</v>
      </c>
      <c r="R23" s="37"/>
      <c r="S23" s="37"/>
      <c r="T23" s="37" t="s">
        <v>46</v>
      </c>
      <c r="U23" s="118">
        <f>IF($N$48=2, IF(OR($H$21&gt;=1200, $T$28&gt;=12), 3, 2))+IF($N$48=2,IF(OR($H$21=1800, $T$28&gt;=20), 1, 0))</f>
        <v>2</v>
      </c>
      <c r="V23" s="37" t="s">
        <v>47</v>
      </c>
      <c r="W23" s="118">
        <f>IF($P$48=2, IF(OR($H$21&gt;=1200, $T$28&gt;=12), 3, 2))+IF($P$48=2,IF(OR($H$21=1800, $T$28&gt;=20), 1, 0))</f>
        <v>2</v>
      </c>
      <c r="X23" s="108"/>
      <c r="Y23" s="898" t="str">
        <f>CenAVS!A19</f>
        <v xml:space="preserve">zawias nakładany Tip-on Expando 120°      </v>
      </c>
      <c r="Z23" s="898" t="str">
        <f>CenAVS!B19</f>
        <v>70T558E</v>
      </c>
      <c r="AA23" s="883" t="str">
        <f>CenAVS!C19</f>
        <v>NI</v>
      </c>
      <c r="AB23" s="665">
        <f t="shared" si="4"/>
        <v>0</v>
      </c>
      <c r="AC23" s="899">
        <f>CenAVS!F19</f>
        <v>5.8604399999999996</v>
      </c>
      <c r="AD23" s="900">
        <f t="shared" si="3"/>
        <v>0</v>
      </c>
      <c r="AE23" s="903"/>
      <c r="AF23" s="902">
        <f t="shared" si="1"/>
        <v>0</v>
      </c>
      <c r="AG23" s="903"/>
      <c r="AH23" s="902">
        <f t="shared" si="2"/>
        <v>0</v>
      </c>
      <c r="AI23" s="170"/>
      <c r="AJ23" s="170"/>
      <c r="AK23" s="36"/>
      <c r="AL23" s="277"/>
      <c r="AM23" s="121"/>
      <c r="AN23" s="121"/>
      <c r="AO23" s="121"/>
      <c r="AP23" s="121"/>
    </row>
    <row r="24" spans="1:56" s="122" customFormat="1" ht="16.149999999999999" customHeight="1" x14ac:dyDescent="0.2">
      <c r="A24" s="37"/>
      <c r="B24" s="1106" t="str">
        <f>ListAVS!$B$293</f>
        <v>Obliczenie wagi</v>
      </c>
      <c r="C24" s="1106"/>
      <c r="D24" s="1107" t="str">
        <f>ListAVS!$B$80&amp;" TS [mm] "</f>
        <v xml:space="preserve">Grubość frontu TS [mm] </v>
      </c>
      <c r="E24" s="1107"/>
      <c r="F24" s="1107"/>
      <c r="G24" s="1108"/>
      <c r="H24" s="259"/>
      <c r="I24" s="256"/>
      <c r="J24" s="227"/>
      <c r="K24" s="227"/>
      <c r="L24" s="227"/>
      <c r="M24" s="37"/>
      <c r="N24" s="37"/>
      <c r="O24" s="118"/>
      <c r="P24" s="37"/>
      <c r="Q24" s="118"/>
      <c r="R24" s="37"/>
      <c r="S24" s="37"/>
      <c r="T24" s="37"/>
      <c r="U24" s="118"/>
      <c r="V24" s="37"/>
      <c r="W24" s="118"/>
      <c r="X24" s="108"/>
      <c r="Y24" s="898" t="str">
        <f>CenAVS!A20</f>
        <v xml:space="preserve">zawias środkowy wkręt        </v>
      </c>
      <c r="Z24" s="898" t="str">
        <f>CenAVS!B20</f>
        <v>78Z5500T</v>
      </c>
      <c r="AA24" s="883" t="str">
        <f>CenAVS!C20</f>
        <v>NI</v>
      </c>
      <c r="AB24" s="665">
        <f t="shared" si="4"/>
        <v>0</v>
      </c>
      <c r="AC24" s="899">
        <f>CenAVS!F20</f>
        <v>10.1708</v>
      </c>
      <c r="AD24" s="900">
        <f t="shared" si="3"/>
        <v>0</v>
      </c>
      <c r="AE24" s="901">
        <f>$M$17*$W$12</f>
        <v>0</v>
      </c>
      <c r="AF24" s="902">
        <f t="shared" si="1"/>
        <v>0</v>
      </c>
      <c r="AG24" s="901">
        <f>$M$28*$W$23</f>
        <v>0</v>
      </c>
      <c r="AH24" s="902">
        <f t="shared" si="2"/>
        <v>0</v>
      </c>
      <c r="AI24" s="170"/>
      <c r="AJ24" s="170"/>
      <c r="AK24" s="36"/>
      <c r="AL24" s="277"/>
      <c r="AM24" s="121"/>
      <c r="AN24" s="121"/>
      <c r="AO24" s="121"/>
      <c r="AP24" s="121"/>
    </row>
    <row r="25" spans="1:56" s="122" customFormat="1" ht="16.149999999999999" customHeight="1" x14ac:dyDescent="0.2">
      <c r="A25" s="37"/>
      <c r="B25" s="1106"/>
      <c r="C25" s="1106"/>
      <c r="D25" s="1053" t="str">
        <f>ListAVS!$B$83&amp;" [kg] "</f>
        <v xml:space="preserve">Waga uchwytu [kg] </v>
      </c>
      <c r="E25" s="1053"/>
      <c r="F25" s="1053"/>
      <c r="G25" s="1054"/>
      <c r="H25" s="258"/>
      <c r="I25" s="227" t="str">
        <f>IF(M28=0, " ", IF(AND(H23=0, S20=1, H25=0), " ● "&amp;ListAVS!$B$130," "))</f>
        <v xml:space="preserve"> </v>
      </c>
      <c r="J25" s="227"/>
      <c r="K25" s="227"/>
      <c r="L25" s="227"/>
      <c r="M25" s="37"/>
      <c r="N25" s="37"/>
      <c r="O25" s="118"/>
      <c r="P25" s="37"/>
      <c r="Q25" s="118"/>
      <c r="R25" s="37"/>
      <c r="S25" s="717" t="s">
        <v>79</v>
      </c>
      <c r="T25" s="928" t="str">
        <f>IF(AND(220&lt;=H21, H21&lt;=1800, 480&lt;=P27, P27&lt;=1200),"ano","ne")</f>
        <v>ne</v>
      </c>
      <c r="U25" s="118"/>
      <c r="V25" s="37"/>
      <c r="W25" s="118"/>
      <c r="X25" s="108"/>
      <c r="Y25" s="898" t="str">
        <f>CenAVS!A21</f>
        <v xml:space="preserve">zawias środkowy Expando        </v>
      </c>
      <c r="Z25" s="898" t="str">
        <f>CenAVS!B21</f>
        <v>78Z553ET</v>
      </c>
      <c r="AA25" s="883" t="str">
        <f>CenAVS!C21</f>
        <v>NI</v>
      </c>
      <c r="AB25" s="665">
        <f t="shared" si="4"/>
        <v>0</v>
      </c>
      <c r="AC25" s="899">
        <f>CenAVS!F21</f>
        <v>10.498419999999999</v>
      </c>
      <c r="AD25" s="900">
        <f t="shared" si="3"/>
        <v>0</v>
      </c>
      <c r="AE25" s="901"/>
      <c r="AF25" s="902">
        <f t="shared" si="1"/>
        <v>0</v>
      </c>
      <c r="AG25" s="901"/>
      <c r="AH25" s="902">
        <f t="shared" si="2"/>
        <v>0</v>
      </c>
      <c r="AI25" s="170"/>
      <c r="AJ25" s="170"/>
      <c r="AK25" s="36"/>
      <c r="AL25" s="277"/>
      <c r="AM25" s="121"/>
      <c r="AN25" s="121"/>
      <c r="AO25" s="121"/>
      <c r="AP25" s="121"/>
    </row>
    <row r="26" spans="1:56" s="122" customFormat="1" ht="16.149999999999999" customHeight="1" x14ac:dyDescent="0.2">
      <c r="A26" s="37"/>
      <c r="B26" s="1106"/>
      <c r="C26" s="1106"/>
      <c r="D26" s="1053" t="str">
        <f>ListAVS!$B$79&amp;" [kg] "</f>
        <v xml:space="preserve">Obliczona waga frontu [kg] </v>
      </c>
      <c r="E26" s="1053"/>
      <c r="F26" s="1053"/>
      <c r="G26" s="1054"/>
      <c r="H26" s="259">
        <f>$T$90</f>
        <v>0</v>
      </c>
      <c r="I26" s="227" t="str">
        <f>IF($M28&gt;0,IF($H26&gt;0,IF($H23=0,$N$41," ")," ")," ")&amp;IF(AND(H28&gt;0, H23=0, Z87=3, $J$4=0), $N$39, " ")</f>
        <v xml:space="preserve">  </v>
      </c>
      <c r="J26" s="227"/>
      <c r="K26" s="227"/>
      <c r="L26" s="227"/>
      <c r="M26" s="37"/>
      <c r="N26" s="37"/>
      <c r="O26" s="118"/>
      <c r="P26" s="37"/>
      <c r="Q26" s="118"/>
      <c r="R26" s="37"/>
      <c r="S26" s="717" t="s">
        <v>732</v>
      </c>
      <c r="T26" s="928" t="str">
        <f>IF(AND(H27&gt;=$AB$50, H27&lt;=$AC$51), "ano", "ne")</f>
        <v>ne</v>
      </c>
      <c r="U26" s="37"/>
      <c r="V26" s="37"/>
      <c r="W26" s="37"/>
      <c r="X26" s="108"/>
      <c r="Y26" s="898" t="str">
        <f>CenAVS!A22</f>
        <v xml:space="preserve">alu nakładany Tip-on 120° Aventos HF     </v>
      </c>
      <c r="Z26" s="898" t="str">
        <f>CenAVS!B22</f>
        <v>72T550A.TL</v>
      </c>
      <c r="AA26" s="883" t="str">
        <f>CenAVS!C22</f>
        <v>NI</v>
      </c>
      <c r="AB26" s="665"/>
      <c r="AC26" s="899">
        <f>CenAVS!F22</f>
        <v>8.4674200000000006</v>
      </c>
      <c r="AD26" s="900">
        <f t="shared" si="3"/>
        <v>0</v>
      </c>
      <c r="AE26" s="901"/>
      <c r="AF26" s="902">
        <f t="shared" si="1"/>
        <v>0</v>
      </c>
      <c r="AG26" s="901"/>
      <c r="AH26" s="902">
        <f t="shared" si="2"/>
        <v>0</v>
      </c>
      <c r="AI26" s="170"/>
      <c r="AJ26" s="170"/>
      <c r="AK26" s="36"/>
      <c r="AL26" s="583"/>
      <c r="AM26" s="121"/>
    </row>
    <row r="27" spans="1:56" s="122" customFormat="1" ht="16.149999999999999" customHeight="1" thickBot="1" x14ac:dyDescent="0.25">
      <c r="A27" s="37"/>
      <c r="B27" s="587"/>
      <c r="C27" s="588"/>
      <c r="D27" s="588"/>
      <c r="E27" s="588"/>
      <c r="F27" s="588"/>
      <c r="G27" s="589"/>
      <c r="H27" s="400">
        <f>IF(H23&gt;0, H22*H23, H22*H26)</f>
        <v>0</v>
      </c>
      <c r="I27" s="256" t="str">
        <f>IF(OR($T25="ne", $H28=0), " ", IF(AND(H27&gt;0, H27&lt;$AB$50), $T$44, IF($H27&gt;$AC$51, $N$44, "  ")))</f>
        <v xml:space="preserve"> </v>
      </c>
      <c r="J27" s="227"/>
      <c r="K27" s="268"/>
      <c r="L27" s="227"/>
      <c r="M27" s="37"/>
      <c r="N27" s="37"/>
      <c r="O27" s="153" t="s">
        <v>49</v>
      </c>
      <c r="P27" s="165">
        <f>IF(F22&gt;0,IF(F22&gt;=H22,F22,0),H22)</f>
        <v>0</v>
      </c>
      <c r="Q27" s="118"/>
      <c r="R27" s="37"/>
      <c r="S27" s="37"/>
      <c r="T27" s="37"/>
      <c r="U27" s="37"/>
      <c r="V27" s="37"/>
      <c r="W27" s="37"/>
      <c r="X27" s="108"/>
      <c r="Y27" s="898" t="str">
        <f>CenAVS!A23</f>
        <v xml:space="preserve">alu zawias środkowy        </v>
      </c>
      <c r="Z27" s="898" t="str">
        <f>CenAVS!B23</f>
        <v>78Z550AT</v>
      </c>
      <c r="AA27" s="883" t="str">
        <f>CenAVS!C23</f>
        <v>NI</v>
      </c>
      <c r="AB27" s="665"/>
      <c r="AC27" s="899">
        <f>CenAVS!F23</f>
        <v>11.149290000000001</v>
      </c>
      <c r="AD27" s="900">
        <f t="shared" si="3"/>
        <v>0</v>
      </c>
      <c r="AE27" s="901"/>
      <c r="AF27" s="902">
        <f t="shared" si="1"/>
        <v>0</v>
      </c>
      <c r="AG27" s="901"/>
      <c r="AH27" s="902">
        <f t="shared" si="2"/>
        <v>0</v>
      </c>
      <c r="AI27" s="170"/>
      <c r="AJ27" s="170"/>
      <c r="AK27" s="36"/>
      <c r="AL27" s="277"/>
      <c r="AM27" s="121"/>
      <c r="AN27" s="121"/>
      <c r="AO27" s="121"/>
      <c r="AP27" s="121"/>
      <c r="AQ27" s="121"/>
    </row>
    <row r="28" spans="1:56" ht="16.149999999999999" customHeight="1" thickBot="1" x14ac:dyDescent="0.25">
      <c r="B28" s="1011" t="str">
        <f>ListAVS!$B$71&amp;" "</f>
        <v xml:space="preserve">Ilość szafek </v>
      </c>
      <c r="C28" s="1012"/>
      <c r="D28" s="1012"/>
      <c r="E28" s="1012"/>
      <c r="F28" s="1012"/>
      <c r="G28" s="1012"/>
      <c r="H28" s="410"/>
      <c r="I28" s="256"/>
      <c r="J28" s="270"/>
      <c r="K28" s="401"/>
      <c r="L28" s="402"/>
      <c r="M28" s="315">
        <f>IF($H21*$P27=0,0,IF(SUM($H23,$H26)=0,0,IF($P27&gt;$AC$57,0,IF(P27&lt;$AB$54,0,IF(OR(T25="ne", T26="ne"),0,$H28)))))</f>
        <v>0</v>
      </c>
      <c r="N28" s="37" t="s">
        <v>50</v>
      </c>
      <c r="O28" s="39"/>
      <c r="P28" s="39"/>
      <c r="Q28" s="39"/>
      <c r="R28" s="137"/>
      <c r="S28" s="690" t="s">
        <v>51</v>
      </c>
      <c r="T28" s="691">
        <f>IF(H23&gt;0,H23,H26)</f>
        <v>0</v>
      </c>
      <c r="U28" s="37">
        <f>IF(SUM(H23,H26)=0,0,IF(H23&gt;0,1,2))</f>
        <v>0</v>
      </c>
      <c r="V28" s="571" t="s">
        <v>52</v>
      </c>
      <c r="W28" s="118"/>
      <c r="X28" s="108"/>
      <c r="Y28" s="898" t="str">
        <f>CenAVS!A24</f>
        <v xml:space="preserve">adapter alu do ramion teleskop. P     </v>
      </c>
      <c r="Z28" s="898" t="str">
        <f>CenAVS!B24</f>
        <v>175H5B00   R</v>
      </c>
      <c r="AA28" s="883" t="str">
        <f>CenAVS!C24</f>
        <v>NI</v>
      </c>
      <c r="AB28" s="665"/>
      <c r="AC28" s="899">
        <f>CenAVS!F24</f>
        <v>9.9110600000000009</v>
      </c>
      <c r="AD28" s="900">
        <f t="shared" si="3"/>
        <v>0</v>
      </c>
      <c r="AE28" s="901"/>
      <c r="AF28" s="902">
        <f t="shared" si="1"/>
        <v>0</v>
      </c>
      <c r="AG28" s="901"/>
      <c r="AH28" s="902">
        <f t="shared" si="2"/>
        <v>0</v>
      </c>
      <c r="AI28" s="170"/>
      <c r="AJ28" s="170"/>
      <c r="AL28" s="583"/>
      <c r="AM28" s="122"/>
    </row>
    <row r="29" spans="1:56" ht="16.149999999999999" customHeight="1" x14ac:dyDescent="0.2">
      <c r="A29" s="137"/>
      <c r="B29" s="227" t="str">
        <f>IF(H28&gt;0,IF(U28=0," ",IF(U28=1,$N$53,$N$54))," ")&amp;IF(H28&gt;0,IF(U28=0," ",IF(U28=1,$N$55,$N$56))," ")</f>
        <v xml:space="preserve">  </v>
      </c>
      <c r="C29" s="227"/>
      <c r="D29" s="227"/>
      <c r="E29" s="227"/>
      <c r="F29" s="227"/>
      <c r="G29" s="227"/>
      <c r="H29" s="403"/>
      <c r="I29" s="256"/>
      <c r="J29" s="404"/>
      <c r="K29" s="404"/>
      <c r="L29" s="404"/>
      <c r="N29" s="121"/>
      <c r="O29" s="121"/>
      <c r="P29" s="121"/>
      <c r="Q29" s="121"/>
      <c r="Y29" s="898" t="str">
        <f>CenAVS!A25</f>
        <v xml:space="preserve">adapter alu do ramion teleskop. L     </v>
      </c>
      <c r="Z29" s="898" t="str">
        <f>CenAVS!B25</f>
        <v>175H5B00   L</v>
      </c>
      <c r="AA29" s="883" t="str">
        <f>CenAVS!C25</f>
        <v>NI</v>
      </c>
      <c r="AB29" s="665"/>
      <c r="AC29" s="899">
        <f>CenAVS!F25</f>
        <v>9.9110600000000009</v>
      </c>
      <c r="AD29" s="900">
        <f t="shared" si="3"/>
        <v>0</v>
      </c>
      <c r="AE29" s="901"/>
      <c r="AF29" s="902">
        <f t="shared" si="1"/>
        <v>0</v>
      </c>
      <c r="AG29" s="901"/>
      <c r="AH29" s="902">
        <f t="shared" si="2"/>
        <v>0</v>
      </c>
      <c r="AI29" s="170"/>
      <c r="AJ29" s="170"/>
    </row>
    <row r="30" spans="1:56" ht="18.75" customHeight="1" x14ac:dyDescent="0.2">
      <c r="B30" s="586" t="str">
        <f>IF(F22=0," ",IF(F22&gt;1200,"TKH = max. 1200!",IF(F22&lt;480,"TKH = min. 480!",IF(F22&lt;H22,$N$59,IF(H28&gt;0,IF(F22=0," ",IF(AND(F22&gt;0,M28=1), $N$58," "))," ")))))</f>
        <v xml:space="preserve"> </v>
      </c>
      <c r="C30" s="248"/>
      <c r="D30" s="396"/>
      <c r="E30" s="396"/>
      <c r="F30" s="274"/>
      <c r="G30" s="274"/>
      <c r="H30" s="396"/>
      <c r="I30" s="264"/>
      <c r="J30" s="264"/>
      <c r="K30" s="396"/>
      <c r="L30" s="265"/>
      <c r="N30" s="121"/>
      <c r="O30" s="121"/>
      <c r="P30" s="121"/>
      <c r="Q30" s="121"/>
      <c r="Y30" s="898" t="str">
        <f>CenAVS!A26</f>
        <v xml:space="preserve">adapter alu do zawiasu środkowego      </v>
      </c>
      <c r="Z30" s="898" t="str">
        <f>CenAVS!B26</f>
        <v>175H5A00</v>
      </c>
      <c r="AA30" s="883" t="str">
        <f>CenAVS!C26</f>
        <v>NI</v>
      </c>
      <c r="AB30" s="665"/>
      <c r="AC30" s="899">
        <f>CenAVS!F26</f>
        <v>9.9110600000000009</v>
      </c>
      <c r="AD30" s="900">
        <f t="shared" si="3"/>
        <v>0</v>
      </c>
      <c r="AE30" s="901"/>
      <c r="AF30" s="902">
        <f t="shared" si="1"/>
        <v>0</v>
      </c>
      <c r="AG30" s="901"/>
      <c r="AH30" s="902">
        <f t="shared" si="2"/>
        <v>0</v>
      </c>
      <c r="AI30" s="170"/>
      <c r="AJ30" s="170"/>
    </row>
    <row r="31" spans="1:56" ht="13.5" customHeight="1" x14ac:dyDescent="0.2">
      <c r="B31" s="1109" t="str">
        <f>IF(OR(AND($S$9=2, $M$17&gt;0), AND($S$20=2, $M$28&gt;0)), ListAVS!$B$176, " ")</f>
        <v xml:space="preserve"> </v>
      </c>
      <c r="C31" s="1109"/>
      <c r="D31" s="1109"/>
      <c r="E31" s="1109"/>
      <c r="F31" s="1109"/>
      <c r="G31" s="1109"/>
      <c r="H31" s="1109"/>
      <c r="I31" s="1109"/>
      <c r="J31" s="1109"/>
      <c r="K31" s="397"/>
      <c r="L31" s="397"/>
      <c r="S31" s="138">
        <f>IF($T$31=FALSE,2,1)</f>
        <v>1</v>
      </c>
      <c r="T31" s="1063" t="b">
        <v>1</v>
      </c>
      <c r="U31" s="1064"/>
      <c r="V31" s="139" t="s">
        <v>56</v>
      </c>
      <c r="W31" s="140"/>
      <c r="Y31" s="898"/>
      <c r="Z31" s="898"/>
      <c r="AA31" s="883"/>
      <c r="AB31" s="665"/>
      <c r="AC31" s="899"/>
      <c r="AD31" s="900"/>
      <c r="AE31" s="901"/>
      <c r="AF31" s="902"/>
      <c r="AG31" s="901"/>
      <c r="AH31" s="902"/>
      <c r="AI31" s="170"/>
      <c r="AJ31" s="170"/>
      <c r="AL31" s="141"/>
    </row>
    <row r="32" spans="1:56" ht="13.5" customHeight="1" x14ac:dyDescent="0.2">
      <c r="B32" s="1109"/>
      <c r="C32" s="1109"/>
      <c r="D32" s="1109"/>
      <c r="E32" s="1109"/>
      <c r="F32" s="1109"/>
      <c r="G32" s="1109"/>
      <c r="H32" s="1109"/>
      <c r="I32" s="1109"/>
      <c r="J32" s="1109"/>
      <c r="K32" s="397"/>
      <c r="L32" s="397"/>
      <c r="P32" s="37">
        <v>2</v>
      </c>
      <c r="Y32" s="898"/>
      <c r="Z32" s="898"/>
      <c r="AA32" s="883"/>
      <c r="AB32" s="665"/>
      <c r="AC32" s="899"/>
      <c r="AD32" s="900"/>
      <c r="AE32" s="901"/>
      <c r="AF32" s="902"/>
      <c r="AG32" s="901"/>
      <c r="AH32" s="902"/>
      <c r="AI32" s="170"/>
      <c r="AJ32" s="170"/>
      <c r="AL32" s="141"/>
    </row>
    <row r="33" spans="2:43" ht="12.75" x14ac:dyDescent="0.2">
      <c r="B33" s="1109"/>
      <c r="C33" s="1109"/>
      <c r="D33" s="1109"/>
      <c r="E33" s="1109"/>
      <c r="F33" s="1109"/>
      <c r="G33" s="1109"/>
      <c r="H33" s="1109"/>
      <c r="I33" s="1109"/>
      <c r="J33" s="1109"/>
      <c r="K33" s="253"/>
      <c r="L33" s="255"/>
      <c r="Y33" s="898" t="str">
        <f>CenAVS!A27</f>
        <v xml:space="preserve">          </v>
      </c>
      <c r="Z33" s="898">
        <f>CenAVS!B27</f>
        <v>0</v>
      </c>
      <c r="AA33" s="883">
        <f>CenAVS!C27</f>
        <v>0</v>
      </c>
      <c r="AB33" s="665"/>
      <c r="AC33" s="899">
        <f>CenAVS!F27</f>
        <v>0</v>
      </c>
      <c r="AD33" s="900">
        <f t="shared" si="3"/>
        <v>0</v>
      </c>
      <c r="AE33" s="901"/>
      <c r="AF33" s="902">
        <f t="shared" si="1"/>
        <v>0</v>
      </c>
      <c r="AG33" s="901"/>
      <c r="AH33" s="902">
        <f t="shared" si="2"/>
        <v>0</v>
      </c>
      <c r="AI33" s="170"/>
      <c r="AJ33" s="170"/>
      <c r="AL33" s="141"/>
    </row>
    <row r="34" spans="2:43" ht="12.75" x14ac:dyDescent="0.2">
      <c r="B34" s="272"/>
      <c r="C34" s="255"/>
      <c r="D34" s="253"/>
      <c r="E34" s="253"/>
      <c r="F34" s="253"/>
      <c r="G34" s="253"/>
      <c r="H34" s="253"/>
      <c r="I34" s="255"/>
      <c r="J34" s="253"/>
      <c r="K34" s="253"/>
      <c r="L34" s="255"/>
      <c r="Y34" s="898"/>
      <c r="Z34" s="898"/>
      <c r="AA34" s="883"/>
      <c r="AB34" s="665"/>
      <c r="AC34" s="899"/>
      <c r="AD34" s="900">
        <f t="shared" si="3"/>
        <v>0</v>
      </c>
      <c r="AE34" s="901"/>
      <c r="AF34" s="902">
        <f t="shared" si="1"/>
        <v>0</v>
      </c>
      <c r="AG34" s="901"/>
      <c r="AH34" s="902">
        <f t="shared" si="2"/>
        <v>0</v>
      </c>
      <c r="AI34" s="170"/>
      <c r="AJ34" s="170"/>
    </row>
    <row r="35" spans="2:43" ht="12.75" x14ac:dyDescent="0.2">
      <c r="B35" s="272"/>
      <c r="C35" s="273"/>
      <c r="D35" s="253"/>
      <c r="E35" s="253"/>
      <c r="F35" s="253"/>
      <c r="G35" s="253"/>
      <c r="H35" s="253"/>
      <c r="I35" s="255"/>
      <c r="J35" s="253"/>
      <c r="K35" s="253"/>
      <c r="L35" s="255"/>
      <c r="N35" s="37" t="str">
        <f>ListAVS!B177</f>
        <v>Cena bez zasilacza!</v>
      </c>
      <c r="Y35" s="898"/>
      <c r="Z35" s="898"/>
      <c r="AA35" s="883"/>
      <c r="AB35" s="665"/>
      <c r="AC35" s="899"/>
      <c r="AD35" s="900">
        <f t="shared" si="3"/>
        <v>0</v>
      </c>
      <c r="AE35" s="903"/>
      <c r="AF35" s="902">
        <f t="shared" si="1"/>
        <v>0</v>
      </c>
      <c r="AG35" s="903"/>
      <c r="AH35" s="902">
        <f t="shared" si="2"/>
        <v>0</v>
      </c>
      <c r="AI35" s="170"/>
      <c r="AJ35" s="170"/>
    </row>
    <row r="36" spans="2:43" ht="12.75" x14ac:dyDescent="0.2">
      <c r="B36" s="272"/>
      <c r="C36" s="255"/>
      <c r="D36" s="253"/>
      <c r="E36" s="253"/>
      <c r="F36" s="253"/>
      <c r="G36" s="253"/>
      <c r="H36" s="253"/>
      <c r="I36" s="255"/>
      <c r="J36" s="253"/>
      <c r="K36" s="253"/>
      <c r="L36" s="255"/>
      <c r="Y36" s="898" t="str">
        <f>CenAVS!A162</f>
        <v xml:space="preserve">prowadnik krzyżakowy mimośród wkręt 8 5mm     </v>
      </c>
      <c r="Z36" s="898" t="str">
        <f>CenAVS!B162</f>
        <v>173H7100</v>
      </c>
      <c r="AA36" s="883" t="str">
        <f>CenAVS!C162</f>
        <v>NI</v>
      </c>
      <c r="AB36" s="665">
        <f>SUM(AE36,AG36)</f>
        <v>0</v>
      </c>
      <c r="AC36" s="899">
        <f>CenAVS!F162</f>
        <v>1.7393000000000001</v>
      </c>
      <c r="AD36" s="900">
        <f t="shared" si="3"/>
        <v>0</v>
      </c>
      <c r="AE36" s="903">
        <f>AE24</f>
        <v>0</v>
      </c>
      <c r="AF36" s="902">
        <f t="shared" si="1"/>
        <v>0</v>
      </c>
      <c r="AG36" s="903">
        <f>AG24</f>
        <v>0</v>
      </c>
      <c r="AH36" s="902">
        <f t="shared" si="2"/>
        <v>0</v>
      </c>
      <c r="AI36" s="170"/>
      <c r="AJ36" s="170"/>
    </row>
    <row r="37" spans="2:43" ht="12.75" x14ac:dyDescent="0.2">
      <c r="B37" s="272"/>
      <c r="C37" s="255" t="str">
        <f>"*  "&amp;ListAVS!$B$184</f>
        <v>*  Jedynie do frontów asymetrycznych: wpisz teoretyczną wysokość TKH</v>
      </c>
      <c r="D37" s="253"/>
      <c r="E37" s="253"/>
      <c r="F37" s="253"/>
      <c r="G37" s="253"/>
      <c r="H37" s="253"/>
      <c r="I37" s="255"/>
      <c r="J37" s="253"/>
      <c r="K37" s="253"/>
      <c r="L37" s="255"/>
      <c r="N37" s="37" t="str">
        <f>" "&amp;ListAVS!$B$116</f>
        <v xml:space="preserve"> Wprowadź wagę lub wypełnij wszystkie komórki</v>
      </c>
      <c r="Y37" s="898" t="str">
        <f>CenAVS!A163</f>
        <v xml:space="preserve">prowadnik krzyżakowy mimośród Expando 8 5mm     </v>
      </c>
      <c r="Z37" s="898" t="str">
        <f>CenAVS!B163</f>
        <v>174H7100E </v>
      </c>
      <c r="AA37" s="883" t="str">
        <f>CenAVS!C163</f>
        <v>NI</v>
      </c>
      <c r="AB37" s="665"/>
      <c r="AC37" s="899">
        <f>CenAVS!F163</f>
        <v>2.1260500000000002</v>
      </c>
      <c r="AD37" s="900">
        <f t="shared" si="3"/>
        <v>0</v>
      </c>
      <c r="AE37" s="903"/>
      <c r="AF37" s="902">
        <f t="shared" si="1"/>
        <v>0</v>
      </c>
      <c r="AG37" s="903"/>
      <c r="AH37" s="902">
        <f t="shared" si="2"/>
        <v>0</v>
      </c>
      <c r="AI37" s="170"/>
      <c r="AJ37" s="170"/>
      <c r="AL37" s="143"/>
    </row>
    <row r="38" spans="2:43" ht="12.75" x14ac:dyDescent="0.2">
      <c r="B38" s="255"/>
      <c r="C38" s="255" t="str">
        <f>" ( "&amp;ListAVS!$B$185&amp;")"</f>
        <v xml:space="preserve"> ( TKH = Wysokość frontu górnego (mm) x 2 + szczeliny)</v>
      </c>
      <c r="D38" s="255"/>
      <c r="E38" s="255"/>
      <c r="F38" s="255"/>
      <c r="G38" s="255"/>
      <c r="H38" s="255"/>
      <c r="I38" s="255"/>
      <c r="J38" s="255"/>
      <c r="K38" s="255"/>
      <c r="L38" s="255"/>
      <c r="N38" s="37" t="str">
        <f>" "&amp;ListAVS!$B$117</f>
        <v xml:space="preserve"> Wprowadź wagę lub wypełnij na górze grubość szkła</v>
      </c>
      <c r="Y38" s="898"/>
      <c r="Z38" s="898"/>
      <c r="AA38" s="883"/>
      <c r="AB38" s="665"/>
      <c r="AC38" s="899"/>
      <c r="AD38" s="900"/>
      <c r="AE38" s="903"/>
      <c r="AF38" s="902">
        <f t="shared" si="1"/>
        <v>0</v>
      </c>
      <c r="AG38" s="903"/>
      <c r="AH38" s="902">
        <f t="shared" si="2"/>
        <v>0</v>
      </c>
      <c r="AI38" s="170"/>
      <c r="AJ38" s="170"/>
    </row>
    <row r="39" spans="2:43" ht="12.75" x14ac:dyDescent="0.2">
      <c r="B39" s="255"/>
      <c r="C39" s="255" t="str">
        <f>" "&amp;ListAVS!$B$328&amp;" '"&amp;ListAVS!$B$195&amp;"' "</f>
        <v xml:space="preserve"> Do obliczenia TKH użyj 'Obliczanie frontów asymetrycznych' </v>
      </c>
      <c r="D39" s="255"/>
      <c r="E39" s="255"/>
      <c r="F39" s="255"/>
      <c r="G39" s="255"/>
      <c r="H39" s="255"/>
      <c r="I39" s="255"/>
      <c r="J39" s="255"/>
      <c r="K39" s="255"/>
      <c r="L39" s="255"/>
      <c r="N39" s="37" t="str">
        <f>" "&amp;ListAVS!$B$118</f>
        <v xml:space="preserve"> Wprowadź na górze masę objętościową </v>
      </c>
      <c r="Y39" s="898"/>
      <c r="Z39" s="898"/>
      <c r="AA39" s="883"/>
      <c r="AB39" s="665"/>
      <c r="AC39" s="899"/>
      <c r="AD39" s="900"/>
      <c r="AE39" s="903"/>
      <c r="AF39" s="902"/>
      <c r="AG39" s="903"/>
      <c r="AH39" s="902"/>
      <c r="AI39" s="170"/>
      <c r="AJ39" s="170"/>
    </row>
    <row r="40" spans="2:43" ht="12.75" x14ac:dyDescent="0.2">
      <c r="B40" s="255"/>
      <c r="C40" s="255"/>
      <c r="D40" s="255"/>
      <c r="E40" s="255"/>
      <c r="F40" s="255"/>
      <c r="G40" s="255"/>
      <c r="H40" s="255"/>
      <c r="I40" s="255"/>
      <c r="J40" s="255"/>
      <c r="K40" s="255"/>
      <c r="L40" s="255"/>
      <c r="N40" s="37" t="str">
        <f>" "&amp;ListAVS!$B$119</f>
        <v xml:space="preserve"> Wypełnij na górze grubość szkła</v>
      </c>
      <c r="Y40" s="898"/>
      <c r="Z40" s="898"/>
      <c r="AA40" s="883"/>
      <c r="AB40" s="665"/>
      <c r="AC40" s="899"/>
      <c r="AD40" s="900"/>
      <c r="AE40" s="903"/>
      <c r="AF40" s="902"/>
      <c r="AG40" s="903"/>
      <c r="AH40" s="902"/>
      <c r="AI40" s="170"/>
      <c r="AJ40" s="170"/>
    </row>
    <row r="41" spans="2:43" ht="12.75" x14ac:dyDescent="0.2">
      <c r="B41" s="255"/>
      <c r="C41" s="255" t="str">
        <f>"** "&amp;ListAVS!$B$187</f>
        <v>** Jeżeli znasz wagę i nie chcesz skorzystać z "obliczenie wagi"</v>
      </c>
      <c r="D41" s="255"/>
      <c r="E41" s="255"/>
      <c r="F41" s="255"/>
      <c r="G41" s="255"/>
      <c r="H41" s="255"/>
      <c r="I41" s="255"/>
      <c r="J41" s="255"/>
      <c r="K41" s="255"/>
      <c r="L41" s="255"/>
      <c r="N41" s="37" t="str">
        <f>"◄ "&amp;ListAVS!$B$112</f>
        <v>◄ wartość będzie wykorzystana do obliczenia LF</v>
      </c>
      <c r="Y41" s="898"/>
      <c r="Z41" s="898"/>
      <c r="AA41" s="883"/>
      <c r="AB41" s="665"/>
      <c r="AC41" s="899"/>
      <c r="AD41" s="900"/>
      <c r="AE41" s="903"/>
      <c r="AF41" s="902"/>
      <c r="AG41" s="903"/>
      <c r="AH41" s="902"/>
      <c r="AI41" s="170"/>
      <c r="AJ41" s="170"/>
    </row>
    <row r="42" spans="2:43" ht="12.75" x14ac:dyDescent="0.2">
      <c r="B42" s="253"/>
      <c r="C42" s="273" t="str">
        <f>"*** "&amp;ListAVS!$B$403</f>
        <v>*** Wybierz rodzaj ramki aluminiowej!</v>
      </c>
      <c r="D42" s="255"/>
      <c r="E42" s="255"/>
      <c r="F42" s="255"/>
      <c r="G42" s="255"/>
      <c r="H42" s="255"/>
      <c r="I42" s="255"/>
      <c r="J42" s="255"/>
      <c r="K42" s="255"/>
      <c r="L42" s="255"/>
      <c r="N42" s="37" t="str">
        <f>" * "&amp;ListAVS!$B$128</f>
        <v xml:space="preserve"> * Wypełnij wartości</v>
      </c>
      <c r="Y42" s="898" t="str">
        <f>CenAVS!A166</f>
        <v xml:space="preserve">prowadnik prosty wkręt 8 5mm stal     </v>
      </c>
      <c r="Z42" s="898" t="str">
        <f>CenAVS!B166</f>
        <v>175H3100</v>
      </c>
      <c r="AA42" s="883" t="str">
        <f>CenAVS!C166</f>
        <v>NI</v>
      </c>
      <c r="AB42" s="665">
        <f>SUM(AE42,AG42)</f>
        <v>0</v>
      </c>
      <c r="AC42" s="899">
        <f>CenAVS!F166</f>
        <v>1.65564</v>
      </c>
      <c r="AD42" s="900">
        <f t="shared" si="3"/>
        <v>0</v>
      </c>
      <c r="AE42" s="903">
        <f>IF($R$48=2, $U12*$M17, 0)+SUM($Q10*2, $Q11*2, $Q12*2)*$M$17</f>
        <v>0</v>
      </c>
      <c r="AF42" s="902">
        <f>$AC42*AE42</f>
        <v>0</v>
      </c>
      <c r="AG42" s="903">
        <f>IF($R$48=2, $U23*$M28, 0)+SUM($Q21*2, $Q22*2, $Q23*2)*$M$28</f>
        <v>0</v>
      </c>
      <c r="AH42" s="902">
        <f>$AC42*AG42</f>
        <v>0</v>
      </c>
      <c r="AI42" s="170"/>
      <c r="AJ42" s="170"/>
    </row>
    <row r="43" spans="2:43" ht="12.75" x14ac:dyDescent="0.2">
      <c r="B43" s="255"/>
      <c r="C43" s="825" t="str">
        <f>"      "&amp;ListAVS!$B$404</f>
        <v xml:space="preserve">      Więcej informacji o wyborze ramki aluminiowej w Pomocy</v>
      </c>
      <c r="D43" s="825"/>
      <c r="E43" s="825"/>
      <c r="F43" s="825"/>
      <c r="G43" s="825"/>
      <c r="H43" s="825"/>
      <c r="I43" s="825"/>
      <c r="J43" s="255"/>
      <c r="K43" s="255"/>
      <c r="L43" s="255"/>
      <c r="Y43" s="898" t="str">
        <f>CenAVS!A167</f>
        <v xml:space="preserve">prowadnik prosty Expando 8 5mm stal     </v>
      </c>
      <c r="Z43" s="898" t="str">
        <f>CenAVS!B167</f>
        <v>177H3100E </v>
      </c>
      <c r="AA43" s="883" t="str">
        <f>CenAVS!C167</f>
        <v>NI</v>
      </c>
      <c r="AB43" s="665">
        <f>SUM(AE43,AG43)</f>
        <v>0</v>
      </c>
      <c r="AC43" s="899">
        <f>CenAVS!F167</f>
        <v>1.8724499999999999</v>
      </c>
      <c r="AD43" s="900">
        <f t="shared" si="3"/>
        <v>0</v>
      </c>
      <c r="AE43" s="903">
        <f>IF($R$48=1, $U12*$M17, 0)</f>
        <v>0</v>
      </c>
      <c r="AF43" s="902">
        <f>$AC43*AE45</f>
        <v>0</v>
      </c>
      <c r="AG43" s="903">
        <f>IF($R$48=1, $U23*$M28, 0)</f>
        <v>0</v>
      </c>
      <c r="AH43" s="902">
        <f>$AC43*AG43</f>
        <v>0</v>
      </c>
      <c r="AI43" s="170"/>
      <c r="AJ43" s="170"/>
      <c r="AN43" s="37"/>
      <c r="AO43" s="37"/>
      <c r="AP43" s="37"/>
      <c r="AQ43" s="37"/>
    </row>
    <row r="44" spans="2:43" s="37" customFormat="1" ht="12.75" x14ac:dyDescent="0.2">
      <c r="B44" s="274"/>
      <c r="C44" s="255"/>
      <c r="D44" s="255"/>
      <c r="E44" s="255"/>
      <c r="F44" s="255"/>
      <c r="G44" s="255"/>
      <c r="H44" s="255"/>
      <c r="I44" s="255"/>
      <c r="J44" s="398"/>
      <c r="K44" s="398"/>
      <c r="L44" s="255"/>
      <c r="N44" s="37" t="str">
        <f>" max. 19.300! "&amp;ListAVS!$B$122</f>
        <v xml:space="preserve"> max. 19.300! Popraw wagę albo wysokość</v>
      </c>
      <c r="T44" s="37" t="str">
        <f>" min. "&amp;$AB$50&amp;"! "&amp;ListAVS!$B$122</f>
        <v xml:space="preserve"> min. 2700! Popraw wagę albo wysokość</v>
      </c>
      <c r="X44" s="36"/>
      <c r="Y44" s="898">
        <f>CenAVS!A169</f>
        <v>0</v>
      </c>
      <c r="Z44" s="898">
        <f>CenAVS!B169</f>
        <v>0</v>
      </c>
      <c r="AA44" s="883">
        <f>CenAVS!C169</f>
        <v>0</v>
      </c>
      <c r="AB44" s="665"/>
      <c r="AC44" s="899">
        <f>CenAVS!F169</f>
        <v>0</v>
      </c>
      <c r="AD44" s="900">
        <f t="shared" si="3"/>
        <v>0</v>
      </c>
      <c r="AE44" s="903"/>
      <c r="AF44" s="902">
        <f>$AC44*AE44</f>
        <v>0</v>
      </c>
      <c r="AG44" s="903"/>
      <c r="AH44" s="902">
        <f>$AC44*AG44</f>
        <v>0</v>
      </c>
      <c r="AI44" s="170"/>
      <c r="AJ44" s="170"/>
      <c r="AK44" s="36"/>
      <c r="AL44" s="36"/>
      <c r="AM44" s="121"/>
    </row>
    <row r="45" spans="2:43" s="37" customFormat="1" x14ac:dyDescent="0.2">
      <c r="N45" s="37" t="str">
        <f>" "&amp;ListAVS!$B$120</f>
        <v xml:space="preserve"> Dodatkowy trzeci siłownik</v>
      </c>
      <c r="O45" s="118"/>
      <c r="Q45" s="118"/>
      <c r="U45" s="37" t="str">
        <f>" "&amp;ListAVS!B127</f>
        <v xml:space="preserve"> Użyj tylko jeden podnośnik</v>
      </c>
      <c r="X45" s="36"/>
      <c r="Y45" s="898" t="str">
        <f>CenAVS!A171</f>
        <v xml:space="preserve">Aventos HF/HL/HS - Top Servo-Drive      </v>
      </c>
      <c r="Z45" s="898" t="str">
        <f>CenAVS!B171</f>
        <v>23.A000</v>
      </c>
      <c r="AA45" s="883" t="str">
        <f>CenAVS!C171</f>
        <v>R7037</v>
      </c>
      <c r="AB45" s="665">
        <f>SUM(AE45,AG45)</f>
        <v>0</v>
      </c>
      <c r="AC45" s="899">
        <f>CenAVS!F171</f>
        <v>905.30219999999997</v>
      </c>
      <c r="AD45" s="900">
        <f t="shared" si="3"/>
        <v>0</v>
      </c>
      <c r="AE45" s="903">
        <f>IF($S$9=1, 0, $M$17)+IF(AND($S$9=2, $H$16&gt;$AB$52), $M$17, 0)</f>
        <v>0</v>
      </c>
      <c r="AF45" s="902">
        <f>$AC45*AE45</f>
        <v>0</v>
      </c>
      <c r="AG45" s="903">
        <f>IF($S$20=1, 0, $M$28)+IF(AND($S$20=2, $H$27&gt;$AB$52), $M$28, 0)</f>
        <v>0</v>
      </c>
      <c r="AH45" s="902">
        <f>$AC45*AG45</f>
        <v>0</v>
      </c>
      <c r="AI45" s="170"/>
      <c r="AJ45" s="170"/>
      <c r="AK45" s="36"/>
      <c r="AL45" s="36"/>
    </row>
    <row r="46" spans="2:43" s="37" customFormat="1" x14ac:dyDescent="0.2">
      <c r="N46" s="37" t="str">
        <f>ListAVS!$B$182</f>
        <v>Dodatkowy trzeci siłownik można zastosować jedynie z pełnym frontem dolnym!</v>
      </c>
      <c r="O46" s="118"/>
      <c r="Q46" s="118"/>
      <c r="X46" s="36"/>
      <c r="AG46" s="118"/>
      <c r="AI46" s="170"/>
      <c r="AJ46" s="170"/>
      <c r="AK46" s="36"/>
      <c r="AL46" s="36"/>
      <c r="AN46" s="121"/>
      <c r="AO46" s="121"/>
      <c r="AP46" s="121"/>
      <c r="AQ46" s="121"/>
    </row>
    <row r="47" spans="2:43" x14ac:dyDescent="0.2">
      <c r="B47" s="144"/>
      <c r="Y47" s="37"/>
      <c r="Z47" s="37"/>
      <c r="AA47" s="37"/>
      <c r="AB47" s="37"/>
      <c r="AC47" s="144" t="str">
        <f>ListAVS!$B$61&amp;" "</f>
        <v xml:space="preserve">Cena całkowita bez VAT </v>
      </c>
      <c r="AD47" s="171">
        <f>SUM(AD9:AD45)</f>
        <v>0</v>
      </c>
      <c r="AE47" s="37"/>
      <c r="AF47" s="37">
        <f>SUM(AF9:AF46)</f>
        <v>0</v>
      </c>
      <c r="AG47" s="37"/>
      <c r="AH47" s="37">
        <f>SUM(AH9:AH46)</f>
        <v>0</v>
      </c>
      <c r="AI47" s="170"/>
      <c r="AJ47" s="170"/>
      <c r="AM47" s="37"/>
    </row>
    <row r="48" spans="2:43" x14ac:dyDescent="0.2">
      <c r="N48" s="939">
        <v>2</v>
      </c>
      <c r="O48" s="298">
        <v>2</v>
      </c>
      <c r="P48" s="939">
        <v>2</v>
      </c>
      <c r="Q48" s="298">
        <v>2</v>
      </c>
      <c r="R48" s="117">
        <f>HF!$P$33</f>
        <v>1</v>
      </c>
      <c r="S48" s="194"/>
      <c r="T48" s="117">
        <f>MenuAVS!$P$28</f>
        <v>1</v>
      </c>
      <c r="Y48" s="897">
        <f>HF!$R$33</f>
        <v>1</v>
      </c>
      <c r="Z48" s="108" t="str">
        <f>Param!M10</f>
        <v>Parametry HF</v>
      </c>
      <c r="AA48" s="108"/>
      <c r="AB48" s="108"/>
      <c r="AC48" s="108"/>
      <c r="AD48" s="108"/>
      <c r="AE48" s="108"/>
      <c r="AF48" s="108"/>
      <c r="AG48" s="108"/>
      <c r="AH48" s="108"/>
      <c r="AI48" s="170"/>
      <c r="AJ48" s="170"/>
    </row>
    <row r="49" spans="2:43" x14ac:dyDescent="0.2">
      <c r="B49" s="316"/>
      <c r="C49" s="317"/>
      <c r="D49" s="317"/>
      <c r="E49" s="317"/>
      <c r="F49" s="317"/>
      <c r="G49" s="317"/>
      <c r="I49" s="317"/>
      <c r="J49" s="317"/>
      <c r="N49" s="153" t="s">
        <v>7</v>
      </c>
      <c r="O49" s="39" t="s">
        <v>67</v>
      </c>
      <c r="P49" s="153" t="s">
        <v>8</v>
      </c>
      <c r="Q49" s="39" t="s">
        <v>67</v>
      </c>
      <c r="R49" s="153" t="s">
        <v>9</v>
      </c>
      <c r="T49" s="153" t="s">
        <v>6</v>
      </c>
      <c r="W49" s="154" t="s">
        <v>57</v>
      </c>
      <c r="Y49" s="896" t="s">
        <v>676</v>
      </c>
      <c r="Z49" s="108" t="str">
        <f>Param!M11</f>
        <v>Zdvihač</v>
      </c>
      <c r="AA49" s="108" t="str">
        <f>Param!N11</f>
        <v>ks</v>
      </c>
      <c r="AB49" s="108" t="str">
        <f>Param!O11</f>
        <v>min</v>
      </c>
      <c r="AC49" s="108" t="str">
        <f>Param!P11</f>
        <v>max</v>
      </c>
      <c r="AD49" s="108" t="str">
        <f>Param!Q11</f>
        <v>alu max.</v>
      </c>
      <c r="AE49" s="108"/>
      <c r="AF49" s="108"/>
      <c r="AG49" s="108"/>
      <c r="AH49" s="108"/>
      <c r="AI49" s="37"/>
      <c r="AJ49" s="37"/>
    </row>
    <row r="50" spans="2:43" x14ac:dyDescent="0.2">
      <c r="B50" s="317"/>
      <c r="C50" s="317"/>
      <c r="D50" s="317"/>
      <c r="E50" s="317"/>
      <c r="F50" s="317"/>
      <c r="G50" s="317"/>
      <c r="I50" s="317"/>
      <c r="J50" s="317"/>
      <c r="N50" s="37" t="str">
        <f>ListAVS!$B$134</f>
        <v>Expando</v>
      </c>
      <c r="P50" s="37" t="str">
        <f>ListAVS!$B$134</f>
        <v>Expando</v>
      </c>
      <c r="R50" s="37" t="str">
        <f>ListAVS!$B$134</f>
        <v>Expando</v>
      </c>
      <c r="T50" s="37" t="str">
        <f>ListAVS!$B$146</f>
        <v>Jasnoszary (HGR)</v>
      </c>
      <c r="W50" s="149" t="s">
        <v>58</v>
      </c>
      <c r="Y50" s="108" t="s">
        <v>105</v>
      </c>
      <c r="Z50" s="108" t="str">
        <f>Param!M12</f>
        <v>22F2500</v>
      </c>
      <c r="AA50" s="108">
        <f>Param!N12</f>
        <v>1</v>
      </c>
      <c r="AB50" s="108">
        <f>Param!O12</f>
        <v>2700</v>
      </c>
      <c r="AC50" s="108">
        <f>Param!P12</f>
        <v>11500</v>
      </c>
      <c r="AD50" s="108"/>
      <c r="AE50" s="108"/>
      <c r="AF50" s="108"/>
      <c r="AG50" s="108"/>
      <c r="AH50" s="108"/>
      <c r="AI50" s="37"/>
      <c r="AJ50" s="37"/>
    </row>
    <row r="51" spans="2:43" x14ac:dyDescent="0.2">
      <c r="B51" s="316"/>
      <c r="C51" s="317"/>
      <c r="D51" s="317"/>
      <c r="E51" s="317"/>
      <c r="F51" s="317"/>
      <c r="G51" s="317"/>
      <c r="I51" s="317"/>
      <c r="J51" s="317"/>
      <c r="N51" s="37" t="str">
        <f>ListAVS!$B$135</f>
        <v>na wkręty</v>
      </c>
      <c r="P51" s="37" t="str">
        <f>ListAVS!$B$135</f>
        <v>na wkręty</v>
      </c>
      <c r="R51" s="37" t="str">
        <f>ListAVS!$B$135</f>
        <v>na wkręty</v>
      </c>
      <c r="T51" s="37" t="str">
        <f>ListAVS!$B$147</f>
        <v>Ciemnoszary (TGR)</v>
      </c>
      <c r="W51" s="149" t="s">
        <v>59</v>
      </c>
      <c r="Y51" s="108" t="s">
        <v>678</v>
      </c>
      <c r="Z51" s="108" t="str">
        <f>Param!M13</f>
        <v>22F2800</v>
      </c>
      <c r="AA51" s="108">
        <f>Param!N13</f>
        <v>1</v>
      </c>
      <c r="AB51" s="108">
        <f>Param!O13</f>
        <v>11500</v>
      </c>
      <c r="AC51" s="108">
        <f>Param!P13</f>
        <v>19300</v>
      </c>
      <c r="AD51" s="108">
        <f>Param!Q13</f>
        <v>19300</v>
      </c>
      <c r="AE51" s="108"/>
      <c r="AF51" s="108"/>
      <c r="AG51" s="108"/>
      <c r="AH51" s="108"/>
      <c r="AI51" s="37"/>
      <c r="AJ51" s="37"/>
    </row>
    <row r="52" spans="2:43" x14ac:dyDescent="0.2">
      <c r="B52" s="144"/>
      <c r="C52" s="317"/>
      <c r="T52" s="37" t="str">
        <f>ListAVS!$B$148</f>
        <v>Jedwabiście biały (SW)</v>
      </c>
      <c r="Y52" s="108"/>
      <c r="Z52" s="108" t="str">
        <f>Param!M14</f>
        <v>22F2800</v>
      </c>
      <c r="AA52" s="108">
        <f>Param!N14</f>
        <v>1.5</v>
      </c>
      <c r="AB52" s="108">
        <f>Param!O14</f>
        <v>19300</v>
      </c>
      <c r="AC52" s="108">
        <f>Param!P14</f>
        <v>28950</v>
      </c>
      <c r="AD52" s="108">
        <f>Param!Q14</f>
        <v>0</v>
      </c>
      <c r="AE52" s="108"/>
      <c r="AF52" s="108"/>
      <c r="AG52" s="108"/>
      <c r="AH52" s="108"/>
    </row>
    <row r="53" spans="2:43" x14ac:dyDescent="0.2">
      <c r="B53" s="144"/>
      <c r="N53" s="37" t="str">
        <f>ListAVS!B188</f>
        <v>W celu określenia rodzaju siłownika będzie wykorzystana podana waga</v>
      </c>
      <c r="Y53" s="108"/>
      <c r="Z53" s="108" t="str">
        <f>Param!M17</f>
        <v>Teleskop</v>
      </c>
      <c r="AA53" s="108"/>
      <c r="AB53" s="108" t="str">
        <f>Param!O17</f>
        <v>min</v>
      </c>
      <c r="AC53" s="108" t="str">
        <f>Param!P17</f>
        <v>max</v>
      </c>
      <c r="AD53" s="108">
        <f>Param!Q17</f>
        <v>0</v>
      </c>
      <c r="AE53" s="108"/>
      <c r="AF53" s="108"/>
      <c r="AG53" s="108"/>
      <c r="AH53" s="108"/>
    </row>
    <row r="54" spans="2:43" x14ac:dyDescent="0.2">
      <c r="B54" s="155"/>
      <c r="D54" s="155"/>
      <c r="E54" s="155"/>
      <c r="F54" s="155"/>
      <c r="G54" s="155"/>
      <c r="I54" s="155"/>
      <c r="J54" s="155"/>
      <c r="N54" s="37" t="str">
        <f>ListAVS!B189</f>
        <v>W celu określenia rodzaju siłownika będzie wykorzystana obliczona waga</v>
      </c>
      <c r="Y54" s="108"/>
      <c r="Z54" s="108" t="str">
        <f>Param!M18</f>
        <v>20F3200</v>
      </c>
      <c r="AA54" s="108">
        <f>Param!N18</f>
        <v>0</v>
      </c>
      <c r="AB54" s="108">
        <f>Param!O18</f>
        <v>480</v>
      </c>
      <c r="AC54" s="108">
        <f>Param!P18</f>
        <v>605</v>
      </c>
      <c r="AD54" s="108">
        <f>Param!Q18</f>
        <v>0</v>
      </c>
      <c r="AE54" s="108"/>
      <c r="AF54" s="108"/>
      <c r="AG54" s="108"/>
      <c r="AH54" s="108"/>
    </row>
    <row r="55" spans="2:43" x14ac:dyDescent="0.2">
      <c r="N55" s="37" t="str">
        <f>". "&amp;ListAVS!$B$190</f>
        <v>. Jeżeli chcesz wykorzystać obliczoną wagę, zmaż podaną wartość</v>
      </c>
      <c r="Y55" s="108"/>
      <c r="Z55" s="108" t="str">
        <f>Param!M19</f>
        <v>20F3500</v>
      </c>
      <c r="AA55" s="108">
        <f>Param!N19</f>
        <v>0</v>
      </c>
      <c r="AB55" s="108">
        <f>Param!O19</f>
        <v>605</v>
      </c>
      <c r="AC55" s="108">
        <f>Param!P19</f>
        <v>890</v>
      </c>
      <c r="AD55" s="108">
        <f>Param!Q19</f>
        <v>0</v>
      </c>
      <c r="AE55" s="108"/>
      <c r="AF55" s="108"/>
      <c r="AG55" s="108"/>
      <c r="AH55" s="108"/>
      <c r="AQ55" s="37"/>
    </row>
    <row r="56" spans="2:43" s="37" customFormat="1" x14ac:dyDescent="0.2">
      <c r="N56" s="37" t="str">
        <f>". "&amp;ListAVS!$B$191</f>
        <v>. Jeżeli chcesz wykorzystać podaną wagą, wpisz ją w pole</v>
      </c>
      <c r="X56" s="36"/>
      <c r="Y56" s="108"/>
      <c r="Z56" s="108" t="str">
        <f>Param!M20</f>
        <v>20F3900</v>
      </c>
      <c r="AA56" s="108">
        <f>Param!N20</f>
        <v>0</v>
      </c>
      <c r="AB56" s="108">
        <f>Param!O20</f>
        <v>890</v>
      </c>
      <c r="AC56" s="108">
        <f>Param!P20</f>
        <v>1200</v>
      </c>
      <c r="AD56" s="108">
        <f>Param!Q20</f>
        <v>0</v>
      </c>
      <c r="AE56" s="108"/>
      <c r="AF56" s="108"/>
      <c r="AG56" s="108"/>
      <c r="AH56" s="108"/>
      <c r="AI56" s="36"/>
      <c r="AJ56" s="36"/>
      <c r="AK56" s="36"/>
      <c r="AL56" s="36"/>
      <c r="AM56" s="121"/>
      <c r="AN56" s="121"/>
      <c r="AO56" s="121"/>
      <c r="AP56" s="121"/>
    </row>
    <row r="57" spans="2:43" s="37" customFormat="1" x14ac:dyDescent="0.2">
      <c r="N57" s="37">
        <f>ListAVS!B192</f>
        <v>0</v>
      </c>
      <c r="X57" s="36"/>
      <c r="Y57" s="108"/>
      <c r="Z57" s="108"/>
      <c r="AA57" s="108"/>
      <c r="AB57" s="108" t="str">
        <f>Param!O21</f>
        <v>max.</v>
      </c>
      <c r="AC57" s="108">
        <f>Param!P21</f>
        <v>1200</v>
      </c>
      <c r="AD57" s="108">
        <f>Param!Q21</f>
        <v>0</v>
      </c>
      <c r="AE57" s="108"/>
      <c r="AF57" s="108"/>
      <c r="AG57" s="108"/>
      <c r="AH57" s="108"/>
      <c r="AI57" s="36"/>
      <c r="AJ57" s="36"/>
      <c r="AK57" s="36"/>
      <c r="AL57" s="36"/>
      <c r="AM57" s="121"/>
      <c r="AN57" s="121"/>
      <c r="AO57" s="121"/>
      <c r="AP57" s="121"/>
      <c r="AQ57" s="121"/>
    </row>
    <row r="58" spans="2:43" x14ac:dyDescent="0.2">
      <c r="N58" s="37" t="str">
        <f>ListAVS!B193</f>
        <v>Do wyboru podnośnika teleskopowego zostanie wykorzystana teoretyczna wysokość TKH</v>
      </c>
      <c r="Y58" s="108"/>
      <c r="Z58" s="108"/>
      <c r="AA58" s="108"/>
      <c r="AB58" s="108"/>
      <c r="AC58" s="108"/>
      <c r="AD58" s="108"/>
      <c r="AE58" s="108"/>
      <c r="AF58" s="108"/>
      <c r="AG58" s="108"/>
      <c r="AH58" s="108"/>
    </row>
    <row r="59" spans="2:43" x14ac:dyDescent="0.2">
      <c r="N59" s="37" t="str">
        <f>ListAVS!B194</f>
        <v xml:space="preserve">Wysokość teoretyczna TKH nie może być mniejsza niż KH </v>
      </c>
      <c r="Y59" s="108"/>
      <c r="Z59" s="108"/>
      <c r="AA59" s="108"/>
      <c r="AB59" s="108"/>
      <c r="AC59" s="108"/>
      <c r="AD59" s="108"/>
      <c r="AE59" s="108"/>
      <c r="AF59" s="108"/>
      <c r="AG59" s="108"/>
      <c r="AH59" s="108"/>
    </row>
    <row r="60" spans="2:43" x14ac:dyDescent="0.2">
      <c r="Y60" s="108"/>
      <c r="Z60" s="108"/>
      <c r="AA60" s="108"/>
      <c r="AB60" s="108"/>
      <c r="AC60" s="108"/>
      <c r="AD60" s="108"/>
      <c r="AE60" s="108"/>
      <c r="AF60" s="108"/>
      <c r="AG60" s="108"/>
      <c r="AH60" s="108"/>
    </row>
    <row r="61" spans="2:43" x14ac:dyDescent="0.2">
      <c r="Y61" s="108"/>
      <c r="Z61" s="108"/>
      <c r="AA61" s="108"/>
      <c r="AB61" s="108"/>
      <c r="AC61" s="108"/>
      <c r="AD61" s="108"/>
      <c r="AE61" s="108"/>
      <c r="AF61" s="108"/>
      <c r="AG61" s="108"/>
      <c r="AH61" s="108"/>
    </row>
    <row r="65" spans="1:43" x14ac:dyDescent="0.2">
      <c r="P65" s="149"/>
    </row>
    <row r="70" spans="1:43" x14ac:dyDescent="0.2">
      <c r="N70" s="172" t="str">
        <f>ListAVS!$B$73</f>
        <v>Obliczanie wagi frontów</v>
      </c>
      <c r="O70" s="173"/>
      <c r="P70" s="173"/>
      <c r="Q70" s="173"/>
      <c r="R70" s="173"/>
      <c r="X70" s="37"/>
      <c r="Y70" s="37"/>
      <c r="Z70" s="118"/>
      <c r="AA70" s="37"/>
      <c r="AB70" s="118"/>
      <c r="AC70" s="37"/>
      <c r="AD70" s="37"/>
      <c r="AE70" s="37"/>
      <c r="AF70" s="37"/>
      <c r="AG70" s="37"/>
      <c r="AH70" s="37"/>
    </row>
    <row r="71" spans="1:43" ht="15.75" customHeight="1" x14ac:dyDescent="0.2">
      <c r="O71" s="174" t="str">
        <f>ListAVS!$B$180&amp;"  "</f>
        <v xml:space="preserve">Wykonanie frontów  </v>
      </c>
      <c r="Q71" s="37"/>
      <c r="T71" s="300">
        <f>J4</f>
        <v>0</v>
      </c>
      <c r="U71" s="175" t="str">
        <f>IF($AF$77=3,IF($T$71=0,$Y$74," "),IF($T$71&gt;0,$Y$75," "))</f>
        <v xml:space="preserve"> </v>
      </c>
      <c r="X71" s="37"/>
      <c r="Y71" s="324" t="str">
        <f>IF($AF$77=1,$AF$94,IF($AF$77=2,$AF$95,$AF$96&amp;" - "&amp;$Y$81&amp;"mm"))</f>
        <v>Ramki aluminiowe z 4mm szkłem</v>
      </c>
      <c r="Z71" s="118"/>
      <c r="AA71" s="37"/>
      <c r="AB71" s="118"/>
      <c r="AC71" s="37"/>
      <c r="AD71" s="209">
        <f>MenuAVS!$Q$81</f>
        <v>2500</v>
      </c>
      <c r="AE71" s="37"/>
      <c r="AF71" s="37"/>
      <c r="AG71" s="37"/>
      <c r="AH71" s="37"/>
    </row>
    <row r="72" spans="1:43" ht="15.75" customHeight="1" x14ac:dyDescent="0.2">
      <c r="O72" s="37"/>
      <c r="Q72" s="37"/>
      <c r="X72" s="37"/>
      <c r="Y72" s="37" t="str">
        <f>" "&amp;ListAVS!$B$244</f>
        <v xml:space="preserve"> Zmień masę objętościową</v>
      </c>
      <c r="Z72" s="118"/>
      <c r="AA72" s="37"/>
      <c r="AB72" s="118"/>
      <c r="AC72" s="37"/>
      <c r="AD72" s="37"/>
      <c r="AE72" s="37"/>
      <c r="AF72" s="37"/>
      <c r="AG72" s="37"/>
      <c r="AH72" s="37"/>
    </row>
    <row r="73" spans="1:43" x14ac:dyDescent="0.2">
      <c r="N73" s="121"/>
      <c r="O73" s="37"/>
      <c r="Q73" s="37"/>
      <c r="X73" s="37"/>
      <c r="Y73" s="37" t="str">
        <f>" "&amp;ListAVS!$B$245&amp;" [kg/m3]"</f>
        <v xml:space="preserve"> Podaj masę objętościową [kg/m3]</v>
      </c>
      <c r="Z73" s="118"/>
      <c r="AA73" s="37"/>
      <c r="AB73" s="118"/>
      <c r="AC73" s="37"/>
      <c r="AD73" s="37"/>
      <c r="AE73" s="37"/>
      <c r="AF73" s="37"/>
      <c r="AG73" s="37"/>
      <c r="AH73" s="37"/>
    </row>
    <row r="74" spans="1:43" x14ac:dyDescent="0.2">
      <c r="N74" s="121"/>
      <c r="O74" s="37"/>
      <c r="Q74" s="37"/>
      <c r="X74" s="37"/>
      <c r="Y74" s="37" t="str">
        <f>" "&amp;ListAVS!$B$246&amp;" [mm]"</f>
        <v xml:space="preserve"> Podaj grubość szkła [mm]</v>
      </c>
      <c r="Z74" s="118"/>
      <c r="AA74" s="37"/>
      <c r="AB74" s="118"/>
      <c r="AC74" s="37"/>
      <c r="AD74" s="37"/>
      <c r="AE74" s="37"/>
      <c r="AF74" s="37"/>
      <c r="AG74" s="37"/>
      <c r="AH74" s="37"/>
    </row>
    <row r="75" spans="1:43" x14ac:dyDescent="0.2">
      <c r="O75" s="37"/>
      <c r="Q75" s="37"/>
      <c r="X75" s="37"/>
      <c r="Y75" s="37" t="str">
        <f>" "&amp;ListAVS!$B$241&amp;" '"&amp;ListAVS!$B$95&amp;"'"</f>
        <v xml:space="preserve"> Wartość obowiązuje tylko dla opcji 'Ramki aluminiowe z innym szkłem'</v>
      </c>
      <c r="Z75" s="118"/>
      <c r="AA75" s="37"/>
      <c r="AB75" s="118"/>
      <c r="AC75" s="37"/>
      <c r="AD75" s="37"/>
      <c r="AE75" s="37"/>
      <c r="AF75" s="37"/>
      <c r="AG75" s="37"/>
      <c r="AH75" s="37"/>
    </row>
    <row r="76" spans="1:43" ht="15.75" customHeight="1" x14ac:dyDescent="0.2">
      <c r="N76" s="1099"/>
      <c r="O76" s="1099"/>
      <c r="P76" s="1099"/>
      <c r="Q76" s="1100"/>
      <c r="R76" s="1082" t="str">
        <f>D9</f>
        <v xml:space="preserve"> </v>
      </c>
      <c r="S76" s="1083"/>
      <c r="T76" s="1084"/>
      <c r="X76" s="37"/>
      <c r="Y76" s="37" t="str">
        <f>" "&amp;ListAVS!$B$410</f>
        <v xml:space="preserve"> Możesz zmienić wartości we Wstępie do planowania</v>
      </c>
      <c r="Z76" s="118"/>
      <c r="AA76" s="37"/>
      <c r="AB76" s="118"/>
      <c r="AC76" s="37"/>
      <c r="AD76" s="209"/>
      <c r="AE76" s="601" t="s">
        <v>68</v>
      </c>
      <c r="AF76" s="601" t="s">
        <v>69</v>
      </c>
      <c r="AG76" s="601" t="s">
        <v>70</v>
      </c>
      <c r="AH76" s="37"/>
      <c r="AQ76" s="118"/>
    </row>
    <row r="77" spans="1:43" s="118" customFormat="1" ht="13.5" customHeight="1" x14ac:dyDescent="0.2">
      <c r="A77" s="37"/>
      <c r="N77" s="1110" t="str">
        <f>ListAVS!$B$74&amp;" KB [mm]       "</f>
        <v xml:space="preserve">Szerokość korpusu KB [mm]       </v>
      </c>
      <c r="O77" s="1111"/>
      <c r="P77" s="1111"/>
      <c r="Q77" s="1111"/>
      <c r="R77" s="1111"/>
      <c r="S77" s="1112"/>
      <c r="T77" s="300">
        <f>H10</f>
        <v>0</v>
      </c>
      <c r="U77" s="36"/>
      <c r="W77" s="37"/>
      <c r="X77" s="37"/>
      <c r="Y77" s="37">
        <f>T77*T78*T79</f>
        <v>0</v>
      </c>
      <c r="Z77" s="37"/>
      <c r="AA77" s="37"/>
      <c r="AC77" s="37"/>
      <c r="AD77" s="325">
        <f>IF($AG$77=1,$X$94,$X$95)</f>
        <v>0.62</v>
      </c>
      <c r="AE77" s="326">
        <f>$X$96*2</f>
        <v>1.22</v>
      </c>
      <c r="AF77" s="327">
        <v>1</v>
      </c>
      <c r="AG77" s="328">
        <f>$O$4</f>
        <v>1</v>
      </c>
      <c r="AH77" s="37"/>
      <c r="AJ77" s="36"/>
      <c r="AK77" s="36"/>
      <c r="AL77" s="36"/>
      <c r="AM77" s="121"/>
      <c r="AN77" s="121"/>
      <c r="AO77" s="121"/>
      <c r="AP77" s="121"/>
    </row>
    <row r="78" spans="1:43" s="118" customFormat="1" ht="13.5" customHeight="1" x14ac:dyDescent="0.2">
      <c r="A78" s="37"/>
      <c r="N78" s="1110" t="str">
        <f>ListAVS!$B$75&amp;" KH [mm]       "</f>
        <v xml:space="preserve">Wysokość korpusu KH [mm]       </v>
      </c>
      <c r="O78" s="1111"/>
      <c r="P78" s="1111"/>
      <c r="Q78" s="1111"/>
      <c r="R78" s="1111"/>
      <c r="S78" s="1112"/>
      <c r="T78" s="300">
        <f>H11</f>
        <v>0</v>
      </c>
      <c r="U78" s="36"/>
      <c r="W78" s="37"/>
      <c r="X78" s="37"/>
      <c r="Y78" s="37">
        <f>Y77/1000000000</f>
        <v>0</v>
      </c>
      <c r="Z78" s="117">
        <f>AF77</f>
        <v>1</v>
      </c>
      <c r="AC78" s="37"/>
      <c r="AD78" s="153" t="s">
        <v>71</v>
      </c>
      <c r="AE78" s="329">
        <f>SUM(T77*4,(T78-180)*2)*AD77/1000</f>
        <v>-0.22319999999999998</v>
      </c>
      <c r="AF78" s="601" t="s">
        <v>72</v>
      </c>
      <c r="AG78" s="601"/>
      <c r="AH78" s="37"/>
      <c r="AJ78" s="36"/>
      <c r="AK78" s="36"/>
      <c r="AL78" s="36"/>
      <c r="AM78" s="121"/>
      <c r="AN78" s="121"/>
      <c r="AO78" s="121"/>
      <c r="AP78" s="121"/>
    </row>
    <row r="79" spans="1:43" s="118" customFormat="1" ht="13.5" customHeight="1" x14ac:dyDescent="0.2">
      <c r="A79" s="37"/>
      <c r="N79" s="1113" t="str">
        <f>ListAVS!$B$80&amp;" TS [mm] "</f>
        <v xml:space="preserve">Grubość frontu TS [mm] </v>
      </c>
      <c r="O79" s="1114"/>
      <c r="P79" s="1114"/>
      <c r="Q79" s="1114"/>
      <c r="R79" s="1114"/>
      <c r="S79" s="1115"/>
      <c r="T79" s="300"/>
      <c r="U79" s="130"/>
      <c r="W79" s="37"/>
      <c r="X79" s="37"/>
      <c r="Y79" s="319">
        <f>MenuAVS!$C$31</f>
        <v>760</v>
      </c>
      <c r="Z79" s="175" t="str">
        <f>ListAVS!$B$90&amp;" ("&amp;Y79&amp;" kg/m3)"</f>
        <v>MDF (760 kg/m3)</v>
      </c>
      <c r="AC79" s="37"/>
      <c r="AD79" s="209">
        <f>$AD$71*4/1000</f>
        <v>10</v>
      </c>
      <c r="AE79" s="330">
        <f>IF($AG$77=1,AF79*AD79,AG79*AD79)</f>
        <v>0.128</v>
      </c>
      <c r="AF79" s="329">
        <f>SUM(($T$77-80)*($T$78-160)/1000000)</f>
        <v>1.2800000000000001E-2</v>
      </c>
      <c r="AG79" s="331">
        <f>SUM(($T$77-6)*($T$78-15)/1000000)</f>
        <v>9.0000000000000006E-5</v>
      </c>
      <c r="AH79" s="208" t="s">
        <v>73</v>
      </c>
      <c r="AJ79" s="36"/>
      <c r="AK79" s="36"/>
      <c r="AL79" s="36"/>
      <c r="AM79" s="121"/>
      <c r="AN79" s="121"/>
      <c r="AO79" s="121"/>
      <c r="AP79" s="121"/>
    </row>
    <row r="80" spans="1:43" s="118" customFormat="1" ht="13.5" customHeight="1" x14ac:dyDescent="0.2">
      <c r="A80" s="37"/>
      <c r="N80" s="1116" t="str">
        <f>ListAVS!$B$83&amp;" [kg] "</f>
        <v xml:space="preserve">Waga uchwytu [kg] </v>
      </c>
      <c r="O80" s="1117"/>
      <c r="P80" s="1117"/>
      <c r="Q80" s="1117"/>
      <c r="R80" s="1117"/>
      <c r="S80" s="1118"/>
      <c r="T80" s="578">
        <f>H14</f>
        <v>0</v>
      </c>
      <c r="U80" s="130" t="str">
        <f>IF(SUM(T77,T78)=0," ",IF(T80=0," ● "&amp;ListAVS!$B$130," "))</f>
        <v xml:space="preserve"> </v>
      </c>
      <c r="W80" s="37"/>
      <c r="X80" s="37"/>
      <c r="Y80" s="319">
        <f>MenuAVS!$C$32</f>
        <v>680</v>
      </c>
      <c r="Z80" s="175" t="str">
        <f>ListAVS!$B$91&amp;" ("&amp;Y80&amp;" kg/m3)"</f>
        <v>Płyta wiórowa (680 kg/m3)</v>
      </c>
      <c r="AC80" s="37"/>
      <c r="AD80" s="209">
        <f>$AD$71*5/1000</f>
        <v>12.5</v>
      </c>
      <c r="AE80" s="330">
        <f>IF($AG$77=1,AF80*AD80,AG80*AD80)</f>
        <v>0.16</v>
      </c>
      <c r="AF80" s="329">
        <f>SUM(($T$77-80)*($T$78-160)/1000000)</f>
        <v>1.2800000000000001E-2</v>
      </c>
      <c r="AG80" s="331">
        <f>SUM(($T$77-6)*($T$78-15)/1000000)</f>
        <v>9.0000000000000006E-5</v>
      </c>
      <c r="AH80" s="208" t="s">
        <v>74</v>
      </c>
      <c r="AJ80" s="36"/>
      <c r="AK80" s="36"/>
      <c r="AL80" s="36"/>
      <c r="AM80" s="121"/>
      <c r="AN80" s="121"/>
      <c r="AO80" s="121"/>
      <c r="AP80" s="121"/>
    </row>
    <row r="81" spans="1:43" s="118" customFormat="1" ht="13.5" customHeight="1" x14ac:dyDescent="0.2">
      <c r="A81" s="37"/>
      <c r="N81" s="1116" t="str">
        <f>ListAVS!$B$79&amp;" [kg] "</f>
        <v xml:space="preserve">Obliczona waga frontu [kg] </v>
      </c>
      <c r="O81" s="1117"/>
      <c r="P81" s="1117"/>
      <c r="Q81" s="1117"/>
      <c r="R81" s="1117"/>
      <c r="S81" s="1118"/>
      <c r="T81" s="185">
        <f>IF(AD82=0,0,AD82+T80)</f>
        <v>0</v>
      </c>
      <c r="U81" s="119"/>
      <c r="W81" s="37"/>
      <c r="X81" s="186">
        <f>IF(T77*T78*T79=0,0,IF(Z78=1,Y78*Y79+T80,IF(Z78=2,Y78*Y80+T80,Y78*Y81+T80)))</f>
        <v>0</v>
      </c>
      <c r="Y81" s="37">
        <f>$T$71</f>
        <v>0</v>
      </c>
      <c r="Z81" s="175" t="str">
        <f>ListAVS!$B$92</f>
        <v>Inne – wybrana gęstość materiału</v>
      </c>
      <c r="AC81" s="37"/>
      <c r="AD81" s="209">
        <f>$AD$71*$T$71/1000</f>
        <v>0</v>
      </c>
      <c r="AE81" s="330">
        <f>IF($AG$77=1,AF81*AD81,AG81*AD81)</f>
        <v>0</v>
      </c>
      <c r="AF81" s="329">
        <f>SUM(($T$77-80)*($T$78-160)/1000000)</f>
        <v>1.2800000000000001E-2</v>
      </c>
      <c r="AG81" s="331">
        <f>SUM(($T$77-6)*($T$78-15)/1000000)</f>
        <v>9.0000000000000006E-5</v>
      </c>
      <c r="AH81" s="208" t="s">
        <v>75</v>
      </c>
      <c r="AJ81" s="36"/>
      <c r="AK81" s="36"/>
      <c r="AL81" s="36"/>
      <c r="AM81" s="121"/>
      <c r="AN81" s="121"/>
      <c r="AO81" s="121"/>
      <c r="AP81" s="121"/>
      <c r="AQ81" s="121"/>
    </row>
    <row r="82" spans="1:43" ht="13.5" customHeight="1" x14ac:dyDescent="0.2">
      <c r="O82" s="142" t="str">
        <f>IF(T81&gt;0,IF(T80=0,$Z$94," ")," ")</f>
        <v xml:space="preserve"> </v>
      </c>
      <c r="Q82" s="37"/>
      <c r="U82" s="130"/>
      <c r="X82" s="37"/>
      <c r="Y82" s="37"/>
      <c r="Z82" s="118"/>
      <c r="AA82" s="37"/>
      <c r="AB82" s="118"/>
      <c r="AC82" s="37"/>
      <c r="AD82" s="332">
        <f>IF(OR(AND(AF77=3, $T$71=0), T77*T78=0), 0, SUM(IF(AF77=1,AE79,IF(AF77=2,AE80,AE81)),AE78,AE77))</f>
        <v>0</v>
      </c>
      <c r="AE82" s="37"/>
      <c r="AF82" s="37"/>
      <c r="AG82" s="37"/>
      <c r="AH82" s="37"/>
    </row>
    <row r="83" spans="1:43" x14ac:dyDescent="0.2">
      <c r="O83" s="37"/>
      <c r="Q83" s="37"/>
      <c r="X83" s="37"/>
      <c r="Y83" s="37"/>
      <c r="Z83" s="118"/>
      <c r="AA83" s="37"/>
      <c r="AB83" s="118"/>
      <c r="AC83" s="37"/>
      <c r="AD83" s="37"/>
      <c r="AE83" s="37"/>
      <c r="AF83" s="37"/>
      <c r="AG83" s="37"/>
      <c r="AH83" s="37"/>
      <c r="AQ83" s="118"/>
    </row>
    <row r="84" spans="1:43" s="118" customFormat="1" x14ac:dyDescent="0.2">
      <c r="A84" s="37"/>
      <c r="N84" s="37"/>
      <c r="O84" s="37"/>
      <c r="P84" s="37"/>
      <c r="Q84" s="37"/>
      <c r="R84" s="37"/>
      <c r="S84" s="37"/>
      <c r="T84" s="37"/>
      <c r="U84" s="37"/>
      <c r="V84" s="37"/>
      <c r="W84" s="37"/>
      <c r="X84" s="37"/>
      <c r="Y84" s="37"/>
      <c r="AA84" s="37"/>
      <c r="AC84" s="37"/>
      <c r="AD84" s="37"/>
      <c r="AE84" s="37"/>
      <c r="AF84" s="37"/>
      <c r="AG84" s="37"/>
      <c r="AH84" s="37"/>
      <c r="AJ84" s="36"/>
      <c r="AK84" s="36"/>
      <c r="AL84" s="36"/>
      <c r="AM84" s="121"/>
      <c r="AN84" s="121"/>
      <c r="AO84" s="121"/>
      <c r="AP84" s="121"/>
    </row>
    <row r="85" spans="1:43" s="118" customFormat="1" ht="15.75" customHeight="1" x14ac:dyDescent="0.2">
      <c r="A85" s="37"/>
      <c r="Q85" s="37"/>
      <c r="R85" s="1082" t="str">
        <f>D20</f>
        <v xml:space="preserve"> </v>
      </c>
      <c r="S85" s="1083"/>
      <c r="T85" s="1084"/>
      <c r="U85" s="37"/>
      <c r="V85" s="37"/>
      <c r="W85" s="37"/>
      <c r="X85" s="37"/>
      <c r="AA85" s="37"/>
      <c r="AC85" s="37"/>
      <c r="AD85" s="209"/>
      <c r="AE85" s="601" t="s">
        <v>68</v>
      </c>
      <c r="AF85" s="601" t="s">
        <v>69</v>
      </c>
      <c r="AG85" s="601" t="s">
        <v>70</v>
      </c>
      <c r="AH85" s="37"/>
      <c r="AJ85" s="36"/>
      <c r="AK85" s="36"/>
      <c r="AL85" s="36"/>
      <c r="AM85" s="121"/>
      <c r="AN85" s="121"/>
      <c r="AO85" s="121"/>
      <c r="AP85" s="121"/>
    </row>
    <row r="86" spans="1:43" s="118" customFormat="1" ht="13.5" customHeight="1" x14ac:dyDescent="0.2">
      <c r="A86" s="37"/>
      <c r="N86" s="1110" t="str">
        <f>ListAVS!$B$74&amp;" KB [mm]       "</f>
        <v xml:space="preserve">Szerokość korpusu KB [mm]       </v>
      </c>
      <c r="O86" s="1111"/>
      <c r="P86" s="1111"/>
      <c r="Q86" s="1111"/>
      <c r="R86" s="1111"/>
      <c r="S86" s="1112"/>
      <c r="T86" s="300">
        <f>H21</f>
        <v>0</v>
      </c>
      <c r="U86" s="36"/>
      <c r="V86" s="37"/>
      <c r="W86" s="37"/>
      <c r="X86" s="37"/>
      <c r="Y86" s="37">
        <f>T86*T87*T88</f>
        <v>0</v>
      </c>
      <c r="Z86" s="37"/>
      <c r="AA86" s="37"/>
      <c r="AC86" s="37"/>
      <c r="AD86" s="325">
        <f>IF($AG$77=1,$X$94,$X$95)</f>
        <v>0.62</v>
      </c>
      <c r="AE86" s="326">
        <f>$X$96*2</f>
        <v>1.22</v>
      </c>
      <c r="AF86" s="333">
        <f>$AF$77</f>
        <v>1</v>
      </c>
      <c r="AG86" s="328">
        <f>$AG$77</f>
        <v>1</v>
      </c>
      <c r="AH86" s="37"/>
      <c r="AJ86" s="36"/>
      <c r="AK86" s="36"/>
      <c r="AL86" s="36"/>
      <c r="AM86" s="121"/>
      <c r="AN86" s="121"/>
      <c r="AO86" s="121"/>
      <c r="AP86" s="121"/>
    </row>
    <row r="87" spans="1:43" s="118" customFormat="1" ht="13.5" customHeight="1" x14ac:dyDescent="0.2">
      <c r="A87" s="37"/>
      <c r="N87" s="1110" t="str">
        <f>ListAVS!$B$75&amp;" KH [mm]       "</f>
        <v xml:space="preserve">Wysokość korpusu KH [mm]       </v>
      </c>
      <c r="O87" s="1111"/>
      <c r="P87" s="1111"/>
      <c r="Q87" s="1111"/>
      <c r="R87" s="1111"/>
      <c r="S87" s="1112"/>
      <c r="T87" s="300">
        <f>H22</f>
        <v>0</v>
      </c>
      <c r="U87" s="36"/>
      <c r="V87" s="37"/>
      <c r="W87" s="37"/>
      <c r="X87" s="37"/>
      <c r="Y87" s="37">
        <f>Y86/1000000000</f>
        <v>0</v>
      </c>
      <c r="Z87" s="182">
        <f>AF86</f>
        <v>1</v>
      </c>
      <c r="AC87" s="37"/>
      <c r="AD87" s="144" t="s">
        <v>71</v>
      </c>
      <c r="AE87" s="329">
        <f>SUM(T86*4,(T87-180)*2)*AD86/1000</f>
        <v>-0.22319999999999998</v>
      </c>
      <c r="AF87" s="601" t="s">
        <v>72</v>
      </c>
      <c r="AG87" s="601"/>
      <c r="AH87" s="37"/>
      <c r="AJ87" s="36"/>
      <c r="AK87" s="36"/>
      <c r="AL87" s="36"/>
      <c r="AM87" s="121"/>
      <c r="AN87" s="121"/>
      <c r="AO87" s="121"/>
      <c r="AP87" s="121"/>
    </row>
    <row r="88" spans="1:43" s="118" customFormat="1" ht="13.5" customHeight="1" x14ac:dyDescent="0.2">
      <c r="A88" s="37"/>
      <c r="N88" s="1113" t="str">
        <f>ListAVS!$B$80&amp;" TS [mm] "</f>
        <v xml:space="preserve">Grubość frontu TS [mm] </v>
      </c>
      <c r="O88" s="1114"/>
      <c r="P88" s="1114"/>
      <c r="Q88" s="1114"/>
      <c r="R88" s="1114"/>
      <c r="S88" s="1115"/>
      <c r="T88" s="300"/>
      <c r="U88" s="119"/>
      <c r="X88" s="37"/>
      <c r="Y88" s="319">
        <f>$Y$79</f>
        <v>760</v>
      </c>
      <c r="Z88" s="37" t="str">
        <f>$Z$79</f>
        <v>MDF (760 kg/m3)</v>
      </c>
      <c r="AC88" s="37"/>
      <c r="AD88" s="37">
        <f>AD79</f>
        <v>10</v>
      </c>
      <c r="AE88" s="330">
        <f>IF($AG$77=1,AF88*AD88,AG88*AD88)</f>
        <v>0.128</v>
      </c>
      <c r="AF88" s="329">
        <f>SUM(($T$86-80)*($T$87-160)/1000000)</f>
        <v>1.2800000000000001E-2</v>
      </c>
      <c r="AG88" s="331">
        <f>SUM(($T$86-6)*($T$87-15)/1000000)</f>
        <v>9.0000000000000006E-5</v>
      </c>
      <c r="AH88" s="208" t="s">
        <v>73</v>
      </c>
      <c r="AJ88" s="36"/>
      <c r="AK88" s="36"/>
      <c r="AL88" s="36"/>
      <c r="AM88" s="121"/>
      <c r="AN88" s="121"/>
      <c r="AO88" s="121"/>
      <c r="AP88" s="121"/>
    </row>
    <row r="89" spans="1:43" s="118" customFormat="1" ht="13.5" customHeight="1" x14ac:dyDescent="0.2">
      <c r="A89" s="37"/>
      <c r="N89" s="1116" t="str">
        <f>ListAVS!$B$83&amp;" [kg] "</f>
        <v xml:space="preserve">Waga uchwytu [kg] </v>
      </c>
      <c r="O89" s="1117"/>
      <c r="P89" s="1117"/>
      <c r="Q89" s="1117"/>
      <c r="R89" s="1117"/>
      <c r="S89" s="1118"/>
      <c r="T89" s="578">
        <f>H25</f>
        <v>0</v>
      </c>
      <c r="U89" s="130" t="str">
        <f>IF(SUM(T86,T87)=0," ",IF(T89=0," ● "&amp;ListAVS!$B$130," "))</f>
        <v xml:space="preserve"> </v>
      </c>
      <c r="X89" s="37"/>
      <c r="Y89" s="319">
        <f>$Y$80</f>
        <v>680</v>
      </c>
      <c r="Z89" s="37" t="str">
        <f>$Z$80</f>
        <v>Płyta wiórowa (680 kg/m3)</v>
      </c>
      <c r="AC89" s="37"/>
      <c r="AD89" s="37">
        <f>AD80</f>
        <v>12.5</v>
      </c>
      <c r="AE89" s="330">
        <f>IF($AG$77=1,AF89*AD89,AG89*AD89)</f>
        <v>0.16</v>
      </c>
      <c r="AF89" s="329">
        <f>SUM(($T$86-80)*($T$87-160)/1000000)</f>
        <v>1.2800000000000001E-2</v>
      </c>
      <c r="AG89" s="331">
        <f>SUM(($T$86-6)*($T$87-15)/1000000)</f>
        <v>9.0000000000000006E-5</v>
      </c>
      <c r="AH89" s="208" t="s">
        <v>74</v>
      </c>
      <c r="AJ89" s="36"/>
      <c r="AK89" s="36"/>
      <c r="AL89" s="36"/>
      <c r="AM89" s="121"/>
      <c r="AN89" s="121"/>
      <c r="AO89" s="121"/>
      <c r="AP89" s="121"/>
    </row>
    <row r="90" spans="1:43" s="118" customFormat="1" ht="13.5" customHeight="1" x14ac:dyDescent="0.2">
      <c r="A90" s="37"/>
      <c r="N90" s="1116" t="str">
        <f>ListAVS!$B$79&amp;" [kg] "</f>
        <v xml:space="preserve">Obliczona waga frontu [kg] </v>
      </c>
      <c r="O90" s="1117"/>
      <c r="P90" s="1117"/>
      <c r="Q90" s="1117"/>
      <c r="R90" s="1117"/>
      <c r="S90" s="1118"/>
      <c r="T90" s="185">
        <f>IF(AD91=0,0,AD91+T89)</f>
        <v>0</v>
      </c>
      <c r="U90" s="119"/>
      <c r="X90" s="186">
        <f>IF(T86*T87*T88=0,0,IF(Z87=1,Y87*Y88+T89,IF(Z87=2,Y87*Y89+T89,Y87*Y90+T89)))</f>
        <v>0</v>
      </c>
      <c r="Y90" s="37">
        <f>$Y$81</f>
        <v>0</v>
      </c>
      <c r="Z90" s="37" t="str">
        <f>$Z$81</f>
        <v>Inne – wybrana gęstość materiału</v>
      </c>
      <c r="AC90" s="37"/>
      <c r="AD90" s="334">
        <f>AD81</f>
        <v>0</v>
      </c>
      <c r="AE90" s="330">
        <f>IF($AG$77=1,AF90*AD90,AG90*AD90)</f>
        <v>0</v>
      </c>
      <c r="AF90" s="329">
        <f>SUM(($T$86-80)*($T$87-160)/1000000)</f>
        <v>1.2800000000000001E-2</v>
      </c>
      <c r="AG90" s="331">
        <f>SUM(($T$86-6)*($T$87-15)/1000000)</f>
        <v>9.0000000000000006E-5</v>
      </c>
      <c r="AH90" s="208" t="s">
        <v>75</v>
      </c>
      <c r="AJ90" s="36"/>
      <c r="AK90" s="36"/>
      <c r="AL90" s="36"/>
      <c r="AM90" s="121"/>
      <c r="AN90" s="121"/>
      <c r="AO90" s="121"/>
      <c r="AP90" s="121"/>
    </row>
    <row r="91" spans="1:43" s="118" customFormat="1" ht="14.1" customHeight="1" x14ac:dyDescent="0.2">
      <c r="A91" s="37"/>
      <c r="N91" s="37"/>
      <c r="O91" s="142" t="str">
        <f>IF(T90&gt;0,IF(T89=0,$Z$94," ")," ")</f>
        <v xml:space="preserve"> </v>
      </c>
      <c r="P91" s="37"/>
      <c r="Q91" s="37"/>
      <c r="R91" s="37"/>
      <c r="S91" s="37"/>
      <c r="T91" s="37"/>
      <c r="U91" s="37"/>
      <c r="V91" s="37"/>
      <c r="W91" s="37"/>
      <c r="X91" s="37"/>
      <c r="Y91" s="37"/>
      <c r="AA91" s="37"/>
      <c r="AC91" s="37"/>
      <c r="AD91" s="332">
        <f>IF(OR(AND(AF86=3, $T$71=0), T86*T87=0), 0, SUM(IF(AF86=1,AE88,IF(AF86=2,AE89,AE90)),AE87,AE86))</f>
        <v>0</v>
      </c>
      <c r="AE91" s="37"/>
      <c r="AF91" s="37"/>
      <c r="AG91" s="37"/>
      <c r="AH91" s="37"/>
      <c r="AJ91" s="36"/>
      <c r="AK91" s="36"/>
      <c r="AL91" s="36"/>
      <c r="AM91" s="121"/>
      <c r="AN91" s="121"/>
      <c r="AO91" s="121"/>
      <c r="AP91" s="121"/>
    </row>
    <row r="92" spans="1:43" s="118" customFormat="1" x14ac:dyDescent="0.2">
      <c r="A92" s="37"/>
      <c r="N92" s="37"/>
      <c r="O92" s="37"/>
      <c r="P92" s="37"/>
      <c r="Q92" s="37"/>
      <c r="R92" s="37"/>
      <c r="S92" s="37"/>
      <c r="T92" s="37"/>
      <c r="U92" s="37"/>
      <c r="V92" s="37"/>
      <c r="W92" s="37"/>
      <c r="X92" s="37"/>
      <c r="Y92" s="37"/>
      <c r="AA92" s="37"/>
      <c r="AC92" s="37"/>
      <c r="AD92" s="37"/>
      <c r="AE92" s="37"/>
      <c r="AF92" s="37"/>
      <c r="AG92" s="37"/>
      <c r="AH92" s="37"/>
      <c r="AJ92" s="36"/>
      <c r="AK92" s="36"/>
      <c r="AL92" s="36"/>
      <c r="AM92" s="121"/>
      <c r="AN92" s="121"/>
      <c r="AO92" s="121"/>
      <c r="AP92" s="121"/>
    </row>
    <row r="93" spans="1:43" s="118" customFormat="1" x14ac:dyDescent="0.2">
      <c r="A93" s="37"/>
      <c r="N93" s="37"/>
      <c r="O93" s="37"/>
      <c r="P93" s="37"/>
      <c r="Q93" s="37"/>
      <c r="R93" s="37"/>
      <c r="U93" s="37"/>
      <c r="V93" s="37"/>
      <c r="W93" s="37"/>
      <c r="X93" s="37"/>
      <c r="Y93" s="37"/>
      <c r="AA93" s="37"/>
      <c r="AC93" s="37"/>
      <c r="AD93" s="37"/>
      <c r="AE93" s="37"/>
      <c r="AF93" s="37"/>
      <c r="AG93" s="37"/>
      <c r="AH93" s="37"/>
      <c r="AJ93" s="36"/>
      <c r="AK93" s="36"/>
      <c r="AL93" s="36"/>
      <c r="AM93" s="121"/>
      <c r="AN93" s="121"/>
      <c r="AO93" s="121"/>
      <c r="AP93" s="121"/>
    </row>
    <row r="94" spans="1:43" s="118" customFormat="1" ht="12" customHeight="1" x14ac:dyDescent="0.2">
      <c r="A94" s="37"/>
      <c r="N94" s="37"/>
      <c r="O94" s="148"/>
      <c r="P94" s="148"/>
      <c r="Q94" s="148"/>
      <c r="R94" s="148"/>
      <c r="S94" s="148"/>
      <c r="T94" s="148"/>
      <c r="U94" s="148"/>
      <c r="V94" s="148"/>
      <c r="W94" s="296" t="str">
        <f>ListAVS!$B$422&amp;"  "</f>
        <v xml:space="preserve">z wpuszczanym szkłem  </v>
      </c>
      <c r="X94" s="336">
        <f>MenuAVS!$I$86</f>
        <v>0.62</v>
      </c>
      <c r="Z94" s="37" t="str">
        <f>ListAVS!$B$103&amp;"!"</f>
        <v>Bez wagi uchwytu!</v>
      </c>
      <c r="AA94" s="37"/>
      <c r="AC94" s="37"/>
      <c r="AD94" s="37"/>
      <c r="AE94" s="37"/>
      <c r="AF94" s="335" t="str">
        <f>ListAVS!$B$93</f>
        <v>Ramki aluminiowe z 4mm szkłem</v>
      </c>
      <c r="AG94" s="37"/>
      <c r="AH94" s="37"/>
      <c r="AJ94" s="36"/>
      <c r="AK94" s="36"/>
      <c r="AL94" s="36"/>
      <c r="AM94" s="121"/>
      <c r="AN94" s="121"/>
      <c r="AO94" s="121"/>
      <c r="AP94" s="121"/>
    </row>
    <row r="95" spans="1:43" s="118" customFormat="1" x14ac:dyDescent="0.2">
      <c r="A95" s="37"/>
      <c r="N95" s="37"/>
      <c r="O95" s="148"/>
      <c r="P95" s="148"/>
      <c r="Q95" s="148"/>
      <c r="R95" s="148"/>
      <c r="S95" s="148"/>
      <c r="T95" s="148"/>
      <c r="U95" s="148"/>
      <c r="V95" s="148"/>
      <c r="W95" s="296" t="str">
        <f>ListAVS!$B$423&amp;"  "</f>
        <v xml:space="preserve">ze szkłem nakładanym lub przyklejanym  </v>
      </c>
      <c r="X95" s="336">
        <f>MenuAVS!$I$87</f>
        <v>0.63</v>
      </c>
      <c r="Y95" s="37"/>
      <c r="AA95" s="37"/>
      <c r="AC95" s="37"/>
      <c r="AD95" s="37"/>
      <c r="AE95" s="37"/>
      <c r="AF95" s="335" t="str">
        <f>ListAVS!$B$94</f>
        <v>Ramki aluminiowe z 5mm szkłem</v>
      </c>
      <c r="AG95" s="37"/>
      <c r="AH95" s="37"/>
      <c r="AJ95" s="36"/>
      <c r="AK95" s="36"/>
      <c r="AL95" s="36"/>
      <c r="AM95" s="121"/>
      <c r="AN95" s="121"/>
      <c r="AO95" s="121"/>
      <c r="AP95" s="121"/>
      <c r="AQ95" s="37"/>
    </row>
    <row r="96" spans="1:43" s="37" customFormat="1" x14ac:dyDescent="0.2">
      <c r="O96" s="148"/>
      <c r="P96" s="148"/>
      <c r="Q96" s="148"/>
      <c r="R96" s="148"/>
      <c r="S96" s="148"/>
      <c r="T96" s="148"/>
      <c r="U96" s="148"/>
      <c r="V96" s="148"/>
      <c r="W96" s="296" t="str">
        <f>ListAVS!$B$405&amp;" [kg/set] *  "</f>
        <v xml:space="preserve">Waga materiału łączącego  [kg/set] *  </v>
      </c>
      <c r="X96" s="336">
        <f>MenuAVS!$I$88</f>
        <v>0.61</v>
      </c>
      <c r="Z96" s="118"/>
      <c r="AB96" s="118"/>
      <c r="AF96" s="335" t="str">
        <f>ListAVS!$B$95</f>
        <v>Ramki aluminiowe z innym szkłem</v>
      </c>
      <c r="AJ96" s="36"/>
      <c r="AK96" s="36"/>
      <c r="AL96" s="36"/>
      <c r="AM96" s="121"/>
      <c r="AN96" s="121"/>
      <c r="AO96" s="121"/>
      <c r="AP96" s="121"/>
    </row>
    <row r="97" spans="1:43" s="37" customFormat="1" x14ac:dyDescent="0.2">
      <c r="Z97" s="118"/>
      <c r="AB97" s="118"/>
      <c r="AJ97" s="36"/>
      <c r="AK97" s="36"/>
      <c r="AL97" s="36"/>
      <c r="AM97" s="121"/>
      <c r="AN97" s="121"/>
      <c r="AO97" s="121"/>
      <c r="AP97" s="121"/>
    </row>
    <row r="98" spans="1:43" s="37" customFormat="1" x14ac:dyDescent="0.2">
      <c r="AA98" s="118"/>
      <c r="AC98" s="118"/>
      <c r="AJ98" s="36"/>
      <c r="AK98" s="36"/>
      <c r="AL98" s="36"/>
      <c r="AM98" s="121"/>
      <c r="AN98" s="121"/>
      <c r="AO98" s="121"/>
      <c r="AP98" s="121"/>
    </row>
    <row r="99" spans="1:43" s="37" customFormat="1" ht="12.75" x14ac:dyDescent="0.2">
      <c r="A99" s="118"/>
      <c r="AA99" s="118"/>
      <c r="AC99" s="118"/>
      <c r="AJ99" s="36"/>
      <c r="AK99" s="36"/>
      <c r="AL99" s="36"/>
      <c r="AM99" s="121"/>
      <c r="AN99" s="253"/>
      <c r="AO99" s="253"/>
      <c r="AP99" s="253"/>
      <c r="AQ99" s="255"/>
    </row>
    <row r="100" spans="1:43" s="255" customFormat="1" ht="15" customHeight="1" x14ac:dyDescent="0.2">
      <c r="A100" s="1045"/>
      <c r="B100" s="604" t="str">
        <f>ListAVS!$B$195</f>
        <v>Obliczanie frontów asymetrycznych</v>
      </c>
      <c r="O100" s="248"/>
      <c r="Q100" s="248"/>
      <c r="X100" s="825"/>
      <c r="Y100" s="825"/>
      <c r="Z100" s="825"/>
      <c r="AA100" s="825"/>
      <c r="AB100" s="825"/>
      <c r="AC100" s="825"/>
      <c r="AD100" s="825"/>
      <c r="AE100" s="825"/>
      <c r="AF100" s="825"/>
      <c r="AG100" s="825"/>
      <c r="AH100" s="825"/>
      <c r="AI100" s="825"/>
      <c r="AJ100" s="825"/>
      <c r="AK100" s="825"/>
      <c r="AL100" s="825"/>
      <c r="AM100" s="253"/>
      <c r="AN100" s="253"/>
      <c r="AO100" s="253"/>
      <c r="AP100" s="253"/>
    </row>
    <row r="101" spans="1:43" s="255" customFormat="1" ht="15" customHeight="1" x14ac:dyDescent="0.2">
      <c r="A101" s="1045"/>
      <c r="O101" s="248"/>
      <c r="Q101" s="248"/>
      <c r="X101" s="825"/>
      <c r="Y101" s="825"/>
      <c r="Z101" s="825"/>
      <c r="AA101" s="825"/>
      <c r="AB101" s="825"/>
      <c r="AC101" s="825"/>
      <c r="AD101" s="825"/>
      <c r="AE101" s="825"/>
      <c r="AF101" s="825"/>
      <c r="AG101" s="825"/>
      <c r="AH101" s="825"/>
      <c r="AI101" s="825"/>
      <c r="AJ101" s="825"/>
      <c r="AK101" s="825"/>
      <c r="AL101" s="825"/>
      <c r="AM101" s="253"/>
      <c r="AN101" s="253"/>
      <c r="AO101" s="253"/>
      <c r="AP101" s="253"/>
    </row>
    <row r="102" spans="1:43" s="255" customFormat="1" ht="15" customHeight="1" x14ac:dyDescent="0.2">
      <c r="A102" s="1045"/>
      <c r="B102" s="1075" t="str">
        <f>"   "&amp;ListAVS!$B$198</f>
        <v xml:space="preserve">   Parametry korpusu</v>
      </c>
      <c r="C102" s="1076"/>
      <c r="D102" s="1076"/>
      <c r="E102" s="1076"/>
      <c r="F102" s="1076"/>
      <c r="G102" s="1076"/>
      <c r="H102" s="1076"/>
      <c r="I102" s="1077"/>
      <c r="J102" s="1078"/>
      <c r="K102" s="545"/>
      <c r="L102" s="545"/>
      <c r="M102" s="545"/>
      <c r="N102" s="545"/>
      <c r="O102" s="546"/>
      <c r="P102" s="545"/>
      <c r="Q102" s="546"/>
      <c r="R102" s="545"/>
      <c r="S102" s="545"/>
      <c r="T102" s="545"/>
      <c r="U102" s="545"/>
      <c r="V102" s="545"/>
      <c r="W102" s="545"/>
      <c r="X102" s="108"/>
      <c r="Y102" s="825"/>
      <c r="Z102" s="825"/>
      <c r="AA102" s="825"/>
      <c r="AB102" s="825"/>
      <c r="AC102" s="825"/>
      <c r="AD102" s="825"/>
      <c r="AE102" s="825"/>
      <c r="AF102" s="825"/>
      <c r="AG102" s="825"/>
      <c r="AH102" s="825"/>
      <c r="AI102" s="825"/>
      <c r="AJ102" s="825"/>
      <c r="AK102" s="825"/>
      <c r="AL102" s="825"/>
      <c r="AM102" s="253"/>
      <c r="AN102" s="253"/>
      <c r="AO102" s="253"/>
      <c r="AP102" s="253"/>
    </row>
    <row r="103" spans="1:43" s="255" customFormat="1" ht="15" customHeight="1" x14ac:dyDescent="0.2">
      <c r="A103" s="1045"/>
      <c r="B103" s="1070" t="str">
        <f>ListAVS!$B$75&amp;" KH [mm] "</f>
        <v xml:space="preserve">Wysokość korpusu KH [mm] </v>
      </c>
      <c r="C103" s="1071"/>
      <c r="D103" s="1071"/>
      <c r="E103" s="1071"/>
      <c r="F103" s="1071"/>
      <c r="G103" s="1071"/>
      <c r="H103" s="1072"/>
      <c r="I103" s="1073"/>
      <c r="J103" s="1073"/>
      <c r="K103" s="547" t="str">
        <f>IF(I103&lt;480, " min. 480", IF(I103&gt;1200, " max. 1200", " "))</f>
        <v xml:space="preserve"> min. 480</v>
      </c>
      <c r="L103" s="545"/>
      <c r="M103" s="545"/>
      <c r="N103" s="1089" t="s">
        <v>755</v>
      </c>
      <c r="O103" s="1089" t="s">
        <v>756</v>
      </c>
      <c r="P103" s="545"/>
      <c r="Q103" s="545"/>
      <c r="R103" s="545"/>
      <c r="S103" s="545"/>
      <c r="T103" s="545"/>
      <c r="U103" s="545"/>
      <c r="V103" s="545"/>
      <c r="W103" s="545"/>
      <c r="X103" s="108"/>
      <c r="Y103" s="825"/>
      <c r="Z103" s="825"/>
      <c r="AA103" s="825"/>
      <c r="AB103" s="825"/>
      <c r="AC103" s="825"/>
      <c r="AD103" s="825"/>
      <c r="AE103" s="825"/>
      <c r="AF103" s="825"/>
      <c r="AG103" s="825"/>
      <c r="AH103" s="825"/>
      <c r="AI103" s="825"/>
      <c r="AJ103" s="825"/>
      <c r="AK103" s="825"/>
      <c r="AL103" s="825"/>
      <c r="AM103" s="253"/>
      <c r="AN103" s="253"/>
      <c r="AO103" s="253"/>
      <c r="AP103" s="253"/>
    </row>
    <row r="104" spans="1:43" s="255" customFormat="1" ht="15" customHeight="1" x14ac:dyDescent="0.2">
      <c r="A104" s="1045"/>
      <c r="B104" s="1070" t="str">
        <f>ListAVS!$B$201&amp;" F1 [mm] "</f>
        <v xml:space="preserve">Szczelina na górze F1 [mm] </v>
      </c>
      <c r="C104" s="1071"/>
      <c r="D104" s="1071"/>
      <c r="E104" s="1071"/>
      <c r="F104" s="1071"/>
      <c r="G104" s="1071"/>
      <c r="H104" s="1072"/>
      <c r="I104" s="1073"/>
      <c r="J104" s="1073"/>
      <c r="K104" s="548"/>
      <c r="L104" s="545"/>
      <c r="M104" s="549"/>
      <c r="N104" s="1089"/>
      <c r="O104" s="1089"/>
      <c r="P104" s="545"/>
      <c r="Q104" s="545"/>
      <c r="R104" s="545"/>
      <c r="S104" s="545"/>
      <c r="T104" s="545"/>
      <c r="U104" s="545"/>
      <c r="V104" s="545"/>
      <c r="W104" s="545"/>
      <c r="X104" s="108"/>
      <c r="Y104" s="825"/>
      <c r="Z104" s="825"/>
      <c r="AA104" s="825"/>
      <c r="AB104" s="825"/>
      <c r="AC104" s="825"/>
      <c r="AD104" s="825"/>
      <c r="AE104" s="825"/>
      <c r="AF104" s="825"/>
      <c r="AG104" s="825"/>
      <c r="AH104" s="825"/>
      <c r="AI104" s="825"/>
      <c r="AJ104" s="825"/>
      <c r="AK104" s="825"/>
      <c r="AL104" s="825"/>
      <c r="AM104" s="253"/>
      <c r="AN104" s="253"/>
      <c r="AO104" s="253"/>
      <c r="AP104" s="253"/>
      <c r="AQ104" s="253"/>
    </row>
    <row r="105" spans="1:43" s="253" customFormat="1" ht="15" customHeight="1" x14ac:dyDescent="0.2">
      <c r="A105" s="1045"/>
      <c r="B105" s="1070" t="str">
        <f>ListAVS!$B$202&amp;" F2 [mm] "</f>
        <v xml:space="preserve">Szczelina pomiędzy frontami F2 [mm] </v>
      </c>
      <c r="C105" s="1071"/>
      <c r="D105" s="1071"/>
      <c r="E105" s="1071"/>
      <c r="F105" s="1071"/>
      <c r="G105" s="1071"/>
      <c r="H105" s="1072"/>
      <c r="I105" s="1086"/>
      <c r="J105" s="1087"/>
      <c r="K105" s="547" t="str">
        <f>IF($I$103=0," ",IF($I$105&lt;1.5," min. 1,5 mm!"," "))</f>
        <v xml:space="preserve"> </v>
      </c>
      <c r="L105" s="545"/>
      <c r="M105" s="545"/>
      <c r="N105" s="1089"/>
      <c r="O105" s="1089"/>
      <c r="P105" s="545"/>
      <c r="Q105" s="545"/>
      <c r="R105" s="545"/>
      <c r="S105" s="545"/>
      <c r="T105" s="545"/>
      <c r="U105" s="545"/>
      <c r="V105" s="545"/>
      <c r="W105" s="545"/>
      <c r="X105" s="108"/>
      <c r="Y105" s="825"/>
      <c r="Z105" s="825"/>
      <c r="AA105" s="825"/>
      <c r="AB105" s="825"/>
      <c r="AC105" s="825"/>
      <c r="AD105" s="825"/>
      <c r="AE105" s="825"/>
      <c r="AF105" s="825"/>
      <c r="AG105" s="825"/>
      <c r="AH105" s="825"/>
      <c r="AI105" s="825"/>
      <c r="AJ105" s="825"/>
      <c r="AK105" s="825"/>
      <c r="AL105" s="825"/>
      <c r="AM105" s="277"/>
    </row>
    <row r="106" spans="1:43" s="253" customFormat="1" ht="15" customHeight="1" x14ac:dyDescent="0.2">
      <c r="A106" s="1045"/>
      <c r="B106" s="1070" t="str">
        <f>ListAVS!$B$203&amp;" F3 [mm] "</f>
        <v xml:space="preserve">Szczelina na dole F3 [mm] </v>
      </c>
      <c r="C106" s="1071"/>
      <c r="D106" s="1071"/>
      <c r="E106" s="1071"/>
      <c r="F106" s="1071"/>
      <c r="G106" s="1071"/>
      <c r="H106" s="1072"/>
      <c r="I106" s="1073"/>
      <c r="J106" s="1073"/>
      <c r="K106" s="545"/>
      <c r="L106" s="545"/>
      <c r="M106" s="553" t="s">
        <v>757</v>
      </c>
      <c r="N106" s="118">
        <v>170</v>
      </c>
      <c r="O106" s="118">
        <v>189</v>
      </c>
      <c r="P106" s="545"/>
      <c r="Q106" s="545"/>
      <c r="R106" s="545"/>
      <c r="S106" s="545"/>
      <c r="T106" s="545"/>
      <c r="U106" s="545"/>
      <c r="V106" s="545"/>
      <c r="W106" s="545"/>
      <c r="X106" s="108"/>
      <c r="Y106" s="825"/>
      <c r="Z106" s="825"/>
      <c r="AA106" s="825"/>
      <c r="AB106" s="825"/>
      <c r="AC106" s="825"/>
      <c r="AD106" s="825"/>
      <c r="AE106" s="825"/>
      <c r="AF106" s="825"/>
      <c r="AG106" s="825"/>
      <c r="AH106" s="825"/>
      <c r="AI106" s="825"/>
      <c r="AJ106" s="825"/>
      <c r="AK106" s="825"/>
      <c r="AL106" s="825"/>
      <c r="AM106" s="277"/>
    </row>
    <row r="107" spans="1:43" s="253" customFormat="1" ht="15" customHeight="1" x14ac:dyDescent="0.2">
      <c r="A107" s="1045"/>
      <c r="B107" s="1070" t="str">
        <f>ListAVS!$B$204&amp;" [mm] "</f>
        <v xml:space="preserve">Grubość dna korpusu [mm] </v>
      </c>
      <c r="C107" s="1071"/>
      <c r="D107" s="1071"/>
      <c r="E107" s="1071"/>
      <c r="F107" s="1071"/>
      <c r="G107" s="1071"/>
      <c r="H107" s="1072"/>
      <c r="I107" s="1073"/>
      <c r="J107" s="1073"/>
      <c r="K107" s="545"/>
      <c r="L107" s="545"/>
      <c r="M107" s="553" t="s">
        <v>768</v>
      </c>
      <c r="N107" s="248">
        <v>93</v>
      </c>
      <c r="O107" s="248">
        <v>116</v>
      </c>
      <c r="P107" s="545"/>
      <c r="Q107" s="545"/>
      <c r="R107" s="545"/>
      <c r="S107" s="545"/>
      <c r="T107" s="545"/>
      <c r="U107" s="545"/>
      <c r="V107" s="545"/>
      <c r="W107" s="545"/>
      <c r="X107" s="108"/>
      <c r="Y107" s="825"/>
      <c r="Z107" s="825"/>
      <c r="AA107" s="825"/>
      <c r="AB107" s="825"/>
      <c r="AC107" s="825"/>
      <c r="AD107" s="825"/>
      <c r="AE107" s="825"/>
      <c r="AF107" s="825"/>
      <c r="AG107" s="825"/>
      <c r="AH107" s="825"/>
      <c r="AI107" s="825"/>
      <c r="AJ107" s="825"/>
      <c r="AK107" s="825"/>
      <c r="AL107" s="825"/>
      <c r="AM107" s="277"/>
    </row>
    <row r="108" spans="1:43" s="253" customFormat="1" ht="15" customHeight="1" x14ac:dyDescent="0.2">
      <c r="A108" s="1045"/>
      <c r="B108" s="545"/>
      <c r="C108" s="545"/>
      <c r="D108" s="545"/>
      <c r="E108" s="545"/>
      <c r="F108" s="545"/>
      <c r="G108" s="545"/>
      <c r="H108" s="545"/>
      <c r="I108" s="545"/>
      <c r="J108" s="550"/>
      <c r="K108" s="545"/>
      <c r="L108" s="545"/>
      <c r="M108" s="553"/>
      <c r="N108" s="37"/>
      <c r="O108" s="118"/>
      <c r="P108" s="545"/>
      <c r="Q108" s="545"/>
      <c r="R108" s="545"/>
      <c r="S108" s="545"/>
      <c r="T108" s="545"/>
      <c r="U108" s="545"/>
      <c r="V108" s="545"/>
      <c r="W108" s="545"/>
      <c r="X108" s="108"/>
      <c r="Y108" s="825"/>
      <c r="Z108" s="825"/>
      <c r="AA108" s="825"/>
      <c r="AB108" s="825"/>
      <c r="AC108" s="825"/>
      <c r="AD108" s="825"/>
      <c r="AE108" s="825"/>
      <c r="AF108" s="825"/>
      <c r="AG108" s="825"/>
      <c r="AH108" s="825"/>
      <c r="AI108" s="825"/>
      <c r="AJ108" s="825"/>
      <c r="AK108" s="825"/>
      <c r="AL108" s="825"/>
      <c r="AM108" s="277"/>
    </row>
    <row r="109" spans="1:43" s="253" customFormat="1" ht="15" customHeight="1" x14ac:dyDescent="0.2">
      <c r="A109" s="1045"/>
      <c r="B109" s="1091" t="str">
        <f>"   "&amp;ListAVS!$B$206</f>
        <v xml:space="preserve">   Wyniki planowania</v>
      </c>
      <c r="C109" s="1092"/>
      <c r="D109" s="1092"/>
      <c r="E109" s="1092"/>
      <c r="F109" s="1092"/>
      <c r="G109" s="1092"/>
      <c r="H109" s="1092"/>
      <c r="I109" s="1092"/>
      <c r="J109" s="1093"/>
      <c r="K109" s="545"/>
      <c r="L109" s="545"/>
      <c r="M109" s="545"/>
      <c r="N109" s="957" t="s">
        <v>762</v>
      </c>
      <c r="O109" s="958" t="s">
        <v>762</v>
      </c>
      <c r="P109" s="545"/>
      <c r="Q109" s="545"/>
      <c r="R109" s="545"/>
      <c r="S109" s="545"/>
      <c r="T109" s="545"/>
      <c r="U109" s="545"/>
      <c r="V109" s="545"/>
      <c r="W109" s="545"/>
      <c r="X109" s="108"/>
      <c r="Y109" s="825"/>
      <c r="Z109" s="825"/>
      <c r="AA109" s="825"/>
      <c r="AB109" s="825"/>
      <c r="AC109" s="825"/>
      <c r="AD109" s="825"/>
      <c r="AE109" s="825"/>
      <c r="AF109" s="825"/>
      <c r="AG109" s="825"/>
      <c r="AH109" s="825"/>
      <c r="AI109" s="825"/>
      <c r="AJ109" s="825"/>
      <c r="AK109" s="825"/>
      <c r="AL109" s="825"/>
      <c r="AM109" s="277"/>
    </row>
    <row r="110" spans="1:43" s="253" customFormat="1" ht="15" customHeight="1" x14ac:dyDescent="0.2">
      <c r="A110" s="1045"/>
      <c r="B110" s="1094"/>
      <c r="C110" s="1095"/>
      <c r="D110" s="1095"/>
      <c r="E110" s="1095"/>
      <c r="F110" s="1095"/>
      <c r="G110" s="1096" t="str">
        <f>ListAVS!$B$207&amp;" [mm] "</f>
        <v xml:space="preserve">Możliwe wysokości frontów [mm] </v>
      </c>
      <c r="H110" s="1096"/>
      <c r="I110" s="1096"/>
      <c r="J110" s="1097"/>
      <c r="K110" s="545"/>
      <c r="L110" s="545"/>
      <c r="M110" s="545"/>
      <c r="N110" s="545" t="s">
        <v>754</v>
      </c>
      <c r="O110" s="545" t="s">
        <v>754</v>
      </c>
      <c r="P110" s="545"/>
      <c r="Q110" s="545"/>
      <c r="R110" s="545"/>
      <c r="S110" s="545"/>
      <c r="T110" s="545"/>
      <c r="U110" s="545"/>
      <c r="V110" s="545"/>
      <c r="W110" s="545"/>
      <c r="X110" s="108"/>
      <c r="Y110" s="825"/>
      <c r="Z110" s="825"/>
      <c r="AA110" s="825"/>
      <c r="AB110" s="825"/>
      <c r="AC110" s="825"/>
      <c r="AD110" s="825"/>
      <c r="AE110" s="825"/>
      <c r="AF110" s="825"/>
      <c r="AG110" s="825"/>
      <c r="AH110" s="825"/>
      <c r="AI110" s="825"/>
      <c r="AJ110" s="825"/>
      <c r="AK110" s="825"/>
      <c r="AL110" s="825"/>
      <c r="AM110" s="277"/>
    </row>
    <row r="111" spans="1:43" s="253" customFormat="1" ht="15" customHeight="1" x14ac:dyDescent="0.2">
      <c r="A111" s="1045"/>
      <c r="B111" s="1069" t="str">
        <f>ListAVS!$B$208</f>
        <v>Front górny (FHo) w granicach</v>
      </c>
      <c r="C111" s="1069"/>
      <c r="D111" s="1069"/>
      <c r="E111" s="1069"/>
      <c r="F111" s="1069"/>
      <c r="G111" s="551" t="s">
        <v>60</v>
      </c>
      <c r="H111" s="552" t="str">
        <f>IF(AND($I$103&gt;=480, $I$103&lt;=519), $N$111, IF(AND($I$103&gt;=520, $I$103&lt;=1200), $O$111, $S$115))</f>
        <v>nie można</v>
      </c>
      <c r="I111" s="551" t="s">
        <v>61</v>
      </c>
      <c r="J111" s="552" t="str">
        <f>IF(AND($I$103&gt;=480, $I$103&lt;=519), $N$115, IF(AND($I$103&gt;=520, $I$103&lt;=1200), $O$115, $S$115))</f>
        <v>nie można</v>
      </c>
      <c r="K111" s="545"/>
      <c r="L111" s="545"/>
      <c r="M111" s="545"/>
      <c r="N111" s="546">
        <f>SUM(I103, -I104, -I105, -I106, -N120)</f>
        <v>0</v>
      </c>
      <c r="O111" s="546">
        <f>SUM(I103, -I104, -I105, -I106, -O120)</f>
        <v>0</v>
      </c>
      <c r="P111" s="545"/>
      <c r="Q111" s="545"/>
      <c r="R111" s="545"/>
      <c r="S111" s="545"/>
      <c r="T111" s="545"/>
      <c r="U111" s="545"/>
      <c r="V111" s="545"/>
      <c r="W111" s="545"/>
      <c r="X111" s="108"/>
      <c r="Y111" s="825"/>
      <c r="Z111" s="825"/>
      <c r="AA111" s="825"/>
      <c r="AB111" s="825"/>
      <c r="AC111" s="825"/>
      <c r="AD111" s="825"/>
      <c r="AE111" s="825"/>
      <c r="AF111" s="825"/>
      <c r="AG111" s="825"/>
      <c r="AH111" s="825"/>
      <c r="AI111" s="825"/>
      <c r="AJ111" s="825"/>
      <c r="AK111" s="825"/>
      <c r="AL111" s="825"/>
      <c r="AM111" s="277"/>
    </row>
    <row r="112" spans="1:43" s="253" customFormat="1" ht="15" customHeight="1" x14ac:dyDescent="0.2">
      <c r="A112" s="1045"/>
      <c r="B112" s="1069" t="str">
        <f>ListAVS!$B$209</f>
        <v>Front dolny (FHu) w granicach</v>
      </c>
      <c r="C112" s="1069"/>
      <c r="D112" s="1069"/>
      <c r="E112" s="1069"/>
      <c r="F112" s="1069"/>
      <c r="G112" s="551" t="s">
        <v>60</v>
      </c>
      <c r="H112" s="552" t="str">
        <f>IF(AND($I$103&gt;=480, $I$103&lt;=519), $N$118, IF(AND($I$103&gt;=520, $I$103&lt;=1200), $O$118, $S$115))</f>
        <v>nie można</v>
      </c>
      <c r="I112" s="551" t="s">
        <v>61</v>
      </c>
      <c r="J112" s="552" t="str">
        <f>IF(AND($I$103&gt;=480, $I$103&lt;=519), $N$120, IF(AND($I$103&gt;=520, $I$103&lt;=1200), $O$120, $S$115))</f>
        <v>nie można</v>
      </c>
      <c r="K112" s="545"/>
      <c r="L112" s="545"/>
      <c r="M112" s="545"/>
      <c r="N112" s="545" t="s">
        <v>758</v>
      </c>
      <c r="O112" s="545" t="s">
        <v>758</v>
      </c>
      <c r="P112" s="545"/>
      <c r="Q112" s="545"/>
      <c r="R112" s="545"/>
      <c r="S112" s="545"/>
      <c r="T112" s="545"/>
      <c r="U112" s="545"/>
      <c r="V112" s="545"/>
      <c r="W112" s="545"/>
      <c r="X112" s="108"/>
      <c r="Y112" s="825"/>
      <c r="Z112" s="825"/>
      <c r="AA112" s="825"/>
      <c r="AB112" s="825"/>
      <c r="AC112" s="825"/>
      <c r="AD112" s="825"/>
      <c r="AE112" s="825"/>
      <c r="AF112" s="825"/>
      <c r="AG112" s="825"/>
      <c r="AH112" s="825"/>
      <c r="AI112" s="825"/>
      <c r="AJ112" s="825"/>
      <c r="AK112" s="825"/>
      <c r="AL112" s="825"/>
      <c r="AM112" s="277"/>
    </row>
    <row r="113" spans="1:43" s="253" customFormat="1" ht="15" customHeight="1" x14ac:dyDescent="0.2">
      <c r="A113" s="1045"/>
      <c r="B113" s="694"/>
      <c r="C113" s="694"/>
      <c r="D113" s="694"/>
      <c r="E113" s="694"/>
      <c r="F113" s="694"/>
      <c r="G113" s="694"/>
      <c r="H113" s="694"/>
      <c r="I113" s="545"/>
      <c r="J113" s="545"/>
      <c r="K113" s="545"/>
      <c r="L113" s="545"/>
      <c r="M113" s="545"/>
      <c r="N113" s="546">
        <f>ROUNDUP(SUM(519, -$I$104, -$I$105, -$I$106)/2, 0)</f>
        <v>260</v>
      </c>
      <c r="O113" s="546">
        <f>ROUNDUP(SUM(1200, -$I$104, -$I$105, -$I$106)/2, 0)</f>
        <v>600</v>
      </c>
      <c r="P113" s="545" t="s">
        <v>759</v>
      </c>
      <c r="Q113" s="545"/>
      <c r="R113" s="545"/>
      <c r="S113" s="545"/>
      <c r="T113" s="545"/>
      <c r="U113" s="545"/>
      <c r="V113" s="545"/>
      <c r="W113" s="545"/>
      <c r="X113" s="108"/>
      <c r="Y113" s="825"/>
      <c r="Z113" s="825"/>
      <c r="AA113" s="825"/>
      <c r="AB113" s="825"/>
      <c r="AC113" s="825"/>
      <c r="AD113" s="825"/>
      <c r="AE113" s="825"/>
      <c r="AF113" s="825"/>
      <c r="AG113" s="825"/>
      <c r="AH113" s="825"/>
      <c r="AI113" s="825"/>
      <c r="AJ113" s="825"/>
      <c r="AK113" s="825"/>
      <c r="AL113" s="825"/>
      <c r="AM113" s="277"/>
    </row>
    <row r="114" spans="1:43" s="253" customFormat="1" ht="15" customHeight="1" x14ac:dyDescent="0.2">
      <c r="A114" s="1045"/>
      <c r="B114" s="1070" t="str">
        <f>ListAVS!$B$215&amp;" FHo [mm] "</f>
        <v xml:space="preserve">Wysokość frontu górnego FHo [mm] </v>
      </c>
      <c r="C114" s="1071"/>
      <c r="D114" s="1071"/>
      <c r="E114" s="1071"/>
      <c r="F114" s="1071"/>
      <c r="G114" s="1071"/>
      <c r="H114" s="1072"/>
      <c r="I114" s="1073"/>
      <c r="J114" s="1073"/>
      <c r="K114" s="547" t="str">
        <f>IF($I$103=0," ",IF($I$114&gt;$J$111,V114,IF($I$114&lt;$H$111,$S$114," ")))</f>
        <v xml:space="preserve"> </v>
      </c>
      <c r="L114" s="545"/>
      <c r="M114" s="545"/>
      <c r="N114" s="546">
        <f>SUM(I103, -I104, -I105, -I106, -N118)</f>
        <v>-219</v>
      </c>
      <c r="O114" s="248">
        <f>SUM(I103, -I104, -I105, -I106, -O118)</f>
        <v>-238</v>
      </c>
      <c r="P114" s="545" t="s">
        <v>760</v>
      </c>
      <c r="Q114" s="545"/>
      <c r="R114" s="545"/>
      <c r="S114" s="545" t="str">
        <f>" min. "&amp;TEXT($H$111,"#")&amp;" mm!"</f>
        <v xml:space="preserve"> min. nie można mm!</v>
      </c>
      <c r="T114" s="545"/>
      <c r="U114" s="545"/>
      <c r="V114" s="545" t="str">
        <f>" max. "&amp;TEXT($J$111,"#")&amp;" mm!"</f>
        <v xml:space="preserve"> max. nie można mm!</v>
      </c>
      <c r="W114" s="545"/>
      <c r="X114" s="108"/>
      <c r="Y114" s="825"/>
      <c r="Z114" s="825"/>
      <c r="AA114" s="825"/>
      <c r="AB114" s="825"/>
      <c r="AC114" s="825"/>
      <c r="AD114" s="825"/>
      <c r="AE114" s="825"/>
      <c r="AF114" s="825"/>
      <c r="AG114" s="825"/>
      <c r="AH114" s="825"/>
      <c r="AI114" s="825"/>
      <c r="AJ114" s="825"/>
      <c r="AK114" s="825"/>
      <c r="AL114" s="825"/>
      <c r="AM114" s="277"/>
    </row>
    <row r="115" spans="1:43" s="253" customFormat="1" ht="15" customHeight="1" x14ac:dyDescent="0.2">
      <c r="A115" s="1045"/>
      <c r="B115" s="1070" t="str">
        <f>ListAVS!$B$216&amp;" FHu [mm] "</f>
        <v xml:space="preserve">Wysokość frontu dolnego FHu [mm] </v>
      </c>
      <c r="C115" s="1071"/>
      <c r="D115" s="1071"/>
      <c r="E115" s="1071"/>
      <c r="F115" s="1071"/>
      <c r="G115" s="1071"/>
      <c r="H115" s="1072"/>
      <c r="I115" s="1074" t="str">
        <f>IF($I$114&lt;$H$111,$S$115,IF($I$114&gt;$J$111,$S$115,+$I$103-$I$104-$I$105-$I$106-$I$114))</f>
        <v>nie można</v>
      </c>
      <c r="J115" s="1074"/>
      <c r="K115" s="548"/>
      <c r="L115" s="545"/>
      <c r="M115" s="545"/>
      <c r="N115" s="959">
        <f>IF($N$114&gt;$N$113, $N$113, $N$114)</f>
        <v>-219</v>
      </c>
      <c r="O115" s="959">
        <f>IF($O$114&gt;$O$113, $O$113, $O$114)</f>
        <v>-238</v>
      </c>
      <c r="P115" s="545" t="s">
        <v>767</v>
      </c>
      <c r="Q115" s="118"/>
      <c r="R115" s="545"/>
      <c r="S115" s="545" t="str">
        <f>ListAVS!B212</f>
        <v>nie można</v>
      </c>
      <c r="T115" s="545"/>
      <c r="U115" s="545"/>
      <c r="V115" s="545"/>
      <c r="W115" s="545"/>
      <c r="X115" s="108"/>
      <c r="Y115" s="825"/>
      <c r="Z115" s="825"/>
      <c r="AA115" s="825"/>
      <c r="AB115" s="825"/>
      <c r="AC115" s="825"/>
      <c r="AD115" s="825"/>
      <c r="AE115" s="825"/>
      <c r="AF115" s="825"/>
      <c r="AG115" s="825"/>
      <c r="AH115" s="825"/>
      <c r="AI115" s="825"/>
      <c r="AJ115" s="825"/>
      <c r="AK115" s="825"/>
      <c r="AL115" s="825"/>
      <c r="AM115" s="277"/>
    </row>
    <row r="116" spans="1:43" s="253" customFormat="1" ht="15" customHeight="1" x14ac:dyDescent="0.2">
      <c r="A116" s="1045"/>
      <c r="B116" s="1070" t="str">
        <f>ListAVS!$B$217&amp;" H [mm] "</f>
        <v xml:space="preserve">Pozycja siłownika H [mm] </v>
      </c>
      <c r="C116" s="1071"/>
      <c r="D116" s="1071"/>
      <c r="E116" s="1071"/>
      <c r="F116" s="1071"/>
      <c r="G116" s="1071"/>
      <c r="H116" s="1072"/>
      <c r="I116" s="1074" t="str">
        <f>IF(AND($I$103&gt;=480, $I$103&lt;520), $N$107, IF(AND($I$103&gt;=520, $I$103&lt;=1200), $O$107, $S$115))</f>
        <v>nie można</v>
      </c>
      <c r="J116" s="1074"/>
      <c r="K116" s="545"/>
      <c r="L116" s="545"/>
      <c r="M116" s="545"/>
      <c r="N116" s="957" t="s">
        <v>761</v>
      </c>
      <c r="O116" s="958" t="s">
        <v>761</v>
      </c>
      <c r="P116" s="545"/>
      <c r="Q116" s="545"/>
      <c r="R116" s="545"/>
      <c r="S116" s="545"/>
      <c r="T116" s="545"/>
      <c r="U116" s="545"/>
      <c r="V116" s="545"/>
      <c r="W116" s="545"/>
      <c r="X116" s="108"/>
      <c r="Y116" s="825"/>
      <c r="Z116" s="825"/>
      <c r="AA116" s="825"/>
      <c r="AB116" s="825"/>
      <c r="AC116" s="825"/>
      <c r="AD116" s="825"/>
      <c r="AE116" s="825"/>
      <c r="AF116" s="825"/>
      <c r="AG116" s="825"/>
      <c r="AH116" s="825"/>
      <c r="AI116" s="825"/>
      <c r="AJ116" s="825"/>
      <c r="AK116" s="825"/>
      <c r="AL116" s="825"/>
      <c r="AM116" s="277"/>
    </row>
    <row r="117" spans="1:43" s="253" customFormat="1" ht="15" customHeight="1" x14ac:dyDescent="0.2">
      <c r="A117" s="1045"/>
      <c r="B117" s="1070" t="str">
        <f>ListAVS!$B$218&amp;" Z [mm] "</f>
        <v xml:space="preserve">Pozycja podkładki montażowej do podnośnika teleskopowego Z [mm] </v>
      </c>
      <c r="C117" s="1071"/>
      <c r="D117" s="1071"/>
      <c r="E117" s="1071"/>
      <c r="F117" s="1071"/>
      <c r="G117" s="1071"/>
      <c r="H117" s="1072"/>
      <c r="I117" s="1074" t="str">
        <f>IF(AND($I$103&gt;=480, $I$103&lt;520), $N$106, IF(AND($I$103&gt;=520, $I$103&lt;=1200), $O$106, $S$115))</f>
        <v>nie można</v>
      </c>
      <c r="J117" s="1074"/>
      <c r="K117" s="545"/>
      <c r="L117" s="545"/>
      <c r="M117" s="545"/>
      <c r="N117" s="545" t="s">
        <v>754</v>
      </c>
      <c r="O117" s="545" t="s">
        <v>754</v>
      </c>
      <c r="P117" s="545"/>
      <c r="Q117" s="545"/>
      <c r="R117" s="545"/>
      <c r="S117" s="545"/>
      <c r="T117" s="545"/>
      <c r="U117" s="545"/>
      <c r="V117" s="545"/>
      <c r="W117" s="545"/>
      <c r="X117" s="108"/>
      <c r="Y117" s="825"/>
      <c r="Z117" s="825"/>
      <c r="AA117" s="825"/>
      <c r="AB117" s="825"/>
      <c r="AC117" s="825"/>
      <c r="AD117" s="825"/>
      <c r="AE117" s="825"/>
      <c r="AF117" s="825"/>
      <c r="AG117" s="825"/>
      <c r="AH117" s="825"/>
      <c r="AI117" s="825"/>
      <c r="AJ117" s="825"/>
      <c r="AK117" s="825"/>
      <c r="AL117" s="825"/>
      <c r="AM117" s="277"/>
    </row>
    <row r="118" spans="1:43" s="253" customFormat="1" ht="15" customHeight="1" x14ac:dyDescent="0.2">
      <c r="A118" s="1045"/>
      <c r="B118" s="1070" t="str">
        <f>ListAVS!$B$219&amp;" TKH [mm] * "</f>
        <v xml:space="preserve">Teoretyczna wysokość korpusu TKH [mm] * </v>
      </c>
      <c r="C118" s="1071"/>
      <c r="D118" s="1071"/>
      <c r="E118" s="1071"/>
      <c r="F118" s="1071"/>
      <c r="G118" s="1071"/>
      <c r="H118" s="1072"/>
      <c r="I118" s="1090" t="str">
        <f>IF($I$115=$S$115, $S$115, IF($Q$118&gt;=480, IF($Q$118&lt;=1202, $Q$118, $S$115)," "))</f>
        <v>nie można</v>
      </c>
      <c r="J118" s="1090"/>
      <c r="K118" s="545"/>
      <c r="L118" s="545"/>
      <c r="M118" s="545"/>
      <c r="N118" s="546">
        <f>SUM(N106, 32, 17, $I$107, -$I$106)</f>
        <v>219</v>
      </c>
      <c r="O118" s="546">
        <f>SUM(O106, 32, 17, $I$107, -$I$106)</f>
        <v>238</v>
      </c>
      <c r="P118" s="545" t="s">
        <v>62</v>
      </c>
      <c r="Q118" s="545">
        <f>ROUND(SUM($I$114*2+$I$104+$I$105+$I$106), -1)</f>
        <v>0</v>
      </c>
      <c r="R118" s="545"/>
      <c r="S118" s="545"/>
      <c r="T118" s="545"/>
      <c r="U118" s="545"/>
      <c r="V118" s="545"/>
      <c r="W118" s="545"/>
      <c r="X118" s="108"/>
      <c r="Y118" s="825"/>
      <c r="Z118" s="825"/>
      <c r="AA118" s="825"/>
      <c r="AB118" s="825"/>
      <c r="AC118" s="825"/>
      <c r="AD118" s="825"/>
      <c r="AE118" s="825"/>
      <c r="AF118" s="825"/>
      <c r="AG118" s="825"/>
      <c r="AH118" s="825"/>
      <c r="AI118" s="825"/>
      <c r="AJ118" s="825"/>
      <c r="AK118" s="825"/>
      <c r="AL118" s="825"/>
      <c r="AM118" s="277"/>
    </row>
    <row r="119" spans="1:43" s="253" customFormat="1" ht="15" customHeight="1" x14ac:dyDescent="0.2">
      <c r="A119" s="1045"/>
      <c r="B119" s="545"/>
      <c r="C119" s="545"/>
      <c r="D119" s="545"/>
      <c r="E119" s="545"/>
      <c r="F119" s="545"/>
      <c r="G119" s="545"/>
      <c r="H119" s="545"/>
      <c r="I119" s="545"/>
      <c r="J119" s="545"/>
      <c r="K119" s="545"/>
      <c r="L119" s="545"/>
      <c r="M119" s="545"/>
      <c r="N119" s="545" t="s">
        <v>758</v>
      </c>
      <c r="O119" s="545" t="s">
        <v>758</v>
      </c>
      <c r="P119" s="545"/>
      <c r="Q119" s="546"/>
      <c r="R119" s="545"/>
      <c r="S119" s="545"/>
      <c r="T119" s="545"/>
      <c r="U119" s="545"/>
      <c r="V119" s="545"/>
      <c r="W119" s="545"/>
      <c r="X119" s="108"/>
      <c r="Y119" s="825"/>
      <c r="Z119" s="825"/>
      <c r="AA119" s="825"/>
      <c r="AB119" s="825"/>
      <c r="AC119" s="825"/>
      <c r="AD119" s="825"/>
      <c r="AE119" s="825"/>
      <c r="AF119" s="825"/>
      <c r="AG119" s="825"/>
      <c r="AH119" s="825"/>
      <c r="AI119" s="825"/>
      <c r="AJ119" s="825"/>
      <c r="AK119" s="825"/>
      <c r="AL119" s="825"/>
      <c r="AM119" s="277"/>
    </row>
    <row r="120" spans="1:43" s="253" customFormat="1" ht="15" customHeight="1" x14ac:dyDescent="0.2">
      <c r="A120" s="1045"/>
      <c r="B120" s="553" t="s">
        <v>63</v>
      </c>
      <c r="C120" s="545" t="str">
        <f>ListAVS!$B$221</f>
        <v xml:space="preserve">Wprowadź tę wysokość do tabelki służącej do planowania podnośników </v>
      </c>
      <c r="D120" s="545"/>
      <c r="E120" s="545"/>
      <c r="F120" s="545"/>
      <c r="G120" s="545"/>
      <c r="H120" s="545"/>
      <c r="I120" s="545"/>
      <c r="J120" s="545"/>
      <c r="K120" s="545"/>
      <c r="L120" s="545"/>
      <c r="M120" s="545"/>
      <c r="N120" s="546">
        <f>ROUNDDOWN(SUM(I103, -I104, -I105, -I106)/2, 0)</f>
        <v>0</v>
      </c>
      <c r="O120" s="546">
        <f>ROUNDDOWN(SUM(I103, -I104, -I105, -I106)/2, 0)</f>
        <v>0</v>
      </c>
      <c r="P120" s="545"/>
      <c r="Q120" s="546"/>
      <c r="R120" s="545"/>
      <c r="S120" s="545"/>
      <c r="T120" s="545"/>
      <c r="U120" s="545"/>
      <c r="V120" s="545"/>
      <c r="W120" s="545"/>
      <c r="X120" s="108"/>
      <c r="Y120" s="825"/>
      <c r="Z120" s="825"/>
      <c r="AA120" s="825"/>
      <c r="AB120" s="825"/>
      <c r="AC120" s="825"/>
      <c r="AD120" s="825"/>
      <c r="AE120" s="825"/>
      <c r="AF120" s="825"/>
      <c r="AG120" s="825"/>
      <c r="AH120" s="825"/>
      <c r="AI120" s="825"/>
      <c r="AJ120" s="825"/>
      <c r="AK120" s="825"/>
      <c r="AL120" s="825"/>
      <c r="AM120" s="277"/>
    </row>
    <row r="121" spans="1:43" s="253" customFormat="1" ht="15" customHeight="1" x14ac:dyDescent="0.2">
      <c r="A121" s="1045"/>
      <c r="B121" s="545"/>
      <c r="C121" s="545"/>
      <c r="D121" s="545"/>
      <c r="E121" s="545"/>
      <c r="F121" s="545"/>
      <c r="G121" s="545"/>
      <c r="H121" s="545"/>
      <c r="I121" s="545"/>
      <c r="J121" s="545"/>
      <c r="K121" s="545"/>
      <c r="L121" s="545"/>
      <c r="M121" s="545"/>
      <c r="N121" s="545"/>
      <c r="O121" s="546"/>
      <c r="P121" s="545"/>
      <c r="Q121" s="546"/>
      <c r="R121" s="545"/>
      <c r="S121" s="545"/>
      <c r="T121" s="545"/>
      <c r="U121" s="545"/>
      <c r="V121" s="545"/>
      <c r="W121" s="545"/>
      <c r="X121" s="108"/>
      <c r="Y121" s="825"/>
      <c r="Z121" s="825"/>
      <c r="AA121" s="825"/>
      <c r="AB121" s="825"/>
      <c r="AC121" s="825"/>
      <c r="AD121" s="825"/>
      <c r="AE121" s="825"/>
      <c r="AF121" s="825"/>
      <c r="AG121" s="825"/>
      <c r="AH121" s="825"/>
      <c r="AI121" s="825"/>
      <c r="AJ121" s="825"/>
      <c r="AK121" s="825"/>
      <c r="AL121" s="825"/>
    </row>
    <row r="122" spans="1:43" s="253" customFormat="1" ht="16.149999999999999" customHeight="1" x14ac:dyDescent="0.2">
      <c r="A122" s="1045"/>
      <c r="B122" s="255"/>
      <c r="C122" s="255"/>
      <c r="D122" s="255"/>
      <c r="E122" s="255"/>
      <c r="F122" s="255"/>
      <c r="G122" s="255"/>
      <c r="H122" s="255"/>
      <c r="I122" s="255"/>
      <c r="J122" s="255"/>
      <c r="K122" s="255"/>
      <c r="L122" s="255"/>
      <c r="M122" s="255"/>
      <c r="N122" s="255"/>
      <c r="O122" s="248"/>
      <c r="P122" s="255"/>
      <c r="Q122" s="248"/>
      <c r="R122" s="255"/>
      <c r="S122" s="255"/>
      <c r="T122" s="255"/>
      <c r="U122" s="255"/>
      <c r="V122" s="255"/>
      <c r="W122" s="255"/>
      <c r="X122" s="825"/>
      <c r="Y122" s="825"/>
      <c r="Z122" s="825"/>
      <c r="AA122" s="825"/>
      <c r="AB122" s="825"/>
      <c r="AC122" s="825"/>
      <c r="AD122" s="825"/>
      <c r="AE122" s="825"/>
      <c r="AF122" s="825"/>
      <c r="AG122" s="825"/>
      <c r="AH122" s="825"/>
      <c r="AI122" s="825"/>
      <c r="AJ122" s="825"/>
      <c r="AK122" s="825"/>
      <c r="AL122" s="825"/>
    </row>
    <row r="123" spans="1:43" s="253" customFormat="1" ht="16.149999999999999" customHeight="1" x14ac:dyDescent="0.2">
      <c r="A123" s="1045"/>
      <c r="B123" s="255"/>
      <c r="C123" s="255"/>
      <c r="D123" s="255"/>
      <c r="E123" s="255"/>
      <c r="F123" s="255"/>
      <c r="G123" s="255"/>
      <c r="H123" s="255"/>
      <c r="I123" s="255"/>
      <c r="J123" s="255"/>
      <c r="K123" s="255"/>
      <c r="L123" s="255"/>
      <c r="M123" s="255"/>
      <c r="N123" s="255"/>
      <c r="O123" s="248"/>
      <c r="P123" s="255"/>
      <c r="Q123" s="248"/>
      <c r="R123" s="255"/>
      <c r="S123" s="255"/>
      <c r="T123" s="255"/>
      <c r="U123" s="255"/>
      <c r="V123" s="255"/>
      <c r="W123" s="255"/>
      <c r="X123" s="825"/>
      <c r="Y123" s="825"/>
      <c r="Z123" s="825"/>
      <c r="AA123" s="825"/>
      <c r="AB123" s="825"/>
      <c r="AC123" s="825"/>
      <c r="AD123" s="825"/>
      <c r="AE123" s="825"/>
      <c r="AF123" s="825"/>
      <c r="AG123" s="825"/>
      <c r="AH123" s="825"/>
      <c r="AI123" s="825"/>
      <c r="AJ123" s="825"/>
      <c r="AK123" s="825"/>
      <c r="AL123" s="825"/>
    </row>
    <row r="124" spans="1:43" s="253" customFormat="1" ht="16.149999999999999" customHeight="1" x14ac:dyDescent="0.2">
      <c r="A124" s="1045"/>
      <c r="B124" s="255"/>
      <c r="C124" s="255"/>
      <c r="D124" s="255"/>
      <c r="E124" s="255"/>
      <c r="F124" s="255"/>
      <c r="G124" s="255"/>
      <c r="H124" s="255"/>
      <c r="I124" s="255"/>
      <c r="J124" s="255"/>
      <c r="K124" s="255"/>
      <c r="L124" s="255"/>
      <c r="M124" s="255"/>
      <c r="N124" s="255"/>
      <c r="O124" s="248"/>
      <c r="P124" s="255"/>
      <c r="Q124" s="248"/>
      <c r="R124" s="255"/>
      <c r="S124" s="255"/>
      <c r="T124" s="255"/>
      <c r="U124" s="255"/>
      <c r="V124" s="255"/>
      <c r="W124" s="255"/>
      <c r="X124" s="825"/>
      <c r="Y124" s="825"/>
      <c r="Z124" s="825"/>
      <c r="AA124" s="825"/>
      <c r="AB124" s="825"/>
      <c r="AC124" s="825"/>
      <c r="AD124" s="825"/>
      <c r="AE124" s="825"/>
      <c r="AF124" s="825"/>
      <c r="AG124" s="825"/>
      <c r="AH124" s="825"/>
      <c r="AI124" s="825"/>
      <c r="AJ124" s="825"/>
      <c r="AK124" s="825"/>
      <c r="AL124" s="825"/>
    </row>
    <row r="125" spans="1:43" s="253" customFormat="1" ht="16.149999999999999" customHeight="1" x14ac:dyDescent="0.2">
      <c r="A125" s="1045"/>
      <c r="B125" s="605"/>
      <c r="C125" s="605"/>
      <c r="D125" s="255"/>
      <c r="E125" s="255"/>
      <c r="F125" s="255"/>
      <c r="G125" s="255"/>
      <c r="H125" s="255"/>
      <c r="I125" s="1119" t="str">
        <f>ListAVS!$B$168</f>
        <v>Z powrotem</v>
      </c>
      <c r="J125" s="1119"/>
      <c r="K125" s="255"/>
      <c r="L125" s="255"/>
      <c r="M125" s="255"/>
      <c r="N125" s="255"/>
      <c r="O125" s="248"/>
      <c r="P125" s="255"/>
      <c r="Q125" s="248"/>
      <c r="R125" s="255"/>
      <c r="S125" s="255"/>
      <c r="T125" s="255"/>
      <c r="U125" s="255"/>
      <c r="V125" s="255"/>
      <c r="W125" s="255"/>
      <c r="X125" s="825"/>
      <c r="Y125" s="825"/>
      <c r="Z125" s="825"/>
      <c r="AA125" s="825"/>
      <c r="AB125" s="825"/>
      <c r="AC125" s="825"/>
      <c r="AD125" s="825"/>
      <c r="AE125" s="825"/>
      <c r="AF125" s="825"/>
      <c r="AG125" s="825"/>
      <c r="AH125" s="825"/>
      <c r="AI125" s="825"/>
      <c r="AJ125" s="825"/>
      <c r="AK125" s="825"/>
      <c r="AL125" s="825"/>
      <c r="AN125" s="121"/>
      <c r="AO125" s="121"/>
      <c r="AP125" s="121"/>
      <c r="AQ125" s="37"/>
    </row>
    <row r="126" spans="1:43" s="37" customFormat="1" x14ac:dyDescent="0.2">
      <c r="A126" s="1045"/>
      <c r="O126" s="118"/>
      <c r="Q126" s="118"/>
      <c r="X126" s="36"/>
      <c r="Y126" s="36"/>
      <c r="Z126" s="36"/>
      <c r="AA126" s="36"/>
      <c r="AB126" s="36"/>
      <c r="AC126" s="36"/>
      <c r="AD126" s="36"/>
      <c r="AE126" s="36"/>
      <c r="AF126" s="36"/>
      <c r="AG126" s="36"/>
      <c r="AH126" s="36"/>
      <c r="AI126" s="36"/>
      <c r="AJ126" s="36"/>
      <c r="AK126" s="36"/>
      <c r="AL126" s="36"/>
      <c r="AM126" s="121"/>
      <c r="AN126" s="121"/>
      <c r="AO126" s="121"/>
      <c r="AP126" s="121"/>
    </row>
    <row r="127" spans="1:43" s="37" customFormat="1" x14ac:dyDescent="0.2">
      <c r="A127" s="1045"/>
      <c r="O127" s="118"/>
      <c r="Q127" s="118"/>
      <c r="X127" s="36"/>
      <c r="Y127" s="36"/>
      <c r="Z127" s="36"/>
      <c r="AA127" s="36"/>
      <c r="AB127" s="36"/>
      <c r="AC127" s="36"/>
      <c r="AD127" s="36"/>
      <c r="AE127" s="36"/>
      <c r="AF127" s="36"/>
      <c r="AG127" s="36"/>
      <c r="AH127" s="36"/>
      <c r="AI127" s="36"/>
      <c r="AJ127" s="36"/>
      <c r="AK127" s="36"/>
      <c r="AL127" s="36"/>
      <c r="AM127" s="121"/>
      <c r="AN127" s="121"/>
      <c r="AO127" s="121"/>
      <c r="AP127" s="121"/>
    </row>
    <row r="128" spans="1:43" s="37" customFormat="1" x14ac:dyDescent="0.2">
      <c r="A128" s="1045"/>
      <c r="O128" s="118"/>
      <c r="Q128" s="118"/>
      <c r="X128" s="36"/>
      <c r="Y128" s="36"/>
      <c r="Z128" s="36"/>
      <c r="AA128" s="36"/>
      <c r="AB128" s="36"/>
      <c r="AC128" s="36"/>
      <c r="AD128" s="36"/>
      <c r="AE128" s="36"/>
      <c r="AF128" s="36"/>
      <c r="AG128" s="36"/>
      <c r="AH128" s="36"/>
      <c r="AI128" s="36"/>
      <c r="AJ128" s="36"/>
      <c r="AK128" s="36"/>
      <c r="AL128" s="36"/>
      <c r="AM128" s="121"/>
      <c r="AN128" s="121"/>
      <c r="AO128" s="121"/>
      <c r="AP128" s="121"/>
    </row>
    <row r="129" spans="1:43" s="37" customFormat="1" x14ac:dyDescent="0.2">
      <c r="A129" s="1045"/>
      <c r="O129" s="118"/>
      <c r="Q129" s="118"/>
      <c r="X129" s="36"/>
      <c r="Y129" s="36"/>
      <c r="Z129" s="36"/>
      <c r="AA129" s="36"/>
      <c r="AB129" s="36"/>
      <c r="AC129" s="36"/>
      <c r="AD129" s="36"/>
      <c r="AE129" s="36"/>
      <c r="AF129" s="36"/>
      <c r="AG129" s="36"/>
      <c r="AH129" s="36"/>
      <c r="AI129" s="36"/>
      <c r="AJ129" s="36"/>
      <c r="AK129" s="36"/>
      <c r="AL129" s="36"/>
      <c r="AM129" s="121"/>
      <c r="AN129" s="121"/>
      <c r="AO129" s="121"/>
      <c r="AP129" s="121"/>
    </row>
    <row r="130" spans="1:43" s="37" customFormat="1" x14ac:dyDescent="0.2">
      <c r="A130" s="1045"/>
      <c r="O130" s="118"/>
      <c r="Q130" s="118"/>
      <c r="X130" s="36"/>
      <c r="Y130" s="36"/>
      <c r="Z130" s="36"/>
      <c r="AA130" s="36"/>
      <c r="AB130" s="36"/>
      <c r="AC130" s="36"/>
      <c r="AD130" s="36"/>
      <c r="AE130" s="36"/>
      <c r="AF130" s="36"/>
      <c r="AG130" s="36"/>
      <c r="AH130" s="36"/>
      <c r="AI130" s="36"/>
      <c r="AJ130" s="36"/>
      <c r="AK130" s="36"/>
      <c r="AL130" s="36"/>
      <c r="AM130" s="121"/>
      <c r="AN130" s="121"/>
      <c r="AO130" s="121"/>
      <c r="AP130" s="121"/>
    </row>
    <row r="131" spans="1:43" s="37" customFormat="1" x14ac:dyDescent="0.2">
      <c r="A131" s="1045"/>
      <c r="O131" s="118"/>
      <c r="Q131" s="118"/>
      <c r="X131" s="36"/>
      <c r="Y131" s="36"/>
      <c r="Z131" s="36"/>
      <c r="AA131" s="36"/>
      <c r="AB131" s="36"/>
      <c r="AC131" s="36"/>
      <c r="AD131" s="36"/>
      <c r="AE131" s="36"/>
      <c r="AF131" s="36"/>
      <c r="AG131" s="36"/>
      <c r="AH131" s="36"/>
      <c r="AI131" s="36"/>
      <c r="AJ131" s="36"/>
      <c r="AK131" s="36"/>
      <c r="AL131" s="36"/>
      <c r="AM131" s="121"/>
      <c r="AN131" s="121"/>
      <c r="AO131" s="121"/>
      <c r="AP131" s="121"/>
    </row>
    <row r="132" spans="1:43" s="37" customFormat="1" x14ac:dyDescent="0.2">
      <c r="A132" s="1045"/>
      <c r="O132" s="118"/>
      <c r="Q132" s="118"/>
      <c r="X132" s="36"/>
      <c r="Y132" s="36"/>
      <c r="Z132" s="36"/>
      <c r="AA132" s="36"/>
      <c r="AB132" s="36"/>
      <c r="AC132" s="36"/>
      <c r="AD132" s="36"/>
      <c r="AE132" s="36"/>
      <c r="AF132" s="36"/>
      <c r="AG132" s="36"/>
      <c r="AH132" s="36"/>
      <c r="AI132" s="36"/>
      <c r="AJ132" s="36"/>
      <c r="AK132" s="36"/>
      <c r="AL132" s="36"/>
      <c r="AM132" s="121"/>
      <c r="AN132" s="121"/>
      <c r="AO132" s="121"/>
      <c r="AP132" s="121"/>
    </row>
    <row r="133" spans="1:43" s="37" customFormat="1" x14ac:dyDescent="0.2">
      <c r="A133" s="1045"/>
      <c r="O133" s="118"/>
      <c r="Q133" s="118"/>
      <c r="X133" s="36"/>
      <c r="Y133" s="36"/>
      <c r="Z133" s="36"/>
      <c r="AA133" s="36"/>
      <c r="AB133" s="36"/>
      <c r="AC133" s="36"/>
      <c r="AD133" s="36"/>
      <c r="AE133" s="36"/>
      <c r="AF133" s="36"/>
      <c r="AG133" s="36"/>
      <c r="AH133" s="36"/>
      <c r="AI133" s="36"/>
      <c r="AJ133" s="36"/>
      <c r="AK133" s="36"/>
      <c r="AL133" s="36"/>
      <c r="AM133" s="121"/>
      <c r="AN133" s="121"/>
      <c r="AO133" s="121"/>
      <c r="AP133" s="121"/>
    </row>
    <row r="134" spans="1:43" s="37" customFormat="1" x14ac:dyDescent="0.2">
      <c r="A134" s="1045"/>
      <c r="O134" s="118"/>
      <c r="Q134" s="118"/>
      <c r="X134" s="36"/>
      <c r="Y134" s="36"/>
      <c r="Z134" s="36"/>
      <c r="AA134" s="36"/>
      <c r="AB134" s="36"/>
      <c r="AC134" s="36"/>
      <c r="AD134" s="36"/>
      <c r="AE134" s="36"/>
      <c r="AF134" s="36"/>
      <c r="AG134" s="36"/>
      <c r="AH134" s="36"/>
      <c r="AI134" s="36"/>
      <c r="AJ134" s="36"/>
      <c r="AK134" s="36"/>
      <c r="AL134" s="36"/>
      <c r="AM134" s="121"/>
      <c r="AN134" s="121"/>
      <c r="AO134" s="121"/>
      <c r="AP134" s="121"/>
    </row>
    <row r="135" spans="1:43" s="37" customFormat="1" x14ac:dyDescent="0.2">
      <c r="A135" s="1045"/>
      <c r="O135" s="118"/>
      <c r="Q135" s="118"/>
      <c r="X135" s="36"/>
      <c r="Y135" s="36"/>
      <c r="Z135" s="36"/>
      <c r="AA135" s="36"/>
      <c r="AB135" s="36"/>
      <c r="AC135" s="36"/>
      <c r="AD135" s="36"/>
      <c r="AE135" s="36"/>
      <c r="AF135" s="36"/>
      <c r="AG135" s="36"/>
      <c r="AH135" s="36"/>
      <c r="AI135" s="36"/>
      <c r="AJ135" s="36"/>
      <c r="AK135" s="36"/>
      <c r="AL135" s="36"/>
      <c r="AM135" s="121"/>
      <c r="AN135" s="121"/>
      <c r="AO135" s="121"/>
      <c r="AP135" s="121"/>
    </row>
    <row r="136" spans="1:43" s="37" customFormat="1" x14ac:dyDescent="0.2">
      <c r="A136" s="1045"/>
      <c r="O136" s="118"/>
      <c r="Q136" s="118"/>
      <c r="X136" s="36"/>
      <c r="Y136" s="36"/>
      <c r="Z136" s="36"/>
      <c r="AA136" s="36"/>
      <c r="AB136" s="36"/>
      <c r="AC136" s="36"/>
      <c r="AD136" s="36"/>
      <c r="AE136" s="36"/>
      <c r="AF136" s="36"/>
      <c r="AG136" s="36"/>
      <c r="AH136" s="36"/>
      <c r="AI136" s="36"/>
      <c r="AJ136" s="36"/>
      <c r="AK136" s="36"/>
      <c r="AL136" s="36"/>
      <c r="AM136" s="121"/>
      <c r="AN136" s="121"/>
      <c r="AO136" s="121"/>
      <c r="AP136" s="121"/>
    </row>
    <row r="137" spans="1:43" s="37" customFormat="1" x14ac:dyDescent="0.2">
      <c r="A137" s="1045"/>
      <c r="O137" s="118"/>
      <c r="Q137" s="118"/>
      <c r="X137" s="36"/>
      <c r="Y137" s="36"/>
      <c r="Z137" s="36"/>
      <c r="AA137" s="36"/>
      <c r="AB137" s="36"/>
      <c r="AC137" s="36"/>
      <c r="AD137" s="36"/>
      <c r="AE137" s="36"/>
      <c r="AF137" s="36"/>
      <c r="AG137" s="36"/>
      <c r="AH137" s="36"/>
      <c r="AI137" s="36"/>
      <c r="AJ137" s="36"/>
      <c r="AK137" s="36"/>
      <c r="AL137" s="36"/>
      <c r="AM137" s="121"/>
      <c r="AN137" s="121"/>
      <c r="AO137" s="121"/>
      <c r="AP137" s="121"/>
    </row>
    <row r="138" spans="1:43" s="37" customFormat="1" x14ac:dyDescent="0.2">
      <c r="A138" s="1045"/>
      <c r="O138" s="118"/>
      <c r="Q138" s="118"/>
      <c r="X138" s="36"/>
      <c r="Y138" s="36"/>
      <c r="Z138" s="36"/>
      <c r="AA138" s="36"/>
      <c r="AB138" s="36"/>
      <c r="AC138" s="36"/>
      <c r="AD138" s="36"/>
      <c r="AE138" s="36"/>
      <c r="AF138" s="36"/>
      <c r="AG138" s="36"/>
      <c r="AH138" s="36"/>
      <c r="AI138" s="36"/>
      <c r="AJ138" s="36"/>
      <c r="AK138" s="36"/>
      <c r="AL138" s="36"/>
      <c r="AM138" s="121"/>
      <c r="AN138" s="121"/>
      <c r="AO138" s="121"/>
      <c r="AP138" s="121"/>
      <c r="AQ138" s="121"/>
    </row>
    <row r="139" spans="1:43" x14ac:dyDescent="0.2">
      <c r="A139" s="1045"/>
    </row>
    <row r="140" spans="1:43" ht="18" x14ac:dyDescent="0.2">
      <c r="A140" s="1045"/>
      <c r="B140" s="308" t="s">
        <v>11</v>
      </c>
      <c r="C140" s="321"/>
      <c r="D140" s="308"/>
      <c r="E140" s="308"/>
      <c r="F140" s="308"/>
      <c r="G140" s="308"/>
      <c r="H140" s="308"/>
      <c r="I140" s="308"/>
      <c r="J140" s="308"/>
      <c r="K140" s="308"/>
      <c r="L140" s="308"/>
    </row>
    <row r="141" spans="1:43" x14ac:dyDescent="0.2">
      <c r="A141" s="1045"/>
    </row>
    <row r="142" spans="1:43" ht="12.75" x14ac:dyDescent="0.2">
      <c r="A142" s="1045"/>
      <c r="B142" s="255" t="str">
        <f>ListAVS!$B$303</f>
        <v>Odpowiedni siłownik będzie określony za pomocą współczynnika mocy</v>
      </c>
      <c r="C142" s="255"/>
      <c r="D142" s="255"/>
      <c r="E142" s="255"/>
      <c r="F142" s="255"/>
      <c r="G142" s="255"/>
      <c r="H142" s="255"/>
      <c r="I142" s="255"/>
      <c r="J142" s="255"/>
      <c r="K142" s="255"/>
      <c r="L142" s="255"/>
    </row>
    <row r="143" spans="1:43" ht="12.75" x14ac:dyDescent="0.2">
      <c r="A143" s="1045"/>
      <c r="B143" s="255" t="str">
        <f>ListAVS!$B$304</f>
        <v>Współczynnik mocy zależy od wagi dolnego i górnego frontu oraz od wysokości korpusu</v>
      </c>
      <c r="C143" s="255"/>
      <c r="D143" s="255"/>
      <c r="E143" s="255"/>
      <c r="F143" s="255"/>
      <c r="G143" s="255"/>
      <c r="H143" s="255"/>
      <c r="I143" s="255"/>
      <c r="J143" s="255"/>
      <c r="K143" s="255"/>
      <c r="L143" s="255"/>
    </row>
    <row r="144" spans="1:43" ht="12.75" x14ac:dyDescent="0.2">
      <c r="A144" s="1045"/>
      <c r="B144" s="255"/>
      <c r="C144" s="564"/>
      <c r="D144" s="564"/>
      <c r="E144" s="564"/>
      <c r="F144" s="564"/>
      <c r="G144" s="564"/>
      <c r="H144" s="564"/>
      <c r="I144" s="564"/>
      <c r="J144" s="564"/>
      <c r="K144" s="564"/>
      <c r="L144" s="564"/>
    </row>
    <row r="145" spans="1:12" ht="15" customHeight="1" x14ac:dyDescent="0.2">
      <c r="A145" s="1045"/>
      <c r="B145" s="565"/>
      <c r="C145" s="565"/>
      <c r="D145" s="565"/>
      <c r="E145" s="565"/>
      <c r="F145" s="565"/>
      <c r="G145" s="565"/>
      <c r="H145" s="565"/>
      <c r="I145" s="565"/>
      <c r="J145" s="565"/>
      <c r="K145" s="565"/>
      <c r="L145" s="565"/>
    </row>
    <row r="146" spans="1:12" ht="17.25" customHeight="1" x14ac:dyDescent="0.2">
      <c r="A146" s="1045"/>
      <c r="B146" s="566"/>
      <c r="C146" s="566"/>
      <c r="D146" s="205" t="str">
        <f>ListAVS!$B$86&amp;" = "</f>
        <v xml:space="preserve">Współczynnik mocy = </v>
      </c>
      <c r="E146" s="1120" t="str">
        <f>ListAVS!$B$320&amp;" [kg]"</f>
        <v>wysokość korpusu (KH) [mm] x waga obu frontów wraz z uchwytem [kg]</v>
      </c>
      <c r="F146" s="1120"/>
      <c r="G146" s="1120"/>
      <c r="H146" s="1120"/>
      <c r="I146" s="1120"/>
      <c r="J146" s="1120"/>
      <c r="K146" s="1120"/>
      <c r="L146" s="1120"/>
    </row>
    <row r="147" spans="1:12" ht="12.75" x14ac:dyDescent="0.2">
      <c r="A147" s="1045"/>
      <c r="B147" s="255"/>
      <c r="C147" s="255"/>
      <c r="D147" s="255"/>
      <c r="E147" s="255"/>
      <c r="F147" s="255"/>
      <c r="G147" s="255"/>
      <c r="H147" s="255"/>
      <c r="I147" s="255"/>
      <c r="J147" s="255"/>
      <c r="K147" s="255"/>
      <c r="L147" s="255"/>
    </row>
    <row r="148" spans="1:12" ht="12.75" x14ac:dyDescent="0.2">
      <c r="A148" s="1045"/>
      <c r="B148" s="255"/>
      <c r="C148" s="255"/>
      <c r="D148" s="255"/>
      <c r="E148" s="255"/>
      <c r="F148" s="255"/>
      <c r="G148" s="255"/>
      <c r="H148" s="255"/>
      <c r="I148" s="255"/>
      <c r="J148" s="255"/>
      <c r="K148" s="255"/>
      <c r="L148" s="255"/>
    </row>
    <row r="149" spans="1:12" ht="12.75" x14ac:dyDescent="0.2">
      <c r="A149" s="1045"/>
      <c r="B149" s="255"/>
      <c r="C149" s="255"/>
      <c r="D149" s="255"/>
      <c r="E149" s="255"/>
      <c r="F149" s="255"/>
      <c r="G149" s="255"/>
      <c r="H149" s="255"/>
      <c r="I149" s="255"/>
      <c r="J149" s="255"/>
      <c r="K149" s="255"/>
      <c r="L149" s="255"/>
    </row>
    <row r="150" spans="1:12" ht="12.75" x14ac:dyDescent="0.2">
      <c r="A150" s="1045"/>
      <c r="B150" s="273"/>
      <c r="C150" s="255"/>
      <c r="D150" s="255"/>
      <c r="E150" s="255"/>
      <c r="F150" s="255"/>
      <c r="G150" s="255"/>
      <c r="H150" s="255"/>
      <c r="I150" s="255"/>
      <c r="J150" s="255"/>
      <c r="K150" s="255"/>
      <c r="L150" s="255"/>
    </row>
    <row r="151" spans="1:12" ht="12.75" x14ac:dyDescent="0.2">
      <c r="A151" s="1045"/>
      <c r="B151" s="255"/>
      <c r="C151" s="255"/>
      <c r="D151" s="255"/>
      <c r="E151" s="255"/>
      <c r="F151" s="255"/>
      <c r="G151" s="255"/>
      <c r="H151" s="255"/>
      <c r="I151" s="255"/>
      <c r="J151" s="255"/>
      <c r="K151" s="255"/>
      <c r="L151" s="255"/>
    </row>
    <row r="152" spans="1:12" ht="12.75" x14ac:dyDescent="0.2">
      <c r="A152" s="1045"/>
      <c r="B152" s="255" t="str">
        <f>ListAVS!$B$312</f>
        <v>Jeśli znasz wagę frontu, możesz ją wprowadzić, w przeciwnym razie skorzystaj z „Obliczenia wagi”.</v>
      </c>
      <c r="C152" s="255"/>
      <c r="D152" s="255"/>
      <c r="E152" s="255"/>
      <c r="F152" s="255"/>
      <c r="G152" s="255"/>
      <c r="H152" s="255"/>
      <c r="I152" s="255"/>
      <c r="J152" s="255"/>
      <c r="K152" s="255"/>
      <c r="L152" s="255"/>
    </row>
    <row r="153" spans="1:12" ht="12.75" x14ac:dyDescent="0.2">
      <c r="A153" s="1045"/>
      <c r="B153" s="255" t="str">
        <f>ListAVS!$B$313</f>
        <v>W tabeli wprowadzona wartość ma pierwszeństwo aby skorzystać z wagi obliczeniowej, należy usunąć wprowadzoną wartość.</v>
      </c>
      <c r="C153" s="255"/>
      <c r="D153" s="255"/>
      <c r="E153" s="255"/>
      <c r="F153" s="255"/>
      <c r="G153" s="255"/>
      <c r="H153" s="255"/>
      <c r="I153" s="255"/>
      <c r="J153" s="255"/>
      <c r="K153" s="255"/>
      <c r="L153" s="255"/>
    </row>
    <row r="154" spans="1:12" ht="12.75" x14ac:dyDescent="0.2">
      <c r="A154" s="1045"/>
      <c r="B154" s="255"/>
      <c r="C154" s="255"/>
      <c r="D154" s="255"/>
      <c r="E154" s="255"/>
      <c r="F154" s="255"/>
      <c r="G154" s="255"/>
      <c r="H154" s="255"/>
      <c r="I154" s="255"/>
      <c r="J154" s="255"/>
      <c r="K154" s="255"/>
      <c r="L154" s="255"/>
    </row>
    <row r="155" spans="1:12" ht="12.75" x14ac:dyDescent="0.2">
      <c r="A155" s="1045"/>
      <c r="B155" s="255" t="str">
        <f>ListAVS!$B$323&amp;". "&amp;ListAVS!$B$324&amp;"."</f>
        <v>Długość podnośnika teleskopowego zależy od wysokości korpusu KH. W przypadku frontów asymetrycznych wykorzystuje się wysokość teoretyczną TKH.</v>
      </c>
      <c r="C155" s="255"/>
      <c r="D155" s="255"/>
      <c r="E155" s="255"/>
      <c r="F155" s="255"/>
      <c r="G155" s="255"/>
      <c r="H155" s="255"/>
      <c r="I155" s="255"/>
      <c r="J155" s="255"/>
      <c r="K155" s="255"/>
      <c r="L155" s="255"/>
    </row>
    <row r="156" spans="1:12" ht="12.75" x14ac:dyDescent="0.2">
      <c r="A156" s="1045"/>
      <c r="B156" s="255"/>
      <c r="C156" s="255"/>
      <c r="D156" s="255"/>
      <c r="E156" s="255"/>
      <c r="F156" s="255"/>
      <c r="G156" s="255"/>
      <c r="H156" s="255"/>
      <c r="I156" s="255"/>
      <c r="J156" s="255"/>
      <c r="K156" s="255"/>
      <c r="L156" s="255"/>
    </row>
    <row r="157" spans="1:12" ht="13.5" customHeight="1" x14ac:dyDescent="0.2">
      <c r="A157" s="1045"/>
      <c r="B157" s="567" t="str">
        <f>" "&amp;ListAVS!$B$163&amp;":"</f>
        <v xml:space="preserve"> Fronty asymetryczne:</v>
      </c>
      <c r="C157" s="568"/>
      <c r="D157" s="568"/>
      <c r="E157" s="568"/>
      <c r="F157" s="568"/>
      <c r="G157" s="568"/>
      <c r="H157" s="568"/>
      <c r="I157" s="568"/>
      <c r="J157" s="568"/>
      <c r="K157" s="568"/>
      <c r="L157" s="568"/>
    </row>
    <row r="158" spans="1:12" ht="15.75" customHeight="1" x14ac:dyDescent="0.2">
      <c r="A158" s="1045"/>
      <c r="B158" s="322" t="str">
        <f>" "&amp;ListAVS!$B$321</f>
        <v xml:space="preserve"> Teoretyczna wysokość korpusu (TKH) = wysokość frontu górnego (FHo) x 2 + szczeliny</v>
      </c>
      <c r="C158" s="568"/>
      <c r="D158" s="568"/>
      <c r="E158" s="568"/>
      <c r="F158" s="568"/>
      <c r="G158" s="568"/>
      <c r="H158" s="568"/>
      <c r="I158" s="568"/>
      <c r="J158" s="568"/>
      <c r="K158" s="568"/>
      <c r="L158" s="568"/>
    </row>
    <row r="159" spans="1:12" ht="12.75" x14ac:dyDescent="0.2">
      <c r="A159" s="1045"/>
      <c r="B159" s="255"/>
      <c r="C159" s="255"/>
      <c r="D159" s="255"/>
      <c r="E159" s="255"/>
      <c r="F159" s="255"/>
      <c r="G159" s="255"/>
      <c r="H159" s="255"/>
      <c r="I159" s="255"/>
      <c r="J159" s="255"/>
      <c r="K159" s="255"/>
      <c r="L159" s="255"/>
    </row>
    <row r="160" spans="1:12" ht="12.75" x14ac:dyDescent="0.2">
      <c r="A160" s="1045"/>
      <c r="B160" s="255" t="str">
        <f>ListAVS!$B$316</f>
        <v>W przypadku frontów asymetrycznych, większy front musi być na górze!</v>
      </c>
      <c r="C160" s="255"/>
      <c r="D160" s="255"/>
      <c r="E160" s="255"/>
      <c r="F160" s="255"/>
      <c r="G160" s="255"/>
      <c r="H160" s="255"/>
      <c r="I160" s="255"/>
      <c r="J160" s="255"/>
      <c r="K160" s="255"/>
      <c r="L160" s="255"/>
    </row>
    <row r="161" spans="1:12" ht="12.75" x14ac:dyDescent="0.2">
      <c r="A161" s="1045"/>
      <c r="B161" s="255"/>
      <c r="C161" s="255"/>
      <c r="D161" s="255"/>
      <c r="E161" s="255"/>
      <c r="F161" s="255"/>
      <c r="G161" s="255"/>
      <c r="H161" s="255"/>
      <c r="I161" s="255"/>
      <c r="J161" s="255"/>
      <c r="K161" s="255"/>
      <c r="L161" s="255"/>
    </row>
    <row r="162" spans="1:12" ht="12.75" x14ac:dyDescent="0.2">
      <c r="A162" s="1045"/>
      <c r="B162" s="255" t="str">
        <f>ListAVS!$B$326</f>
        <v>Jeżeli podasz wartość TKH, będzie ona wykorzystana do określenia długości podnośnika teleskopowego</v>
      </c>
      <c r="C162" s="255"/>
      <c r="D162" s="255"/>
      <c r="E162" s="255"/>
      <c r="F162" s="255"/>
      <c r="G162" s="255"/>
      <c r="H162" s="255"/>
      <c r="I162" s="255"/>
      <c r="J162" s="255"/>
      <c r="K162" s="255"/>
      <c r="L162" s="255"/>
    </row>
    <row r="163" spans="1:12" ht="12.75" x14ac:dyDescent="0.2">
      <c r="A163" s="1045"/>
      <c r="B163" s="255" t="str">
        <f>ListAVS!$B$327</f>
        <v>Jeśli nie masz asymetrycznych frontów, zostaw pole puste</v>
      </c>
      <c r="C163" s="255"/>
      <c r="D163" s="255"/>
      <c r="E163" s="255"/>
      <c r="F163" s="255"/>
      <c r="G163" s="255"/>
      <c r="H163" s="255"/>
      <c r="I163" s="255"/>
      <c r="J163" s="255"/>
      <c r="K163" s="255"/>
      <c r="L163" s="255"/>
    </row>
    <row r="164" spans="1:12" ht="12.75" x14ac:dyDescent="0.2">
      <c r="A164" s="1045"/>
      <c r="B164" s="255" t="str">
        <f>ListAVS!$B$328&amp;" ' "&amp;ListAVS!$B$195&amp;"' "</f>
        <v xml:space="preserve">Do obliczenia TKH użyj ' Obliczanie frontów asymetrycznych' </v>
      </c>
      <c r="C164" s="255"/>
      <c r="D164" s="255"/>
      <c r="E164" s="255"/>
      <c r="F164" s="255"/>
      <c r="G164" s="255"/>
      <c r="H164" s="255"/>
      <c r="I164" s="255"/>
      <c r="J164" s="255"/>
      <c r="K164" s="255"/>
      <c r="L164" s="255"/>
    </row>
    <row r="165" spans="1:12" ht="12.75" x14ac:dyDescent="0.2">
      <c r="A165" s="1045"/>
      <c r="B165" s="255"/>
      <c r="C165" s="255"/>
      <c r="D165" s="255"/>
      <c r="E165" s="255"/>
      <c r="F165" s="255"/>
      <c r="G165" s="255"/>
      <c r="H165" s="255"/>
      <c r="I165" s="255"/>
      <c r="J165" s="255"/>
      <c r="K165" s="255"/>
      <c r="L165" s="255"/>
    </row>
    <row r="166" spans="1:12" ht="12.75" x14ac:dyDescent="0.2">
      <c r="A166" s="1045"/>
      <c r="B166" s="255"/>
      <c r="C166" s="255"/>
      <c r="D166" s="255"/>
      <c r="E166" s="255"/>
      <c r="F166" s="255"/>
      <c r="G166" s="255"/>
      <c r="H166" s="255"/>
      <c r="I166" s="255"/>
      <c r="J166" s="255"/>
      <c r="K166" s="255"/>
      <c r="L166" s="255"/>
    </row>
    <row r="167" spans="1:12" ht="12.75" x14ac:dyDescent="0.2">
      <c r="A167" s="1045"/>
      <c r="B167" s="255" t="str">
        <f>ListAVS!$B$306</f>
        <v>Aby zmienić kolor zaślepek przejdź do „Wprowadzenie do planowania”</v>
      </c>
      <c r="C167" s="255"/>
      <c r="D167" s="255"/>
      <c r="E167" s="255"/>
      <c r="F167" s="255"/>
      <c r="G167" s="255"/>
      <c r="H167" s="255"/>
      <c r="I167" s="255"/>
      <c r="J167" s="255"/>
      <c r="K167" s="255"/>
      <c r="L167" s="255"/>
    </row>
    <row r="168" spans="1:12" ht="12.75" x14ac:dyDescent="0.2">
      <c r="A168" s="1045"/>
      <c r="B168" s="255"/>
      <c r="C168" s="255"/>
      <c r="D168" s="255"/>
      <c r="E168" s="255"/>
      <c r="F168" s="255"/>
      <c r="G168" s="255"/>
      <c r="H168" s="255"/>
      <c r="I168" s="255"/>
      <c r="J168" s="255"/>
      <c r="K168" s="255"/>
      <c r="L168" s="255"/>
    </row>
    <row r="169" spans="1:12" ht="12.75" x14ac:dyDescent="0.2">
      <c r="A169" s="1045"/>
      <c r="B169" s="255" t="str">
        <f>ListAVS!$B$411</f>
        <v>Zwróć uwagę na wybór ramek aluminiowych</v>
      </c>
      <c r="C169" s="255"/>
      <c r="D169" s="255"/>
      <c r="E169" s="255"/>
      <c r="F169" s="255"/>
      <c r="G169" s="255"/>
      <c r="H169" s="255"/>
      <c r="I169" s="255"/>
      <c r="J169" s="255"/>
      <c r="K169" s="255"/>
      <c r="L169" s="255"/>
    </row>
    <row r="170" spans="1:12" ht="12.75" x14ac:dyDescent="0.2">
      <c r="A170" s="1045"/>
      <c r="B170" s="255" t="str">
        <f>ListAVS!$B$412</f>
        <v>Wybierz, rodzaj, który lepiej pasuje do kształtu zastosowanej ramki aluminiowej.</v>
      </c>
      <c r="C170" s="255"/>
      <c r="D170" s="255"/>
      <c r="E170" s="255"/>
      <c r="F170" s="255"/>
      <c r="G170" s="255"/>
      <c r="H170" s="255"/>
      <c r="I170" s="255"/>
      <c r="J170" s="255"/>
      <c r="K170" s="255"/>
      <c r="L170" s="255"/>
    </row>
    <row r="171" spans="1:12" ht="12.75" x14ac:dyDescent="0.2">
      <c r="A171" s="1045"/>
      <c r="B171" s="255" t="str">
        <f>ListAVS!$B$413</f>
        <v>Sposób mocowania szkła w ramkę znacząco wpływa na powierzchnię szkła, a co za tym idzie na jego wagę!</v>
      </c>
      <c r="C171" s="255"/>
      <c r="D171" s="255"/>
      <c r="E171" s="255"/>
      <c r="F171" s="255"/>
      <c r="G171" s="255"/>
      <c r="H171" s="255"/>
      <c r="I171" s="255"/>
      <c r="J171" s="255"/>
      <c r="K171" s="255"/>
      <c r="L171" s="253"/>
    </row>
    <row r="172" spans="1:12" ht="12.75" x14ac:dyDescent="0.2">
      <c r="A172" s="1045"/>
      <c r="B172" s="255"/>
      <c r="C172" s="255"/>
      <c r="D172" s="255"/>
      <c r="E172" s="255"/>
      <c r="F172" s="255"/>
      <c r="G172" s="255"/>
      <c r="H172" s="255"/>
      <c r="I172" s="255"/>
      <c r="J172" s="255"/>
      <c r="K172" s="255"/>
      <c r="L172" s="255"/>
    </row>
    <row r="173" spans="1:12" ht="12.75" x14ac:dyDescent="0.2">
      <c r="A173" s="1045"/>
      <c r="B173" s="255"/>
      <c r="C173" s="828" t="str">
        <f>"  "&amp;ListAVS!$B$422&amp;"  "</f>
        <v xml:space="preserve">  z wpuszczanym szkłem  </v>
      </c>
      <c r="D173" s="255"/>
      <c r="E173" s="255"/>
      <c r="F173" s="255"/>
      <c r="G173" s="255"/>
      <c r="H173" s="255"/>
      <c r="I173" s="255"/>
      <c r="J173" s="255"/>
      <c r="K173" s="255"/>
      <c r="L173" s="255"/>
    </row>
    <row r="174" spans="1:12" ht="12.75" x14ac:dyDescent="0.2">
      <c r="A174" s="1045"/>
      <c r="B174" s="255"/>
      <c r="C174" s="253"/>
      <c r="D174" s="255"/>
      <c r="E174" s="255"/>
      <c r="F174" s="255"/>
      <c r="G174" s="255"/>
      <c r="H174" s="255"/>
      <c r="I174" s="255"/>
      <c r="J174" s="255"/>
      <c r="K174" s="255"/>
      <c r="L174" s="255"/>
    </row>
    <row r="175" spans="1:12" ht="12.75" x14ac:dyDescent="0.2">
      <c r="A175" s="1045"/>
      <c r="B175" s="255"/>
      <c r="C175" s="828" t="str">
        <f>"  "&amp;ListAVS!$B$423&amp;"  "</f>
        <v xml:space="preserve">  ze szkłem nakładanym lub przyklejanym  </v>
      </c>
      <c r="D175" s="255"/>
      <c r="E175" s="255"/>
      <c r="F175" s="255"/>
      <c r="G175" s="255"/>
      <c r="H175" s="255"/>
      <c r="I175" s="255"/>
      <c r="J175" s="255"/>
      <c r="K175" s="255"/>
      <c r="L175" s="255"/>
    </row>
    <row r="176" spans="1:12" ht="12.75" x14ac:dyDescent="0.2">
      <c r="A176" s="1045"/>
      <c r="B176" s="255"/>
      <c r="C176" s="255"/>
      <c r="D176" s="255"/>
      <c r="E176" s="255"/>
      <c r="F176" s="255"/>
      <c r="G176" s="255"/>
      <c r="H176" s="255"/>
      <c r="I176" s="255"/>
      <c r="J176" s="255"/>
      <c r="K176" s="255"/>
      <c r="L176" s="255"/>
    </row>
    <row r="177" spans="1:12" ht="12.75" x14ac:dyDescent="0.2">
      <c r="A177" s="1045"/>
      <c r="B177" s="255"/>
      <c r="C177" s="255"/>
      <c r="D177" s="255"/>
      <c r="E177" s="255"/>
      <c r="F177" s="255"/>
      <c r="G177" s="255"/>
      <c r="H177" s="255"/>
      <c r="I177" s="255"/>
      <c r="J177" s="255"/>
      <c r="K177" s="255"/>
      <c r="L177" s="563" t="str">
        <f>ListAVS!$B$168</f>
        <v>Z powrotem</v>
      </c>
    </row>
    <row r="178" spans="1:12" ht="12.75" x14ac:dyDescent="0.2">
      <c r="A178" s="1045"/>
      <c r="B178" s="255"/>
      <c r="C178" s="255"/>
      <c r="D178" s="255"/>
      <c r="E178" s="255"/>
      <c r="F178" s="255"/>
      <c r="G178" s="255"/>
      <c r="H178" s="255"/>
      <c r="I178" s="255"/>
      <c r="J178" s="255"/>
      <c r="K178" s="255"/>
      <c r="L178" s="255"/>
    </row>
    <row r="179" spans="1:12" x14ac:dyDescent="0.2">
      <c r="A179" s="1045"/>
    </row>
  </sheetData>
  <sheetProtection algorithmName="SHA-512" hashValue="n2VfL3t1SpCcRKUABbXZoOoCPJoKnzq9SfODYSiFBqeoGsscasHoluxVYDFfhA3IhpM49CtRctvNyCC8D+NEHQ==" saltValue="EJaEA8mh1Y4TVja7a6UgIQ==" spinCount="100000" sheet="1" objects="1" scenarios="1"/>
  <mergeCells count="80">
    <mergeCell ref="I125:J125"/>
    <mergeCell ref="A139:A179"/>
    <mergeCell ref="E146:L146"/>
    <mergeCell ref="B116:H116"/>
    <mergeCell ref="I116:J116"/>
    <mergeCell ref="B117:H117"/>
    <mergeCell ref="I117:J117"/>
    <mergeCell ref="B118:H118"/>
    <mergeCell ref="I118:J118"/>
    <mergeCell ref="A100:A138"/>
    <mergeCell ref="B102:J102"/>
    <mergeCell ref="B103:H103"/>
    <mergeCell ref="I103:J103"/>
    <mergeCell ref="B104:H104"/>
    <mergeCell ref="I104:J104"/>
    <mergeCell ref="B105:H105"/>
    <mergeCell ref="B111:F111"/>
    <mergeCell ref="B112:F112"/>
    <mergeCell ref="B114:H114"/>
    <mergeCell ref="I114:J114"/>
    <mergeCell ref="B115:H115"/>
    <mergeCell ref="I115:J115"/>
    <mergeCell ref="B106:H106"/>
    <mergeCell ref="I106:J106"/>
    <mergeCell ref="B107:H107"/>
    <mergeCell ref="I107:J107"/>
    <mergeCell ref="B110:F110"/>
    <mergeCell ref="G110:J110"/>
    <mergeCell ref="B109:J109"/>
    <mergeCell ref="I105:J105"/>
    <mergeCell ref="N88:S88"/>
    <mergeCell ref="N79:S79"/>
    <mergeCell ref="N80:S80"/>
    <mergeCell ref="N81:S81"/>
    <mergeCell ref="R85:T85"/>
    <mergeCell ref="N89:S89"/>
    <mergeCell ref="N90:S90"/>
    <mergeCell ref="N86:S86"/>
    <mergeCell ref="N103:N105"/>
    <mergeCell ref="O103:O105"/>
    <mergeCell ref="N78:S78"/>
    <mergeCell ref="N87:S87"/>
    <mergeCell ref="N76:Q76"/>
    <mergeCell ref="R76:T76"/>
    <mergeCell ref="N77:S77"/>
    <mergeCell ref="T31:U31"/>
    <mergeCell ref="B11:D11"/>
    <mergeCell ref="B12:G12"/>
    <mergeCell ref="B21:G21"/>
    <mergeCell ref="B22:D22"/>
    <mergeCell ref="B23:G23"/>
    <mergeCell ref="B13:C15"/>
    <mergeCell ref="D13:G13"/>
    <mergeCell ref="D14:G14"/>
    <mergeCell ref="D15:G15"/>
    <mergeCell ref="B24:C26"/>
    <mergeCell ref="D24:G24"/>
    <mergeCell ref="D25:G25"/>
    <mergeCell ref="D26:G26"/>
    <mergeCell ref="B28:G28"/>
    <mergeCell ref="B31:J33"/>
    <mergeCell ref="AN9:AO9"/>
    <mergeCell ref="B16:G16"/>
    <mergeCell ref="B17:G17"/>
    <mergeCell ref="B20:C20"/>
    <mergeCell ref="F20:H20"/>
    <mergeCell ref="T20:U20"/>
    <mergeCell ref="AN10:AO10"/>
    <mergeCell ref="T9:U9"/>
    <mergeCell ref="B10:G10"/>
    <mergeCell ref="B9:C9"/>
    <mergeCell ref="F9:H9"/>
    <mergeCell ref="AN12:AQ13"/>
    <mergeCell ref="AN14:AQ15"/>
    <mergeCell ref="AN8:AO8"/>
    <mergeCell ref="B7:C7"/>
    <mergeCell ref="G7:H7"/>
    <mergeCell ref="BD1:BL1"/>
    <mergeCell ref="B2:C2"/>
    <mergeCell ref="E5:J5"/>
  </mergeCells>
  <conditionalFormatting sqref="B19">
    <cfRule type="expression" dxfId="358" priority="20">
      <formula>$M$17=0</formula>
    </cfRule>
    <cfRule type="containsText" dxfId="357" priority="21" operator="containsText" text="Doplňte">
      <formula>NOT(ISERROR(SEARCH("Doplňte",B19)))</formula>
    </cfRule>
  </conditionalFormatting>
  <conditionalFormatting sqref="B30">
    <cfRule type="containsText" dxfId="356" priority="19" operator="containsText" text="Doplňte">
      <formula>NOT(ISERROR(SEARCH("Doplňte",B30)))</formula>
    </cfRule>
  </conditionalFormatting>
  <conditionalFormatting sqref="B30">
    <cfRule type="expression" dxfId="355" priority="18">
      <formula>$M$28=0</formula>
    </cfRule>
  </conditionalFormatting>
  <conditionalFormatting sqref="I23">
    <cfRule type="containsText" dxfId="354" priority="15" operator="containsText" text="Doplňte">
      <formula>NOT(ISERROR(SEARCH("Doplňte",I23)))</formula>
    </cfRule>
  </conditionalFormatting>
  <conditionalFormatting sqref="I23">
    <cfRule type="expression" dxfId="353" priority="12">
      <formula>$M$28=0</formula>
    </cfRule>
  </conditionalFormatting>
  <conditionalFormatting sqref="I15">
    <cfRule type="expression" dxfId="352" priority="10">
      <formula>$M$17=0</formula>
    </cfRule>
    <cfRule type="containsText" dxfId="351" priority="11" operator="containsText" text="Doplňte">
      <formula>NOT(ISERROR(SEARCH("Doplňte",I15)))</formula>
    </cfRule>
  </conditionalFormatting>
  <conditionalFormatting sqref="E9">
    <cfRule type="expression" dxfId="350" priority="6">
      <formula>$M$17&gt;0</formula>
    </cfRule>
    <cfRule type="expression" dxfId="349" priority="7">
      <formula>$M$17&gt;0</formula>
    </cfRule>
  </conditionalFormatting>
  <conditionalFormatting sqref="E20">
    <cfRule type="expression" dxfId="348" priority="5">
      <formula>$M$28&gt;0</formula>
    </cfRule>
  </conditionalFormatting>
  <conditionalFormatting sqref="I12">
    <cfRule type="expression" dxfId="347" priority="3">
      <formula>$M$17=0</formula>
    </cfRule>
    <cfRule type="containsText" dxfId="346" priority="4" operator="containsText" text="Doplňte">
      <formula>NOT(ISERROR(SEARCH("Doplňte",I12)))</formula>
    </cfRule>
  </conditionalFormatting>
  <conditionalFormatting sqref="I26">
    <cfRule type="expression" dxfId="345" priority="1">
      <formula>$M$28=0</formula>
    </cfRule>
    <cfRule type="containsText" dxfId="344" priority="2" operator="containsText" text="Doplňte">
      <formula>NOT(ISERROR(SEARCH("Doplňte",I26)))</formula>
    </cfRule>
  </conditionalFormatting>
  <hyperlinks>
    <hyperlink ref="I125:J125" location="HFwa!A1" tooltip=" " display="HFwa!A1" xr:uid="{C4E8B0AD-0F52-468D-867C-6F56EB0B8BBA}"/>
    <hyperlink ref="N78:S78" location="HFwa!H11" tooltip=" " display="HFwa!H11" xr:uid="{55BB0FE5-F367-43E1-8800-6A13F017E5AB}"/>
    <hyperlink ref="N77:S77" location="HFwa!H10" tooltip=" " display="HFwa!H10" xr:uid="{64A4F87C-D886-460E-975C-E231A368167F}"/>
    <hyperlink ref="AL19" location="HFwa!A100" tooltip=" " display="HFwa!A100" xr:uid="{44F8AD11-664B-40A8-95AC-FDAA2AAD507E}"/>
    <hyperlink ref="AL5" location="HFwa!A140" tooltip=" " display="HFwa!A140" xr:uid="{ABEBA83A-04A5-4D38-B4FE-2568FC99AC45}"/>
    <hyperlink ref="N87:S87" location="HFwa!H20" tooltip=" " display="HFwa!H20" xr:uid="{87D4D941-FCBB-4256-B035-B10396E8C1F4}"/>
    <hyperlink ref="N86:S86" location="HFwa!H19" tooltip=" " display="HFwa!H19" xr:uid="{6438C02C-04F8-427F-8D91-A3A870647282}"/>
    <hyperlink ref="L177" location="HFwa!A1" tooltip=" " display="HFwa!A1" xr:uid="{A45A392B-C84D-4503-AE4C-8950192189EE}"/>
    <hyperlink ref="AL9" location="SumAVS!A1" tooltip=" " display="SumAVS!A1" xr:uid="{CCADEDAA-3D17-460A-AFF6-5EF40F3795AE}"/>
    <hyperlink ref="AL10" location="OrdAVS!A1" tooltip=" " display="OrdAVS!A1" xr:uid="{039BEF6C-F874-4C63-A228-8EFF497B29B3}"/>
    <hyperlink ref="AL7" location="AcsAVS!A1" tooltip=" " display="AcsAVS!A1" xr:uid="{40ADF1E4-019D-4397-B013-30D737A88573}"/>
    <hyperlink ref="AL4" location="MenuAVS!A1" tooltip=" " display="MenuAVS!A1" xr:uid="{72471E4D-6848-4E5C-A9C1-C7B613A7ED69}"/>
    <hyperlink ref="B2" location="HF!A1" tooltip=" " display=" AVENTOS HF" xr:uid="{B7DE2871-076C-4143-A10C-019D8B1F6E13}"/>
  </hyperlinks>
  <pageMargins left="0.62992125984251968" right="0.23622047244094488" top="0.74803149606299213" bottom="0.74803149606299213" header="0.31496062992125984" footer="0.31496062992125984"/>
  <pageSetup paperSize="9" orientation="portrait" horizontalDpi="4294967293"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56675" r:id="rId4" name="Drop Down 3">
              <controlPr defaultSize="0" autoLine="0" autoPict="0">
                <anchor moveWithCells="1">
                  <from>
                    <xdr:col>3</xdr:col>
                    <xdr:colOff>19050</xdr:colOff>
                    <xdr:row>6</xdr:row>
                    <xdr:rowOff>9525</xdr:rowOff>
                  </from>
                  <to>
                    <xdr:col>6</xdr:col>
                    <xdr:colOff>0</xdr:colOff>
                    <xdr:row>7</xdr:row>
                    <xdr:rowOff>9525</xdr:rowOff>
                  </to>
                </anchor>
              </controlPr>
            </control>
          </mc:Choice>
        </mc:AlternateContent>
        <mc:AlternateContent xmlns:mc="http://schemas.openxmlformats.org/markup-compatibility/2006">
          <mc:Choice Requires="x14">
            <control shapeId="156680" r:id="rId5" name="Drop Down 8">
              <controlPr defaultSize="0" autoLine="0" autoPict="0">
                <anchor moveWithCells="1">
                  <from>
                    <xdr:col>1</xdr:col>
                    <xdr:colOff>9525</xdr:colOff>
                    <xdr:row>9</xdr:row>
                    <xdr:rowOff>9525</xdr:rowOff>
                  </from>
                  <to>
                    <xdr:col>3</xdr:col>
                    <xdr:colOff>9525</xdr:colOff>
                    <xdr:row>9</xdr:row>
                    <xdr:rowOff>200025</xdr:rowOff>
                  </to>
                </anchor>
              </controlPr>
            </control>
          </mc:Choice>
        </mc:AlternateContent>
        <mc:AlternateContent xmlns:mc="http://schemas.openxmlformats.org/markup-compatibility/2006">
          <mc:Choice Requires="x14">
            <control shapeId="156681" r:id="rId6" name="Drop Down 9">
              <controlPr defaultSize="0" autoLine="0" autoPict="0">
                <anchor moveWithCells="1">
                  <from>
                    <xdr:col>1</xdr:col>
                    <xdr:colOff>9525</xdr:colOff>
                    <xdr:row>20</xdr:row>
                    <xdr:rowOff>9525</xdr:rowOff>
                  </from>
                  <to>
                    <xdr:col>2</xdr:col>
                    <xdr:colOff>571500</xdr:colOff>
                    <xdr:row>20</xdr:row>
                    <xdr:rowOff>200025</xdr:rowOff>
                  </to>
                </anchor>
              </controlPr>
            </control>
          </mc:Choice>
        </mc:AlternateContent>
        <mc:AlternateContent xmlns:mc="http://schemas.openxmlformats.org/markup-compatibility/2006">
          <mc:Choice Requires="x14">
            <control shapeId="156682" r:id="rId7" name="Option Button 10">
              <controlPr defaultSize="0" autoFill="0" autoLine="0" autoPict="0">
                <anchor moveWithCells="1">
                  <from>
                    <xdr:col>1</xdr:col>
                    <xdr:colOff>476250</xdr:colOff>
                    <xdr:row>5</xdr:row>
                    <xdr:rowOff>28575</xdr:rowOff>
                  </from>
                  <to>
                    <xdr:col>2</xdr:col>
                    <xdr:colOff>161925</xdr:colOff>
                    <xdr:row>5</xdr:row>
                    <xdr:rowOff>247650</xdr:rowOff>
                  </to>
                </anchor>
              </controlPr>
            </control>
          </mc:Choice>
        </mc:AlternateContent>
        <mc:AlternateContent xmlns:mc="http://schemas.openxmlformats.org/markup-compatibility/2006">
          <mc:Choice Requires="x14">
            <control shapeId="156683" r:id="rId8" name="Option Button 11">
              <controlPr defaultSize="0" autoFill="0" autoLine="0" autoPict="0">
                <anchor moveWithCells="1">
                  <from>
                    <xdr:col>3</xdr:col>
                    <xdr:colOff>485775</xdr:colOff>
                    <xdr:row>5</xdr:row>
                    <xdr:rowOff>38100</xdr:rowOff>
                  </from>
                  <to>
                    <xdr:col>4</xdr:col>
                    <xdr:colOff>171450</xdr:colOff>
                    <xdr:row>5</xdr:row>
                    <xdr:rowOff>247650</xdr:rowOff>
                  </to>
                </anchor>
              </controlPr>
            </control>
          </mc:Choice>
        </mc:AlternateContent>
        <mc:AlternateContent xmlns:mc="http://schemas.openxmlformats.org/markup-compatibility/2006">
          <mc:Choice Requires="x14">
            <control shapeId="156685" r:id="rId9" name="Drop Down 13">
              <controlPr defaultSize="0" autoLine="0" autoPict="0">
                <anchor moveWithCells="1">
                  <from>
                    <xdr:col>6</xdr:col>
                    <xdr:colOff>0</xdr:colOff>
                    <xdr:row>3</xdr:row>
                    <xdr:rowOff>0</xdr:rowOff>
                  </from>
                  <to>
                    <xdr:col>8</xdr:col>
                    <xdr:colOff>571500</xdr:colOff>
                    <xdr:row>3</xdr:row>
                    <xdr:rowOff>200025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62630-DD37-40B5-B8CD-C05FA0485A41}">
  <sheetPr codeName="Sheet23">
    <tabColor theme="9" tint="0.59999389629810485"/>
  </sheetPr>
  <dimension ref="A1:AY179"/>
  <sheetViews>
    <sheetView showGridLines="0" showRowColHeaders="0" workbookViewId="0">
      <selection activeCell="AL30" sqref="AL30"/>
    </sheetView>
  </sheetViews>
  <sheetFormatPr defaultColWidth="8.28515625" defaultRowHeight="12" x14ac:dyDescent="0.2"/>
  <cols>
    <col min="1" max="1" width="1.28515625" style="37" customWidth="1"/>
    <col min="2" max="9" width="8.5703125" style="37" customWidth="1"/>
    <col min="10" max="10" width="6.7109375" style="37" customWidth="1"/>
    <col min="11" max="11" width="10.42578125" style="37" customWidth="1"/>
    <col min="12" max="12" width="17.28515625" style="37" customWidth="1"/>
    <col min="13" max="14" width="6.42578125" style="37" hidden="1" customWidth="1"/>
    <col min="15" max="15" width="6.42578125" style="118" hidden="1" customWidth="1"/>
    <col min="16" max="16" width="6.42578125" style="37" hidden="1" customWidth="1"/>
    <col min="17" max="17" width="6" style="118" hidden="1" customWidth="1"/>
    <col min="18" max="18" width="6.42578125" style="37" hidden="1" customWidth="1"/>
    <col min="19" max="19" width="7.7109375" style="37" hidden="1" customWidth="1"/>
    <col min="20" max="23" width="6.42578125" style="37" hidden="1" customWidth="1"/>
    <col min="24" max="24" width="10" style="108" hidden="1" customWidth="1"/>
    <col min="25" max="25" width="37.28515625" style="108" hidden="1" customWidth="1"/>
    <col min="26" max="26" width="13.5703125" style="108" hidden="1" customWidth="1"/>
    <col min="27" max="29" width="6.7109375" style="108" hidden="1" customWidth="1"/>
    <col min="30" max="30" width="9.42578125" style="108" hidden="1" customWidth="1"/>
    <col min="31" max="36" width="6.7109375" style="108" hidden="1" customWidth="1"/>
    <col min="37" max="37" width="5.28515625" style="108" customWidth="1"/>
    <col min="38" max="38" width="25" style="108" customWidth="1"/>
    <col min="39" max="39" width="8.28515625" style="137"/>
    <col min="40" max="41" width="13.28515625" style="137" customWidth="1"/>
    <col min="42" max="43" width="19.7109375" style="137" customWidth="1"/>
    <col min="44" max="44" width="16.28515625" style="137" customWidth="1"/>
    <col min="45" max="45" width="18.7109375" style="137" customWidth="1"/>
    <col min="46" max="46" width="23" style="137" customWidth="1"/>
    <col min="47" max="16384" width="8.28515625" style="137"/>
  </cols>
  <sheetData>
    <row r="1" spans="2:51" ht="4.5" customHeight="1" thickBot="1" x14ac:dyDescent="0.25">
      <c r="L1" s="137"/>
      <c r="AQ1" s="1121"/>
      <c r="AR1" s="1121"/>
      <c r="AS1" s="1121"/>
      <c r="AT1" s="1121"/>
      <c r="AU1" s="1121"/>
      <c r="AV1" s="1121"/>
      <c r="AW1" s="1121"/>
      <c r="AX1" s="1121"/>
      <c r="AY1" s="1121"/>
    </row>
    <row r="2" spans="2:51" s="108" customFormat="1" ht="19.5" customHeight="1" thickBot="1" x14ac:dyDescent="0.25">
      <c r="B2" s="1048" t="s">
        <v>671</v>
      </c>
      <c r="C2" s="1048"/>
      <c r="D2" s="884"/>
      <c r="E2" s="884"/>
      <c r="F2" s="884"/>
      <c r="G2" s="884"/>
      <c r="H2" s="884"/>
      <c r="I2" s="884"/>
      <c r="J2" s="884"/>
      <c r="K2" s="884"/>
      <c r="L2" s="884"/>
      <c r="O2" s="108" t="s">
        <v>64</v>
      </c>
      <c r="S2" s="117">
        <v>3</v>
      </c>
      <c r="AL2" s="226" t="str">
        <f>ListAVS!$B$153</f>
        <v>Przejdź do</v>
      </c>
    </row>
    <row r="3" spans="2:51" ht="3.75" customHeight="1" x14ac:dyDescent="0.2">
      <c r="B3" s="312"/>
      <c r="C3" s="306"/>
      <c r="D3" s="306"/>
      <c r="E3" s="306"/>
      <c r="F3" s="306"/>
      <c r="G3" s="306"/>
      <c r="H3" s="306"/>
      <c r="I3" s="306"/>
      <c r="J3" s="306"/>
      <c r="K3" s="306"/>
      <c r="L3" s="137"/>
      <c r="X3" s="137"/>
      <c r="Y3" s="137"/>
      <c r="Z3" s="137"/>
      <c r="AA3" s="137"/>
      <c r="AB3" s="137"/>
      <c r="AC3" s="137"/>
      <c r="AD3" s="137"/>
      <c r="AE3" s="137"/>
      <c r="AF3" s="137"/>
      <c r="AG3" s="137"/>
      <c r="AH3" s="137"/>
      <c r="AI3" s="137"/>
      <c r="AJ3" s="137"/>
    </row>
    <row r="4" spans="2:51" ht="16.149999999999999" customHeight="1" thickBot="1" x14ac:dyDescent="0.25">
      <c r="B4" s="313" t="str">
        <f>ListAVS!$B$17</f>
        <v>Front drewniany</v>
      </c>
      <c r="C4" s="306"/>
      <c r="E4" s="306"/>
      <c r="F4" s="269" t="str">
        <f>ListAVS!$B$35&amp;"  "</f>
        <v xml:space="preserve">front górny  </v>
      </c>
      <c r="G4" s="703"/>
      <c r="H4" s="703"/>
      <c r="I4" s="703"/>
      <c r="J4" s="257"/>
      <c r="K4" s="592" t="str">
        <f>U71</f>
        <v xml:space="preserve"> </v>
      </c>
      <c r="L4" s="593"/>
      <c r="O4" s="117">
        <v>1</v>
      </c>
      <c r="S4" s="37" t="str">
        <f>" "&amp;ListAVS!$B$41&amp;" A "</f>
        <v xml:space="preserve"> Cena za korpus A </v>
      </c>
      <c r="X4" s="137" t="s">
        <v>28</v>
      </c>
      <c r="Y4" s="137"/>
      <c r="Z4" s="137"/>
      <c r="AA4" s="137"/>
      <c r="AB4" s="137"/>
      <c r="AC4" s="137"/>
      <c r="AD4" s="137"/>
      <c r="AE4" s="137"/>
      <c r="AF4" s="137"/>
      <c r="AG4" s="137"/>
      <c r="AH4" s="137"/>
      <c r="AI4" s="137"/>
      <c r="AJ4" s="137"/>
      <c r="AL4" s="383" t="str">
        <f>" "&amp;ListAVS!$B$154</f>
        <v xml:space="preserve"> Wprowadzenie do planowania</v>
      </c>
    </row>
    <row r="5" spans="2:51" ht="16.149999999999999" customHeight="1" x14ac:dyDescent="0.2">
      <c r="B5" s="313" t="str">
        <f>ListAVS!$B$20&amp;" ***"</f>
        <v>Szeroka ramka aluminiowa ***</v>
      </c>
      <c r="C5" s="306"/>
      <c r="D5" s="306"/>
      <c r="E5" s="306"/>
      <c r="F5" s="269" t="str">
        <f>ListAVS!$B$36&amp;"  "</f>
        <v xml:space="preserve">front dolny  </v>
      </c>
      <c r="G5" s="703"/>
      <c r="H5" s="703"/>
      <c r="I5" s="703"/>
      <c r="J5" s="405"/>
      <c r="K5" s="592" t="str">
        <f>U73</f>
        <v xml:space="preserve"> </v>
      </c>
      <c r="L5" s="703"/>
      <c r="O5" s="118" t="s">
        <v>65</v>
      </c>
      <c r="S5" s="37" t="str">
        <f>" "&amp;ListAVS!$B$41&amp;" B "</f>
        <v xml:space="preserve"> Cena za korpus B </v>
      </c>
      <c r="X5" s="137"/>
      <c r="Y5" s="137"/>
      <c r="Z5" s="137"/>
      <c r="AA5" s="137"/>
      <c r="AB5" s="137"/>
      <c r="AC5" s="137"/>
      <c r="AD5" s="137"/>
      <c r="AE5" s="137"/>
      <c r="AF5" s="137"/>
      <c r="AG5" s="137"/>
      <c r="AH5" s="137"/>
      <c r="AI5" s="137"/>
      <c r="AJ5" s="137"/>
      <c r="AL5" s="634" t="str">
        <f>" "&amp;ListAVS!$B$155</f>
        <v xml:space="preserve"> Pomoc</v>
      </c>
    </row>
    <row r="6" spans="2:51" ht="22.5" customHeight="1" x14ac:dyDescent="0.2">
      <c r="B6" s="314"/>
      <c r="C6" s="306"/>
      <c r="D6" s="306"/>
      <c r="E6" s="306"/>
      <c r="F6" s="137"/>
      <c r="G6" s="704"/>
      <c r="H6" s="704"/>
      <c r="I6" s="704"/>
      <c r="J6" s="705" t="str">
        <f>IF($Z$78&lt;&gt;3,$Y$73," ")&amp;"      "</f>
        <v xml:space="preserve"> Możesz zmienić wartości we Wstępie do planowania      </v>
      </c>
      <c r="K6" s="704"/>
      <c r="L6" s="137"/>
      <c r="O6" s="323" t="s">
        <v>66</v>
      </c>
      <c r="S6" s="37" t="str">
        <f>" "&amp;ListAVS!$B$61</f>
        <v xml:space="preserve"> Cena całkowita bez VAT</v>
      </c>
      <c r="X6" s="137"/>
      <c r="Y6" s="137"/>
      <c r="Z6" s="137"/>
      <c r="AA6" s="137"/>
      <c r="AB6" s="137"/>
      <c r="AC6" s="137"/>
      <c r="AD6" s="137"/>
      <c r="AE6" s="137"/>
      <c r="AF6" s="137"/>
      <c r="AG6" s="137"/>
      <c r="AH6" s="137"/>
      <c r="AI6" s="137"/>
      <c r="AJ6" s="137"/>
      <c r="AL6" s="686"/>
      <c r="AQ6" s="37"/>
      <c r="AR6" s="37"/>
      <c r="AS6" s="37"/>
      <c r="AT6" s="37"/>
    </row>
    <row r="7" spans="2:51" ht="16.149999999999999" customHeight="1" x14ac:dyDescent="0.2">
      <c r="B7" s="1059" t="str">
        <f>ListAVS!$B$51&amp;":   "</f>
        <v xml:space="preserve">Cena okucia:   </v>
      </c>
      <c r="C7" s="1060"/>
      <c r="D7" s="227"/>
      <c r="E7" s="404"/>
      <c r="F7" s="404"/>
      <c r="G7" s="1061">
        <f>IF(S2=1,$AF$47,IF($S$2=2,$AH$47,IF($S$2=3,$AD$47,0)))</f>
        <v>0</v>
      </c>
      <c r="H7" s="1062"/>
      <c r="I7" s="227"/>
      <c r="J7" s="227"/>
      <c r="K7" s="227"/>
      <c r="L7" s="227"/>
      <c r="Y7" s="938" t="str">
        <f>$B$2</f>
        <v xml:space="preserve"> AVENTOS HF top</v>
      </c>
      <c r="Z7" s="157"/>
      <c r="AA7" s="157"/>
      <c r="AB7" s="157"/>
      <c r="AC7" s="157"/>
      <c r="AD7" s="158"/>
      <c r="AE7" s="37"/>
      <c r="AF7" s="37"/>
      <c r="AG7" s="118"/>
      <c r="AH7" s="37"/>
      <c r="AI7" s="39"/>
      <c r="AJ7" s="39"/>
      <c r="AL7" s="675" t="str">
        <f>" "&amp;ListAVS!$B$160</f>
        <v xml:space="preserve"> Dodatki</v>
      </c>
      <c r="AQ7" s="37"/>
      <c r="AR7" s="37"/>
      <c r="AS7" s="37"/>
      <c r="AT7" s="37"/>
    </row>
    <row r="8" spans="2:51" ht="25.15" customHeight="1" thickBot="1" x14ac:dyDescent="0.25">
      <c r="B8" s="227"/>
      <c r="C8" s="227"/>
      <c r="D8" s="227"/>
      <c r="E8" s="227"/>
      <c r="F8" s="227"/>
      <c r="G8" s="227"/>
      <c r="H8" s="579" t="str">
        <f>IF(AND(OR($S$9=2, $S$20=2), $AD$47&gt;0), $N$35, " ")</f>
        <v xml:space="preserve"> </v>
      </c>
      <c r="I8" s="227"/>
      <c r="J8" s="227"/>
      <c r="K8" s="227"/>
      <c r="L8" s="227"/>
      <c r="Y8" s="159" t="str">
        <f>ListAVS!B52</f>
        <v>Nazwa</v>
      </c>
      <c r="Z8" s="160" t="str">
        <f>ListAVS!$B$53</f>
        <v>Kod asortymentu</v>
      </c>
      <c r="AA8" s="161" t="str">
        <f>ListAVS!B54</f>
        <v>Kolor</v>
      </c>
      <c r="AB8" s="161" t="str">
        <f>ListAVS!B56</f>
        <v>Sztuka</v>
      </c>
      <c r="AC8" s="162" t="str">
        <f>ListAVS!B58</f>
        <v>Cena za sztukę</v>
      </c>
      <c r="AD8" s="161" t="str">
        <f>ListAVS!B59</f>
        <v>W sumie</v>
      </c>
      <c r="AE8" s="204" t="s">
        <v>29</v>
      </c>
      <c r="AF8" s="163" t="s">
        <v>30</v>
      </c>
      <c r="AG8" s="163" t="s">
        <v>31</v>
      </c>
      <c r="AH8" s="163" t="s">
        <v>30</v>
      </c>
      <c r="AI8" s="170"/>
      <c r="AJ8" s="170"/>
      <c r="AL8" s="671"/>
      <c r="AN8" s="1046" t="str">
        <f>"  "&amp;ListAVS!$B$86&amp;" LF "</f>
        <v xml:space="preserve">  Współczynnik mocy LF </v>
      </c>
      <c r="AO8" s="1046"/>
      <c r="AP8" s="953" t="s">
        <v>769</v>
      </c>
      <c r="AQ8" s="953" t="s">
        <v>770</v>
      </c>
      <c r="AR8" s="37"/>
      <c r="AS8" s="118"/>
      <c r="AT8" s="37"/>
    </row>
    <row r="9" spans="2:51" ht="16.149999999999999" customHeight="1" thickBot="1" x14ac:dyDescent="0.25">
      <c r="B9" s="1051" t="str">
        <f>"▼ "&amp;ListAVS!$B$318</f>
        <v>▼ Sposób otwierania</v>
      </c>
      <c r="C9" s="1052"/>
      <c r="D9" s="406" t="str">
        <f>IF($M$17&gt;0, ListAVS!$B$37&amp;": ", " ")</f>
        <v xml:space="preserve"> </v>
      </c>
      <c r="E9" s="688" t="str">
        <f>IF(SUM($AE$9:$AE$10)&gt;0,25,IF(SUM($AE$11:$AE$12)&gt;0,28," "))</f>
        <v xml:space="preserve"> </v>
      </c>
      <c r="F9" s="1056" t="str">
        <f>ListAVS!$B$64&amp;" A"</f>
        <v>Korpus A</v>
      </c>
      <c r="G9" s="1057"/>
      <c r="H9" s="1058"/>
      <c r="I9" s="227"/>
      <c r="J9" s="227"/>
      <c r="K9" s="227"/>
      <c r="L9" s="227"/>
      <c r="N9" s="39" t="s">
        <v>32</v>
      </c>
      <c r="O9" s="39"/>
      <c r="P9" s="39" t="s">
        <v>33</v>
      </c>
      <c r="Q9" s="39"/>
      <c r="S9" s="138">
        <v>1</v>
      </c>
      <c r="T9" s="1063" t="b">
        <v>0</v>
      </c>
      <c r="U9" s="1064"/>
      <c r="V9" s="139" t="s">
        <v>34</v>
      </c>
      <c r="W9" s="140"/>
      <c r="Y9" s="898" t="str">
        <f>CenAVS!A11</f>
        <v xml:space="preserve">Aventos HF Top słaby, wkręty      </v>
      </c>
      <c r="Z9" s="898" t="str">
        <f>CenAVS!B11</f>
        <v>22F2500</v>
      </c>
      <c r="AA9" s="883" t="str">
        <f>CenAVS!C11</f>
        <v>ZN</v>
      </c>
      <c r="AB9" s="665">
        <f t="shared" ref="AB9:AB15" si="0">SUM(AE9,AG9)</f>
        <v>0</v>
      </c>
      <c r="AC9" s="899">
        <f>CenAVS!F11</f>
        <v>180.23612</v>
      </c>
      <c r="AD9" s="900">
        <f>AB9*AC9</f>
        <v>0</v>
      </c>
      <c r="AE9" s="901">
        <f>IF($Y$48=1,ROUNDUP($M$17*$O$11,0),0)</f>
        <v>0</v>
      </c>
      <c r="AF9" s="902">
        <f t="shared" ref="AF9:AF38" si="1">$AC9*AE9</f>
        <v>0</v>
      </c>
      <c r="AG9" s="901">
        <f>IF($Y$48=1,ROUNDUP($M$28*$O$22,0),0)</f>
        <v>0</v>
      </c>
      <c r="AH9" s="902">
        <f t="shared" ref="AH9:AH38" si="2">$AC9*AG9</f>
        <v>0</v>
      </c>
      <c r="AI9" s="170"/>
      <c r="AJ9" s="170"/>
      <c r="AL9" s="383" t="str">
        <f>" "&amp;ListAVS!$B$157</f>
        <v xml:space="preserve"> Rodzaje korpusów</v>
      </c>
      <c r="AN9" s="1049" t="s">
        <v>786</v>
      </c>
      <c r="AO9" s="1050"/>
      <c r="AP9" s="689" t="s">
        <v>680</v>
      </c>
      <c r="AQ9" s="689" t="s">
        <v>681</v>
      </c>
      <c r="AR9" s="37"/>
      <c r="AS9" s="118"/>
      <c r="AT9" s="37"/>
    </row>
    <row r="10" spans="2:51" s="37" customFormat="1" ht="16.149999999999999" customHeight="1" thickBot="1" x14ac:dyDescent="0.25">
      <c r="B10" s="1011" t="str">
        <f>ListAVS!$B$74&amp;" KB [mm] "</f>
        <v xml:space="preserve">Szerokość korpusu KB [mm] </v>
      </c>
      <c r="C10" s="1012"/>
      <c r="D10" s="1012"/>
      <c r="E10" s="1012"/>
      <c r="F10" s="1012"/>
      <c r="G10" s="1013"/>
      <c r="H10" s="405"/>
      <c r="I10" s="256" t="str">
        <f>IF(H10=0," ",IF($H10&lt;220," min. 220mm", IF($H10&gt;1800, " max. 1800mm", " ")))&amp;IF(H17&gt;0,IF(H10=0,"● "&amp;ListAVS!$B$129," ")," ")</f>
        <v xml:space="preserve">  </v>
      </c>
      <c r="J10" s="227"/>
      <c r="K10" s="404"/>
      <c r="L10" s="227"/>
      <c r="N10" s="894"/>
      <c r="O10" s="895"/>
      <c r="P10" s="37" t="s">
        <v>35</v>
      </c>
      <c r="Q10" s="118">
        <f>IF(AND($P$16&gt;=$AB$54,$P$16&lt;=$AC$54),SUM($O$11:$O$12),0)</f>
        <v>0</v>
      </c>
      <c r="S10" s="137"/>
      <c r="T10" s="203" t="s">
        <v>36</v>
      </c>
      <c r="U10" s="39"/>
      <c r="V10" s="203" t="s">
        <v>37</v>
      </c>
      <c r="W10" s="39"/>
      <c r="X10" s="108"/>
      <c r="Y10" s="898" t="str">
        <f>CenAVS!A12</f>
        <v xml:space="preserve">Aventos HF Top słaby, eurowkręty      </v>
      </c>
      <c r="Z10" s="898" t="str">
        <f>CenAVS!B12</f>
        <v>22F2510</v>
      </c>
      <c r="AA10" s="883" t="str">
        <f>CenAVS!C12</f>
        <v>ZN</v>
      </c>
      <c r="AB10" s="665">
        <f t="shared" si="0"/>
        <v>0</v>
      </c>
      <c r="AC10" s="899">
        <f>CenAVS!F12</f>
        <v>181.63767999999999</v>
      </c>
      <c r="AD10" s="900">
        <f t="shared" ref="AD10:AD45" si="3">AB10*AC10</f>
        <v>0</v>
      </c>
      <c r="AE10" s="901">
        <f>IF($Y$48=2,ROUNDUP($M$17*$O$11,0),0)</f>
        <v>0</v>
      </c>
      <c r="AF10" s="902">
        <f t="shared" si="1"/>
        <v>0</v>
      </c>
      <c r="AG10" s="901">
        <f>IF($Y$48=2,ROUNDUP($M$28*$O$22,0),0)</f>
        <v>0</v>
      </c>
      <c r="AH10" s="902">
        <f t="shared" si="2"/>
        <v>0</v>
      </c>
      <c r="AI10" s="170"/>
      <c r="AJ10" s="170"/>
      <c r="AK10" s="108"/>
      <c r="AL10" s="383" t="str">
        <f>" "&amp;ListAVS!$B$158</f>
        <v xml:space="preserve"> Zamówienie</v>
      </c>
      <c r="AM10" s="137"/>
      <c r="AN10" s="1049" t="s">
        <v>734</v>
      </c>
      <c r="AO10" s="1050"/>
      <c r="AP10" s="689" t="s">
        <v>682</v>
      </c>
      <c r="AQ10" s="689" t="s">
        <v>683</v>
      </c>
      <c r="AS10" s="118"/>
    </row>
    <row r="11" spans="2:51" s="37" customFormat="1" ht="16.149999999999999" customHeight="1" x14ac:dyDescent="0.2">
      <c r="B11" s="1011" t="str">
        <f>ListAVS!$B$75&amp;" [mm]"</f>
        <v>Wysokość korpusu [mm]</v>
      </c>
      <c r="C11" s="1012"/>
      <c r="D11" s="1012"/>
      <c r="E11" s="297" t="s">
        <v>38</v>
      </c>
      <c r="F11" s="405"/>
      <c r="G11" s="295" t="s">
        <v>39</v>
      </c>
      <c r="H11" s="405"/>
      <c r="I11" s="256" t="str">
        <f>IF(H11=0," ",IF($H11&lt;480," min. 480mm",IF($H11&gt;1200," max. 1 200mm"," ")))&amp;IF(H17&gt;0,IF(H11=0,"● "&amp;ListAVS!$B$129," ")," ")</f>
        <v xml:space="preserve">  </v>
      </c>
      <c r="J11" s="227"/>
      <c r="K11" s="227"/>
      <c r="L11" s="227"/>
      <c r="N11" s="37" t="s">
        <v>40</v>
      </c>
      <c r="O11" s="118">
        <f>IF($H16&lt;$AB$50,0,IF($H16&lt;=$AC$50,1,0))</f>
        <v>0</v>
      </c>
      <c r="P11" s="37" t="s">
        <v>41</v>
      </c>
      <c r="Q11" s="118">
        <f>IF(AND($P$16&gt;=$AB$55,$P$16&lt;=$AC$55),SUM($O$11:$O$12),0)</f>
        <v>0</v>
      </c>
      <c r="T11" s="37" t="s">
        <v>42</v>
      </c>
      <c r="U11" s="118">
        <f>IF($N$48=1, IF(OR($H$10&gt;=1200, $T$17&gt;=12), 3, 2))+IF($N$48=1,IF(OR($H$10=1800, $T$17&gt;=20), 1, 0))</f>
        <v>2</v>
      </c>
      <c r="V11" s="37" t="s">
        <v>43</v>
      </c>
      <c r="W11" s="895">
        <f>IF($P$48=1, IF(OR($H$10&gt;=1200, $T$17&gt;=12), 3, 2))+IF($P$48=1,IF(OR($H$10=1800, $T$17&gt;=20), 1, 0))</f>
        <v>0</v>
      </c>
      <c r="X11" s="108"/>
      <c r="Y11" s="898" t="str">
        <f>CenAVS!A13</f>
        <v xml:space="preserve">Aventos HF Top mocny, wkręty      </v>
      </c>
      <c r="Z11" s="898" t="str">
        <f>CenAVS!B13</f>
        <v>22F2800</v>
      </c>
      <c r="AA11" s="883" t="str">
        <f>CenAVS!C13</f>
        <v>ZN</v>
      </c>
      <c r="AB11" s="665">
        <f t="shared" si="0"/>
        <v>0</v>
      </c>
      <c r="AC11" s="899">
        <f>CenAVS!F13</f>
        <v>196.99925999999999</v>
      </c>
      <c r="AD11" s="900">
        <f t="shared" si="3"/>
        <v>0</v>
      </c>
      <c r="AE11" s="901">
        <f>IF($Y$48=1,ROUNDUP($M$17*$O$12,0),0)</f>
        <v>0</v>
      </c>
      <c r="AF11" s="902">
        <f t="shared" si="1"/>
        <v>0</v>
      </c>
      <c r="AG11" s="901">
        <f>IF($Y$48=1,ROUNDUP($M$28*$O$23,0),0)</f>
        <v>0</v>
      </c>
      <c r="AH11" s="902">
        <f t="shared" si="2"/>
        <v>0</v>
      </c>
      <c r="AI11" s="170"/>
      <c r="AJ11" s="170"/>
      <c r="AK11" s="108"/>
      <c r="AM11" s="137"/>
    </row>
    <row r="12" spans="2:51" s="37" customFormat="1" ht="16.149999999999999" customHeight="1" x14ac:dyDescent="0.2">
      <c r="B12" s="1011" t="str">
        <f>ListAVS!$B$77&amp;" [kg] ** "</f>
        <v xml:space="preserve">Waga frontu wraz z uchwytem [kg] ** </v>
      </c>
      <c r="C12" s="1012"/>
      <c r="D12" s="1012"/>
      <c r="E12" s="1012"/>
      <c r="F12" s="1012"/>
      <c r="G12" s="1013"/>
      <c r="H12" s="258"/>
      <c r="I12" s="227" t="str">
        <f>IF($T14="ne", " ", IF(AND($H12=0,$H15=0, $H17&gt;0),$N$37," "))&amp;IF(AND($H17&gt;0, $H12&gt;0, $M17&gt;0),$N$41," ")</f>
        <v xml:space="preserve">  </v>
      </c>
      <c r="J12" s="227"/>
      <c r="K12" s="227"/>
      <c r="L12" s="227"/>
      <c r="N12" s="37" t="s">
        <v>44</v>
      </c>
      <c r="O12" s="118">
        <f>IF($H16&lt;$AB$51,0,IF($H16&lt;=$AC$51,1,0))</f>
        <v>0</v>
      </c>
      <c r="P12" s="37" t="s">
        <v>48</v>
      </c>
      <c r="Q12" s="118">
        <f>IF(AND($P$16&gt;=$AB$56,$P$16&lt;=$AC$56),SUM($O$11:$O$12),0)</f>
        <v>0</v>
      </c>
      <c r="T12" s="37" t="s">
        <v>46</v>
      </c>
      <c r="U12" s="118">
        <f>IF($N$48=2, IF(OR($H$10&gt;=1200, $T$17&gt;=12), 3, 2))+IF($N$48=2,IF(OR($H$10=1800, $T$17&gt;=20), 1, 0))</f>
        <v>0</v>
      </c>
      <c r="V12" s="37" t="s">
        <v>47</v>
      </c>
      <c r="W12" s="118">
        <f>IF($P$48=2, IF(OR($H$10&gt;=1200, $T$17&gt;=12), 3, 2))+IF($P$48=2,IF(OR($H$10=1800, $T$17&gt;=20), 1, 0))</f>
        <v>2</v>
      </c>
      <c r="X12" s="108"/>
      <c r="Y12" s="898" t="str">
        <f>CenAVS!A14</f>
        <v xml:space="preserve">Aventos HF Top mocny, eurowkręty      </v>
      </c>
      <c r="Z12" s="898" t="str">
        <f>CenAVS!B14</f>
        <v>22F2810</v>
      </c>
      <c r="AA12" s="883" t="str">
        <f>CenAVS!C14</f>
        <v>ZN</v>
      </c>
      <c r="AB12" s="665">
        <f t="shared" si="0"/>
        <v>0</v>
      </c>
      <c r="AC12" s="899">
        <f>CenAVS!F14</f>
        <v>198.53095999999996</v>
      </c>
      <c r="AD12" s="900">
        <f t="shared" si="3"/>
        <v>0</v>
      </c>
      <c r="AE12" s="901">
        <f>IF($Y$48=2,ROUNDUP($M$17*$O$12,0),0)</f>
        <v>0</v>
      </c>
      <c r="AF12" s="902">
        <f t="shared" si="1"/>
        <v>0</v>
      </c>
      <c r="AG12" s="901">
        <f>IF($Y$48=2,ROUNDUP($M$28*$O$23,0),0)</f>
        <v>0</v>
      </c>
      <c r="AH12" s="902">
        <f t="shared" si="2"/>
        <v>0</v>
      </c>
      <c r="AI12" s="170"/>
      <c r="AJ12" s="170"/>
      <c r="AK12" s="108"/>
      <c r="AL12" s="108"/>
      <c r="AM12" s="137"/>
      <c r="AN12" s="1043" t="str">
        <f>ListAVS!$B$86&amp;" LF = "&amp;ListAVS!$B$320&amp;" [kg]"</f>
        <v>Współczynnik mocy LF = wysokość korpusu (KH) [mm] x waga obu frontów wraz z uchwytem [kg]</v>
      </c>
      <c r="AO12" s="1043"/>
      <c r="AP12" s="1043"/>
      <c r="AQ12" s="1043"/>
      <c r="AR12" s="706"/>
      <c r="AS12" s="706"/>
      <c r="AT12" s="706"/>
    </row>
    <row r="13" spans="2:51" s="37" customFormat="1" ht="16.149999999999999" customHeight="1" x14ac:dyDescent="0.2">
      <c r="B13" s="1055" t="str">
        <f>ListAVS!$B$293</f>
        <v>Obliczenie wagi</v>
      </c>
      <c r="C13" s="1055"/>
      <c r="D13" s="1053" t="str">
        <f>ListAVS!$B$81&amp;" TS [mm] "</f>
        <v xml:space="preserve">Grubość górnego frontu TS [mm] </v>
      </c>
      <c r="E13" s="1053"/>
      <c r="F13" s="1053"/>
      <c r="G13" s="1054"/>
      <c r="H13" s="258"/>
      <c r="I13" s="256" t="str">
        <f>IF(OR(H17=0, $T14="ne")," ",IF(AND(H12=0, H13=0)," ● "&amp;ListAVS!$B$129," "))</f>
        <v xml:space="preserve"> </v>
      </c>
      <c r="J13" s="227"/>
      <c r="K13" s="227"/>
      <c r="L13" s="227"/>
      <c r="O13" s="118"/>
      <c r="Q13" s="118"/>
      <c r="U13" s="118"/>
      <c r="W13" s="118"/>
      <c r="X13" s="108"/>
      <c r="Y13" s="898" t="str">
        <f>CenAVS!A15</f>
        <v xml:space="preserve">zestaw ramion teleskop. HF Top 480-610mm     </v>
      </c>
      <c r="Z13" s="898" t="str">
        <f>CenAVS!B15</f>
        <v>22F3200</v>
      </c>
      <c r="AA13" s="883" t="str">
        <f>CenAVS!C15</f>
        <v>NI</v>
      </c>
      <c r="AB13" s="665">
        <f t="shared" si="0"/>
        <v>0</v>
      </c>
      <c r="AC13" s="899">
        <f>CenAVS!F15</f>
        <v>85.664479999999998</v>
      </c>
      <c r="AD13" s="900">
        <f t="shared" si="3"/>
        <v>0</v>
      </c>
      <c r="AE13" s="901">
        <f>ROUNDUP($M$17*Q10,0)</f>
        <v>0</v>
      </c>
      <c r="AF13" s="902">
        <f t="shared" si="1"/>
        <v>0</v>
      </c>
      <c r="AG13" s="901">
        <f>ROUNDUP($M$28*Q21,0)</f>
        <v>0</v>
      </c>
      <c r="AH13" s="902">
        <f t="shared" si="2"/>
        <v>0</v>
      </c>
      <c r="AI13" s="170"/>
      <c r="AJ13" s="170"/>
      <c r="AK13" s="108"/>
      <c r="AL13" s="108"/>
      <c r="AM13" s="137"/>
      <c r="AN13" s="1043"/>
      <c r="AO13" s="1043"/>
      <c r="AP13" s="1043"/>
      <c r="AQ13" s="1043"/>
      <c r="AR13" s="706"/>
      <c r="AS13" s="706"/>
      <c r="AT13" s="706"/>
    </row>
    <row r="14" spans="2:51" s="37" customFormat="1" ht="16.149999999999999" customHeight="1" x14ac:dyDescent="0.2">
      <c r="B14" s="1055"/>
      <c r="C14" s="1055"/>
      <c r="D14" s="1053" t="str">
        <f>ListAVS!$B$83&amp;" [kg] "</f>
        <v xml:space="preserve">Waga uchwytu [kg] </v>
      </c>
      <c r="E14" s="1053"/>
      <c r="F14" s="1053"/>
      <c r="G14" s="1054"/>
      <c r="H14" s="258"/>
      <c r="I14" s="227" t="str">
        <f>IF(M17=0, " ", IF(AND(H12=0, S9=1, H14=0), " ● "&amp;ListAVS!$B$130," "))</f>
        <v xml:space="preserve"> </v>
      </c>
      <c r="J14" s="227"/>
      <c r="K14" s="227"/>
      <c r="L14" s="227"/>
      <c r="O14" s="118"/>
      <c r="Q14" s="118"/>
      <c r="S14" s="717" t="s">
        <v>79</v>
      </c>
      <c r="T14" s="928" t="str">
        <f>IF(AND(220&lt;=H10, H10&lt;=1800, 480&lt;=P16, P16&lt;=1200),"ano","ne")</f>
        <v>ne</v>
      </c>
      <c r="U14" s="118"/>
      <c r="W14" s="118"/>
      <c r="X14" s="108"/>
      <c r="Y14" s="898" t="str">
        <f>CenAVS!A16</f>
        <v xml:space="preserve">zestaw ramion teleskop. HF Top 600-910mm     </v>
      </c>
      <c r="Z14" s="898" t="str">
        <f>CenAVS!B16</f>
        <v>22F3500</v>
      </c>
      <c r="AA14" s="883" t="str">
        <f>CenAVS!C16</f>
        <v>NI</v>
      </c>
      <c r="AB14" s="665">
        <f t="shared" si="0"/>
        <v>0</v>
      </c>
      <c r="AC14" s="899">
        <f>CenAVS!F16</f>
        <v>105.22162</v>
      </c>
      <c r="AD14" s="900">
        <f t="shared" si="3"/>
        <v>0</v>
      </c>
      <c r="AE14" s="901">
        <f>ROUNDUP($M$17*Q11,0)</f>
        <v>0</v>
      </c>
      <c r="AF14" s="902">
        <f t="shared" si="1"/>
        <v>0</v>
      </c>
      <c r="AG14" s="901">
        <f>ROUNDUP($M$28*Q22,0)</f>
        <v>0</v>
      </c>
      <c r="AH14" s="902">
        <f t="shared" si="2"/>
        <v>0</v>
      </c>
      <c r="AI14" s="170"/>
      <c r="AJ14" s="170"/>
      <c r="AK14" s="108"/>
      <c r="AL14" s="108"/>
      <c r="AM14" s="137"/>
      <c r="AN14" s="1044"/>
      <c r="AO14" s="1044"/>
      <c r="AP14" s="1044"/>
      <c r="AQ14" s="1044"/>
      <c r="AR14" s="706"/>
      <c r="AS14" s="706"/>
      <c r="AT14" s="706"/>
    </row>
    <row r="15" spans="2:51" s="37" customFormat="1" ht="16.149999999999999" customHeight="1" x14ac:dyDescent="0.2">
      <c r="B15" s="1055"/>
      <c r="C15" s="1055"/>
      <c r="D15" s="1053" t="str">
        <f>ListAVS!$B$79&amp;" [kg] "</f>
        <v xml:space="preserve">Obliczona waga frontu [kg] </v>
      </c>
      <c r="E15" s="1053"/>
      <c r="F15" s="1053"/>
      <c r="G15" s="1054"/>
      <c r="H15" s="259">
        <f>$T$81</f>
        <v>0</v>
      </c>
      <c r="I15" s="227" t="str">
        <f>IF($M17&gt;0,IF($H15&gt;0,IF($H12=0,$N$41," ")," ")," ")&amp;IF(AND(H17&gt;0, H12=0, Z78=3, $J$4=0), $N$39, " ")</f>
        <v xml:space="preserve">  </v>
      </c>
      <c r="J15" s="227"/>
      <c r="K15" s="227"/>
      <c r="L15" s="227"/>
      <c r="O15" s="118"/>
      <c r="S15" s="717" t="s">
        <v>732</v>
      </c>
      <c r="T15" s="928" t="str">
        <f>IF(AND(H16&gt;=$AB$50, H16&lt;=$AC$51), "ano", "ne")</f>
        <v>ne</v>
      </c>
      <c r="X15" s="108"/>
      <c r="Y15" s="898" t="str">
        <f>CenAVS!A17</f>
        <v xml:space="preserve">zestaw ramion teleskop. HF Top 840-1200mm     </v>
      </c>
      <c r="Z15" s="898" t="str">
        <f>CenAVS!B17</f>
        <v>22F3900</v>
      </c>
      <c r="AA15" s="883" t="str">
        <f>CenAVS!C17</f>
        <v>NI</v>
      </c>
      <c r="AB15" s="665">
        <f t="shared" si="0"/>
        <v>0</v>
      </c>
      <c r="AC15" s="899">
        <f>CenAVS!F17</f>
        <v>124.77875</v>
      </c>
      <c r="AD15" s="900">
        <f t="shared" si="3"/>
        <v>0</v>
      </c>
      <c r="AE15" s="901">
        <f>ROUNDUP($M$17*Q12,0)</f>
        <v>0</v>
      </c>
      <c r="AF15" s="902">
        <f t="shared" si="1"/>
        <v>0</v>
      </c>
      <c r="AG15" s="901">
        <f>ROUNDUP($M$28*Q23,0)</f>
        <v>0</v>
      </c>
      <c r="AH15" s="902">
        <f t="shared" si="2"/>
        <v>0</v>
      </c>
      <c r="AI15" s="170"/>
      <c r="AJ15" s="170"/>
      <c r="AK15" s="108"/>
      <c r="AL15" s="108"/>
      <c r="AM15" s="137"/>
      <c r="AN15" s="1044"/>
      <c r="AO15" s="1044"/>
      <c r="AP15" s="1044"/>
      <c r="AQ15" s="1044"/>
      <c r="AR15" s="706"/>
      <c r="AS15" s="706"/>
      <c r="AT15" s="706"/>
    </row>
    <row r="16" spans="2:51" s="37" customFormat="1" ht="16.149999999999999" customHeight="1" thickBot="1" x14ac:dyDescent="0.25">
      <c r="B16" s="1011" t="str">
        <f>ListAVS!$B$86&amp;" LF "</f>
        <v xml:space="preserve">Współczynnik mocy LF </v>
      </c>
      <c r="C16" s="1012"/>
      <c r="D16" s="1012"/>
      <c r="E16" s="1012"/>
      <c r="F16" s="1012"/>
      <c r="G16" s="1013"/>
      <c r="H16" s="400">
        <f>IF(H12&gt;0, H11*H12, H11*H15)</f>
        <v>0</v>
      </c>
      <c r="I16" s="256" t="str">
        <f>IF(OR($T14="ne", $H17=0), " ", IF(AND(H16&gt;0, H16&lt;$AB$50), $T$44, IF($H16&gt;$AC$51, $N$44, "  ")))</f>
        <v xml:space="preserve"> </v>
      </c>
      <c r="J16" s="227"/>
      <c r="K16" s="227"/>
      <c r="L16" s="227"/>
      <c r="O16" s="153" t="s">
        <v>49</v>
      </c>
      <c r="P16" s="165">
        <f>IF(F11&gt;0,IF(F11&gt;=H11,F11,0),H11)</f>
        <v>0</v>
      </c>
      <c r="X16" s="108"/>
      <c r="Y16" s="898" t="str">
        <f>CenAVS!A47</f>
        <v xml:space="preserve">Zaślepki HF/HL/HS - Top bez SD jasnoszare HGR   </v>
      </c>
      <c r="Z16" s="898" t="str">
        <f>CenAVS!B47</f>
        <v>22.8000</v>
      </c>
      <c r="AA16" s="883" t="str">
        <f>CenAVS!C47</f>
        <v>HGR</v>
      </c>
      <c r="AB16" s="665">
        <f t="shared" ref="AB16:AB25" si="4">SUM(AE16,AG16)</f>
        <v>0</v>
      </c>
      <c r="AC16" s="899">
        <f>CenAVS!F47</f>
        <v>27.586120000000001</v>
      </c>
      <c r="AD16" s="900">
        <f t="shared" si="3"/>
        <v>0</v>
      </c>
      <c r="AE16" s="903">
        <f>IF(AND($S$9=1, $T$48=1), SUM($AE$9:$AE$12), 0)</f>
        <v>0</v>
      </c>
      <c r="AF16" s="902">
        <f t="shared" si="1"/>
        <v>0</v>
      </c>
      <c r="AG16" s="903">
        <f>IF(AND($S$20=1, $T$48=1), SUM($AG$9:$AG$12), 0)</f>
        <v>0</v>
      </c>
      <c r="AH16" s="902">
        <f t="shared" si="2"/>
        <v>0</v>
      </c>
      <c r="AI16" s="170"/>
      <c r="AJ16" s="170"/>
      <c r="AK16" s="108"/>
      <c r="AL16" s="108"/>
      <c r="AM16" s="137"/>
      <c r="AN16" s="137"/>
      <c r="AO16" s="137"/>
    </row>
    <row r="17" spans="1:43" s="37" customFormat="1" ht="16.149999999999999" customHeight="1" thickBot="1" x14ac:dyDescent="0.25">
      <c r="B17" s="1011" t="str">
        <f>ListAVS!$B$71&amp;" "</f>
        <v xml:space="preserve">Ilość szafek </v>
      </c>
      <c r="C17" s="1012"/>
      <c r="D17" s="1012"/>
      <c r="E17" s="1012"/>
      <c r="F17" s="1012"/>
      <c r="G17" s="1012"/>
      <c r="H17" s="261"/>
      <c r="I17" s="256"/>
      <c r="J17" s="227"/>
      <c r="K17" s="227"/>
      <c r="L17" s="227"/>
      <c r="M17" s="315">
        <f>IF($H10*$P16=0,0,IF(SUM($H12,$H15)=0,0,IF($P16&gt;$AC$57,0,IF(P16&lt;$AB$54,0,IF(OR(T14="ne", T15="ne"),0,$H17)))))</f>
        <v>0</v>
      </c>
      <c r="N17" s="37" t="s">
        <v>50</v>
      </c>
      <c r="S17" s="690" t="s">
        <v>51</v>
      </c>
      <c r="T17" s="691">
        <f>IF(H12&gt;0,H12,H15)</f>
        <v>0</v>
      </c>
      <c r="U17" s="37">
        <f>IF(SUM(H12,H15)=0,0,IF(H12&gt;0,1,2))</f>
        <v>0</v>
      </c>
      <c r="V17" s="571" t="s">
        <v>52</v>
      </c>
      <c r="X17" s="108"/>
      <c r="Y17" s="898" t="str">
        <f>CenAVS!A48</f>
        <v xml:space="preserve">zaślepki HF/HL/HS - Top bez SD ciemnoszare TGR   </v>
      </c>
      <c r="Z17" s="898" t="str">
        <f>CenAVS!B48</f>
        <v>22.8000</v>
      </c>
      <c r="AA17" s="883" t="str">
        <f>CenAVS!C48</f>
        <v>TGR</v>
      </c>
      <c r="AB17" s="665">
        <f t="shared" si="4"/>
        <v>0</v>
      </c>
      <c r="AC17" s="899">
        <f>CenAVS!F48</f>
        <v>30.106369999999998</v>
      </c>
      <c r="AD17" s="900">
        <f t="shared" si="3"/>
        <v>0</v>
      </c>
      <c r="AE17" s="903">
        <f>IF(AND($S$9=1, $T$48=2), SUM($AE$9:$AE$12), 0)</f>
        <v>0</v>
      </c>
      <c r="AF17" s="902">
        <f t="shared" si="1"/>
        <v>0</v>
      </c>
      <c r="AG17" s="903">
        <f>IF(AND($S$20=1, $T$48=2), SUM($AG$9:$AG$12), 0)</f>
        <v>0</v>
      </c>
      <c r="AH17" s="902">
        <f t="shared" si="2"/>
        <v>0</v>
      </c>
      <c r="AI17" s="170"/>
      <c r="AJ17" s="170"/>
      <c r="AK17" s="108"/>
      <c r="AL17" s="108"/>
      <c r="AM17" s="137"/>
      <c r="AN17" s="545" t="s">
        <v>771</v>
      </c>
      <c r="AO17" s="137"/>
    </row>
    <row r="18" spans="1:43" s="37" customFormat="1" ht="16.149999999999999" customHeight="1" x14ac:dyDescent="0.2">
      <c r="B18" s="227" t="str">
        <f>IF(H17&gt;0,IF(U17=0," ",IF(U17=1,$N$53,$N$54))," ")&amp;IF(H17&gt;0,IF(U17=0," ",IF(U17=1,$N$55,$N$56))," ")</f>
        <v xml:space="preserve">  </v>
      </c>
      <c r="C18" s="227"/>
      <c r="D18" s="227"/>
      <c r="E18" s="227"/>
      <c r="F18" s="262"/>
      <c r="G18" s="262"/>
      <c r="H18" s="227"/>
      <c r="I18" s="227"/>
      <c r="J18" s="227"/>
      <c r="K18" s="227"/>
      <c r="L18" s="227"/>
      <c r="X18" s="108"/>
      <c r="Y18" s="898" t="str">
        <f>CenAVS!A49</f>
        <v xml:space="preserve">Zaślepki HF/HL/HS - Top bez SD białe SW   </v>
      </c>
      <c r="Z18" s="898" t="str">
        <f>CenAVS!B49</f>
        <v>22.8000</v>
      </c>
      <c r="AA18" s="883" t="str">
        <f>CenAVS!C49</f>
        <v>SW</v>
      </c>
      <c r="AB18" s="665">
        <f t="shared" si="4"/>
        <v>0</v>
      </c>
      <c r="AC18" s="899">
        <f>CenAVS!F49</f>
        <v>30.106369999999998</v>
      </c>
      <c r="AD18" s="900">
        <f t="shared" si="3"/>
        <v>0</v>
      </c>
      <c r="AE18" s="903">
        <f>IF(AND($S$9=1, $T$48=3), SUM($AE$9:$AE$12), 0)</f>
        <v>0</v>
      </c>
      <c r="AF18" s="902">
        <f t="shared" si="1"/>
        <v>0</v>
      </c>
      <c r="AG18" s="903">
        <f>IF(AND($S$20=1, $T$48=3), SUM($AG$9:$AG$12), 0)</f>
        <v>0</v>
      </c>
      <c r="AH18" s="902">
        <f t="shared" si="2"/>
        <v>0</v>
      </c>
      <c r="AI18" s="170"/>
      <c r="AJ18" s="170"/>
      <c r="AK18" s="108"/>
      <c r="AL18" s="255"/>
      <c r="AM18" s="137"/>
      <c r="AN18" s="545" t="s">
        <v>772</v>
      </c>
      <c r="AO18" s="137"/>
    </row>
    <row r="19" spans="1:43" s="37" customFormat="1" ht="25.15" customHeight="1" thickBot="1" x14ac:dyDescent="0.25">
      <c r="B19" s="586" t="str">
        <f>IF(F11=0," ",IF(F11&gt;1200,"TKH = max. 1200!",IF(F11&lt;480,"TKH = min. 480!",IF(F11&lt;H11,$N$59,IF(H17&gt;0,IF(F11=0," ",IF(AND(F11&gt;0,M17=1), $N$58," "))," ")))))</f>
        <v xml:space="preserve"> </v>
      </c>
      <c r="C19" s="227"/>
      <c r="D19" s="227"/>
      <c r="E19" s="227"/>
      <c r="F19" s="262"/>
      <c r="G19" s="262"/>
      <c r="H19" s="227"/>
      <c r="I19" s="227"/>
      <c r="J19" s="227"/>
      <c r="K19" s="227"/>
      <c r="L19" s="227"/>
      <c r="X19" s="108"/>
      <c r="Y19" s="898" t="str">
        <f>CenAVS!A50</f>
        <v xml:space="preserve">zaślepki HF/HL/HS - Top do SD jasnoszare HGR   </v>
      </c>
      <c r="Z19" s="898" t="str">
        <f>CenAVS!B50</f>
        <v>23.8000</v>
      </c>
      <c r="AA19" s="883" t="str">
        <f>CenAVS!C50</f>
        <v>HGR</v>
      </c>
      <c r="AB19" s="665">
        <f t="shared" si="4"/>
        <v>0</v>
      </c>
      <c r="AC19" s="899">
        <f>CenAVS!F50</f>
        <v>284.41748999999999</v>
      </c>
      <c r="AD19" s="900">
        <f t="shared" si="3"/>
        <v>0</v>
      </c>
      <c r="AE19" s="903">
        <f>IF(AND($S$9=2, $T$48=1), $AE$45, 0)</f>
        <v>0</v>
      </c>
      <c r="AF19" s="902">
        <f t="shared" si="1"/>
        <v>0</v>
      </c>
      <c r="AG19" s="903">
        <f>IF(AND($S$20=2, $T$48=1), $AG$45, 0)</f>
        <v>0</v>
      </c>
      <c r="AH19" s="902">
        <f t="shared" si="2"/>
        <v>0</v>
      </c>
      <c r="AI19" s="170"/>
      <c r="AJ19" s="170"/>
      <c r="AK19" s="108"/>
      <c r="AL19" s="708" t="str">
        <f>" "&amp;ListAVS!$B$195</f>
        <v xml:space="preserve"> Obliczanie frontów asymetrycznych</v>
      </c>
      <c r="AM19" s="137"/>
      <c r="AN19" s="137"/>
      <c r="AO19" s="137"/>
    </row>
    <row r="20" spans="1:43" s="37" customFormat="1" ht="16.149999999999999" customHeight="1" thickBot="1" x14ac:dyDescent="0.25">
      <c r="B20" s="1051" t="str">
        <f>"▼ "&amp;ListAVS!$B$318</f>
        <v>▼ Sposób otwierania</v>
      </c>
      <c r="C20" s="1052"/>
      <c r="D20" s="406" t="str">
        <f>IF($M$28&gt;0, ListAVS!$B$37&amp;": ", " ")</f>
        <v xml:space="preserve"> </v>
      </c>
      <c r="E20" s="688" t="str">
        <f>IF(SUM($AG$9:$AG$10)&gt;0,25,IF(SUM($AG$11:$AG$12)&gt;0,28," "))</f>
        <v xml:space="preserve"> </v>
      </c>
      <c r="F20" s="1056" t="str">
        <f>ListAVS!$B$64&amp;" B"</f>
        <v>Korpus B</v>
      </c>
      <c r="G20" s="1057"/>
      <c r="H20" s="1058"/>
      <c r="I20" s="227"/>
      <c r="J20" s="227"/>
      <c r="K20" s="227"/>
      <c r="L20" s="227"/>
      <c r="N20" s="39" t="s">
        <v>53</v>
      </c>
      <c r="O20" s="39"/>
      <c r="P20" s="39" t="s">
        <v>33</v>
      </c>
      <c r="Q20" s="39"/>
      <c r="S20" s="138">
        <v>1</v>
      </c>
      <c r="T20" s="1063" t="b">
        <v>0</v>
      </c>
      <c r="U20" s="1064"/>
      <c r="V20" s="139" t="s">
        <v>34</v>
      </c>
      <c r="W20" s="140"/>
      <c r="X20" s="108"/>
      <c r="Y20" s="898" t="str">
        <f>CenAVS!A51</f>
        <v xml:space="preserve">Zaślepki HF/HL/HS - Top do SD ciemnoszare TGR   </v>
      </c>
      <c r="Z20" s="898" t="str">
        <f>CenAVS!B51</f>
        <v>23.8000</v>
      </c>
      <c r="AA20" s="883" t="str">
        <f>CenAVS!C51</f>
        <v>TGR</v>
      </c>
      <c r="AB20" s="665">
        <f t="shared" si="4"/>
        <v>0</v>
      </c>
      <c r="AC20" s="899">
        <f>CenAVS!F51</f>
        <v>295.60313000000002</v>
      </c>
      <c r="AD20" s="900">
        <f t="shared" si="3"/>
        <v>0</v>
      </c>
      <c r="AE20" s="903">
        <f>IF(AND($S$9=2, $T$48=2), $AE$45, 0)</f>
        <v>0</v>
      </c>
      <c r="AF20" s="902">
        <f t="shared" si="1"/>
        <v>0</v>
      </c>
      <c r="AG20" s="903">
        <f>IF(AND($S$20=2, $T$48=2), $AG$45, 0)</f>
        <v>0</v>
      </c>
      <c r="AH20" s="902">
        <f t="shared" si="2"/>
        <v>0</v>
      </c>
      <c r="AI20" s="170"/>
      <c r="AJ20" s="170"/>
      <c r="AK20" s="108"/>
      <c r="AM20" s="137"/>
      <c r="AN20" s="137"/>
      <c r="AO20" s="137"/>
    </row>
    <row r="21" spans="1:43" s="37" customFormat="1" ht="16.149999999999999" customHeight="1" x14ac:dyDescent="0.2">
      <c r="B21" s="1011" t="str">
        <f>ListAVS!$B$74&amp;" KB [mm] "</f>
        <v xml:space="preserve">Szerokość korpusu KB [mm] </v>
      </c>
      <c r="C21" s="1012"/>
      <c r="D21" s="1012"/>
      <c r="E21" s="1012"/>
      <c r="F21" s="1012"/>
      <c r="G21" s="1013"/>
      <c r="H21" s="405"/>
      <c r="I21" s="256" t="str">
        <f>IF(H21=0," ",IF($H21&lt;220," min. 220mm",IF($H21&gt;1800," max. 1 800mm"," ")))&amp;IF(H28&gt;0,IF(H21=0,"● "&amp;ListAVS!$B$129," ")," ")</f>
        <v xml:space="preserve">  </v>
      </c>
      <c r="J21" s="227"/>
      <c r="K21" s="227"/>
      <c r="L21" s="227"/>
      <c r="N21" s="894"/>
      <c r="O21" s="895"/>
      <c r="P21" s="37" t="s">
        <v>35</v>
      </c>
      <c r="Q21" s="118">
        <f>IF(AND($P$27&gt;=$AB$54,$P$27&lt;=$AC$54),SUM($O$22:$O$23),0)</f>
        <v>0</v>
      </c>
      <c r="T21" s="203" t="s">
        <v>54</v>
      </c>
      <c r="U21" s="39"/>
      <c r="V21" s="203" t="s">
        <v>55</v>
      </c>
      <c r="W21" s="39"/>
      <c r="X21" s="108"/>
      <c r="Y21" s="898" t="str">
        <f>CenAVS!A52</f>
        <v xml:space="preserve">Zaślepki HF/HL/HS - Top do SD białe SW   </v>
      </c>
      <c r="Z21" s="898" t="str">
        <f>CenAVS!B52</f>
        <v>23.8000</v>
      </c>
      <c r="AA21" s="883" t="str">
        <f>CenAVS!C52</f>
        <v>SW</v>
      </c>
      <c r="AB21" s="665">
        <f t="shared" si="4"/>
        <v>0</v>
      </c>
      <c r="AC21" s="899">
        <f>CenAVS!F52</f>
        <v>295.60313000000002</v>
      </c>
      <c r="AD21" s="900">
        <f t="shared" si="3"/>
        <v>0</v>
      </c>
      <c r="AE21" s="903">
        <f>IF(AND($S$9=2, $T$48=3), $AE$45, 0)</f>
        <v>0</v>
      </c>
      <c r="AF21" s="902">
        <f t="shared" si="1"/>
        <v>0</v>
      </c>
      <c r="AG21" s="903">
        <f>IF(AND($S$20=2, $T$48=3), $AG$45, 0)</f>
        <v>0</v>
      </c>
      <c r="AH21" s="902">
        <f t="shared" si="2"/>
        <v>0</v>
      </c>
      <c r="AI21" s="170"/>
      <c r="AJ21" s="170"/>
      <c r="AK21" s="108"/>
      <c r="AL21" s="709"/>
      <c r="AM21" s="137"/>
      <c r="AN21" s="137"/>
      <c r="AO21" s="137"/>
    </row>
    <row r="22" spans="1:43" s="37" customFormat="1" ht="16.149999999999999" customHeight="1" x14ac:dyDescent="0.2">
      <c r="B22" s="1011" t="str">
        <f>ListAVS!$B$75&amp;" [mm]"</f>
        <v>Wysokość korpusu [mm]</v>
      </c>
      <c r="C22" s="1012"/>
      <c r="D22" s="1012"/>
      <c r="E22" s="297" t="s">
        <v>38</v>
      </c>
      <c r="F22" s="405"/>
      <c r="G22" s="295" t="s">
        <v>39</v>
      </c>
      <c r="H22" s="405"/>
      <c r="I22" s="256" t="str">
        <f>IF(H22=0," ",IF($H22&lt;480," min. 480mm",IF($H22&gt;1200," max. 1 200mm"," ")))&amp;IF(H28&gt;0,IF(H22=0,"● "&amp;ListAVS!$B$129," ")," ")</f>
        <v xml:space="preserve">  </v>
      </c>
      <c r="J22" s="227"/>
      <c r="K22" s="227"/>
      <c r="L22" s="227"/>
      <c r="N22" s="37" t="s">
        <v>40</v>
      </c>
      <c r="O22" s="118">
        <f>IF($H27&lt;$AB$50,0,IF($H27&lt;=$AC$50,1,0))</f>
        <v>0</v>
      </c>
      <c r="P22" s="37" t="s">
        <v>41</v>
      </c>
      <c r="Q22" s="118">
        <f>IF(AND($P$27&gt;=$AB$55,$P$27&lt;=$AC$55),SUM($O$22:$O$23),0)</f>
        <v>0</v>
      </c>
      <c r="T22" s="37" t="s">
        <v>42</v>
      </c>
      <c r="U22" s="118">
        <f>IF($N$48=1, IF(OR($H$21&gt;=1200, $T$28&gt;=12), 3, 2))+IF($N$48=1,IF(OR($H$21=1800, $T$28&gt;=20), 1, 0))</f>
        <v>2</v>
      </c>
      <c r="V22" s="37" t="s">
        <v>43</v>
      </c>
      <c r="W22" s="895">
        <f>IF($P$48=1, IF(OR($H$21&gt;=1200, $T$28&gt;=12), 3, 2))+IF($P$48=1,IF(OR($H$21=1800, $T$28&gt;=20), 1, 0))</f>
        <v>0</v>
      </c>
      <c r="X22" s="108"/>
      <c r="Y22" s="898" t="str">
        <f>CenAVS!A18</f>
        <v xml:space="preserve">nakładany Tip-on wkręt 120°       </v>
      </c>
      <c r="Z22" s="898" t="str">
        <f>CenAVS!B18</f>
        <v>70T5550.TL</v>
      </c>
      <c r="AA22" s="883" t="str">
        <f>CenAVS!C18</f>
        <v>NI</v>
      </c>
      <c r="AB22" s="665">
        <f t="shared" si="4"/>
        <v>0</v>
      </c>
      <c r="AC22" s="899">
        <f>CenAVS!F18</f>
        <v>5.5152999999999999</v>
      </c>
      <c r="AD22" s="900">
        <f t="shared" si="3"/>
        <v>0</v>
      </c>
      <c r="AE22" s="903">
        <f>$U$12*$M$17</f>
        <v>0</v>
      </c>
      <c r="AF22" s="902">
        <f t="shared" si="1"/>
        <v>0</v>
      </c>
      <c r="AG22" s="903">
        <f>$U$23*$M$28</f>
        <v>0</v>
      </c>
      <c r="AH22" s="902">
        <f t="shared" si="2"/>
        <v>0</v>
      </c>
      <c r="AI22" s="170"/>
      <c r="AJ22" s="170"/>
      <c r="AK22" s="108"/>
      <c r="AL22" s="255"/>
      <c r="AM22" s="137"/>
      <c r="AN22" s="137"/>
      <c r="AO22" s="137"/>
    </row>
    <row r="23" spans="1:43" s="37" customFormat="1" ht="16.149999999999999" customHeight="1" x14ac:dyDescent="0.2">
      <c r="B23" s="1011" t="str">
        <f>ListAVS!$B$77&amp;" [kg] ** "</f>
        <v xml:space="preserve">Waga frontu wraz z uchwytem [kg] ** </v>
      </c>
      <c r="C23" s="1012"/>
      <c r="D23" s="1012"/>
      <c r="E23" s="1012"/>
      <c r="F23" s="1012"/>
      <c r="G23" s="1013"/>
      <c r="H23" s="258"/>
      <c r="I23" s="227" t="str">
        <f>IF($H28=0," ",IF(SUM($H23,$H26)=0,$N$38," "))&amp;IF($H28&gt;0,IF($H23&gt;0,$N$41," ")," ")</f>
        <v xml:space="preserve">  </v>
      </c>
      <c r="J23" s="227"/>
      <c r="K23" s="227"/>
      <c r="L23" s="227"/>
      <c r="N23" s="37" t="s">
        <v>44</v>
      </c>
      <c r="O23" s="118">
        <f>IF($H27&lt;$AB$51,0,IF($H27&lt;=$AC$51,1,IF($H27&gt;$AB$52,1.5,0)))</f>
        <v>0</v>
      </c>
      <c r="P23" s="37" t="s">
        <v>48</v>
      </c>
      <c r="Q23" s="118">
        <f>IF(AND($P$27&gt;=$AB$56,$P$27&lt;=$AC$56),SUM($O$22:$O$23),0)</f>
        <v>0</v>
      </c>
      <c r="T23" s="37" t="s">
        <v>46</v>
      </c>
      <c r="U23" s="118">
        <f>IF($N$48=2, IF(OR($H$21&gt;=1200, $T$28&gt;=12), 3, 2))+IF($N$48=2,IF(OR($H$21=1800, $T$28&gt;=20), 1, 0))</f>
        <v>0</v>
      </c>
      <c r="V23" s="37" t="s">
        <v>47</v>
      </c>
      <c r="W23" s="118">
        <f>IF($P$48=2, IF(OR($H$21&gt;=1200, $T$28&gt;=12), 3, 2))+IF($P$48=2,IF(OR($H$21=1800, $T$28&gt;=20), 1, 0))</f>
        <v>2</v>
      </c>
      <c r="X23" s="108"/>
      <c r="Y23" s="898" t="str">
        <f>CenAVS!A19</f>
        <v xml:space="preserve">zawias nakładany Tip-on Expando 120°      </v>
      </c>
      <c r="Z23" s="898" t="str">
        <f>CenAVS!B19</f>
        <v>70T558E</v>
      </c>
      <c r="AA23" s="883" t="str">
        <f>CenAVS!C19</f>
        <v>NI</v>
      </c>
      <c r="AB23" s="665">
        <f t="shared" si="4"/>
        <v>0</v>
      </c>
      <c r="AC23" s="899">
        <f>CenAVS!F19</f>
        <v>5.8604399999999996</v>
      </c>
      <c r="AD23" s="900">
        <f t="shared" si="3"/>
        <v>0</v>
      </c>
      <c r="AE23" s="903">
        <f>$U$11*$M$17</f>
        <v>0</v>
      </c>
      <c r="AF23" s="902">
        <f t="shared" si="1"/>
        <v>0</v>
      </c>
      <c r="AG23" s="903">
        <f>$U$22*$M$28</f>
        <v>0</v>
      </c>
      <c r="AH23" s="902">
        <f t="shared" si="2"/>
        <v>0</v>
      </c>
      <c r="AI23" s="170"/>
      <c r="AJ23" s="170"/>
      <c r="AK23" s="108"/>
      <c r="AL23" s="255"/>
      <c r="AM23" s="137"/>
      <c r="AN23" s="137"/>
      <c r="AO23" s="137"/>
    </row>
    <row r="24" spans="1:43" s="37" customFormat="1" ht="16.149999999999999" customHeight="1" x14ac:dyDescent="0.2">
      <c r="B24" s="1055" t="str">
        <f>ListAVS!$B$293</f>
        <v>Obliczenie wagi</v>
      </c>
      <c r="C24" s="1055"/>
      <c r="D24" s="1053" t="str">
        <f>ListAVS!$B$81&amp;" TS [mm] "</f>
        <v xml:space="preserve">Grubość górnego frontu TS [mm] </v>
      </c>
      <c r="E24" s="1053"/>
      <c r="F24" s="1053"/>
      <c r="G24" s="1054"/>
      <c r="H24" s="258"/>
      <c r="I24" s="256" t="str">
        <f>IF(H28=0," ",IF(AND(H23=0, H24=0)," ● "&amp;ListAVS!$B$129," "))</f>
        <v xml:space="preserve"> </v>
      </c>
      <c r="J24" s="227"/>
      <c r="K24" s="227"/>
      <c r="L24" s="227"/>
      <c r="O24" s="118"/>
      <c r="Q24" s="118"/>
      <c r="U24" s="118"/>
      <c r="W24" s="118"/>
      <c r="X24" s="108"/>
      <c r="Y24" s="898" t="str">
        <f>CenAVS!A20</f>
        <v xml:space="preserve">zawias środkowy wkręt        </v>
      </c>
      <c r="Z24" s="898" t="str">
        <f>CenAVS!B20</f>
        <v>78Z5500T</v>
      </c>
      <c r="AA24" s="883" t="str">
        <f>CenAVS!C20</f>
        <v>NI</v>
      </c>
      <c r="AB24" s="665">
        <f t="shared" si="4"/>
        <v>0</v>
      </c>
      <c r="AC24" s="899">
        <f>CenAVS!F20</f>
        <v>10.1708</v>
      </c>
      <c r="AD24" s="900">
        <f t="shared" si="3"/>
        <v>0</v>
      </c>
      <c r="AE24" s="901">
        <f>$M$17*$W$12</f>
        <v>0</v>
      </c>
      <c r="AF24" s="902">
        <f t="shared" si="1"/>
        <v>0</v>
      </c>
      <c r="AG24" s="901">
        <f>$M$28*$W$23</f>
        <v>0</v>
      </c>
      <c r="AH24" s="902">
        <f t="shared" si="2"/>
        <v>0</v>
      </c>
      <c r="AI24" s="170"/>
      <c r="AJ24" s="170"/>
      <c r="AK24" s="108"/>
      <c r="AL24" s="255"/>
      <c r="AM24" s="137"/>
      <c r="AN24" s="137"/>
      <c r="AO24" s="137"/>
    </row>
    <row r="25" spans="1:43" s="37" customFormat="1" ht="16.149999999999999" customHeight="1" x14ac:dyDescent="0.2">
      <c r="B25" s="1055"/>
      <c r="C25" s="1055"/>
      <c r="D25" s="1053" t="str">
        <f>ListAVS!$B$83&amp;" [kg] "</f>
        <v xml:space="preserve">Waga uchwytu [kg] </v>
      </c>
      <c r="E25" s="1053"/>
      <c r="F25" s="1053"/>
      <c r="G25" s="1054"/>
      <c r="H25" s="258"/>
      <c r="I25" s="227" t="str">
        <f>IF(M28=0, " ", IF(AND(H23=0, S20=1, H25=0), " ● "&amp;ListAVS!$B$130," "))</f>
        <v xml:space="preserve"> </v>
      </c>
      <c r="J25" s="227"/>
      <c r="K25" s="227"/>
      <c r="L25" s="227"/>
      <c r="O25" s="118"/>
      <c r="Q25" s="118"/>
      <c r="S25" s="717" t="s">
        <v>79</v>
      </c>
      <c r="T25" s="928" t="str">
        <f>IF(AND(220&lt;=H21, H21&lt;=1800, 480&lt;=P27, P27&lt;=1200),"ano","ne")</f>
        <v>ne</v>
      </c>
      <c r="U25" s="118"/>
      <c r="W25" s="118"/>
      <c r="X25" s="108"/>
      <c r="Y25" s="898" t="str">
        <f>CenAVS!A21</f>
        <v xml:space="preserve">zawias środkowy Expando        </v>
      </c>
      <c r="Z25" s="898" t="str">
        <f>CenAVS!B21</f>
        <v>78Z553ET</v>
      </c>
      <c r="AA25" s="883" t="str">
        <f>CenAVS!C21</f>
        <v>NI</v>
      </c>
      <c r="AB25" s="665">
        <f t="shared" si="4"/>
        <v>0</v>
      </c>
      <c r="AC25" s="899">
        <f>CenAVS!F21</f>
        <v>10.498419999999999</v>
      </c>
      <c r="AD25" s="900">
        <f t="shared" si="3"/>
        <v>0</v>
      </c>
      <c r="AE25" s="901"/>
      <c r="AF25" s="902">
        <f t="shared" si="1"/>
        <v>0</v>
      </c>
      <c r="AG25" s="901"/>
      <c r="AH25" s="902">
        <f t="shared" si="2"/>
        <v>0</v>
      </c>
      <c r="AI25" s="170"/>
      <c r="AJ25" s="170"/>
      <c r="AK25" s="108"/>
      <c r="AL25" s="108"/>
      <c r="AM25" s="137"/>
      <c r="AN25" s="137"/>
      <c r="AO25" s="137"/>
    </row>
    <row r="26" spans="1:43" s="37" customFormat="1" ht="16.149999999999999" customHeight="1" x14ac:dyDescent="0.2">
      <c r="B26" s="1055"/>
      <c r="C26" s="1055"/>
      <c r="D26" s="1053" t="str">
        <f>ListAVS!$B$79&amp;" [kg] "</f>
        <v xml:space="preserve">Obliczona waga frontu [kg] </v>
      </c>
      <c r="E26" s="1053"/>
      <c r="F26" s="1053"/>
      <c r="G26" s="1054"/>
      <c r="H26" s="259">
        <f>$T$90</f>
        <v>0</v>
      </c>
      <c r="I26" s="227" t="str">
        <f>IF($H28&gt;0,IF($H26&gt;0,IF($H23=0,$N$41," ")," ")," ")&amp;IF(AND(H28&gt;0, H23=0, Z87=3, $J$4=0), $N$39, " ")</f>
        <v xml:space="preserve">  </v>
      </c>
      <c r="J26" s="227"/>
      <c r="K26" s="227"/>
      <c r="L26" s="227"/>
      <c r="O26" s="118"/>
      <c r="Q26" s="118"/>
      <c r="S26" s="717" t="s">
        <v>732</v>
      </c>
      <c r="T26" s="928" t="str">
        <f>IF(AND(H27&gt;=$AB$50, H27&lt;=$AC$51), "ano", "ne")</f>
        <v>ne</v>
      </c>
      <c r="X26" s="108"/>
      <c r="Y26" s="898" t="str">
        <f>CenAVS!A22</f>
        <v xml:space="preserve">alu nakładany Tip-on 120° Aventos HF     </v>
      </c>
      <c r="Z26" s="898" t="str">
        <f>CenAVS!B22</f>
        <v>72T550A.TL</v>
      </c>
      <c r="AA26" s="883" t="str">
        <f>CenAVS!C22</f>
        <v>NI</v>
      </c>
      <c r="AB26" s="665"/>
      <c r="AC26" s="899">
        <f>CenAVS!F22</f>
        <v>8.4674200000000006</v>
      </c>
      <c r="AD26" s="900">
        <f t="shared" si="3"/>
        <v>0</v>
      </c>
      <c r="AE26" s="901"/>
      <c r="AF26" s="902">
        <f t="shared" si="1"/>
        <v>0</v>
      </c>
      <c r="AG26" s="901"/>
      <c r="AH26" s="902">
        <f t="shared" si="2"/>
        <v>0</v>
      </c>
      <c r="AI26" s="170"/>
      <c r="AJ26" s="170"/>
      <c r="AK26" s="108"/>
      <c r="AL26" s="108"/>
      <c r="AM26" s="137"/>
    </row>
    <row r="27" spans="1:43" s="37" customFormat="1" ht="16.149999999999999" customHeight="1" thickBot="1" x14ac:dyDescent="0.25">
      <c r="B27" s="1011" t="str">
        <f>ListAVS!$B$86&amp;" LF "</f>
        <v xml:space="preserve">Współczynnik mocy LF </v>
      </c>
      <c r="C27" s="1012"/>
      <c r="D27" s="1012"/>
      <c r="E27" s="1012"/>
      <c r="F27" s="1012"/>
      <c r="G27" s="1013"/>
      <c r="H27" s="400">
        <f>IF(H23&gt;0, H22*H23, H22*H26)</f>
        <v>0</v>
      </c>
      <c r="I27" s="256" t="str">
        <f>IF(AND(H27&gt;0, H27&lt;$AB$50), $T$44, IF($H27&gt;$AC$51, $N$44, "  "))</f>
        <v xml:space="preserve">  </v>
      </c>
      <c r="J27" s="227"/>
      <c r="K27" s="268"/>
      <c r="L27" s="227"/>
      <c r="O27" s="153" t="s">
        <v>49</v>
      </c>
      <c r="P27" s="165">
        <f>IF(F22&gt;0,IF(F22&gt;=H22,F22,0),H22)</f>
        <v>0</v>
      </c>
      <c r="Q27" s="118"/>
      <c r="X27" s="108"/>
      <c r="Y27" s="898" t="str">
        <f>CenAVS!A23</f>
        <v xml:space="preserve">alu zawias środkowy        </v>
      </c>
      <c r="Z27" s="898" t="str">
        <f>CenAVS!B23</f>
        <v>78Z550AT</v>
      </c>
      <c r="AA27" s="883" t="str">
        <f>CenAVS!C23</f>
        <v>NI</v>
      </c>
      <c r="AB27" s="665"/>
      <c r="AC27" s="899">
        <f>CenAVS!F23</f>
        <v>11.149290000000001</v>
      </c>
      <c r="AD27" s="900">
        <f t="shared" si="3"/>
        <v>0</v>
      </c>
      <c r="AE27" s="901"/>
      <c r="AF27" s="902">
        <f t="shared" si="1"/>
        <v>0</v>
      </c>
      <c r="AG27" s="901"/>
      <c r="AH27" s="902">
        <f t="shared" si="2"/>
        <v>0</v>
      </c>
      <c r="AI27" s="170"/>
      <c r="AJ27" s="170"/>
      <c r="AK27" s="108"/>
      <c r="AL27" s="108"/>
      <c r="AM27" s="137"/>
      <c r="AN27" s="137"/>
      <c r="AO27" s="137"/>
      <c r="AP27" s="137"/>
      <c r="AQ27" s="137"/>
    </row>
    <row r="28" spans="1:43" ht="16.149999999999999" customHeight="1" thickBot="1" x14ac:dyDescent="0.25">
      <c r="B28" s="1011" t="str">
        <f>ListAVS!$B$71&amp;" "</f>
        <v xml:space="preserve">Ilość szafek </v>
      </c>
      <c r="C28" s="1012"/>
      <c r="D28" s="1012"/>
      <c r="E28" s="1012"/>
      <c r="F28" s="1012"/>
      <c r="G28" s="1012"/>
      <c r="H28" s="261"/>
      <c r="I28" s="256"/>
      <c r="J28" s="270"/>
      <c r="K28" s="401"/>
      <c r="L28" s="402"/>
      <c r="M28" s="315">
        <f>IF($H21*$P27=0,0,IF(SUM($H23,$H26)=0,0,IF($P27&gt;$AC$57,0,IF(P27&lt;$AB$54,0,IF(OR(T25="ne", T26="ne"),0,$H28)))))</f>
        <v>0</v>
      </c>
      <c r="N28" s="37" t="s">
        <v>50</v>
      </c>
      <c r="O28" s="39"/>
      <c r="P28" s="39"/>
      <c r="Q28" s="39"/>
      <c r="R28" s="137"/>
      <c r="S28" s="690" t="s">
        <v>51</v>
      </c>
      <c r="T28" s="691">
        <f>IF(H23&gt;0,H23,H26)</f>
        <v>0</v>
      </c>
      <c r="U28" s="37">
        <f>IF(SUM(H23,H26)=0,0,IF(H23&gt;0,1,2))</f>
        <v>0</v>
      </c>
      <c r="V28" s="571" t="s">
        <v>52</v>
      </c>
      <c r="W28" s="118"/>
      <c r="Y28" s="898" t="str">
        <f>CenAVS!A24</f>
        <v xml:space="preserve">adapter alu do ramion teleskop. P     </v>
      </c>
      <c r="Z28" s="898" t="str">
        <f>CenAVS!B24</f>
        <v>175H5B00   R</v>
      </c>
      <c r="AA28" s="883" t="str">
        <f>CenAVS!C24</f>
        <v>NI</v>
      </c>
      <c r="AB28" s="665"/>
      <c r="AC28" s="899">
        <f>CenAVS!F24</f>
        <v>9.9110600000000009</v>
      </c>
      <c r="AD28" s="900">
        <f t="shared" si="3"/>
        <v>0</v>
      </c>
      <c r="AE28" s="901"/>
      <c r="AF28" s="902">
        <f t="shared" si="1"/>
        <v>0</v>
      </c>
      <c r="AG28" s="901"/>
      <c r="AH28" s="902">
        <f t="shared" si="2"/>
        <v>0</v>
      </c>
      <c r="AI28" s="170"/>
      <c r="AJ28" s="170"/>
      <c r="AM28" s="37"/>
    </row>
    <row r="29" spans="1:43" ht="16.149999999999999" customHeight="1" x14ac:dyDescent="0.2">
      <c r="A29" s="137"/>
      <c r="B29" s="227" t="str">
        <f>IF(H28&gt;0,IF(U28=0," ",IF(U28=1,$N$53,$N$54))," ")&amp;IF(H28&gt;0,IF(U28=0," ",IF(U28=1,$N$55,$N$56))," ")</f>
        <v xml:space="preserve">  </v>
      </c>
      <c r="C29" s="227"/>
      <c r="D29" s="227"/>
      <c r="E29" s="227"/>
      <c r="F29" s="227"/>
      <c r="G29" s="227"/>
      <c r="H29" s="403"/>
      <c r="I29" s="256"/>
      <c r="J29" s="404"/>
      <c r="K29" s="404"/>
      <c r="L29" s="404"/>
      <c r="N29" s="137"/>
      <c r="O29" s="137"/>
      <c r="P29" s="137"/>
      <c r="Q29" s="137"/>
      <c r="Y29" s="898" t="str">
        <f>CenAVS!A25</f>
        <v xml:space="preserve">adapter alu do ramion teleskop. L     </v>
      </c>
      <c r="Z29" s="898" t="str">
        <f>CenAVS!B25</f>
        <v>175H5B00   L</v>
      </c>
      <c r="AA29" s="883" t="str">
        <f>CenAVS!C25</f>
        <v>NI</v>
      </c>
      <c r="AB29" s="665"/>
      <c r="AC29" s="899">
        <f>CenAVS!F25</f>
        <v>9.9110600000000009</v>
      </c>
      <c r="AD29" s="900">
        <f t="shared" si="3"/>
        <v>0</v>
      </c>
      <c r="AE29" s="901"/>
      <c r="AF29" s="902">
        <f t="shared" si="1"/>
        <v>0</v>
      </c>
      <c r="AG29" s="901"/>
      <c r="AH29" s="902">
        <f t="shared" si="2"/>
        <v>0</v>
      </c>
      <c r="AI29" s="170"/>
      <c r="AJ29" s="170"/>
    </row>
    <row r="30" spans="1:43" ht="18.75" customHeight="1" x14ac:dyDescent="0.2">
      <c r="B30" s="586" t="str">
        <f>IF(F22=0," ",IF(F22&gt;1200,"TKH = max. 1200!",IF(F22&lt;480,"TKH = min. 480!",IF(F22&lt;H22,$N$59,IF(H28&gt;0,IF(F22=0," ",IF(AND(F22&gt;0,M28=1), $N$58," "))," ")))))</f>
        <v xml:space="preserve"> </v>
      </c>
      <c r="C30" s="248"/>
      <c r="D30" s="396"/>
      <c r="E30" s="396"/>
      <c r="F30" s="274"/>
      <c r="G30" s="274"/>
      <c r="H30" s="396"/>
      <c r="I30" s="264"/>
      <c r="J30" s="264"/>
      <c r="K30" s="396"/>
      <c r="L30" s="265"/>
      <c r="N30" s="137"/>
      <c r="O30" s="137"/>
      <c r="P30" s="137"/>
      <c r="Q30" s="137"/>
      <c r="Y30" s="898" t="str">
        <f>CenAVS!A26</f>
        <v xml:space="preserve">adapter alu do zawiasu środkowego      </v>
      </c>
      <c r="Z30" s="898" t="str">
        <f>CenAVS!B26</f>
        <v>175H5A00</v>
      </c>
      <c r="AA30" s="883" t="str">
        <f>CenAVS!C26</f>
        <v>NI</v>
      </c>
      <c r="AB30" s="665"/>
      <c r="AC30" s="899">
        <f>CenAVS!F26</f>
        <v>9.9110600000000009</v>
      </c>
      <c r="AD30" s="900">
        <f t="shared" si="3"/>
        <v>0</v>
      </c>
      <c r="AE30" s="901"/>
      <c r="AF30" s="902">
        <f t="shared" si="1"/>
        <v>0</v>
      </c>
      <c r="AG30" s="901"/>
      <c r="AH30" s="902">
        <f t="shared" si="2"/>
        <v>0</v>
      </c>
      <c r="AI30" s="170"/>
      <c r="AJ30" s="170"/>
    </row>
    <row r="31" spans="1:43" ht="13.5" customHeight="1" x14ac:dyDescent="0.2">
      <c r="B31" s="1109" t="str">
        <f>IF(OR(AND($S$9=2, $M$17&gt;0), AND($S$20=2, $M$28&gt;0)), ListAVS!$B$176, " ")</f>
        <v xml:space="preserve"> </v>
      </c>
      <c r="C31" s="1109"/>
      <c r="D31" s="1109"/>
      <c r="E31" s="1109"/>
      <c r="F31" s="1109"/>
      <c r="G31" s="1109"/>
      <c r="H31" s="1109"/>
      <c r="I31" s="1109"/>
      <c r="J31" s="1109"/>
      <c r="K31" s="397"/>
      <c r="L31" s="397"/>
      <c r="O31" s="37"/>
      <c r="Q31" s="37"/>
      <c r="S31" s="337">
        <f>IF($T$31=FALSE,2,1)</f>
        <v>1</v>
      </c>
      <c r="T31" s="1063" t="b">
        <v>1</v>
      </c>
      <c r="U31" s="1064"/>
      <c r="V31" s="139" t="s">
        <v>56</v>
      </c>
      <c r="W31" s="173"/>
      <c r="Y31" s="898"/>
      <c r="Z31" s="898"/>
      <c r="AA31" s="883"/>
      <c r="AB31" s="665"/>
      <c r="AC31" s="899"/>
      <c r="AD31" s="900"/>
      <c r="AE31" s="901"/>
      <c r="AF31" s="902"/>
      <c r="AG31" s="901"/>
      <c r="AH31" s="902"/>
      <c r="AI31" s="170"/>
      <c r="AJ31" s="170"/>
      <c r="AL31" s="693"/>
    </row>
    <row r="32" spans="1:43" ht="13.5" customHeight="1" x14ac:dyDescent="0.2">
      <c r="B32" s="1109"/>
      <c r="C32" s="1109"/>
      <c r="D32" s="1109"/>
      <c r="E32" s="1109"/>
      <c r="F32" s="1109"/>
      <c r="G32" s="1109"/>
      <c r="H32" s="1109"/>
      <c r="I32" s="1109"/>
      <c r="J32" s="1109"/>
      <c r="K32" s="397"/>
      <c r="L32" s="397"/>
      <c r="O32" s="37"/>
      <c r="Q32" s="37"/>
      <c r="Y32" s="898"/>
      <c r="Z32" s="898"/>
      <c r="AA32" s="883"/>
      <c r="AB32" s="665"/>
      <c r="AC32" s="899"/>
      <c r="AD32" s="900"/>
      <c r="AE32" s="901"/>
      <c r="AF32" s="902"/>
      <c r="AG32" s="901"/>
      <c r="AH32" s="902"/>
      <c r="AI32" s="170"/>
      <c r="AJ32" s="170"/>
      <c r="AL32" s="693"/>
    </row>
    <row r="33" spans="2:43" ht="12.75" x14ac:dyDescent="0.2">
      <c r="B33" s="1109"/>
      <c r="C33" s="1109"/>
      <c r="D33" s="1109"/>
      <c r="E33" s="1109"/>
      <c r="F33" s="1109"/>
      <c r="G33" s="1109"/>
      <c r="H33" s="1109"/>
      <c r="I33" s="1109"/>
      <c r="J33" s="1109"/>
      <c r="K33" s="266"/>
      <c r="L33" s="255"/>
      <c r="Y33" s="898" t="str">
        <f>CenAVS!A27</f>
        <v xml:space="preserve">          </v>
      </c>
      <c r="Z33" s="898">
        <f>CenAVS!B27</f>
        <v>0</v>
      </c>
      <c r="AA33" s="883">
        <f>CenAVS!C27</f>
        <v>0</v>
      </c>
      <c r="AB33" s="665"/>
      <c r="AC33" s="899">
        <f>CenAVS!F27</f>
        <v>0</v>
      </c>
      <c r="AD33" s="900">
        <f t="shared" si="3"/>
        <v>0</v>
      </c>
      <c r="AE33" s="901"/>
      <c r="AF33" s="902">
        <f t="shared" si="1"/>
        <v>0</v>
      </c>
      <c r="AG33" s="901"/>
      <c r="AH33" s="902">
        <f t="shared" si="2"/>
        <v>0</v>
      </c>
      <c r="AI33" s="170"/>
      <c r="AJ33" s="170"/>
      <c r="AL33" s="693"/>
    </row>
    <row r="34" spans="2:43" ht="12.75" x14ac:dyDescent="0.2">
      <c r="B34" s="272"/>
      <c r="C34" s="255"/>
      <c r="D34" s="266"/>
      <c r="E34" s="266"/>
      <c r="F34" s="266"/>
      <c r="G34" s="266"/>
      <c r="H34" s="266"/>
      <c r="I34" s="255"/>
      <c r="J34" s="266"/>
      <c r="K34" s="266"/>
      <c r="L34" s="255"/>
      <c r="Y34" s="898"/>
      <c r="Z34" s="898"/>
      <c r="AA34" s="883"/>
      <c r="AB34" s="665"/>
      <c r="AC34" s="899"/>
      <c r="AD34" s="900">
        <f t="shared" si="3"/>
        <v>0</v>
      </c>
      <c r="AE34" s="901"/>
      <c r="AF34" s="902">
        <f t="shared" si="1"/>
        <v>0</v>
      </c>
      <c r="AG34" s="901"/>
      <c r="AH34" s="902">
        <f t="shared" si="2"/>
        <v>0</v>
      </c>
      <c r="AI34" s="170"/>
      <c r="AJ34" s="170"/>
    </row>
    <row r="35" spans="2:43" ht="12.75" x14ac:dyDescent="0.2">
      <c r="B35" s="272"/>
      <c r="C35" s="273"/>
      <c r="D35" s="266"/>
      <c r="E35" s="266"/>
      <c r="F35" s="266"/>
      <c r="G35" s="266"/>
      <c r="H35" s="266"/>
      <c r="I35" s="255"/>
      <c r="J35" s="266"/>
      <c r="K35" s="266"/>
      <c r="L35" s="255"/>
      <c r="N35" s="37" t="str">
        <f>ListAVS!B177</f>
        <v>Cena bez zasilacza!</v>
      </c>
      <c r="Y35" s="898"/>
      <c r="Z35" s="898"/>
      <c r="AA35" s="883"/>
      <c r="AB35" s="665"/>
      <c r="AC35" s="899"/>
      <c r="AD35" s="900">
        <f t="shared" si="3"/>
        <v>0</v>
      </c>
      <c r="AE35" s="903"/>
      <c r="AF35" s="902">
        <f t="shared" si="1"/>
        <v>0</v>
      </c>
      <c r="AG35" s="903"/>
      <c r="AH35" s="902">
        <f t="shared" si="2"/>
        <v>0</v>
      </c>
      <c r="AI35" s="170"/>
      <c r="AJ35" s="170"/>
    </row>
    <row r="36" spans="2:43" ht="12.75" x14ac:dyDescent="0.2">
      <c r="B36" s="272"/>
      <c r="C36" s="255"/>
      <c r="D36" s="266"/>
      <c r="E36" s="266"/>
      <c r="F36" s="266"/>
      <c r="G36" s="266"/>
      <c r="H36" s="266"/>
      <c r="I36" s="255"/>
      <c r="J36" s="266"/>
      <c r="K36" s="266"/>
      <c r="L36" s="255"/>
      <c r="Y36" s="898" t="str">
        <f>CenAVS!A162</f>
        <v xml:space="preserve">prowadnik krzyżakowy mimośród wkręt 8 5mm     </v>
      </c>
      <c r="Z36" s="898" t="str">
        <f>CenAVS!B162</f>
        <v>173H7100</v>
      </c>
      <c r="AA36" s="883" t="str">
        <f>CenAVS!C162</f>
        <v>NI</v>
      </c>
      <c r="AB36" s="665"/>
      <c r="AC36" s="899">
        <f>CenAVS!F162</f>
        <v>1.7393000000000001</v>
      </c>
      <c r="AD36" s="900">
        <f t="shared" si="3"/>
        <v>0</v>
      </c>
      <c r="AE36" s="903"/>
      <c r="AF36" s="902">
        <f t="shared" si="1"/>
        <v>0</v>
      </c>
      <c r="AG36" s="903"/>
      <c r="AH36" s="902">
        <f t="shared" si="2"/>
        <v>0</v>
      </c>
      <c r="AI36" s="170"/>
      <c r="AJ36" s="170"/>
    </row>
    <row r="37" spans="2:43" ht="12.75" x14ac:dyDescent="0.2">
      <c r="B37" s="272"/>
      <c r="C37" s="255" t="str">
        <f>"*  "&amp;ListAVS!$B$184</f>
        <v>*  Jedynie do frontów asymetrycznych: wpisz teoretyczną wysokość TKH</v>
      </c>
      <c r="D37" s="266"/>
      <c r="E37" s="266"/>
      <c r="F37" s="266"/>
      <c r="G37" s="266"/>
      <c r="H37" s="266"/>
      <c r="I37" s="255"/>
      <c r="J37" s="266"/>
      <c r="K37" s="266"/>
      <c r="L37" s="255"/>
      <c r="N37" s="37" t="str">
        <f>" "&amp;ListAVS!$B$116</f>
        <v xml:space="preserve"> Wprowadź wagę lub wypełnij wszystkie komórki</v>
      </c>
      <c r="Y37" s="898" t="str">
        <f>CenAVS!A163</f>
        <v xml:space="preserve">prowadnik krzyżakowy mimośród Expando 8 5mm     </v>
      </c>
      <c r="Z37" s="898" t="str">
        <f>CenAVS!B163</f>
        <v>174H7100E </v>
      </c>
      <c r="AA37" s="883" t="str">
        <f>CenAVS!C163</f>
        <v>NI</v>
      </c>
      <c r="AB37" s="665"/>
      <c r="AC37" s="899">
        <f>CenAVS!F163</f>
        <v>2.1260500000000002</v>
      </c>
      <c r="AD37" s="900">
        <f t="shared" si="3"/>
        <v>0</v>
      </c>
      <c r="AE37" s="903"/>
      <c r="AF37" s="902">
        <f t="shared" si="1"/>
        <v>0</v>
      </c>
      <c r="AG37" s="903"/>
      <c r="AH37" s="902">
        <f t="shared" si="2"/>
        <v>0</v>
      </c>
      <c r="AI37" s="170"/>
      <c r="AJ37" s="170"/>
      <c r="AL37" s="710"/>
    </row>
    <row r="38" spans="2:43" ht="12.75" x14ac:dyDescent="0.2">
      <c r="B38" s="255"/>
      <c r="C38" s="255" t="str">
        <f>" ( "&amp;ListAVS!$B$185&amp;")"</f>
        <v xml:space="preserve"> ( TKH = Wysokość frontu górnego (mm) x 2 + szczeliny)</v>
      </c>
      <c r="D38" s="255"/>
      <c r="E38" s="255"/>
      <c r="F38" s="255"/>
      <c r="G38" s="255"/>
      <c r="H38" s="255"/>
      <c r="I38" s="255"/>
      <c r="J38" s="255"/>
      <c r="K38" s="255"/>
      <c r="L38" s="255"/>
      <c r="N38" s="137"/>
      <c r="Y38" s="898"/>
      <c r="Z38" s="898"/>
      <c r="AA38" s="883"/>
      <c r="AB38" s="665"/>
      <c r="AC38" s="899"/>
      <c r="AD38" s="900"/>
      <c r="AE38" s="903"/>
      <c r="AF38" s="902">
        <f t="shared" si="1"/>
        <v>0</v>
      </c>
      <c r="AG38" s="903"/>
      <c r="AH38" s="902">
        <f t="shared" si="2"/>
        <v>0</v>
      </c>
      <c r="AI38" s="170"/>
      <c r="AJ38" s="170"/>
    </row>
    <row r="39" spans="2:43" ht="12.75" x14ac:dyDescent="0.2">
      <c r="B39" s="255"/>
      <c r="C39" s="255" t="str">
        <f>" "&amp;ListAVS!$B$328&amp;" '"&amp;ListAVS!$B$195&amp;"' "</f>
        <v xml:space="preserve"> Do obliczenia TKH użyj 'Obliczanie frontów asymetrycznych' </v>
      </c>
      <c r="D39" s="255"/>
      <c r="E39" s="255"/>
      <c r="F39" s="255"/>
      <c r="G39" s="255"/>
      <c r="H39" s="255"/>
      <c r="I39" s="255"/>
      <c r="J39" s="255"/>
      <c r="K39" s="255"/>
      <c r="L39" s="255"/>
      <c r="N39" s="37" t="str">
        <f>" "&amp;ListAVS!$B$118</f>
        <v xml:space="preserve"> Wprowadź na górze masę objętościową </v>
      </c>
      <c r="Y39" s="898"/>
      <c r="Z39" s="898"/>
      <c r="AA39" s="883"/>
      <c r="AB39" s="665"/>
      <c r="AC39" s="899"/>
      <c r="AD39" s="900"/>
      <c r="AE39" s="903"/>
      <c r="AF39" s="902"/>
      <c r="AG39" s="903"/>
      <c r="AH39" s="902"/>
      <c r="AI39" s="170"/>
      <c r="AJ39" s="170"/>
    </row>
    <row r="40" spans="2:43" ht="12.75" x14ac:dyDescent="0.2">
      <c r="B40" s="255"/>
      <c r="C40" s="255"/>
      <c r="D40" s="255"/>
      <c r="E40" s="255"/>
      <c r="F40" s="255"/>
      <c r="G40" s="255"/>
      <c r="H40" s="255"/>
      <c r="I40" s="255"/>
      <c r="J40" s="255"/>
      <c r="K40" s="255"/>
      <c r="L40" s="255"/>
      <c r="Y40" s="898"/>
      <c r="Z40" s="898"/>
      <c r="AA40" s="883"/>
      <c r="AB40" s="665"/>
      <c r="AC40" s="899"/>
      <c r="AD40" s="900"/>
      <c r="AE40" s="903"/>
      <c r="AF40" s="902"/>
      <c r="AG40" s="903"/>
      <c r="AH40" s="902"/>
      <c r="AI40" s="170"/>
      <c r="AJ40" s="170"/>
    </row>
    <row r="41" spans="2:43" ht="12.75" x14ac:dyDescent="0.2">
      <c r="B41" s="255"/>
      <c r="C41" s="255" t="str">
        <f>"** "&amp;ListAVS!$B$187</f>
        <v>** Jeżeli znasz wagę i nie chcesz skorzystać z "obliczenie wagi"</v>
      </c>
      <c r="D41" s="255"/>
      <c r="E41" s="255"/>
      <c r="F41" s="255"/>
      <c r="G41" s="255"/>
      <c r="H41" s="255"/>
      <c r="I41" s="255"/>
      <c r="J41" s="255"/>
      <c r="K41" s="255"/>
      <c r="L41" s="255"/>
      <c r="N41" s="37" t="str">
        <f>"◄ "&amp;ListAVS!$B$112</f>
        <v>◄ wartość będzie wykorzystana do obliczenia LF</v>
      </c>
      <c r="Y41" s="898"/>
      <c r="Z41" s="898"/>
      <c r="AA41" s="883"/>
      <c r="AB41" s="665"/>
      <c r="AC41" s="899"/>
      <c r="AD41" s="900"/>
      <c r="AE41" s="903"/>
      <c r="AF41" s="902"/>
      <c r="AG41" s="903"/>
      <c r="AH41" s="902"/>
      <c r="AI41" s="170"/>
      <c r="AJ41" s="170"/>
    </row>
    <row r="42" spans="2:43" ht="12.75" x14ac:dyDescent="0.2">
      <c r="B42" s="266"/>
      <c r="C42" s="273" t="str">
        <f>"*** "&amp;ListAVS!$B$403</f>
        <v>*** Wybierz rodzaj ramki aluminiowej!</v>
      </c>
      <c r="D42" s="255"/>
      <c r="E42" s="255"/>
      <c r="F42" s="255"/>
      <c r="G42" s="255"/>
      <c r="H42" s="255"/>
      <c r="I42" s="255"/>
      <c r="J42" s="255"/>
      <c r="K42" s="255"/>
      <c r="L42" s="255"/>
      <c r="N42" s="37" t="str">
        <f>" * "&amp;ListAVS!$B$128</f>
        <v xml:space="preserve"> * Wypełnij wartości</v>
      </c>
      <c r="Y42" s="898" t="str">
        <f>CenAVS!A166</f>
        <v xml:space="preserve">prowadnik prosty wkręt 8 5mm stal     </v>
      </c>
      <c r="Z42" s="898" t="str">
        <f>CenAVS!B166</f>
        <v>175H3100</v>
      </c>
      <c r="AA42" s="883" t="str">
        <f>CenAVS!C166</f>
        <v>NI</v>
      </c>
      <c r="AB42" s="665">
        <f>SUM(AE42,AG42)</f>
        <v>0</v>
      </c>
      <c r="AC42" s="899">
        <f>CenAVS!F166</f>
        <v>1.65564</v>
      </c>
      <c r="AD42" s="900">
        <f t="shared" si="3"/>
        <v>0</v>
      </c>
      <c r="AE42" s="903">
        <f>IF($R$48=2, SUM($U$11*$M$17, $U12*$M17, $W$12*$M$17), 0)+SUM($Q10*2, $Q11*2, $Q12*2)*$M$17</f>
        <v>0</v>
      </c>
      <c r="AF42" s="902">
        <f>$AC42*AE42</f>
        <v>0</v>
      </c>
      <c r="AG42" s="903">
        <f>IF($R$48=2, SUM($U$22*$M$28, $U23*$M28, $W$23*$M$28), 0)+SUM($Q21*2, $Q22*2, $Q23*2)*$M$28</f>
        <v>0</v>
      </c>
      <c r="AH42" s="902">
        <f>$AC42*AG42</f>
        <v>0</v>
      </c>
      <c r="AI42" s="170"/>
      <c r="AJ42" s="170"/>
    </row>
    <row r="43" spans="2:43" ht="12.75" x14ac:dyDescent="0.2">
      <c r="B43" s="255"/>
      <c r="C43" s="670" t="str">
        <f>"      "&amp;ListAVS!$B$404</f>
        <v xml:space="preserve">      Więcej informacji o wyborze ramki aluminiowej w Pomocy</v>
      </c>
      <c r="D43" s="399"/>
      <c r="E43" s="399"/>
      <c r="F43" s="399"/>
      <c r="G43" s="399"/>
      <c r="H43" s="255"/>
      <c r="I43" s="255"/>
      <c r="J43" s="255"/>
      <c r="K43" s="255"/>
      <c r="L43" s="255"/>
      <c r="Y43" s="898" t="str">
        <f>CenAVS!A167</f>
        <v xml:space="preserve">prowadnik prosty Expando 8 5mm stal     </v>
      </c>
      <c r="Z43" s="898" t="str">
        <f>CenAVS!B167</f>
        <v>177H3100E </v>
      </c>
      <c r="AA43" s="883" t="str">
        <f>CenAVS!C167</f>
        <v>NI</v>
      </c>
      <c r="AB43" s="665">
        <f>SUM(AE43,AG43)</f>
        <v>0</v>
      </c>
      <c r="AC43" s="899">
        <f>CenAVS!F167</f>
        <v>1.8724499999999999</v>
      </c>
      <c r="AD43" s="900">
        <f t="shared" si="3"/>
        <v>0</v>
      </c>
      <c r="AE43" s="903">
        <f>IF($R$48=1, SUM($U$11*$M$17, $U$12*$M$17, $W$12*$M$17), 0)</f>
        <v>0</v>
      </c>
      <c r="AF43" s="902">
        <f>$AC43*AE45</f>
        <v>0</v>
      </c>
      <c r="AG43" s="903">
        <f>IF($R$48=1, SUM($U$22*$M$28, $U$23*$M$28, $W$23*$M$28), 0)</f>
        <v>0</v>
      </c>
      <c r="AH43" s="902">
        <f>$AC43*AG43</f>
        <v>0</v>
      </c>
      <c r="AI43" s="170"/>
      <c r="AJ43" s="170"/>
      <c r="AN43" s="37"/>
      <c r="AO43" s="37"/>
      <c r="AP43" s="37"/>
      <c r="AQ43" s="37"/>
    </row>
    <row r="44" spans="2:43" s="37" customFormat="1" ht="12.75" x14ac:dyDescent="0.2">
      <c r="B44" s="274"/>
      <c r="C44" s="255"/>
      <c r="D44" s="255"/>
      <c r="E44" s="255"/>
      <c r="F44" s="255"/>
      <c r="G44" s="255"/>
      <c r="H44" s="255"/>
      <c r="I44" s="255"/>
      <c r="J44" s="398"/>
      <c r="K44" s="398"/>
      <c r="L44" s="255"/>
      <c r="N44" s="37" t="str">
        <f>" max. 19.300! "&amp;ListAVS!$B$122</f>
        <v xml:space="preserve"> max. 19.300! Popraw wagę albo wysokość</v>
      </c>
      <c r="T44" s="37" t="str">
        <f>" min. "&amp;$AB$50&amp;"! "&amp;ListAVS!$B$122</f>
        <v xml:space="preserve"> min. 2700! Popraw wagę albo wysokość</v>
      </c>
      <c r="X44" s="108"/>
      <c r="Y44" s="898">
        <f>CenAVS!A169</f>
        <v>0</v>
      </c>
      <c r="Z44" s="898">
        <f>CenAVS!B169</f>
        <v>0</v>
      </c>
      <c r="AA44" s="883">
        <f>CenAVS!C169</f>
        <v>0</v>
      </c>
      <c r="AB44" s="665"/>
      <c r="AC44" s="899">
        <f>CenAVS!F169</f>
        <v>0</v>
      </c>
      <c r="AD44" s="900">
        <f t="shared" si="3"/>
        <v>0</v>
      </c>
      <c r="AE44" s="903"/>
      <c r="AF44" s="902">
        <f>$AC44*AE44</f>
        <v>0</v>
      </c>
      <c r="AG44" s="903"/>
      <c r="AH44" s="902">
        <f>$AC44*AG44</f>
        <v>0</v>
      </c>
      <c r="AI44" s="170"/>
      <c r="AJ44" s="170"/>
      <c r="AK44" s="108"/>
      <c r="AL44" s="108"/>
      <c r="AM44" s="137"/>
    </row>
    <row r="45" spans="2:43" s="37" customFormat="1" x14ac:dyDescent="0.2">
      <c r="N45" s="37" t="str">
        <f>" "&amp;ListAVS!$B$120</f>
        <v xml:space="preserve"> Dodatkowy trzeci siłownik</v>
      </c>
      <c r="O45" s="118"/>
      <c r="Q45" s="118"/>
      <c r="U45" s="37" t="str">
        <f>" "&amp;ListAVS!B127</f>
        <v xml:space="preserve"> Użyj tylko jeden podnośnik</v>
      </c>
      <c r="X45" s="108"/>
      <c r="Y45" s="898" t="str">
        <f>CenAVS!A171</f>
        <v xml:space="preserve">Aventos HF/HL/HS - Top Servo-Drive      </v>
      </c>
      <c r="Z45" s="898" t="str">
        <f>CenAVS!B171</f>
        <v>23.A000</v>
      </c>
      <c r="AA45" s="883" t="str">
        <f>CenAVS!C171</f>
        <v>R7037</v>
      </c>
      <c r="AB45" s="665">
        <f>SUM(AE45,AG45)</f>
        <v>0</v>
      </c>
      <c r="AC45" s="899">
        <f>CenAVS!F171</f>
        <v>905.30219999999997</v>
      </c>
      <c r="AD45" s="900">
        <f t="shared" si="3"/>
        <v>0</v>
      </c>
      <c r="AE45" s="903">
        <f>IF($S$9=1, 0, $M$17)+IF(AND($S$9=2, $H$16&gt;$AB$52), $M$17, 0)</f>
        <v>0</v>
      </c>
      <c r="AF45" s="902">
        <f>$AC45*AE45</f>
        <v>0</v>
      </c>
      <c r="AG45" s="903">
        <f>IF($S$20=1, 0, $M$28)+IF(AND($S$20=2, $H$27&gt;$AB$52), $M$28, 0)</f>
        <v>0</v>
      </c>
      <c r="AH45" s="902">
        <f>$AC45*AG45</f>
        <v>0</v>
      </c>
      <c r="AI45" s="170"/>
      <c r="AJ45" s="170"/>
      <c r="AK45" s="108"/>
      <c r="AL45" s="108"/>
    </row>
    <row r="46" spans="2:43" s="37" customFormat="1" x14ac:dyDescent="0.2">
      <c r="N46" s="37" t="str">
        <f>ListAVS!$B$182</f>
        <v>Dodatkowy trzeci siłownik można zastosować jedynie z pełnym frontem dolnym!</v>
      </c>
      <c r="O46" s="118"/>
      <c r="Q46" s="118"/>
      <c r="X46" s="108"/>
      <c r="AG46" s="118"/>
      <c r="AI46" s="170"/>
      <c r="AJ46" s="170"/>
      <c r="AK46" s="108"/>
      <c r="AL46" s="108"/>
      <c r="AN46" s="137"/>
      <c r="AO46" s="137"/>
      <c r="AP46" s="137"/>
      <c r="AQ46" s="137"/>
    </row>
    <row r="47" spans="2:43" x14ac:dyDescent="0.2">
      <c r="B47" s="144"/>
      <c r="Y47" s="37"/>
      <c r="Z47" s="37"/>
      <c r="AA47" s="37"/>
      <c r="AB47" s="37"/>
      <c r="AC47" s="144" t="str">
        <f>ListAVS!$B$61&amp;" "</f>
        <v xml:space="preserve">Cena całkowita bez VAT </v>
      </c>
      <c r="AD47" s="171">
        <f>SUM(AD9:AD45)</f>
        <v>0</v>
      </c>
      <c r="AE47" s="37"/>
      <c r="AF47" s="37">
        <f>SUM(AF9:AF46)</f>
        <v>0</v>
      </c>
      <c r="AG47" s="37"/>
      <c r="AH47" s="37">
        <f>SUM(AH9:AH46)</f>
        <v>0</v>
      </c>
      <c r="AI47" s="170"/>
      <c r="AJ47" s="170"/>
      <c r="AM47" s="37"/>
    </row>
    <row r="48" spans="2:43" x14ac:dyDescent="0.2">
      <c r="N48" s="138">
        <f>HF!$L$33</f>
        <v>1</v>
      </c>
      <c r="O48" s="298">
        <v>2</v>
      </c>
      <c r="P48" s="939">
        <v>2</v>
      </c>
      <c r="Q48" s="298">
        <v>2</v>
      </c>
      <c r="R48" s="117">
        <f>HF!$P$33</f>
        <v>1</v>
      </c>
      <c r="S48" s="194"/>
      <c r="T48" s="117">
        <f>MenuAVS!$P$28</f>
        <v>1</v>
      </c>
      <c r="Y48" s="897">
        <f>HF!$R$33</f>
        <v>1</v>
      </c>
      <c r="Z48" s="108" t="str">
        <f>Param!M10</f>
        <v>Parametry HF</v>
      </c>
      <c r="AI48" s="170"/>
      <c r="AJ48" s="170"/>
    </row>
    <row r="49" spans="2:43" x14ac:dyDescent="0.2">
      <c r="B49" s="316"/>
      <c r="C49" s="317"/>
      <c r="D49" s="317"/>
      <c r="E49" s="317"/>
      <c r="F49" s="317"/>
      <c r="G49" s="317"/>
      <c r="I49" s="317"/>
      <c r="J49" s="317"/>
      <c r="N49" s="153" t="s">
        <v>7</v>
      </c>
      <c r="O49" s="39" t="s">
        <v>67</v>
      </c>
      <c r="P49" s="153" t="s">
        <v>8</v>
      </c>
      <c r="Q49" s="39" t="s">
        <v>67</v>
      </c>
      <c r="R49" s="153" t="s">
        <v>9</v>
      </c>
      <c r="T49" s="153" t="s">
        <v>6</v>
      </c>
      <c r="W49" s="154" t="s">
        <v>57</v>
      </c>
      <c r="Y49" s="896" t="s">
        <v>676</v>
      </c>
      <c r="Z49" s="108" t="str">
        <f>Param!M11</f>
        <v>Zdvihač</v>
      </c>
      <c r="AA49" s="108" t="str">
        <f>Param!N11</f>
        <v>ks</v>
      </c>
      <c r="AB49" s="108" t="str">
        <f>Param!O11</f>
        <v>min</v>
      </c>
      <c r="AC49" s="108" t="str">
        <f>Param!P11</f>
        <v>max</v>
      </c>
      <c r="AD49" s="108" t="str">
        <f>Param!Q11</f>
        <v>alu max.</v>
      </c>
      <c r="AI49" s="37"/>
      <c r="AJ49" s="37"/>
    </row>
    <row r="50" spans="2:43" x14ac:dyDescent="0.2">
      <c r="B50" s="317"/>
      <c r="C50" s="317"/>
      <c r="D50" s="317"/>
      <c r="E50" s="317"/>
      <c r="F50" s="317"/>
      <c r="G50" s="317"/>
      <c r="I50" s="317"/>
      <c r="J50" s="317"/>
      <c r="N50" s="37" t="str">
        <f>ListAVS!$B$134</f>
        <v>Expando</v>
      </c>
      <c r="P50" s="37" t="str">
        <f>ListAVS!$B$134</f>
        <v>Expando</v>
      </c>
      <c r="R50" s="37" t="str">
        <f>ListAVS!$B$134</f>
        <v>Expando</v>
      </c>
      <c r="T50" s="37" t="str">
        <f>ListAVS!$B$146</f>
        <v>Jasnoszary (HGR)</v>
      </c>
      <c r="W50" s="149" t="s">
        <v>58</v>
      </c>
      <c r="Y50" s="108" t="s">
        <v>105</v>
      </c>
      <c r="Z50" s="108" t="str">
        <f>Param!M12</f>
        <v>22F2500</v>
      </c>
      <c r="AA50" s="108">
        <f>Param!N12</f>
        <v>1</v>
      </c>
      <c r="AB50" s="108">
        <f>Param!O12</f>
        <v>2700</v>
      </c>
      <c r="AC50" s="108">
        <f>Param!P12</f>
        <v>11500</v>
      </c>
      <c r="AI50" s="37"/>
      <c r="AJ50" s="37"/>
    </row>
    <row r="51" spans="2:43" x14ac:dyDescent="0.2">
      <c r="B51" s="316"/>
      <c r="C51" s="317"/>
      <c r="D51" s="317"/>
      <c r="E51" s="317"/>
      <c r="F51" s="317"/>
      <c r="G51" s="317"/>
      <c r="I51" s="317"/>
      <c r="J51" s="317"/>
      <c r="N51" s="37" t="str">
        <f>ListAVS!$B$135</f>
        <v>na wkręty</v>
      </c>
      <c r="P51" s="37" t="str">
        <f>ListAVS!$B$135</f>
        <v>na wkręty</v>
      </c>
      <c r="R51" s="37" t="str">
        <f>ListAVS!$B$135</f>
        <v>na wkręty</v>
      </c>
      <c r="T51" s="37" t="str">
        <f>ListAVS!$B$148</f>
        <v>Jedwabiście biały (SW)</v>
      </c>
      <c r="W51" s="149" t="s">
        <v>59</v>
      </c>
      <c r="Y51" s="108" t="s">
        <v>678</v>
      </c>
      <c r="Z51" s="108" t="str">
        <f>Param!M13</f>
        <v>22F2800</v>
      </c>
      <c r="AA51" s="108">
        <f>Param!N13</f>
        <v>1</v>
      </c>
      <c r="AB51" s="108">
        <f>Param!O13</f>
        <v>11500</v>
      </c>
      <c r="AC51" s="108">
        <f>Param!P13</f>
        <v>19300</v>
      </c>
      <c r="AD51" s="108">
        <f>Param!Q13</f>
        <v>19300</v>
      </c>
      <c r="AI51" s="37"/>
      <c r="AJ51" s="37"/>
    </row>
    <row r="52" spans="2:43" x14ac:dyDescent="0.2">
      <c r="B52" s="144"/>
      <c r="C52" s="317"/>
      <c r="T52" s="37">
        <f>ListAVS!$B$149</f>
        <v>0</v>
      </c>
      <c r="Z52" s="108" t="str">
        <f>Param!M14</f>
        <v>22F2800</v>
      </c>
      <c r="AA52" s="108">
        <f>Param!N14</f>
        <v>1.5</v>
      </c>
      <c r="AB52" s="108">
        <f>Param!O14</f>
        <v>19300</v>
      </c>
      <c r="AC52" s="108">
        <f>Param!P14</f>
        <v>28950</v>
      </c>
      <c r="AD52" s="108">
        <f>Param!Q14</f>
        <v>0</v>
      </c>
    </row>
    <row r="53" spans="2:43" x14ac:dyDescent="0.2">
      <c r="B53" s="144"/>
      <c r="N53" s="37" t="str">
        <f>ListAVS!B188</f>
        <v>W celu określenia rodzaju siłownika będzie wykorzystana podana waga</v>
      </c>
      <c r="Z53" s="108" t="str">
        <f>Param!M17</f>
        <v>Teleskop</v>
      </c>
      <c r="AB53" s="108" t="str">
        <f>Param!O17</f>
        <v>min</v>
      </c>
      <c r="AC53" s="108" t="str">
        <f>Param!P17</f>
        <v>max</v>
      </c>
      <c r="AD53" s="108">
        <f>Param!Q17</f>
        <v>0</v>
      </c>
    </row>
    <row r="54" spans="2:43" x14ac:dyDescent="0.2">
      <c r="B54" s="155"/>
      <c r="D54" s="155"/>
      <c r="E54" s="155"/>
      <c r="F54" s="155"/>
      <c r="G54" s="155"/>
      <c r="I54" s="155"/>
      <c r="J54" s="155"/>
      <c r="N54" s="37" t="str">
        <f>ListAVS!B189</f>
        <v>W celu określenia rodzaju siłownika będzie wykorzystana obliczona waga</v>
      </c>
      <c r="Z54" s="108" t="str">
        <f>Param!M18</f>
        <v>20F3200</v>
      </c>
      <c r="AA54" s="108">
        <f>Param!N18</f>
        <v>0</v>
      </c>
      <c r="AB54" s="108">
        <f>Param!O18</f>
        <v>480</v>
      </c>
      <c r="AC54" s="108">
        <f>Param!P18</f>
        <v>605</v>
      </c>
      <c r="AD54" s="108">
        <f>Param!Q18</f>
        <v>0</v>
      </c>
    </row>
    <row r="55" spans="2:43" x14ac:dyDescent="0.2">
      <c r="N55" s="37" t="str">
        <f>". "&amp;ListAVS!$B$190</f>
        <v>. Jeżeli chcesz wykorzystać obliczoną wagę, zmaż podaną wartość</v>
      </c>
      <c r="Z55" s="108" t="str">
        <f>Param!M19</f>
        <v>20F3500</v>
      </c>
      <c r="AA55" s="108">
        <f>Param!N19</f>
        <v>0</v>
      </c>
      <c r="AB55" s="108">
        <f>Param!O19</f>
        <v>605</v>
      </c>
      <c r="AC55" s="108">
        <f>Param!P19</f>
        <v>890</v>
      </c>
      <c r="AD55" s="108">
        <f>Param!Q19</f>
        <v>0</v>
      </c>
      <c r="AP55" s="37"/>
      <c r="AQ55" s="37"/>
    </row>
    <row r="56" spans="2:43" s="37" customFormat="1" x14ac:dyDescent="0.2">
      <c r="N56" s="37" t="str">
        <f>". "&amp;ListAVS!$B$191</f>
        <v>. Jeżeli chcesz wykorzystać podaną wagą, wpisz ją w pole</v>
      </c>
      <c r="X56" s="108"/>
      <c r="Y56" s="108"/>
      <c r="Z56" s="108" t="str">
        <f>Param!M20</f>
        <v>20F3900</v>
      </c>
      <c r="AA56" s="108">
        <f>Param!N20</f>
        <v>0</v>
      </c>
      <c r="AB56" s="108">
        <f>Param!O20</f>
        <v>890</v>
      </c>
      <c r="AC56" s="108">
        <f>Param!P20</f>
        <v>1200</v>
      </c>
      <c r="AD56" s="108">
        <f>Param!Q20</f>
        <v>0</v>
      </c>
      <c r="AE56" s="108"/>
      <c r="AF56" s="108"/>
      <c r="AG56" s="108"/>
      <c r="AH56" s="108"/>
      <c r="AI56" s="108"/>
      <c r="AJ56" s="108"/>
      <c r="AK56" s="108"/>
      <c r="AL56" s="108"/>
      <c r="AM56" s="137"/>
      <c r="AN56" s="137"/>
      <c r="AO56" s="137"/>
    </row>
    <row r="57" spans="2:43" s="37" customFormat="1" x14ac:dyDescent="0.2">
      <c r="N57" s="37">
        <f>ListAVS!B192</f>
        <v>0</v>
      </c>
      <c r="X57" s="108"/>
      <c r="Y57" s="108"/>
      <c r="Z57" s="108"/>
      <c r="AA57" s="108"/>
      <c r="AB57" s="108" t="str">
        <f>Param!O21</f>
        <v>max.</v>
      </c>
      <c r="AC57" s="108">
        <f>Param!P21</f>
        <v>1200</v>
      </c>
      <c r="AD57" s="108">
        <f>Param!Q21</f>
        <v>0</v>
      </c>
      <c r="AE57" s="108"/>
      <c r="AF57" s="108"/>
      <c r="AG57" s="108"/>
      <c r="AH57" s="108"/>
      <c r="AI57" s="108"/>
      <c r="AJ57" s="108"/>
      <c r="AK57" s="108"/>
      <c r="AL57" s="108"/>
      <c r="AM57" s="137"/>
      <c r="AN57" s="137"/>
      <c r="AO57" s="137"/>
      <c r="AP57" s="137"/>
      <c r="AQ57" s="137"/>
    </row>
    <row r="58" spans="2:43" x14ac:dyDescent="0.2">
      <c r="N58" s="37" t="str">
        <f>ListAVS!B193</f>
        <v>Do wyboru podnośnika teleskopowego zostanie wykorzystana teoretyczna wysokość TKH</v>
      </c>
    </row>
    <row r="59" spans="2:43" x14ac:dyDescent="0.2">
      <c r="N59" s="37" t="str">
        <f>ListAVS!B194</f>
        <v xml:space="preserve">Wysokość teoretyczna TKH nie może być mniejsza niż KH </v>
      </c>
    </row>
    <row r="65" spans="1:43" x14ac:dyDescent="0.2">
      <c r="P65" s="149"/>
    </row>
    <row r="70" spans="1:43" x14ac:dyDescent="0.2">
      <c r="N70" s="172" t="str">
        <f>ListAVS!$B$73</f>
        <v>Obliczanie wagi frontów</v>
      </c>
      <c r="O70" s="173"/>
      <c r="P70" s="173"/>
      <c r="Q70" s="173"/>
      <c r="R70" s="173"/>
      <c r="X70" s="37"/>
      <c r="Y70" s="37"/>
      <c r="Z70" s="118"/>
      <c r="AA70" s="37"/>
      <c r="AB70" s="118"/>
      <c r="AC70" s="37"/>
      <c r="AD70" s="37"/>
      <c r="AE70" s="37"/>
      <c r="AF70" s="37"/>
      <c r="AG70" s="37"/>
      <c r="AH70" s="37"/>
    </row>
    <row r="71" spans="1:43" ht="15.75" customHeight="1" x14ac:dyDescent="0.2">
      <c r="O71" s="174" t="str">
        <f>ListAVS!$B$35&amp;"  "</f>
        <v xml:space="preserve">front górny  </v>
      </c>
      <c r="Q71" s="37"/>
      <c r="T71" s="300">
        <f>J4</f>
        <v>0</v>
      </c>
      <c r="U71" s="175" t="str">
        <f>IF(Z78=3,IF(T71=0,Y74," "),IF(T71&gt;0,Y75," "))</f>
        <v xml:space="preserve"> </v>
      </c>
      <c r="X71" s="37"/>
      <c r="Y71" s="149" t="str">
        <f>IF($Z$78=1,$Z$79,IF($Z$78=2,$Z$80,$Z$81&amp;" "&amp;$Y$81&amp;"kg/m3"))&amp;" A~"&amp;$T$79&amp;"/ B~"&amp;$T$88&amp;"mm"</f>
        <v>MDF (760 kg/m3) A~0/ B~0mm</v>
      </c>
      <c r="Z71" s="118"/>
      <c r="AA71" s="37"/>
      <c r="AB71" s="118"/>
      <c r="AC71" s="37"/>
      <c r="AD71" s="209">
        <f>MenuAVS!$Q$81</f>
        <v>2500</v>
      </c>
      <c r="AE71" s="37"/>
      <c r="AF71" s="37"/>
      <c r="AG71" s="37"/>
      <c r="AH71" s="37"/>
    </row>
    <row r="72" spans="1:43" ht="13.5" customHeight="1" x14ac:dyDescent="0.2">
      <c r="O72" s="174"/>
      <c r="P72" s="1098" t="str">
        <f>IF($Z$78&lt;&gt;3,$Y$73," ")&amp;"      "</f>
        <v xml:space="preserve"> Możesz zmienić wartości we Wstępie do planowania      </v>
      </c>
      <c r="Q72" s="1098"/>
      <c r="R72" s="1098"/>
      <c r="S72" s="1098"/>
      <c r="T72" s="1098"/>
      <c r="U72" s="175"/>
      <c r="X72" s="37"/>
      <c r="Y72" s="175" t="str">
        <f>IF($AF$77=1,$AF$94,IF($AF$77=2,$AF$95,$AF$96&amp;" -  "&amp;$T$73&amp;"mm"))</f>
        <v>Ramki aluminiowe z 4mm szkłem</v>
      </c>
      <c r="Z72" s="118"/>
      <c r="AA72" s="37"/>
      <c r="AB72" s="118"/>
      <c r="AC72" s="37"/>
      <c r="AD72" s="37"/>
      <c r="AE72" s="37"/>
      <c r="AF72" s="37"/>
      <c r="AG72" s="37"/>
      <c r="AH72" s="37"/>
    </row>
    <row r="73" spans="1:43" ht="15.75" customHeight="1" x14ac:dyDescent="0.2">
      <c r="O73" s="174" t="str">
        <f>ListAVS!$B$36&amp;"  "</f>
        <v xml:space="preserve">front dolny  </v>
      </c>
      <c r="Q73" s="37"/>
      <c r="T73" s="300">
        <f>J5</f>
        <v>0</v>
      </c>
      <c r="U73" s="175" t="str">
        <f>IF(AF77=3,IF(T73=0,AE74," "),IF(T73&gt;0,AE75," "))</f>
        <v xml:space="preserve"> </v>
      </c>
      <c r="X73" s="37"/>
      <c r="Y73" s="37" t="str">
        <f>" "&amp;ListAVS!$B$410</f>
        <v xml:space="preserve"> Możesz zmienić wartości we Wstępie do planowania</v>
      </c>
      <c r="Z73" s="118"/>
      <c r="AA73" s="37"/>
      <c r="AB73" s="118"/>
      <c r="AC73" s="37"/>
      <c r="AD73" s="37"/>
      <c r="AE73" s="37"/>
      <c r="AF73" s="37"/>
      <c r="AG73" s="37"/>
      <c r="AH73" s="37"/>
    </row>
    <row r="74" spans="1:43" x14ac:dyDescent="0.2">
      <c r="N74" s="137"/>
      <c r="O74" s="37"/>
      <c r="Q74" s="37"/>
      <c r="X74" s="37"/>
      <c r="Y74" s="37" t="str">
        <f>" "&amp;ListAVS!$B$245&amp;" [kg/m3]"</f>
        <v xml:space="preserve"> Podaj masę objętościową [kg/m3]</v>
      </c>
      <c r="Z74" s="118"/>
      <c r="AA74" s="37"/>
      <c r="AB74" s="118"/>
      <c r="AC74" s="37"/>
      <c r="AD74" s="37"/>
      <c r="AE74" s="37" t="str">
        <f>" "&amp;ListAVS!$B$246&amp;" [mm]"</f>
        <v xml:space="preserve"> Podaj grubość szkła [mm]</v>
      </c>
      <c r="AF74" s="37"/>
      <c r="AG74" s="37"/>
      <c r="AH74" s="37"/>
    </row>
    <row r="75" spans="1:43" x14ac:dyDescent="0.2">
      <c r="O75" s="37"/>
      <c r="Q75" s="37"/>
      <c r="X75" s="37"/>
      <c r="Y75" s="37" t="str">
        <f>" "&amp;ListAVS!$B$241&amp;" '"&amp;ListAVS!$B$92&amp;"'"</f>
        <v xml:space="preserve"> Wartość obowiązuje tylko dla opcji 'Inne – wybrana gęstość materiału'</v>
      </c>
      <c r="Z75" s="118"/>
      <c r="AA75" s="37"/>
      <c r="AB75" s="118"/>
      <c r="AC75" s="37"/>
      <c r="AD75" s="37"/>
      <c r="AE75" s="37" t="str">
        <f>" "&amp;ListAVS!$B$241&amp;" '"&amp;ListAVS!$B$95&amp;"'"</f>
        <v xml:space="preserve"> Wartość obowiązuje tylko dla opcji 'Ramki aluminiowe z innym szkłem'</v>
      </c>
      <c r="AF75" s="37"/>
      <c r="AG75" s="37"/>
      <c r="AH75" s="37"/>
    </row>
    <row r="76" spans="1:43" ht="15.75" customHeight="1" x14ac:dyDescent="0.2">
      <c r="N76" s="1099"/>
      <c r="O76" s="1099"/>
      <c r="P76" s="1099"/>
      <c r="Q76" s="1100"/>
      <c r="R76" s="1082" t="str">
        <f>D9</f>
        <v xml:space="preserve"> </v>
      </c>
      <c r="S76" s="1083"/>
      <c r="T76" s="1084"/>
      <c r="X76" s="37"/>
      <c r="Y76" s="37"/>
      <c r="Z76" s="118"/>
      <c r="AA76" s="37"/>
      <c r="AB76" s="118"/>
      <c r="AC76" s="37"/>
      <c r="AD76" s="209"/>
      <c r="AE76" s="601" t="s">
        <v>68</v>
      </c>
      <c r="AF76" s="601" t="s">
        <v>69</v>
      </c>
      <c r="AG76" s="601" t="s">
        <v>70</v>
      </c>
      <c r="AH76" s="37"/>
      <c r="AP76" s="118"/>
      <c r="AQ76" s="118"/>
    </row>
    <row r="77" spans="1:43" s="118" customFormat="1" ht="13.5" customHeight="1" x14ac:dyDescent="0.2">
      <c r="A77" s="37"/>
      <c r="N77" s="1125" t="str">
        <f>ListAVS!$B$74&amp;" KB [mm]       "</f>
        <v xml:space="preserve">Szerokość korpusu KB [mm]       </v>
      </c>
      <c r="O77" s="1126"/>
      <c r="P77" s="1126"/>
      <c r="Q77" s="1126"/>
      <c r="R77" s="1126"/>
      <c r="S77" s="1127"/>
      <c r="T77" s="300">
        <f>H10</f>
        <v>0</v>
      </c>
      <c r="U77" s="108"/>
      <c r="W77" s="37"/>
      <c r="X77" s="37"/>
      <c r="Y77" s="37">
        <f>T77*T78*T79/2</f>
        <v>0</v>
      </c>
      <c r="Z77" s="37"/>
      <c r="AA77" s="37"/>
      <c r="AC77" s="37"/>
      <c r="AD77" s="325">
        <f>IF($AG$77=1,$X$94,$X$95)</f>
        <v>0.62</v>
      </c>
      <c r="AE77" s="339">
        <f>$X$96</f>
        <v>0.61</v>
      </c>
      <c r="AF77" s="327">
        <v>1</v>
      </c>
      <c r="AG77" s="328">
        <f>$O$4</f>
        <v>1</v>
      </c>
      <c r="AH77" s="37"/>
      <c r="AJ77" s="108"/>
      <c r="AK77" s="108"/>
      <c r="AL77" s="108"/>
      <c r="AM77" s="137"/>
      <c r="AN77" s="137"/>
      <c r="AO77" s="137"/>
    </row>
    <row r="78" spans="1:43" s="118" customFormat="1" ht="13.5" customHeight="1" x14ac:dyDescent="0.2">
      <c r="A78" s="37"/>
      <c r="N78" s="1125" t="str">
        <f>ListAVS!$B$75&amp;" KH [mm]       "</f>
        <v xml:space="preserve">Wysokość korpusu KH [mm]       </v>
      </c>
      <c r="O78" s="1126"/>
      <c r="P78" s="1126"/>
      <c r="Q78" s="1126"/>
      <c r="R78" s="1126"/>
      <c r="S78" s="1127"/>
      <c r="T78" s="300">
        <f>H11</f>
        <v>0</v>
      </c>
      <c r="U78" s="108"/>
      <c r="W78" s="37"/>
      <c r="X78" s="37"/>
      <c r="Y78" s="37">
        <f>Y77/1000000000</f>
        <v>0</v>
      </c>
      <c r="Z78" s="117">
        <v>1</v>
      </c>
      <c r="AC78" s="37"/>
      <c r="AD78" s="153" t="s">
        <v>71</v>
      </c>
      <c r="AE78" s="329">
        <f>SUM(T77*2,(T78/2-90)*2)*AD77/1000</f>
        <v>-0.11159999999999999</v>
      </c>
      <c r="AF78" s="601" t="s">
        <v>72</v>
      </c>
      <c r="AG78" s="601"/>
      <c r="AH78" s="37"/>
      <c r="AJ78" s="108"/>
      <c r="AK78" s="108"/>
      <c r="AL78" s="108"/>
      <c r="AM78" s="137"/>
      <c r="AN78" s="137"/>
      <c r="AO78" s="137"/>
    </row>
    <row r="79" spans="1:43" s="118" customFormat="1" ht="13.5" customHeight="1" x14ac:dyDescent="0.2">
      <c r="A79" s="37"/>
      <c r="N79" s="1122" t="str">
        <f>ListAVS!$B$80&amp;" TS [mm] "</f>
        <v xml:space="preserve">Grubość frontu TS [mm] </v>
      </c>
      <c r="O79" s="1123"/>
      <c r="P79" s="1123"/>
      <c r="Q79" s="1123"/>
      <c r="R79" s="1123"/>
      <c r="S79" s="1124"/>
      <c r="T79" s="300">
        <f>H13</f>
        <v>0</v>
      </c>
      <c r="U79" s="130" t="str">
        <f>IF(SUM(T77,T78)=0," ",IF(T79=0," ● "&amp;ListAVS!$B$129," "))</f>
        <v xml:space="preserve"> </v>
      </c>
      <c r="W79" s="37"/>
      <c r="X79" s="37"/>
      <c r="Y79" s="319">
        <f>MenuAVS!$C$31</f>
        <v>760</v>
      </c>
      <c r="Z79" s="175" t="str">
        <f>ListAVS!$B$90&amp;" ("&amp;Y79&amp;" kg/m3)"</f>
        <v>MDF (760 kg/m3)</v>
      </c>
      <c r="AC79" s="37"/>
      <c r="AD79" s="209">
        <f>$AD$71*4/1000</f>
        <v>10</v>
      </c>
      <c r="AE79" s="330">
        <f>IF($AG$77=1,AF79*AD79,AG79*AD79)</f>
        <v>6.4000000000000001E-2</v>
      </c>
      <c r="AF79" s="329">
        <f>SUM(($T$77-80)*($T$78/2-80)/1000000)</f>
        <v>6.4000000000000003E-3</v>
      </c>
      <c r="AG79" s="331">
        <f>SUM(($T$77-6)*($T$78/2-6)/1000000)</f>
        <v>3.6000000000000001E-5</v>
      </c>
      <c r="AH79" s="208" t="s">
        <v>73</v>
      </c>
      <c r="AJ79" s="108"/>
      <c r="AK79" s="108"/>
      <c r="AL79" s="108"/>
      <c r="AM79" s="137"/>
      <c r="AN79" s="137"/>
      <c r="AO79" s="137"/>
    </row>
    <row r="80" spans="1:43" s="118" customFormat="1" ht="13.5" customHeight="1" x14ac:dyDescent="0.2">
      <c r="A80" s="37"/>
      <c r="N80" s="1079" t="str">
        <f>ListAVS!$B$83&amp;" [kg] "</f>
        <v xml:space="preserve">Waga uchwytu [kg] </v>
      </c>
      <c r="O80" s="1080"/>
      <c r="P80" s="1080"/>
      <c r="Q80" s="1080"/>
      <c r="R80" s="1080"/>
      <c r="S80" s="1081"/>
      <c r="T80" s="300">
        <f>H14</f>
        <v>0</v>
      </c>
      <c r="U80" s="130" t="str">
        <f>IF(SUM(T77,T78)=0," ",IF(T80=0," ● "&amp;ListAVS!$B$130," "))</f>
        <v xml:space="preserve"> </v>
      </c>
      <c r="W80" s="37"/>
      <c r="X80" s="37"/>
      <c r="Y80" s="319">
        <f>MenuAVS!$C$32</f>
        <v>680</v>
      </c>
      <c r="Z80" s="175" t="str">
        <f>ListAVS!$B$91&amp;" ("&amp;Y80&amp;" kg/m3)"</f>
        <v>Płyta wiórowa (680 kg/m3)</v>
      </c>
      <c r="AC80" s="37"/>
      <c r="AD80" s="209">
        <f>$AD$71*5/1000</f>
        <v>12.5</v>
      </c>
      <c r="AE80" s="330">
        <f>IF($AG$77=1,AF80*AD80,AG80*AD80)</f>
        <v>0.08</v>
      </c>
      <c r="AF80" s="329">
        <f>SUM(($T$77-80)*($T$78/2-80)/1000000)</f>
        <v>6.4000000000000003E-3</v>
      </c>
      <c r="AG80" s="331">
        <f>SUM(($T$77-6)*($T$78/2-6)/1000000)</f>
        <v>3.6000000000000001E-5</v>
      </c>
      <c r="AH80" s="208" t="s">
        <v>74</v>
      </c>
      <c r="AJ80" s="108"/>
      <c r="AK80" s="108"/>
      <c r="AL80" s="108"/>
      <c r="AM80" s="137"/>
      <c r="AN80" s="137"/>
      <c r="AO80" s="137"/>
    </row>
    <row r="81" spans="1:43" s="118" customFormat="1" ht="13.5" customHeight="1" x14ac:dyDescent="0.2">
      <c r="A81" s="37"/>
      <c r="N81" s="1079" t="str">
        <f>ListAVS!$B$79&amp;" [kg] "</f>
        <v xml:space="preserve">Obliczona waga frontu [kg] </v>
      </c>
      <c r="O81" s="1080"/>
      <c r="P81" s="1080"/>
      <c r="Q81" s="1080"/>
      <c r="R81" s="1080"/>
      <c r="S81" s="1081"/>
      <c r="T81" s="185">
        <f>IF(X81*AD82&lt;&gt;0,SUM(X81,AD82,T80),0)</f>
        <v>0</v>
      </c>
      <c r="U81" s="119"/>
      <c r="W81" s="37"/>
      <c r="X81" s="186">
        <f>IF(T77*T78*T79=0,0,IF(Z78=1,Y78*Y79,IF(Z78=2,Y78*Y80,Y78*Y81)))</f>
        <v>0</v>
      </c>
      <c r="Y81" s="319">
        <f>$T$71</f>
        <v>0</v>
      </c>
      <c r="Z81" s="175" t="str">
        <f>ListAVS!$B$92</f>
        <v>Inne – wybrana gęstość materiału</v>
      </c>
      <c r="AC81" s="37"/>
      <c r="AD81" s="209">
        <f>$AD$71*$T$73/1000</f>
        <v>0</v>
      </c>
      <c r="AE81" s="330">
        <f>IF($AG$77=1,AF81*AD81,AG81*AD81)</f>
        <v>0</v>
      </c>
      <c r="AF81" s="329">
        <f>SUM(($T$77-80)*($T$78/2-80)/1000000)</f>
        <v>6.4000000000000003E-3</v>
      </c>
      <c r="AG81" s="331">
        <f>SUM(($T$77-6)*($T$78/2-6)/1000000)</f>
        <v>3.6000000000000001E-5</v>
      </c>
      <c r="AH81" s="208" t="s">
        <v>75</v>
      </c>
      <c r="AJ81" s="108"/>
      <c r="AK81" s="108"/>
      <c r="AL81" s="108"/>
      <c r="AM81" s="137"/>
      <c r="AN81" s="137"/>
      <c r="AO81" s="137"/>
      <c r="AP81" s="137"/>
      <c r="AQ81" s="137"/>
    </row>
    <row r="82" spans="1:43" ht="13.5" customHeight="1" x14ac:dyDescent="0.2">
      <c r="O82" s="142" t="str">
        <f>IF(T81&gt;0,IF(T80=0,$Z$94," ")," ")</f>
        <v xml:space="preserve"> </v>
      </c>
      <c r="Q82" s="37"/>
      <c r="U82" s="130"/>
      <c r="X82" s="37"/>
      <c r="Y82" s="37"/>
      <c r="Z82" s="118"/>
      <c r="AA82" s="37"/>
      <c r="AB82" s="118"/>
      <c r="AC82" s="37"/>
      <c r="AD82" s="332">
        <f>IF(OR(AND(AF77=3, $T$73=0), T77*T78=0), 0, SUM(IF(AF77=1,AE79,IF(AF77=2,AE80,AE81)),AE78,AE77))</f>
        <v>0</v>
      </c>
      <c r="AE82" s="37"/>
      <c r="AF82" s="37"/>
      <c r="AG82" s="37"/>
      <c r="AH82" s="37"/>
    </row>
    <row r="83" spans="1:43" x14ac:dyDescent="0.2">
      <c r="O83" s="37"/>
      <c r="Q83" s="37"/>
      <c r="X83" s="37"/>
      <c r="Y83" s="37"/>
      <c r="Z83" s="118"/>
      <c r="AA83" s="37"/>
      <c r="AB83" s="118"/>
      <c r="AC83" s="37"/>
      <c r="AD83" s="37"/>
      <c r="AE83" s="37"/>
      <c r="AF83" s="37"/>
      <c r="AG83" s="37"/>
      <c r="AH83" s="37"/>
      <c r="AP83" s="118"/>
      <c r="AQ83" s="118"/>
    </row>
    <row r="84" spans="1:43" s="118" customFormat="1" x14ac:dyDescent="0.2">
      <c r="A84" s="37"/>
      <c r="N84" s="37"/>
      <c r="O84" s="37"/>
      <c r="P84" s="37"/>
      <c r="Q84" s="37"/>
      <c r="R84" s="37"/>
      <c r="S84" s="37"/>
      <c r="T84" s="37"/>
      <c r="U84" s="37"/>
      <c r="V84" s="37"/>
      <c r="W84" s="37"/>
      <c r="X84" s="37"/>
      <c r="Y84" s="37"/>
      <c r="AA84" s="37"/>
      <c r="AC84" s="37"/>
      <c r="AD84" s="37"/>
      <c r="AE84" s="37"/>
      <c r="AF84" s="37"/>
      <c r="AG84" s="37"/>
      <c r="AH84" s="37"/>
      <c r="AJ84" s="108"/>
      <c r="AK84" s="108"/>
      <c r="AL84" s="108"/>
      <c r="AM84" s="137"/>
      <c r="AN84" s="137"/>
      <c r="AO84" s="137"/>
    </row>
    <row r="85" spans="1:43" s="118" customFormat="1" ht="15.75" customHeight="1" x14ac:dyDescent="0.2">
      <c r="A85" s="37"/>
      <c r="Q85" s="37"/>
      <c r="R85" s="1082" t="str">
        <f>D20</f>
        <v xml:space="preserve"> </v>
      </c>
      <c r="S85" s="1083"/>
      <c r="T85" s="1084"/>
      <c r="U85" s="37"/>
      <c r="V85" s="37"/>
      <c r="W85" s="37"/>
      <c r="X85" s="37"/>
      <c r="AA85" s="37"/>
      <c r="AC85" s="37"/>
      <c r="AD85" s="209"/>
      <c r="AE85" s="601" t="s">
        <v>68</v>
      </c>
      <c r="AF85" s="601" t="s">
        <v>69</v>
      </c>
      <c r="AG85" s="601" t="s">
        <v>70</v>
      </c>
      <c r="AH85" s="37"/>
      <c r="AJ85" s="108"/>
      <c r="AK85" s="108"/>
      <c r="AL85" s="108"/>
      <c r="AM85" s="137"/>
      <c r="AN85" s="137"/>
      <c r="AO85" s="137"/>
    </row>
    <row r="86" spans="1:43" s="118" customFormat="1" ht="13.5" customHeight="1" x14ac:dyDescent="0.2">
      <c r="A86" s="37"/>
      <c r="N86" s="1125" t="str">
        <f>ListAVS!$B$74&amp;" KB [mm]       "</f>
        <v xml:space="preserve">Szerokość korpusu KB [mm]       </v>
      </c>
      <c r="O86" s="1126"/>
      <c r="P86" s="1126"/>
      <c r="Q86" s="1126"/>
      <c r="R86" s="1126"/>
      <c r="S86" s="1127"/>
      <c r="T86" s="300">
        <f>H21</f>
        <v>0</v>
      </c>
      <c r="U86" s="108"/>
      <c r="V86" s="37"/>
      <c r="W86" s="37"/>
      <c r="X86" s="37"/>
      <c r="Y86" s="37">
        <f>T86*T87*T88</f>
        <v>0</v>
      </c>
      <c r="Z86" s="37"/>
      <c r="AA86" s="37"/>
      <c r="AC86" s="37"/>
      <c r="AD86" s="325">
        <f>IF($AG$77=1,$X$94,$X$95)</f>
        <v>0.62</v>
      </c>
      <c r="AE86" s="339">
        <f>$X$96</f>
        <v>0.61</v>
      </c>
      <c r="AF86" s="333">
        <f>$AF$77</f>
        <v>1</v>
      </c>
      <c r="AG86" s="328">
        <f>$AG$77</f>
        <v>1</v>
      </c>
      <c r="AH86" s="37"/>
      <c r="AJ86" s="108"/>
      <c r="AK86" s="108"/>
      <c r="AL86" s="108"/>
      <c r="AM86" s="137"/>
      <c r="AN86" s="137"/>
      <c r="AO86" s="137"/>
    </row>
    <row r="87" spans="1:43" s="118" customFormat="1" ht="13.5" customHeight="1" x14ac:dyDescent="0.2">
      <c r="A87" s="37"/>
      <c r="N87" s="1125" t="str">
        <f>ListAVS!$B$75&amp;" KH [mm]       "</f>
        <v xml:space="preserve">Wysokość korpusu KH [mm]       </v>
      </c>
      <c r="O87" s="1126"/>
      <c r="P87" s="1126"/>
      <c r="Q87" s="1126"/>
      <c r="R87" s="1126"/>
      <c r="S87" s="1127"/>
      <c r="T87" s="300">
        <f>H22</f>
        <v>0</v>
      </c>
      <c r="U87" s="108"/>
      <c r="V87" s="37"/>
      <c r="W87" s="37"/>
      <c r="X87" s="37"/>
      <c r="Y87" s="37">
        <f>Y86/1000000000/2</f>
        <v>0</v>
      </c>
      <c r="Z87" s="182">
        <f>Z78</f>
        <v>1</v>
      </c>
      <c r="AC87" s="37"/>
      <c r="AD87" s="144" t="s">
        <v>71</v>
      </c>
      <c r="AE87" s="329">
        <f>SUM(T86*2,(T87/2-90)*2)*AD86/1000</f>
        <v>-0.11159999999999999</v>
      </c>
      <c r="AF87" s="601" t="s">
        <v>72</v>
      </c>
      <c r="AG87" s="601"/>
      <c r="AH87" s="37"/>
      <c r="AJ87" s="108"/>
      <c r="AK87" s="108"/>
      <c r="AL87" s="108"/>
      <c r="AM87" s="137"/>
      <c r="AN87" s="137"/>
      <c r="AO87" s="137"/>
    </row>
    <row r="88" spans="1:43" s="118" customFormat="1" ht="13.5" customHeight="1" x14ac:dyDescent="0.2">
      <c r="A88" s="37"/>
      <c r="N88" s="1122" t="str">
        <f>ListAVS!$B$80&amp;" TS [mm] "</f>
        <v xml:space="preserve">Grubość frontu TS [mm] </v>
      </c>
      <c r="O88" s="1123"/>
      <c r="P88" s="1123"/>
      <c r="Q88" s="1123"/>
      <c r="R88" s="1123"/>
      <c r="S88" s="1124"/>
      <c r="T88" s="300">
        <f>H24</f>
        <v>0</v>
      </c>
      <c r="U88" s="130" t="str">
        <f>IF(SUM(T86,T87)=0," ",IF(T88=0," ● "&amp;ListAVS!$B$129," "))</f>
        <v xml:space="preserve"> </v>
      </c>
      <c r="X88" s="37"/>
      <c r="Y88" s="319">
        <f>$Y$79</f>
        <v>760</v>
      </c>
      <c r="Z88" s="37" t="str">
        <f>$Z$79</f>
        <v>MDF (760 kg/m3)</v>
      </c>
      <c r="AC88" s="37"/>
      <c r="AD88" s="37">
        <f>AD79</f>
        <v>10</v>
      </c>
      <c r="AE88" s="330">
        <f>IF($AG$77=1,AF88*AD88,AG88*AD88)</f>
        <v>6.4000000000000001E-2</v>
      </c>
      <c r="AF88" s="329">
        <f>SUM(($T$86-80)*($T$87/2-80)/1000000)</f>
        <v>6.4000000000000003E-3</v>
      </c>
      <c r="AG88" s="331">
        <f>SUM(($T$86-6)*($T$87/2-6)/1000000)</f>
        <v>3.6000000000000001E-5</v>
      </c>
      <c r="AH88" s="208" t="s">
        <v>73</v>
      </c>
      <c r="AJ88" s="108"/>
      <c r="AK88" s="108"/>
      <c r="AL88" s="108"/>
      <c r="AM88" s="137"/>
      <c r="AN88" s="137"/>
      <c r="AO88" s="137"/>
    </row>
    <row r="89" spans="1:43" s="118" customFormat="1" ht="13.5" customHeight="1" x14ac:dyDescent="0.2">
      <c r="A89" s="37"/>
      <c r="N89" s="1079" t="str">
        <f>ListAVS!$B$83&amp;" [kg] "</f>
        <v xml:space="preserve">Waga uchwytu [kg] </v>
      </c>
      <c r="O89" s="1080"/>
      <c r="P89" s="1080"/>
      <c r="Q89" s="1080"/>
      <c r="R89" s="1080"/>
      <c r="S89" s="1081"/>
      <c r="T89" s="300">
        <f>H25</f>
        <v>0</v>
      </c>
      <c r="U89" s="130" t="str">
        <f>IF(SUM(T86,T87)=0," ",IF(T89=0," ● "&amp;ListAVS!$B$130," "))</f>
        <v xml:space="preserve"> </v>
      </c>
      <c r="X89" s="37"/>
      <c r="Y89" s="319">
        <f>$Y$80</f>
        <v>680</v>
      </c>
      <c r="Z89" s="37" t="str">
        <f>$Z$80</f>
        <v>Płyta wiórowa (680 kg/m3)</v>
      </c>
      <c r="AC89" s="37"/>
      <c r="AD89" s="37">
        <f>AD80</f>
        <v>12.5</v>
      </c>
      <c r="AE89" s="330">
        <f>IF($AG$77=1,AF89*AD89,AG89*AD89)</f>
        <v>0.08</v>
      </c>
      <c r="AF89" s="329">
        <f>SUM(($T$86-80)*($T$87/2-80)/1000000)</f>
        <v>6.4000000000000003E-3</v>
      </c>
      <c r="AG89" s="331">
        <f>SUM(($T$86-6)*($T$87/2-6)/1000000)</f>
        <v>3.6000000000000001E-5</v>
      </c>
      <c r="AH89" s="208" t="s">
        <v>74</v>
      </c>
      <c r="AJ89" s="108"/>
      <c r="AK89" s="108"/>
      <c r="AL89" s="108"/>
      <c r="AM89" s="137"/>
      <c r="AN89" s="137"/>
      <c r="AO89" s="137"/>
    </row>
    <row r="90" spans="1:43" s="118" customFormat="1" ht="13.5" customHeight="1" x14ac:dyDescent="0.2">
      <c r="A90" s="37"/>
      <c r="N90" s="1079" t="str">
        <f>ListAVS!$B$79&amp;" [kg] "</f>
        <v xml:space="preserve">Obliczona waga frontu [kg] </v>
      </c>
      <c r="O90" s="1080"/>
      <c r="P90" s="1080"/>
      <c r="Q90" s="1080"/>
      <c r="R90" s="1080"/>
      <c r="S90" s="1081"/>
      <c r="T90" s="185">
        <f>IF(X90*AD91&lt;&gt;0,SUM(X90,AD91,T89),0)</f>
        <v>0</v>
      </c>
      <c r="U90" s="119"/>
      <c r="X90" s="186">
        <f>IF(T86*T87*T88=0,0,IF(Z87=1,Y87*Y88,IF(Z87=2,Y87*Y89,Y87*Y90)))</f>
        <v>0</v>
      </c>
      <c r="Y90" s="37">
        <f>$Y$81</f>
        <v>0</v>
      </c>
      <c r="Z90" s="37" t="str">
        <f>$Z$81</f>
        <v>Inne – wybrana gęstość materiału</v>
      </c>
      <c r="AC90" s="37"/>
      <c r="AD90" s="340">
        <f>AD81</f>
        <v>0</v>
      </c>
      <c r="AE90" s="330">
        <f>IF($AG$77=1,AF90*AD90,AG90*AD90)</f>
        <v>0</v>
      </c>
      <c r="AF90" s="329">
        <f>SUM(($T$86-80)*($T$87/2-80)/1000000)</f>
        <v>6.4000000000000003E-3</v>
      </c>
      <c r="AG90" s="331">
        <f>SUM(($T$86-6)*($T$87/2-6)/1000000)</f>
        <v>3.6000000000000001E-5</v>
      </c>
      <c r="AH90" s="208" t="s">
        <v>75</v>
      </c>
      <c r="AJ90" s="108"/>
      <c r="AK90" s="108"/>
      <c r="AL90" s="108"/>
      <c r="AM90" s="137"/>
      <c r="AN90" s="137"/>
      <c r="AO90" s="137"/>
    </row>
    <row r="91" spans="1:43" s="118" customFormat="1" ht="14.1" customHeight="1" x14ac:dyDescent="0.2">
      <c r="A91" s="37"/>
      <c r="N91" s="37"/>
      <c r="O91" s="142" t="str">
        <f>IF(T90&gt;0,IF(T89=0,$Z$94," ")," ")</f>
        <v xml:space="preserve"> </v>
      </c>
      <c r="P91" s="37"/>
      <c r="Q91" s="37"/>
      <c r="R91" s="37"/>
      <c r="S91" s="37"/>
      <c r="T91" s="37"/>
      <c r="U91" s="37"/>
      <c r="V91" s="37"/>
      <c r="W91" s="37"/>
      <c r="X91" s="37"/>
      <c r="Y91" s="37"/>
      <c r="AA91" s="37"/>
      <c r="AC91" s="37"/>
      <c r="AD91" s="332">
        <f>IF(OR(AND(AF86=3, $T$73=0), T86*T87=0), 0, SUM(IF(AF86=1,AE88,IF(AF86=2,AE89,AE90)),AE87,AE86))</f>
        <v>0</v>
      </c>
      <c r="AE91" s="37"/>
      <c r="AF91" s="37"/>
      <c r="AG91" s="37"/>
      <c r="AH91" s="37"/>
      <c r="AJ91" s="108"/>
      <c r="AK91" s="108"/>
      <c r="AL91" s="108"/>
      <c r="AM91" s="137"/>
      <c r="AN91" s="137"/>
      <c r="AO91" s="137"/>
    </row>
    <row r="92" spans="1:43" s="118" customFormat="1" x14ac:dyDescent="0.2">
      <c r="A92" s="37"/>
      <c r="N92" s="37"/>
      <c r="O92" s="37"/>
      <c r="P92" s="37"/>
      <c r="Q92" s="37"/>
      <c r="R92" s="37"/>
      <c r="S92" s="37"/>
      <c r="T92" s="37"/>
      <c r="U92" s="37"/>
      <c r="V92" s="37"/>
      <c r="W92" s="37"/>
      <c r="X92" s="37"/>
      <c r="Y92" s="37"/>
      <c r="AA92" s="37"/>
      <c r="AC92" s="37"/>
      <c r="AD92" s="37"/>
      <c r="AE92" s="37"/>
      <c r="AF92" s="37"/>
      <c r="AG92" s="37"/>
      <c r="AH92" s="37"/>
      <c r="AJ92" s="108"/>
      <c r="AK92" s="108"/>
      <c r="AL92" s="108"/>
      <c r="AM92" s="137"/>
      <c r="AN92" s="137"/>
      <c r="AO92" s="137"/>
    </row>
    <row r="93" spans="1:43" s="118" customFormat="1" x14ac:dyDescent="0.2">
      <c r="A93" s="37"/>
      <c r="N93" s="37"/>
      <c r="O93" s="37"/>
      <c r="P93" s="37"/>
      <c r="Q93" s="37"/>
      <c r="R93" s="37"/>
      <c r="U93" s="37"/>
      <c r="V93" s="37"/>
      <c r="W93" s="37"/>
      <c r="X93" s="37"/>
      <c r="Y93" s="37"/>
      <c r="AA93" s="37"/>
      <c r="AC93" s="37"/>
      <c r="AD93" s="37"/>
      <c r="AE93" s="37"/>
      <c r="AF93" s="37"/>
      <c r="AG93" s="37"/>
      <c r="AH93" s="37"/>
      <c r="AJ93" s="108"/>
      <c r="AK93" s="108"/>
      <c r="AL93" s="108"/>
      <c r="AM93" s="137"/>
      <c r="AN93" s="137"/>
      <c r="AO93" s="137"/>
    </row>
    <row r="94" spans="1:43" s="118" customFormat="1" ht="12" customHeight="1" x14ac:dyDescent="0.2">
      <c r="A94" s="37"/>
      <c r="N94" s="37"/>
      <c r="O94" s="148"/>
      <c r="P94" s="148"/>
      <c r="Q94" s="148"/>
      <c r="R94" s="148"/>
      <c r="S94" s="148"/>
      <c r="T94" s="148"/>
      <c r="U94" s="148"/>
      <c r="V94" s="148"/>
      <c r="W94" s="632" t="str">
        <f>ListAVS!$B$422&amp;"  "</f>
        <v xml:space="preserve">z wpuszczanym szkłem  </v>
      </c>
      <c r="X94" s="711">
        <f>MenuAVS!$I$86</f>
        <v>0.62</v>
      </c>
      <c r="Z94" s="37" t="str">
        <f>ListAVS!$B$103&amp;"!"</f>
        <v>Bez wagi uchwytu!</v>
      </c>
      <c r="AA94" s="37"/>
      <c r="AC94" s="37"/>
      <c r="AD94" s="37"/>
      <c r="AE94" s="37"/>
      <c r="AF94" s="335" t="str">
        <f>ListAVS!$B$93</f>
        <v>Ramki aluminiowe z 4mm szkłem</v>
      </c>
      <c r="AG94" s="37"/>
      <c r="AH94" s="37"/>
      <c r="AJ94" s="108"/>
      <c r="AK94" s="108"/>
      <c r="AL94" s="108"/>
      <c r="AM94" s="137"/>
      <c r="AN94" s="137"/>
      <c r="AO94" s="137"/>
    </row>
    <row r="95" spans="1:43" s="118" customFormat="1" x14ac:dyDescent="0.2">
      <c r="A95" s="37"/>
      <c r="N95" s="37"/>
      <c r="O95" s="148"/>
      <c r="P95" s="148"/>
      <c r="Q95" s="148"/>
      <c r="R95" s="148"/>
      <c r="S95" s="148"/>
      <c r="T95" s="148"/>
      <c r="U95" s="148"/>
      <c r="V95" s="148"/>
      <c r="W95" s="632" t="str">
        <f>ListAVS!$B$423&amp;"  "</f>
        <v xml:space="preserve">ze szkłem nakładanym lub przyklejanym  </v>
      </c>
      <c r="X95" s="711">
        <f>MenuAVS!$I$87</f>
        <v>0.63</v>
      </c>
      <c r="Y95" s="37"/>
      <c r="AA95" s="37"/>
      <c r="AC95" s="37"/>
      <c r="AD95" s="37"/>
      <c r="AE95" s="37"/>
      <c r="AF95" s="335" t="str">
        <f>ListAVS!$B$94</f>
        <v>Ramki aluminiowe z 5mm szkłem</v>
      </c>
      <c r="AG95" s="37"/>
      <c r="AH95" s="37"/>
      <c r="AJ95" s="108"/>
      <c r="AK95" s="108"/>
      <c r="AL95" s="108"/>
      <c r="AM95" s="137"/>
      <c r="AN95" s="137"/>
      <c r="AO95" s="137"/>
      <c r="AP95" s="37"/>
      <c r="AQ95" s="37"/>
    </row>
    <row r="96" spans="1:43" s="37" customFormat="1" x14ac:dyDescent="0.2">
      <c r="O96" s="148"/>
      <c r="P96" s="148"/>
      <c r="Q96" s="148"/>
      <c r="R96" s="148"/>
      <c r="S96" s="148"/>
      <c r="T96" s="148"/>
      <c r="U96" s="148"/>
      <c r="V96" s="148"/>
      <c r="W96" s="632" t="str">
        <f>ListAVS!$B$405&amp;" [kg/set] *  "</f>
        <v xml:space="preserve">Waga materiału łączącego  [kg/set] *  </v>
      </c>
      <c r="X96" s="711">
        <f>MenuAVS!$I$88</f>
        <v>0.61</v>
      </c>
      <c r="Z96" s="118"/>
      <c r="AB96" s="118"/>
      <c r="AF96" s="335" t="str">
        <f>ListAVS!$B$95</f>
        <v>Ramki aluminiowe z innym szkłem</v>
      </c>
      <c r="AJ96" s="108"/>
      <c r="AK96" s="108"/>
      <c r="AL96" s="108"/>
      <c r="AM96" s="137"/>
      <c r="AN96" s="137"/>
      <c r="AO96" s="137"/>
    </row>
    <row r="97" spans="1:43" s="37" customFormat="1" x14ac:dyDescent="0.2">
      <c r="Z97" s="118"/>
      <c r="AB97" s="118"/>
      <c r="AJ97" s="108"/>
      <c r="AK97" s="108"/>
      <c r="AL97" s="108"/>
      <c r="AM97" s="137"/>
      <c r="AN97" s="137"/>
      <c r="AO97" s="137"/>
    </row>
    <row r="98" spans="1:43" s="37" customFormat="1" ht="12.75" x14ac:dyDescent="0.2">
      <c r="AA98" s="118"/>
      <c r="AC98" s="118"/>
      <c r="AJ98" s="108"/>
      <c r="AK98" s="108"/>
      <c r="AL98" s="108"/>
      <c r="AM98" s="137"/>
      <c r="AN98" s="266"/>
      <c r="AO98" s="266"/>
      <c r="AP98" s="255"/>
      <c r="AQ98" s="255"/>
    </row>
    <row r="99" spans="1:43" s="255" customFormat="1" ht="15" customHeight="1" x14ac:dyDescent="0.2">
      <c r="A99" s="1045"/>
      <c r="O99" s="248"/>
      <c r="Q99" s="248"/>
      <c r="X99" s="670"/>
      <c r="Y99" s="670"/>
      <c r="Z99" s="670"/>
      <c r="AA99" s="670"/>
      <c r="AB99" s="670"/>
      <c r="AC99" s="670"/>
      <c r="AD99" s="670"/>
      <c r="AE99" s="670"/>
      <c r="AF99" s="670"/>
      <c r="AG99" s="670"/>
      <c r="AH99" s="670"/>
      <c r="AI99" s="670"/>
      <c r="AJ99" s="670"/>
      <c r="AK99" s="670"/>
      <c r="AL99" s="670"/>
      <c r="AM99" s="266"/>
      <c r="AN99" s="266"/>
      <c r="AO99" s="266"/>
    </row>
    <row r="100" spans="1:43" s="255" customFormat="1" ht="15" customHeight="1" x14ac:dyDescent="0.2">
      <c r="A100" s="1045"/>
      <c r="B100" s="604" t="str">
        <f>ListAVS!$B$195</f>
        <v>Obliczanie frontów asymetrycznych</v>
      </c>
      <c r="O100" s="248"/>
      <c r="Q100" s="248"/>
      <c r="X100" s="670"/>
      <c r="Y100" s="670"/>
      <c r="Z100" s="670"/>
      <c r="AA100" s="670"/>
      <c r="AB100" s="670"/>
      <c r="AC100" s="670"/>
      <c r="AD100" s="670"/>
      <c r="AE100" s="670"/>
      <c r="AF100" s="670"/>
      <c r="AG100" s="670"/>
      <c r="AH100" s="670"/>
      <c r="AI100" s="670"/>
      <c r="AJ100" s="670"/>
      <c r="AK100" s="670"/>
      <c r="AL100" s="670"/>
      <c r="AM100" s="266"/>
      <c r="AN100" s="266"/>
      <c r="AO100" s="266"/>
    </row>
    <row r="101" spans="1:43" s="255" customFormat="1" ht="15" customHeight="1" x14ac:dyDescent="0.2">
      <c r="A101" s="1045"/>
      <c r="O101" s="248"/>
      <c r="Q101" s="248"/>
      <c r="X101" s="670"/>
      <c r="Y101" s="670"/>
      <c r="Z101" s="670"/>
      <c r="AA101" s="670"/>
      <c r="AB101" s="670"/>
      <c r="AC101" s="670"/>
      <c r="AD101" s="670"/>
      <c r="AE101" s="670"/>
      <c r="AF101" s="670"/>
      <c r="AG101" s="670"/>
      <c r="AH101" s="670"/>
      <c r="AI101" s="670"/>
      <c r="AJ101" s="670"/>
      <c r="AK101" s="670"/>
      <c r="AL101" s="670"/>
      <c r="AM101" s="266"/>
      <c r="AN101" s="266"/>
      <c r="AO101" s="266"/>
    </row>
    <row r="102" spans="1:43" s="255" customFormat="1" ht="15" customHeight="1" x14ac:dyDescent="0.2">
      <c r="A102" s="1045"/>
      <c r="B102" s="1075" t="str">
        <f>"   "&amp;ListAVS!$B$198</f>
        <v xml:space="preserve">   Parametry korpusu</v>
      </c>
      <c r="C102" s="1076"/>
      <c r="D102" s="1076"/>
      <c r="E102" s="1076"/>
      <c r="F102" s="1076"/>
      <c r="G102" s="1076"/>
      <c r="H102" s="1076"/>
      <c r="I102" s="1077"/>
      <c r="J102" s="1078"/>
      <c r="K102" s="545"/>
      <c r="L102" s="545"/>
      <c r="M102" s="545"/>
      <c r="N102" s="545"/>
      <c r="O102" s="546"/>
      <c r="P102" s="545"/>
      <c r="Q102" s="546"/>
      <c r="R102" s="545"/>
      <c r="S102" s="545"/>
      <c r="T102" s="545"/>
      <c r="U102" s="545"/>
      <c r="V102" s="545"/>
      <c r="W102" s="545"/>
      <c r="X102" s="108"/>
      <c r="Y102" s="670"/>
      <c r="Z102" s="670"/>
      <c r="AA102" s="670"/>
      <c r="AB102" s="670"/>
      <c r="AC102" s="670"/>
      <c r="AD102" s="670"/>
      <c r="AE102" s="670"/>
      <c r="AF102" s="670"/>
      <c r="AG102" s="670"/>
      <c r="AH102" s="670"/>
      <c r="AI102" s="670"/>
      <c r="AJ102" s="670"/>
      <c r="AK102" s="670"/>
      <c r="AL102" s="670"/>
      <c r="AM102" s="266"/>
      <c r="AN102" s="266"/>
      <c r="AO102" s="266"/>
    </row>
    <row r="103" spans="1:43" s="255" customFormat="1" ht="15" customHeight="1" x14ac:dyDescent="0.2">
      <c r="A103" s="1045"/>
      <c r="B103" s="1070" t="str">
        <f>ListAVS!$B$75&amp;" KH [mm] "</f>
        <v xml:space="preserve">Wysokość korpusu KH [mm] </v>
      </c>
      <c r="C103" s="1071"/>
      <c r="D103" s="1071"/>
      <c r="E103" s="1071"/>
      <c r="F103" s="1071"/>
      <c r="G103" s="1071"/>
      <c r="H103" s="1072"/>
      <c r="I103" s="1073"/>
      <c r="J103" s="1073"/>
      <c r="K103" s="547" t="str">
        <f>IF(I103&lt;480, " min. 480", IF(I103&gt;1200, " max. 1200", " "))</f>
        <v xml:space="preserve"> min. 480</v>
      </c>
      <c r="L103" s="545"/>
      <c r="M103" s="545"/>
      <c r="N103" s="1089" t="s">
        <v>755</v>
      </c>
      <c r="O103" s="1089" t="s">
        <v>756</v>
      </c>
      <c r="P103" s="545"/>
      <c r="Q103" s="545"/>
      <c r="R103" s="545"/>
      <c r="S103" s="545"/>
      <c r="T103" s="545"/>
      <c r="U103" s="545"/>
      <c r="V103" s="545"/>
      <c r="W103" s="545"/>
      <c r="X103" s="108"/>
      <c r="Y103" s="670"/>
      <c r="Z103" s="670"/>
      <c r="AA103" s="670"/>
      <c r="AB103" s="670"/>
      <c r="AC103" s="670"/>
      <c r="AD103" s="670"/>
      <c r="AE103" s="670"/>
      <c r="AF103" s="670"/>
      <c r="AG103" s="670"/>
      <c r="AH103" s="670"/>
      <c r="AI103" s="670"/>
      <c r="AJ103" s="670"/>
      <c r="AK103" s="670"/>
      <c r="AL103" s="670"/>
      <c r="AM103" s="266"/>
      <c r="AN103" s="266"/>
      <c r="AO103" s="266"/>
    </row>
    <row r="104" spans="1:43" s="255" customFormat="1" ht="15" customHeight="1" x14ac:dyDescent="0.2">
      <c r="A104" s="1045"/>
      <c r="B104" s="1070" t="str">
        <f>ListAVS!$B$201&amp;" F1 [mm] "</f>
        <v xml:space="preserve">Szczelina na górze F1 [mm] </v>
      </c>
      <c r="C104" s="1071"/>
      <c r="D104" s="1071"/>
      <c r="E104" s="1071"/>
      <c r="F104" s="1071"/>
      <c r="G104" s="1071"/>
      <c r="H104" s="1072"/>
      <c r="I104" s="1073"/>
      <c r="J104" s="1073"/>
      <c r="K104" s="548"/>
      <c r="L104" s="545"/>
      <c r="M104" s="549"/>
      <c r="N104" s="1089"/>
      <c r="O104" s="1089"/>
      <c r="P104" s="545"/>
      <c r="Q104" s="545"/>
      <c r="R104" s="545"/>
      <c r="S104" s="545"/>
      <c r="T104" s="545"/>
      <c r="U104" s="545"/>
      <c r="V104" s="545"/>
      <c r="W104" s="545"/>
      <c r="X104" s="108"/>
      <c r="Y104" s="670"/>
      <c r="Z104" s="670"/>
      <c r="AA104" s="670"/>
      <c r="AB104" s="670"/>
      <c r="AC104" s="670"/>
      <c r="AD104" s="670"/>
      <c r="AE104" s="670"/>
      <c r="AF104" s="670"/>
      <c r="AG104" s="670"/>
      <c r="AH104" s="670"/>
      <c r="AI104" s="670"/>
      <c r="AJ104" s="670"/>
      <c r="AK104" s="670"/>
      <c r="AL104" s="670"/>
      <c r="AM104" s="266"/>
      <c r="AN104" s="266"/>
      <c r="AO104" s="266"/>
      <c r="AP104" s="266"/>
      <c r="AQ104" s="266"/>
    </row>
    <row r="105" spans="1:43" s="266" customFormat="1" ht="15" customHeight="1" x14ac:dyDescent="0.2">
      <c r="A105" s="1045"/>
      <c r="B105" s="1070" t="str">
        <f>ListAVS!$B$202&amp;" F2 [mm] "</f>
        <v xml:space="preserve">Szczelina pomiędzy frontami F2 [mm] </v>
      </c>
      <c r="C105" s="1071"/>
      <c r="D105" s="1071"/>
      <c r="E105" s="1071"/>
      <c r="F105" s="1071"/>
      <c r="G105" s="1071"/>
      <c r="H105" s="1072"/>
      <c r="I105" s="1086"/>
      <c r="J105" s="1087"/>
      <c r="K105" s="547" t="str">
        <f>IF($I$103=0," ",IF($I$105&lt;1.5," min. 1,5 mm!"," "))</f>
        <v xml:space="preserve"> </v>
      </c>
      <c r="L105" s="545"/>
      <c r="M105" s="545"/>
      <c r="N105" s="1089"/>
      <c r="O105" s="1089"/>
      <c r="P105" s="545"/>
      <c r="Q105" s="545"/>
      <c r="R105" s="545"/>
      <c r="S105" s="545"/>
      <c r="T105" s="545"/>
      <c r="U105" s="545"/>
      <c r="V105" s="545"/>
      <c r="W105" s="545"/>
      <c r="X105" s="108"/>
      <c r="Y105" s="670"/>
      <c r="Z105" s="670"/>
      <c r="AA105" s="670"/>
      <c r="AB105" s="670"/>
      <c r="AC105" s="670"/>
      <c r="AD105" s="670"/>
      <c r="AE105" s="670"/>
      <c r="AF105" s="670"/>
      <c r="AG105" s="670"/>
      <c r="AH105" s="670"/>
      <c r="AI105" s="670"/>
      <c r="AJ105" s="670"/>
      <c r="AK105" s="670"/>
      <c r="AL105" s="670"/>
      <c r="AM105" s="255"/>
    </row>
    <row r="106" spans="1:43" s="266" customFormat="1" ht="15" customHeight="1" x14ac:dyDescent="0.2">
      <c r="A106" s="1045"/>
      <c r="B106" s="1070" t="str">
        <f>ListAVS!$B$203&amp;" F3 [mm] "</f>
        <v xml:space="preserve">Szczelina na dole F3 [mm] </v>
      </c>
      <c r="C106" s="1071"/>
      <c r="D106" s="1071"/>
      <c r="E106" s="1071"/>
      <c r="F106" s="1071"/>
      <c r="G106" s="1071"/>
      <c r="H106" s="1072"/>
      <c r="I106" s="1073"/>
      <c r="J106" s="1073"/>
      <c r="K106" s="545"/>
      <c r="L106" s="545"/>
      <c r="M106" s="553" t="s">
        <v>757</v>
      </c>
      <c r="N106" s="118">
        <v>170</v>
      </c>
      <c r="O106" s="118">
        <v>189</v>
      </c>
      <c r="P106" s="545"/>
      <c r="Q106" s="545"/>
      <c r="R106" s="545"/>
      <c r="S106" s="545"/>
      <c r="T106" s="545"/>
      <c r="U106" s="545"/>
      <c r="V106" s="545"/>
      <c r="W106" s="545"/>
      <c r="X106" s="108"/>
      <c r="Y106" s="670"/>
      <c r="Z106" s="670"/>
      <c r="AA106" s="670"/>
      <c r="AB106" s="670"/>
      <c r="AC106" s="670"/>
      <c r="AD106" s="670"/>
      <c r="AE106" s="670"/>
      <c r="AF106" s="670"/>
      <c r="AG106" s="670"/>
      <c r="AH106" s="670"/>
      <c r="AI106" s="670"/>
      <c r="AJ106" s="670"/>
      <c r="AK106" s="670"/>
      <c r="AL106" s="670"/>
      <c r="AM106" s="255"/>
    </row>
    <row r="107" spans="1:43" s="266" customFormat="1" ht="15" customHeight="1" x14ac:dyDescent="0.2">
      <c r="A107" s="1045"/>
      <c r="B107" s="1070" t="str">
        <f>ListAVS!$B$204&amp;" [mm] "</f>
        <v xml:space="preserve">Grubość dna korpusu [mm] </v>
      </c>
      <c r="C107" s="1071"/>
      <c r="D107" s="1071"/>
      <c r="E107" s="1071"/>
      <c r="F107" s="1071"/>
      <c r="G107" s="1071"/>
      <c r="H107" s="1072"/>
      <c r="I107" s="1073"/>
      <c r="J107" s="1073"/>
      <c r="K107" s="545"/>
      <c r="L107" s="545"/>
      <c r="M107" s="553" t="s">
        <v>768</v>
      </c>
      <c r="N107" s="248">
        <v>93</v>
      </c>
      <c r="O107" s="248">
        <v>116</v>
      </c>
      <c r="P107" s="545"/>
      <c r="Q107" s="545"/>
      <c r="R107" s="545"/>
      <c r="S107" s="545"/>
      <c r="T107" s="545"/>
      <c r="U107" s="545"/>
      <c r="V107" s="545"/>
      <c r="W107" s="545"/>
      <c r="X107" s="108"/>
      <c r="Y107" s="670"/>
      <c r="Z107" s="670"/>
      <c r="AA107" s="670"/>
      <c r="AB107" s="670"/>
      <c r="AC107" s="670"/>
      <c r="AD107" s="670"/>
      <c r="AE107" s="670"/>
      <c r="AF107" s="670"/>
      <c r="AG107" s="670"/>
      <c r="AH107" s="670"/>
      <c r="AI107" s="670"/>
      <c r="AJ107" s="670"/>
      <c r="AK107" s="670"/>
      <c r="AL107" s="670"/>
      <c r="AM107" s="255"/>
    </row>
    <row r="108" spans="1:43" s="266" customFormat="1" ht="15" customHeight="1" x14ac:dyDescent="0.2">
      <c r="A108" s="1045"/>
      <c r="B108" s="545"/>
      <c r="C108" s="545"/>
      <c r="D108" s="545"/>
      <c r="E108" s="545"/>
      <c r="F108" s="545"/>
      <c r="G108" s="545"/>
      <c r="H108" s="545"/>
      <c r="I108" s="545"/>
      <c r="J108" s="550"/>
      <c r="K108" s="545"/>
      <c r="L108" s="545"/>
      <c r="M108" s="553"/>
      <c r="N108" s="37"/>
      <c r="O108" s="118"/>
      <c r="P108" s="545"/>
      <c r="Q108" s="545"/>
      <c r="R108" s="545"/>
      <c r="S108" s="545"/>
      <c r="T108" s="545"/>
      <c r="U108" s="545"/>
      <c r="V108" s="545"/>
      <c r="W108" s="545"/>
      <c r="X108" s="108"/>
      <c r="Y108" s="670"/>
      <c r="Z108" s="670"/>
      <c r="AA108" s="670"/>
      <c r="AB108" s="670"/>
      <c r="AC108" s="670"/>
      <c r="AD108" s="670"/>
      <c r="AE108" s="670"/>
      <c r="AF108" s="670"/>
      <c r="AG108" s="670"/>
      <c r="AH108" s="670"/>
      <c r="AI108" s="670"/>
      <c r="AJ108" s="670"/>
      <c r="AK108" s="670"/>
      <c r="AL108" s="670"/>
      <c r="AM108" s="255"/>
    </row>
    <row r="109" spans="1:43" s="266" customFormat="1" ht="15" customHeight="1" x14ac:dyDescent="0.2">
      <c r="A109" s="1045"/>
      <c r="B109" s="1091" t="str">
        <f>"   "&amp;ListAVS!$B$206</f>
        <v xml:space="preserve">   Wyniki planowania</v>
      </c>
      <c r="C109" s="1092"/>
      <c r="D109" s="1092"/>
      <c r="E109" s="1092"/>
      <c r="F109" s="1092"/>
      <c r="G109" s="1092"/>
      <c r="H109" s="1092"/>
      <c r="I109" s="1092"/>
      <c r="J109" s="1093"/>
      <c r="K109" s="545"/>
      <c r="L109" s="545"/>
      <c r="M109" s="545"/>
      <c r="N109" s="957" t="s">
        <v>762</v>
      </c>
      <c r="O109" s="958" t="s">
        <v>762</v>
      </c>
      <c r="P109" s="545"/>
      <c r="Q109" s="545"/>
      <c r="R109" s="545"/>
      <c r="S109" s="545"/>
      <c r="T109" s="545"/>
      <c r="U109" s="545"/>
      <c r="V109" s="545"/>
      <c r="W109" s="545"/>
      <c r="X109" s="108"/>
      <c r="Y109" s="670"/>
      <c r="Z109" s="670"/>
      <c r="AA109" s="670"/>
      <c r="AB109" s="670"/>
      <c r="AC109" s="670"/>
      <c r="AD109" s="670"/>
      <c r="AE109" s="670"/>
      <c r="AF109" s="670"/>
      <c r="AG109" s="670"/>
      <c r="AH109" s="670"/>
      <c r="AI109" s="670"/>
      <c r="AJ109" s="670"/>
      <c r="AK109" s="670"/>
      <c r="AL109" s="670"/>
      <c r="AM109" s="255"/>
    </row>
    <row r="110" spans="1:43" s="266" customFormat="1" ht="15" customHeight="1" x14ac:dyDescent="0.2">
      <c r="A110" s="1045"/>
      <c r="B110" s="1094"/>
      <c r="C110" s="1095"/>
      <c r="D110" s="1095"/>
      <c r="E110" s="1095"/>
      <c r="F110" s="1095"/>
      <c r="G110" s="1096" t="str">
        <f>ListAVS!$B$207&amp;" [mm] "</f>
        <v xml:space="preserve">Możliwe wysokości frontów [mm] </v>
      </c>
      <c r="H110" s="1096"/>
      <c r="I110" s="1096"/>
      <c r="J110" s="1097"/>
      <c r="K110" s="545"/>
      <c r="L110" s="545"/>
      <c r="M110" s="545"/>
      <c r="N110" s="545" t="s">
        <v>754</v>
      </c>
      <c r="O110" s="545" t="s">
        <v>754</v>
      </c>
      <c r="P110" s="545"/>
      <c r="Q110" s="545"/>
      <c r="R110" s="545"/>
      <c r="S110" s="545"/>
      <c r="T110" s="545"/>
      <c r="U110" s="545"/>
      <c r="V110" s="545"/>
      <c r="W110" s="545"/>
      <c r="X110" s="108"/>
      <c r="Y110" s="670"/>
      <c r="Z110" s="670"/>
      <c r="AA110" s="670"/>
      <c r="AB110" s="670"/>
      <c r="AC110" s="670"/>
      <c r="AD110" s="670"/>
      <c r="AE110" s="670"/>
      <c r="AF110" s="670"/>
      <c r="AG110" s="670"/>
      <c r="AH110" s="670"/>
      <c r="AI110" s="670"/>
      <c r="AJ110" s="670"/>
      <c r="AK110" s="670"/>
      <c r="AL110" s="670"/>
      <c r="AM110" s="255"/>
    </row>
    <row r="111" spans="1:43" s="266" customFormat="1" ht="15" customHeight="1" x14ac:dyDescent="0.2">
      <c r="A111" s="1045"/>
      <c r="B111" s="1069" t="str">
        <f>ListAVS!$B$208</f>
        <v>Front górny (FHo) w granicach</v>
      </c>
      <c r="C111" s="1069"/>
      <c r="D111" s="1069"/>
      <c r="E111" s="1069"/>
      <c r="F111" s="1069"/>
      <c r="G111" s="551" t="s">
        <v>60</v>
      </c>
      <c r="H111" s="552" t="str">
        <f>IF(AND($I$103&gt;=480, $I$103&lt;=519), $N$111, IF(AND($I$103&gt;=520, $I$103&lt;=1200), $O$111, $S$115))</f>
        <v>nie można</v>
      </c>
      <c r="I111" s="551" t="s">
        <v>61</v>
      </c>
      <c r="J111" s="552" t="str">
        <f>IF(AND($I$103&gt;=480, $I$103&lt;=519), $N$115, IF(AND($I$103&gt;=520, $I$103&lt;=1200), $O$115, $S$115))</f>
        <v>nie można</v>
      </c>
      <c r="K111" s="545"/>
      <c r="L111" s="545"/>
      <c r="M111" s="545"/>
      <c r="N111" s="546">
        <f>SUM(I103, -I104, -I105, -I106, -N120)</f>
        <v>0</v>
      </c>
      <c r="O111" s="546">
        <f>SUM(I103, -I104, -I105, -I106, -O120)</f>
        <v>0</v>
      </c>
      <c r="P111" s="545"/>
      <c r="Q111" s="545"/>
      <c r="R111" s="545"/>
      <c r="S111" s="545"/>
      <c r="T111" s="545"/>
      <c r="U111" s="545"/>
      <c r="V111" s="545"/>
      <c r="W111" s="545"/>
      <c r="X111" s="108"/>
      <c r="Y111" s="670"/>
      <c r="Z111" s="670"/>
      <c r="AA111" s="670"/>
      <c r="AB111" s="670"/>
      <c r="AC111" s="670"/>
      <c r="AD111" s="670"/>
      <c r="AE111" s="670"/>
      <c r="AF111" s="670"/>
      <c r="AG111" s="670"/>
      <c r="AH111" s="670"/>
      <c r="AI111" s="670"/>
      <c r="AJ111" s="670"/>
      <c r="AK111" s="670"/>
      <c r="AL111" s="670"/>
      <c r="AM111" s="255"/>
    </row>
    <row r="112" spans="1:43" s="266" customFormat="1" ht="15" customHeight="1" x14ac:dyDescent="0.2">
      <c r="A112" s="1045"/>
      <c r="B112" s="1069" t="str">
        <f>ListAVS!$B$209</f>
        <v>Front dolny (FHu) w granicach</v>
      </c>
      <c r="C112" s="1069"/>
      <c r="D112" s="1069"/>
      <c r="E112" s="1069"/>
      <c r="F112" s="1069"/>
      <c r="G112" s="551" t="s">
        <v>60</v>
      </c>
      <c r="H112" s="552" t="str">
        <f>IF(AND($I$103&gt;=480, $I$103&lt;=519), $N$118, IF(AND($I$103&gt;=520, $I$103&lt;=1200), $O$118, $S$115))</f>
        <v>nie można</v>
      </c>
      <c r="I112" s="551" t="s">
        <v>61</v>
      </c>
      <c r="J112" s="552" t="str">
        <f>IF(AND($I$103&gt;=480, $I$103&lt;=519), $N$120, IF(AND($I$103&gt;=520, $I$103&lt;=1200), $O$120, $S$115))</f>
        <v>nie można</v>
      </c>
      <c r="K112" s="545"/>
      <c r="L112" s="545"/>
      <c r="M112" s="545"/>
      <c r="N112" s="545" t="s">
        <v>758</v>
      </c>
      <c r="O112" s="545" t="s">
        <v>758</v>
      </c>
      <c r="P112" s="545"/>
      <c r="Q112" s="545"/>
      <c r="R112" s="545"/>
      <c r="S112" s="545"/>
      <c r="T112" s="545"/>
      <c r="U112" s="545"/>
      <c r="V112" s="545"/>
      <c r="W112" s="545"/>
      <c r="X112" s="108"/>
      <c r="Y112" s="670"/>
      <c r="Z112" s="670"/>
      <c r="AA112" s="670"/>
      <c r="AB112" s="670"/>
      <c r="AC112" s="670"/>
      <c r="AD112" s="670"/>
      <c r="AE112" s="670"/>
      <c r="AF112" s="670"/>
      <c r="AG112" s="670"/>
      <c r="AH112" s="670"/>
      <c r="AI112" s="670"/>
      <c r="AJ112" s="670"/>
      <c r="AK112" s="670"/>
      <c r="AL112" s="670"/>
      <c r="AM112" s="255"/>
    </row>
    <row r="113" spans="1:43" s="266" customFormat="1" ht="15" customHeight="1" x14ac:dyDescent="0.2">
      <c r="A113" s="1045"/>
      <c r="B113" s="694"/>
      <c r="C113" s="694"/>
      <c r="D113" s="694"/>
      <c r="E113" s="694"/>
      <c r="F113" s="694"/>
      <c r="G113" s="694"/>
      <c r="H113" s="694"/>
      <c r="I113" s="545"/>
      <c r="J113" s="545"/>
      <c r="K113" s="545"/>
      <c r="L113" s="545"/>
      <c r="M113" s="545"/>
      <c r="N113" s="546">
        <f>ROUNDUP(SUM(519, -$I$104, -$I$105, -$I$106)/2, 0)</f>
        <v>260</v>
      </c>
      <c r="O113" s="546">
        <f>ROUNDUP(SUM(1200, -$I$104, -$I$105, -$I$106)/2, 0)</f>
        <v>600</v>
      </c>
      <c r="P113" s="545" t="s">
        <v>759</v>
      </c>
      <c r="Q113" s="545"/>
      <c r="R113" s="545"/>
      <c r="S113" s="545"/>
      <c r="T113" s="545"/>
      <c r="U113" s="545"/>
      <c r="V113" s="545"/>
      <c r="W113" s="545"/>
      <c r="X113" s="108"/>
      <c r="Y113" s="670"/>
      <c r="Z113" s="670"/>
      <c r="AA113" s="670"/>
      <c r="AB113" s="670"/>
      <c r="AC113" s="670"/>
      <c r="AD113" s="670"/>
      <c r="AE113" s="670"/>
      <c r="AF113" s="670"/>
      <c r="AG113" s="670"/>
      <c r="AH113" s="670"/>
      <c r="AI113" s="670"/>
      <c r="AJ113" s="670"/>
      <c r="AK113" s="670"/>
      <c r="AL113" s="670"/>
      <c r="AM113" s="255"/>
    </row>
    <row r="114" spans="1:43" s="266" customFormat="1" ht="15" customHeight="1" x14ac:dyDescent="0.2">
      <c r="A114" s="1045"/>
      <c r="B114" s="1070" t="str">
        <f>ListAVS!$B$215&amp;" FHo [mm] "</f>
        <v xml:space="preserve">Wysokość frontu górnego FHo [mm] </v>
      </c>
      <c r="C114" s="1071"/>
      <c r="D114" s="1071"/>
      <c r="E114" s="1071"/>
      <c r="F114" s="1071"/>
      <c r="G114" s="1071"/>
      <c r="H114" s="1072"/>
      <c r="I114" s="1073"/>
      <c r="J114" s="1073"/>
      <c r="K114" s="547" t="str">
        <f>IF($I$103=0," ",IF($I$114&gt;$J$111,V114,IF($I$114&lt;$H$111,$S$114," ")))</f>
        <v xml:space="preserve"> </v>
      </c>
      <c r="L114" s="545"/>
      <c r="M114" s="545"/>
      <c r="N114" s="546">
        <f>SUM(I103, -I104, -I105, -I106, -N118)</f>
        <v>-219</v>
      </c>
      <c r="O114" s="248">
        <f>SUM(I103, -I104, -I105, -I106, -O118)</f>
        <v>-238</v>
      </c>
      <c r="P114" s="545" t="s">
        <v>760</v>
      </c>
      <c r="Q114" s="545"/>
      <c r="R114" s="545"/>
      <c r="S114" s="545" t="str">
        <f>" min. "&amp;TEXT($H$111,"#")&amp;" mm!"</f>
        <v xml:space="preserve"> min. nie można mm!</v>
      </c>
      <c r="T114" s="545"/>
      <c r="U114" s="545"/>
      <c r="V114" s="545" t="str">
        <f>" max. "&amp;TEXT($J$111,"#")&amp;" mm!"</f>
        <v xml:space="preserve"> max. nie można mm!</v>
      </c>
      <c r="W114" s="545"/>
      <c r="X114" s="108"/>
      <c r="Y114" s="670"/>
      <c r="Z114" s="670"/>
      <c r="AA114" s="670"/>
      <c r="AB114" s="670"/>
      <c r="AC114" s="670"/>
      <c r="AD114" s="670"/>
      <c r="AE114" s="670"/>
      <c r="AF114" s="670"/>
      <c r="AG114" s="670"/>
      <c r="AH114" s="670"/>
      <c r="AI114" s="670"/>
      <c r="AJ114" s="670"/>
      <c r="AK114" s="670"/>
      <c r="AL114" s="670"/>
      <c r="AM114" s="255"/>
    </row>
    <row r="115" spans="1:43" s="266" customFormat="1" ht="15" customHeight="1" x14ac:dyDescent="0.2">
      <c r="A115" s="1045"/>
      <c r="B115" s="1070" t="str">
        <f>ListAVS!$B$216&amp;" FHu [mm] "</f>
        <v xml:space="preserve">Wysokość frontu dolnego FHu [mm] </v>
      </c>
      <c r="C115" s="1071"/>
      <c r="D115" s="1071"/>
      <c r="E115" s="1071"/>
      <c r="F115" s="1071"/>
      <c r="G115" s="1071"/>
      <c r="H115" s="1072"/>
      <c r="I115" s="1074" t="str">
        <f>IF($I$114&lt;$H$111,$S$115,IF($I$114&gt;$J$111,$S$115,+$I$103-$I$104-$I$105-$I$106-$I$114))</f>
        <v>nie można</v>
      </c>
      <c r="J115" s="1074"/>
      <c r="K115" s="548"/>
      <c r="L115" s="545"/>
      <c r="M115" s="545"/>
      <c r="N115" s="959">
        <f>IF($N$114&gt;$N$113, $N$113, $N$114)</f>
        <v>-219</v>
      </c>
      <c r="O115" s="959">
        <f>IF($O$114&gt;$O$113, $O$113, $O$114)</f>
        <v>-238</v>
      </c>
      <c r="P115" s="545" t="s">
        <v>767</v>
      </c>
      <c r="Q115" s="118"/>
      <c r="R115" s="545"/>
      <c r="S115" s="545" t="str">
        <f>ListAVS!B212</f>
        <v>nie można</v>
      </c>
      <c r="T115" s="545"/>
      <c r="U115" s="545"/>
      <c r="V115" s="545"/>
      <c r="W115" s="545"/>
      <c r="X115" s="108"/>
      <c r="Y115" s="670"/>
      <c r="Z115" s="670"/>
      <c r="AA115" s="670"/>
      <c r="AB115" s="670"/>
      <c r="AC115" s="670"/>
      <c r="AD115" s="670"/>
      <c r="AE115" s="670"/>
      <c r="AF115" s="670"/>
      <c r="AG115" s="670"/>
      <c r="AH115" s="670"/>
      <c r="AI115" s="670"/>
      <c r="AJ115" s="670"/>
      <c r="AK115" s="670"/>
      <c r="AL115" s="670"/>
      <c r="AM115" s="255"/>
    </row>
    <row r="116" spans="1:43" s="266" customFormat="1" ht="15" customHeight="1" x14ac:dyDescent="0.2">
      <c r="A116" s="1045"/>
      <c r="B116" s="1070" t="str">
        <f>ListAVS!$B$217&amp;" H [mm] "</f>
        <v xml:space="preserve">Pozycja siłownika H [mm] </v>
      </c>
      <c r="C116" s="1071"/>
      <c r="D116" s="1071"/>
      <c r="E116" s="1071"/>
      <c r="F116" s="1071"/>
      <c r="G116" s="1071"/>
      <c r="H116" s="1072"/>
      <c r="I116" s="1074" t="str">
        <f>IF(AND($I$103&gt;=480, $I$103&lt;520), $N$107, IF(AND($I$103&gt;=520, $I$103&lt;=1200), $O$107, $S$115))</f>
        <v>nie można</v>
      </c>
      <c r="J116" s="1074"/>
      <c r="K116" s="545"/>
      <c r="L116" s="545"/>
      <c r="M116" s="545"/>
      <c r="N116" s="957" t="s">
        <v>761</v>
      </c>
      <c r="O116" s="958" t="s">
        <v>761</v>
      </c>
      <c r="P116" s="545"/>
      <c r="Q116" s="545"/>
      <c r="R116" s="545"/>
      <c r="S116" s="545"/>
      <c r="T116" s="545"/>
      <c r="U116" s="545"/>
      <c r="V116" s="545"/>
      <c r="W116" s="545"/>
      <c r="X116" s="108"/>
      <c r="Y116" s="670"/>
      <c r="Z116" s="670"/>
      <c r="AA116" s="670"/>
      <c r="AB116" s="670"/>
      <c r="AC116" s="670"/>
      <c r="AD116" s="670"/>
      <c r="AE116" s="670"/>
      <c r="AF116" s="670"/>
      <c r="AG116" s="670"/>
      <c r="AH116" s="670"/>
      <c r="AI116" s="670"/>
      <c r="AJ116" s="670"/>
      <c r="AK116" s="670"/>
      <c r="AL116" s="670"/>
      <c r="AM116" s="255"/>
    </row>
    <row r="117" spans="1:43" s="266" customFormat="1" ht="15" customHeight="1" x14ac:dyDescent="0.2">
      <c r="A117" s="1045"/>
      <c r="B117" s="1070" t="str">
        <f>ListAVS!$B$218&amp;" Z [mm] "</f>
        <v xml:space="preserve">Pozycja podkładki montażowej do podnośnika teleskopowego Z [mm] </v>
      </c>
      <c r="C117" s="1071"/>
      <c r="D117" s="1071"/>
      <c r="E117" s="1071"/>
      <c r="F117" s="1071"/>
      <c r="G117" s="1071"/>
      <c r="H117" s="1072"/>
      <c r="I117" s="1074" t="str">
        <f>IF(AND($I$103&gt;=480, $I$103&lt;520), $N$106, IF(AND($I$103&gt;=520, $I$103&lt;=1200), $O$106, $S$115))</f>
        <v>nie można</v>
      </c>
      <c r="J117" s="1074"/>
      <c r="K117" s="545"/>
      <c r="L117" s="545"/>
      <c r="M117" s="545"/>
      <c r="N117" s="545" t="s">
        <v>754</v>
      </c>
      <c r="O117" s="545" t="s">
        <v>754</v>
      </c>
      <c r="P117" s="545"/>
      <c r="Q117" s="545"/>
      <c r="R117" s="545"/>
      <c r="S117" s="545"/>
      <c r="T117" s="545"/>
      <c r="U117" s="545"/>
      <c r="V117" s="545"/>
      <c r="W117" s="545"/>
      <c r="X117" s="108"/>
      <c r="Y117" s="670"/>
      <c r="Z117" s="670"/>
      <c r="AA117" s="670"/>
      <c r="AB117" s="670"/>
      <c r="AC117" s="670"/>
      <c r="AD117" s="670"/>
      <c r="AE117" s="670"/>
      <c r="AF117" s="670"/>
      <c r="AG117" s="670"/>
      <c r="AH117" s="670"/>
      <c r="AI117" s="670"/>
      <c r="AJ117" s="670"/>
      <c r="AK117" s="670"/>
      <c r="AL117" s="670"/>
      <c r="AM117" s="255"/>
    </row>
    <row r="118" spans="1:43" s="266" customFormat="1" ht="15" customHeight="1" x14ac:dyDescent="0.2">
      <c r="A118" s="1045"/>
      <c r="B118" s="1070" t="str">
        <f>ListAVS!$B$219&amp;" TKH [mm] * "</f>
        <v xml:space="preserve">Teoretyczna wysokość korpusu TKH [mm] * </v>
      </c>
      <c r="C118" s="1071"/>
      <c r="D118" s="1071"/>
      <c r="E118" s="1071"/>
      <c r="F118" s="1071"/>
      <c r="G118" s="1071"/>
      <c r="H118" s="1072"/>
      <c r="I118" s="1090" t="str">
        <f>IF($I$115=$S$115, $S$115, IF($Q$118&gt;=480, IF($Q$118&lt;=1202, $Q$118, $S$115)," "))</f>
        <v>nie można</v>
      </c>
      <c r="J118" s="1090"/>
      <c r="K118" s="545"/>
      <c r="L118" s="545"/>
      <c r="M118" s="545"/>
      <c r="N118" s="546">
        <f>SUM(N106, 32, 17, $I$107, -$I$106)</f>
        <v>219</v>
      </c>
      <c r="O118" s="546">
        <f>SUM(O106, 32, 17, $I$107, -$I$106)</f>
        <v>238</v>
      </c>
      <c r="P118" s="545" t="s">
        <v>62</v>
      </c>
      <c r="Q118" s="545">
        <f>ROUND(SUM($I$114*2+$I$104+$I$105+$I$106), -1)</f>
        <v>0</v>
      </c>
      <c r="R118" s="545"/>
      <c r="S118" s="545"/>
      <c r="T118" s="545"/>
      <c r="U118" s="545"/>
      <c r="V118" s="545"/>
      <c r="W118" s="545"/>
      <c r="X118" s="108"/>
      <c r="Y118" s="670"/>
      <c r="Z118" s="670"/>
      <c r="AA118" s="670"/>
      <c r="AB118" s="670"/>
      <c r="AC118" s="670"/>
      <c r="AD118" s="670"/>
      <c r="AE118" s="670"/>
      <c r="AF118" s="670"/>
      <c r="AG118" s="670"/>
      <c r="AH118" s="670"/>
      <c r="AI118" s="670"/>
      <c r="AJ118" s="670"/>
      <c r="AK118" s="670"/>
      <c r="AL118" s="670"/>
      <c r="AM118" s="255"/>
    </row>
    <row r="119" spans="1:43" s="266" customFormat="1" ht="15" customHeight="1" x14ac:dyDescent="0.2">
      <c r="A119" s="1045"/>
      <c r="B119" s="545"/>
      <c r="C119" s="545"/>
      <c r="D119" s="545"/>
      <c r="E119" s="545"/>
      <c r="F119" s="545"/>
      <c r="G119" s="545"/>
      <c r="H119" s="545"/>
      <c r="I119" s="545"/>
      <c r="J119" s="545"/>
      <c r="K119" s="545"/>
      <c r="L119" s="545"/>
      <c r="M119" s="545"/>
      <c r="N119" s="545" t="s">
        <v>758</v>
      </c>
      <c r="O119" s="545" t="s">
        <v>758</v>
      </c>
      <c r="P119" s="545"/>
      <c r="Q119" s="546"/>
      <c r="R119" s="545"/>
      <c r="S119" s="545"/>
      <c r="T119" s="545"/>
      <c r="U119" s="545"/>
      <c r="V119" s="545"/>
      <c r="W119" s="545"/>
      <c r="X119" s="108"/>
      <c r="Y119" s="670"/>
      <c r="Z119" s="670"/>
      <c r="AA119" s="670"/>
      <c r="AB119" s="670"/>
      <c r="AC119" s="670"/>
      <c r="AD119" s="670"/>
      <c r="AE119" s="670"/>
      <c r="AF119" s="670"/>
      <c r="AG119" s="670"/>
      <c r="AH119" s="670"/>
      <c r="AI119" s="670"/>
      <c r="AJ119" s="670"/>
      <c r="AK119" s="670"/>
      <c r="AL119" s="670"/>
      <c r="AM119" s="255"/>
    </row>
    <row r="120" spans="1:43" s="266" customFormat="1" ht="15" customHeight="1" x14ac:dyDescent="0.2">
      <c r="A120" s="1045"/>
      <c r="B120" s="553" t="s">
        <v>63</v>
      </c>
      <c r="C120" s="545" t="str">
        <f>ListAVS!$B$221</f>
        <v xml:space="preserve">Wprowadź tę wysokość do tabelki służącej do planowania podnośników </v>
      </c>
      <c r="D120" s="545"/>
      <c r="E120" s="545"/>
      <c r="F120" s="545"/>
      <c r="G120" s="545"/>
      <c r="H120" s="545"/>
      <c r="I120" s="545"/>
      <c r="J120" s="545"/>
      <c r="K120" s="545"/>
      <c r="L120" s="545"/>
      <c r="M120" s="545"/>
      <c r="N120" s="546">
        <f>ROUNDDOWN(SUM(I103, -I104, -I105, -I106)/2, 0)</f>
        <v>0</v>
      </c>
      <c r="O120" s="546">
        <f>ROUNDDOWN(SUM(I103, -I104, -I105, -I106)/2, 0)</f>
        <v>0</v>
      </c>
      <c r="P120" s="545"/>
      <c r="Q120" s="546"/>
      <c r="R120" s="545"/>
      <c r="S120" s="545"/>
      <c r="T120" s="545"/>
      <c r="U120" s="545"/>
      <c r="V120" s="545"/>
      <c r="W120" s="545"/>
      <c r="X120" s="108"/>
      <c r="Y120" s="670"/>
      <c r="Z120" s="670"/>
      <c r="AA120" s="670"/>
      <c r="AB120" s="670"/>
      <c r="AC120" s="670"/>
      <c r="AD120" s="670"/>
      <c r="AE120" s="670"/>
      <c r="AF120" s="670"/>
      <c r="AG120" s="670"/>
      <c r="AH120" s="670"/>
      <c r="AI120" s="670"/>
      <c r="AJ120" s="670"/>
      <c r="AK120" s="670"/>
      <c r="AL120" s="670"/>
      <c r="AM120" s="255"/>
    </row>
    <row r="121" spans="1:43" s="266" customFormat="1" ht="15" customHeight="1" x14ac:dyDescent="0.2">
      <c r="A121" s="1045"/>
      <c r="B121" s="545"/>
      <c r="C121" s="545"/>
      <c r="D121" s="545"/>
      <c r="E121" s="545"/>
      <c r="F121" s="545"/>
      <c r="G121" s="545"/>
      <c r="H121" s="545"/>
      <c r="I121" s="545"/>
      <c r="J121" s="545"/>
      <c r="K121" s="545"/>
      <c r="L121" s="545"/>
      <c r="M121" s="545"/>
      <c r="N121" s="545"/>
      <c r="O121" s="546"/>
      <c r="P121" s="545"/>
      <c r="Q121" s="546"/>
      <c r="R121" s="545"/>
      <c r="S121" s="545"/>
      <c r="T121" s="545"/>
      <c r="U121" s="545"/>
      <c r="V121" s="545"/>
      <c r="W121" s="545"/>
      <c r="X121" s="108"/>
      <c r="Y121" s="670"/>
      <c r="Z121" s="670"/>
      <c r="AA121" s="670"/>
      <c r="AB121" s="670"/>
      <c r="AC121" s="670"/>
      <c r="AD121" s="670"/>
      <c r="AE121" s="670"/>
      <c r="AF121" s="670"/>
      <c r="AG121" s="670"/>
      <c r="AH121" s="670"/>
      <c r="AI121" s="670"/>
      <c r="AJ121" s="670"/>
      <c r="AK121" s="670"/>
      <c r="AL121" s="670"/>
    </row>
    <row r="122" spans="1:43" s="266" customFormat="1" ht="15" customHeight="1" x14ac:dyDescent="0.2">
      <c r="A122" s="1045"/>
      <c r="B122" s="255"/>
      <c r="C122" s="255"/>
      <c r="D122" s="255"/>
      <c r="E122" s="255"/>
      <c r="F122" s="255"/>
      <c r="G122" s="255"/>
      <c r="H122" s="255"/>
      <c r="I122" s="255"/>
      <c r="J122" s="255"/>
      <c r="K122" s="255"/>
      <c r="L122" s="255"/>
      <c r="M122" s="255"/>
      <c r="N122" s="255"/>
      <c r="O122" s="248"/>
      <c r="P122" s="255"/>
      <c r="Q122" s="248"/>
      <c r="R122" s="255"/>
      <c r="S122" s="255"/>
      <c r="T122" s="255"/>
      <c r="U122" s="255"/>
      <c r="V122" s="255"/>
      <c r="W122" s="255"/>
      <c r="X122" s="670"/>
      <c r="Y122" s="670"/>
      <c r="Z122" s="670"/>
      <c r="AA122" s="670"/>
      <c r="AB122" s="670"/>
      <c r="AC122" s="670"/>
      <c r="AD122" s="670"/>
      <c r="AE122" s="670"/>
      <c r="AF122" s="670"/>
      <c r="AG122" s="670"/>
      <c r="AH122" s="670"/>
      <c r="AI122" s="670"/>
      <c r="AJ122" s="670"/>
      <c r="AK122" s="670"/>
      <c r="AL122" s="670"/>
    </row>
    <row r="123" spans="1:43" s="266" customFormat="1" ht="15" customHeight="1" x14ac:dyDescent="0.2">
      <c r="A123" s="1045"/>
      <c r="B123" s="255"/>
      <c r="C123" s="255"/>
      <c r="D123" s="255"/>
      <c r="E123" s="255"/>
      <c r="F123" s="255"/>
      <c r="G123" s="255"/>
      <c r="H123" s="255"/>
      <c r="I123" s="255"/>
      <c r="J123" s="255"/>
      <c r="K123" s="255"/>
      <c r="L123" s="255"/>
      <c r="M123" s="255"/>
      <c r="N123" s="255"/>
      <c r="O123" s="248"/>
      <c r="P123" s="255"/>
      <c r="Q123" s="248"/>
      <c r="R123" s="255"/>
      <c r="S123" s="255"/>
      <c r="T123" s="255"/>
      <c r="U123" s="255"/>
      <c r="V123" s="255"/>
      <c r="W123" s="255"/>
      <c r="X123" s="670"/>
      <c r="Y123" s="670"/>
      <c r="Z123" s="670"/>
      <c r="AA123" s="670"/>
      <c r="AB123" s="670"/>
      <c r="AC123" s="670"/>
      <c r="AD123" s="670"/>
      <c r="AE123" s="670"/>
      <c r="AF123" s="670"/>
      <c r="AG123" s="670"/>
      <c r="AH123" s="670"/>
      <c r="AI123" s="670"/>
      <c r="AJ123" s="670"/>
      <c r="AK123" s="670"/>
      <c r="AL123" s="670"/>
    </row>
    <row r="124" spans="1:43" s="266" customFormat="1" ht="15" customHeight="1" x14ac:dyDescent="0.2">
      <c r="A124" s="1045"/>
      <c r="B124" s="255"/>
      <c r="C124" s="255"/>
      <c r="D124" s="255"/>
      <c r="E124" s="255"/>
      <c r="F124" s="255"/>
      <c r="G124" s="255"/>
      <c r="H124" s="255"/>
      <c r="I124" s="255"/>
      <c r="J124" s="255"/>
      <c r="K124" s="255"/>
      <c r="L124" s="255"/>
      <c r="M124" s="255"/>
      <c r="N124" s="255"/>
      <c r="O124" s="248"/>
      <c r="P124" s="255"/>
      <c r="Q124" s="248"/>
      <c r="R124" s="255"/>
      <c r="S124" s="255"/>
      <c r="T124" s="255"/>
      <c r="U124" s="255"/>
      <c r="V124" s="255"/>
      <c r="W124" s="255"/>
      <c r="X124" s="670"/>
      <c r="Y124" s="670"/>
      <c r="Z124" s="670"/>
      <c r="AA124" s="670"/>
      <c r="AB124" s="670"/>
      <c r="AC124" s="670"/>
      <c r="AD124" s="670"/>
      <c r="AE124" s="670"/>
      <c r="AF124" s="670"/>
      <c r="AG124" s="670"/>
      <c r="AH124" s="670"/>
      <c r="AI124" s="670"/>
      <c r="AJ124" s="670"/>
      <c r="AK124" s="670"/>
      <c r="AL124" s="670"/>
    </row>
    <row r="125" spans="1:43" s="266" customFormat="1" ht="15" customHeight="1" x14ac:dyDescent="0.2">
      <c r="A125" s="1045"/>
      <c r="B125" s="605"/>
      <c r="C125" s="605"/>
      <c r="D125" s="255"/>
      <c r="E125" s="255"/>
      <c r="F125" s="255"/>
      <c r="G125" s="255"/>
      <c r="H125" s="255"/>
      <c r="I125" s="1128" t="str">
        <f>ListAVS!$B$168</f>
        <v>Z powrotem</v>
      </c>
      <c r="J125" s="1128"/>
      <c r="K125" s="255"/>
      <c r="L125" s="255"/>
      <c r="M125" s="255"/>
      <c r="N125" s="255"/>
      <c r="O125" s="248"/>
      <c r="P125" s="255"/>
      <c r="Q125" s="248"/>
      <c r="R125" s="255"/>
      <c r="S125" s="255"/>
      <c r="T125" s="255"/>
      <c r="U125" s="255"/>
      <c r="V125" s="255"/>
      <c r="W125" s="255"/>
      <c r="X125" s="670"/>
      <c r="Y125" s="670"/>
      <c r="Z125" s="670"/>
      <c r="AA125" s="670"/>
      <c r="AB125" s="670"/>
      <c r="AC125" s="670"/>
      <c r="AD125" s="670"/>
      <c r="AE125" s="670"/>
      <c r="AF125" s="670"/>
      <c r="AG125" s="670"/>
      <c r="AH125" s="670"/>
      <c r="AI125" s="670"/>
      <c r="AJ125" s="670"/>
      <c r="AK125" s="670"/>
      <c r="AL125" s="670"/>
      <c r="AP125" s="255"/>
      <c r="AQ125" s="255"/>
    </row>
    <row r="126" spans="1:43" s="255" customFormat="1" ht="15" customHeight="1" x14ac:dyDescent="0.2">
      <c r="A126" s="1045"/>
      <c r="O126" s="248"/>
      <c r="Q126" s="248"/>
      <c r="X126" s="670"/>
      <c r="Y126" s="670"/>
      <c r="Z126" s="670"/>
      <c r="AA126" s="670"/>
      <c r="AB126" s="670"/>
      <c r="AC126" s="670"/>
      <c r="AD126" s="670"/>
      <c r="AE126" s="670"/>
      <c r="AF126" s="670"/>
      <c r="AG126" s="670"/>
      <c r="AH126" s="670"/>
      <c r="AI126" s="670"/>
      <c r="AJ126" s="670"/>
      <c r="AK126" s="670"/>
      <c r="AL126" s="670"/>
      <c r="AM126" s="266"/>
      <c r="AN126" s="137"/>
      <c r="AO126" s="137"/>
      <c r="AP126" s="37"/>
      <c r="AQ126" s="37"/>
    </row>
    <row r="127" spans="1:43" s="37" customFormat="1" x14ac:dyDescent="0.2">
      <c r="A127" s="1045"/>
      <c r="O127" s="118"/>
      <c r="Q127" s="118"/>
      <c r="X127" s="108"/>
      <c r="Y127" s="108"/>
      <c r="Z127" s="108"/>
      <c r="AA127" s="108"/>
      <c r="AB127" s="108"/>
      <c r="AC127" s="108"/>
      <c r="AD127" s="108"/>
      <c r="AE127" s="108"/>
      <c r="AF127" s="108"/>
      <c r="AG127" s="108"/>
      <c r="AH127" s="108"/>
      <c r="AI127" s="108"/>
      <c r="AJ127" s="108"/>
      <c r="AK127" s="108"/>
      <c r="AL127" s="108"/>
      <c r="AM127" s="137"/>
      <c r="AN127" s="137"/>
      <c r="AO127" s="137"/>
    </row>
    <row r="128" spans="1:43" s="37" customFormat="1" x14ac:dyDescent="0.2">
      <c r="A128" s="1045"/>
      <c r="O128" s="118"/>
      <c r="Q128" s="118"/>
      <c r="X128" s="108"/>
      <c r="Y128" s="108"/>
      <c r="Z128" s="108"/>
      <c r="AA128" s="108"/>
      <c r="AB128" s="108"/>
      <c r="AC128" s="108"/>
      <c r="AD128" s="108"/>
      <c r="AE128" s="108"/>
      <c r="AF128" s="108"/>
      <c r="AG128" s="108"/>
      <c r="AH128" s="108"/>
      <c r="AI128" s="108"/>
      <c r="AJ128" s="108"/>
      <c r="AK128" s="108"/>
      <c r="AL128" s="108"/>
      <c r="AM128" s="137"/>
      <c r="AN128" s="137"/>
      <c r="AO128" s="137"/>
    </row>
    <row r="129" spans="1:43" s="37" customFormat="1" x14ac:dyDescent="0.2">
      <c r="A129" s="1045"/>
      <c r="O129" s="118"/>
      <c r="Q129" s="118"/>
      <c r="X129" s="108"/>
      <c r="Y129" s="108"/>
      <c r="Z129" s="108"/>
      <c r="AA129" s="108"/>
      <c r="AB129" s="108"/>
      <c r="AC129" s="108"/>
      <c r="AD129" s="108"/>
      <c r="AE129" s="108"/>
      <c r="AF129" s="108"/>
      <c r="AG129" s="108"/>
      <c r="AH129" s="108"/>
      <c r="AI129" s="108"/>
      <c r="AJ129" s="108"/>
      <c r="AK129" s="108"/>
      <c r="AL129" s="108"/>
      <c r="AM129" s="137"/>
      <c r="AN129" s="137"/>
      <c r="AO129" s="137"/>
    </row>
    <row r="130" spans="1:43" s="37" customFormat="1" x14ac:dyDescent="0.2">
      <c r="A130" s="1045"/>
      <c r="O130" s="118"/>
      <c r="Q130" s="118"/>
      <c r="X130" s="108"/>
      <c r="Y130" s="108"/>
      <c r="Z130" s="108"/>
      <c r="AA130" s="108"/>
      <c r="AB130" s="108"/>
      <c r="AC130" s="108"/>
      <c r="AD130" s="108"/>
      <c r="AE130" s="108"/>
      <c r="AF130" s="108"/>
      <c r="AG130" s="108"/>
      <c r="AH130" s="108"/>
      <c r="AI130" s="108"/>
      <c r="AJ130" s="108"/>
      <c r="AK130" s="108"/>
      <c r="AL130" s="108"/>
      <c r="AM130" s="137"/>
      <c r="AN130" s="137"/>
      <c r="AO130" s="137"/>
    </row>
    <row r="131" spans="1:43" s="37" customFormat="1" x14ac:dyDescent="0.2">
      <c r="A131" s="1045"/>
      <c r="O131" s="118"/>
      <c r="Q131" s="118"/>
      <c r="X131" s="108"/>
      <c r="Y131" s="108"/>
      <c r="Z131" s="108"/>
      <c r="AA131" s="108"/>
      <c r="AB131" s="108"/>
      <c r="AC131" s="108"/>
      <c r="AD131" s="108"/>
      <c r="AE131" s="108"/>
      <c r="AF131" s="108"/>
      <c r="AG131" s="108"/>
      <c r="AH131" s="108"/>
      <c r="AI131" s="108"/>
      <c r="AJ131" s="108"/>
      <c r="AK131" s="108"/>
      <c r="AL131" s="108"/>
      <c r="AM131" s="137"/>
      <c r="AN131" s="137"/>
      <c r="AO131" s="137"/>
    </row>
    <row r="132" spans="1:43" s="37" customFormat="1" x14ac:dyDescent="0.2">
      <c r="A132" s="1045"/>
      <c r="O132" s="118"/>
      <c r="Q132" s="118"/>
      <c r="X132" s="108"/>
      <c r="Y132" s="108"/>
      <c r="Z132" s="108"/>
      <c r="AA132" s="108"/>
      <c r="AB132" s="108"/>
      <c r="AC132" s="108"/>
      <c r="AD132" s="108"/>
      <c r="AE132" s="108"/>
      <c r="AF132" s="108"/>
      <c r="AG132" s="108"/>
      <c r="AH132" s="108"/>
      <c r="AI132" s="108"/>
      <c r="AJ132" s="108"/>
      <c r="AK132" s="108"/>
      <c r="AL132" s="108"/>
      <c r="AM132" s="137"/>
      <c r="AN132" s="137"/>
      <c r="AO132" s="137"/>
    </row>
    <row r="133" spans="1:43" s="37" customFormat="1" x14ac:dyDescent="0.2">
      <c r="A133" s="1045"/>
      <c r="O133" s="118"/>
      <c r="Q133" s="118"/>
      <c r="X133" s="108"/>
      <c r="Y133" s="108"/>
      <c r="Z133" s="108"/>
      <c r="AA133" s="108"/>
      <c r="AB133" s="108"/>
      <c r="AC133" s="108"/>
      <c r="AD133" s="108"/>
      <c r="AE133" s="108"/>
      <c r="AF133" s="108"/>
      <c r="AG133" s="108"/>
      <c r="AH133" s="108"/>
      <c r="AI133" s="108"/>
      <c r="AJ133" s="108"/>
      <c r="AK133" s="108"/>
      <c r="AL133" s="108"/>
      <c r="AM133" s="137"/>
      <c r="AN133" s="137"/>
      <c r="AO133" s="137"/>
    </row>
    <row r="134" spans="1:43" s="37" customFormat="1" x14ac:dyDescent="0.2">
      <c r="A134" s="1045"/>
      <c r="O134" s="118"/>
      <c r="Q134" s="118"/>
      <c r="X134" s="108"/>
      <c r="Y134" s="108"/>
      <c r="Z134" s="108"/>
      <c r="AA134" s="108"/>
      <c r="AB134" s="108"/>
      <c r="AC134" s="108"/>
      <c r="AD134" s="108"/>
      <c r="AE134" s="108"/>
      <c r="AF134" s="108"/>
      <c r="AG134" s="108"/>
      <c r="AH134" s="108"/>
      <c r="AI134" s="108"/>
      <c r="AJ134" s="108"/>
      <c r="AK134" s="108"/>
      <c r="AL134" s="108"/>
      <c r="AM134" s="137"/>
      <c r="AN134" s="137"/>
      <c r="AO134" s="137"/>
    </row>
    <row r="135" spans="1:43" s="37" customFormat="1" x14ac:dyDescent="0.2">
      <c r="A135" s="1045"/>
      <c r="O135" s="118"/>
      <c r="Q135" s="118"/>
      <c r="X135" s="108"/>
      <c r="Y135" s="108"/>
      <c r="Z135" s="108"/>
      <c r="AA135" s="108"/>
      <c r="AB135" s="108"/>
      <c r="AC135" s="108"/>
      <c r="AD135" s="108"/>
      <c r="AE135" s="108"/>
      <c r="AF135" s="108"/>
      <c r="AG135" s="108"/>
      <c r="AH135" s="108"/>
      <c r="AI135" s="108"/>
      <c r="AJ135" s="108"/>
      <c r="AK135" s="108"/>
      <c r="AL135" s="108"/>
      <c r="AM135" s="137"/>
      <c r="AN135" s="137"/>
      <c r="AO135" s="137"/>
    </row>
    <row r="136" spans="1:43" s="37" customFormat="1" x14ac:dyDescent="0.2">
      <c r="A136" s="1045"/>
      <c r="O136" s="118"/>
      <c r="Q136" s="118"/>
      <c r="X136" s="108"/>
      <c r="Y136" s="108"/>
      <c r="Z136" s="108"/>
      <c r="AA136" s="108"/>
      <c r="AB136" s="108"/>
      <c r="AC136" s="108"/>
      <c r="AD136" s="108"/>
      <c r="AE136" s="108"/>
      <c r="AF136" s="108"/>
      <c r="AG136" s="108"/>
      <c r="AH136" s="108"/>
      <c r="AI136" s="108"/>
      <c r="AJ136" s="108"/>
      <c r="AK136" s="108"/>
      <c r="AL136" s="108"/>
      <c r="AM136" s="137"/>
      <c r="AN136" s="137"/>
      <c r="AO136" s="137"/>
    </row>
    <row r="137" spans="1:43" s="37" customFormat="1" x14ac:dyDescent="0.2">
      <c r="A137" s="1045"/>
      <c r="O137" s="118"/>
      <c r="Q137" s="118"/>
      <c r="X137" s="108"/>
      <c r="Y137" s="108"/>
      <c r="Z137" s="108"/>
      <c r="AA137" s="108"/>
      <c r="AB137" s="108"/>
      <c r="AC137" s="108"/>
      <c r="AD137" s="108"/>
      <c r="AE137" s="108"/>
      <c r="AF137" s="108"/>
      <c r="AG137" s="108"/>
      <c r="AH137" s="108"/>
      <c r="AI137" s="108"/>
      <c r="AJ137" s="108"/>
      <c r="AK137" s="108"/>
      <c r="AL137" s="108"/>
      <c r="AM137" s="137"/>
      <c r="AN137" s="137"/>
      <c r="AO137" s="137"/>
    </row>
    <row r="138" spans="1:43" s="37" customFormat="1" x14ac:dyDescent="0.2">
      <c r="A138" s="1045"/>
      <c r="O138" s="118"/>
      <c r="Q138" s="118"/>
      <c r="X138" s="108"/>
      <c r="Y138" s="108"/>
      <c r="Z138" s="108"/>
      <c r="AA138" s="108"/>
      <c r="AB138" s="108"/>
      <c r="AC138" s="108"/>
      <c r="AD138" s="108"/>
      <c r="AE138" s="108"/>
      <c r="AF138" s="108"/>
      <c r="AG138" s="108"/>
      <c r="AH138" s="108"/>
      <c r="AI138" s="108"/>
      <c r="AJ138" s="108"/>
      <c r="AK138" s="108"/>
      <c r="AL138" s="108"/>
      <c r="AM138" s="137"/>
      <c r="AN138" s="137"/>
      <c r="AO138" s="137"/>
      <c r="AP138" s="137"/>
      <c r="AQ138" s="137"/>
    </row>
    <row r="139" spans="1:43" ht="18" x14ac:dyDescent="0.2">
      <c r="A139" s="1045"/>
      <c r="B139" s="308" t="s">
        <v>11</v>
      </c>
      <c r="C139" s="321"/>
      <c r="D139" s="308"/>
      <c r="E139" s="308"/>
      <c r="F139" s="308"/>
      <c r="G139" s="308"/>
      <c r="H139" s="308"/>
      <c r="I139" s="308"/>
      <c r="J139" s="308"/>
      <c r="K139" s="308"/>
      <c r="L139" s="308"/>
    </row>
    <row r="140" spans="1:43" x14ac:dyDescent="0.2">
      <c r="A140" s="1045"/>
    </row>
    <row r="141" spans="1:43" ht="12.75" x14ac:dyDescent="0.2">
      <c r="A141" s="1045"/>
      <c r="B141" s="255" t="str">
        <f>ListAVS!$B$303</f>
        <v>Odpowiedni siłownik będzie określony za pomocą współczynnika mocy</v>
      </c>
      <c r="C141" s="255"/>
      <c r="D141" s="255"/>
      <c r="E141" s="255"/>
      <c r="F141" s="255"/>
      <c r="G141" s="255"/>
      <c r="H141" s="255"/>
      <c r="I141" s="255"/>
      <c r="J141" s="255"/>
      <c r="K141" s="255"/>
      <c r="L141" s="255"/>
    </row>
    <row r="142" spans="1:43" ht="12.75" x14ac:dyDescent="0.2">
      <c r="A142" s="1045"/>
      <c r="B142" s="255" t="str">
        <f>ListAVS!$B$304</f>
        <v>Współczynnik mocy zależy od wagi dolnego i górnego frontu oraz od wysokości korpusu</v>
      </c>
      <c r="C142" s="255"/>
      <c r="D142" s="255"/>
      <c r="E142" s="255"/>
      <c r="F142" s="255"/>
      <c r="G142" s="255"/>
      <c r="H142" s="255"/>
      <c r="I142" s="255"/>
      <c r="J142" s="255"/>
      <c r="K142" s="255"/>
      <c r="L142" s="255"/>
    </row>
    <row r="143" spans="1:43" ht="12.75" x14ac:dyDescent="0.2">
      <c r="A143" s="1045"/>
      <c r="B143" s="255"/>
      <c r="C143" s="695"/>
      <c r="D143" s="695"/>
      <c r="E143" s="695"/>
      <c r="F143" s="695"/>
      <c r="G143" s="695"/>
      <c r="H143" s="695"/>
      <c r="I143" s="695"/>
      <c r="J143" s="695"/>
      <c r="K143" s="695"/>
      <c r="L143" s="695"/>
    </row>
    <row r="144" spans="1:43" ht="15" customHeight="1" x14ac:dyDescent="0.2">
      <c r="A144" s="1045"/>
      <c r="B144" s="696"/>
      <c r="C144" s="696"/>
      <c r="D144" s="696"/>
      <c r="E144" s="696"/>
      <c r="F144" s="696"/>
      <c r="G144" s="696"/>
      <c r="H144" s="696"/>
      <c r="I144" s="696"/>
      <c r="J144" s="696"/>
      <c r="K144" s="696"/>
      <c r="L144" s="696"/>
    </row>
    <row r="145" spans="1:12" ht="18" customHeight="1" x14ac:dyDescent="0.2">
      <c r="A145" s="1045"/>
      <c r="B145" s="697"/>
      <c r="C145" s="697"/>
      <c r="D145" s="698" t="str">
        <f>ListAVS!$B$86&amp;" = "</f>
        <v xml:space="preserve">Współczynnik mocy = </v>
      </c>
      <c r="E145" s="1068" t="str">
        <f>ListAVS!$B$320&amp;" [kg]"</f>
        <v>wysokość korpusu (KH) [mm] x waga obu frontów wraz z uchwytem [kg]</v>
      </c>
      <c r="F145" s="1068"/>
      <c r="G145" s="1068"/>
      <c r="H145" s="1068"/>
      <c r="I145" s="1068"/>
      <c r="J145" s="1068"/>
      <c r="K145" s="1068"/>
      <c r="L145" s="1068"/>
    </row>
    <row r="146" spans="1:12" ht="12.75" x14ac:dyDescent="0.2">
      <c r="A146" s="1045"/>
      <c r="B146" s="255"/>
      <c r="C146" s="255"/>
      <c r="D146" s="255"/>
      <c r="E146" s="255"/>
      <c r="F146" s="255"/>
      <c r="G146" s="255"/>
      <c r="H146" s="255"/>
      <c r="I146" s="255"/>
      <c r="J146" s="255"/>
      <c r="K146" s="255"/>
      <c r="L146" s="255"/>
    </row>
    <row r="147" spans="1:12" ht="12.75" x14ac:dyDescent="0.2">
      <c r="A147" s="1045"/>
      <c r="B147" s="255"/>
      <c r="C147" s="255"/>
      <c r="D147" s="255"/>
      <c r="E147" s="255"/>
      <c r="F147" s="255"/>
      <c r="G147" s="255"/>
      <c r="H147" s="255"/>
      <c r="I147" s="255"/>
      <c r="J147" s="255"/>
      <c r="K147" s="255"/>
      <c r="L147" s="255"/>
    </row>
    <row r="148" spans="1:12" ht="12.75" x14ac:dyDescent="0.2">
      <c r="A148" s="1045"/>
      <c r="B148" s="255"/>
      <c r="C148" s="255"/>
      <c r="D148" s="255"/>
      <c r="E148" s="255"/>
      <c r="F148" s="255"/>
      <c r="G148" s="255"/>
      <c r="H148" s="255"/>
      <c r="I148" s="255"/>
      <c r="J148" s="255"/>
      <c r="K148" s="255"/>
      <c r="L148" s="255"/>
    </row>
    <row r="149" spans="1:12" ht="12.75" x14ac:dyDescent="0.2">
      <c r="A149" s="1045"/>
      <c r="B149" s="273"/>
      <c r="C149" s="255"/>
      <c r="D149" s="255"/>
      <c r="E149" s="255"/>
      <c r="F149" s="255"/>
      <c r="G149" s="255"/>
      <c r="H149" s="255"/>
      <c r="I149" s="255"/>
      <c r="J149" s="255"/>
      <c r="K149" s="255"/>
      <c r="L149" s="255"/>
    </row>
    <row r="150" spans="1:12" ht="12.75" x14ac:dyDescent="0.2">
      <c r="A150" s="1045"/>
      <c r="B150" s="255"/>
      <c r="C150" s="255"/>
      <c r="D150" s="255"/>
      <c r="E150" s="255"/>
      <c r="F150" s="255"/>
      <c r="G150" s="255"/>
      <c r="H150" s="255"/>
      <c r="I150" s="255"/>
      <c r="J150" s="255"/>
      <c r="K150" s="255"/>
      <c r="L150" s="255"/>
    </row>
    <row r="151" spans="1:12" ht="12.75" x14ac:dyDescent="0.2">
      <c r="A151" s="1045"/>
      <c r="B151" s="255" t="str">
        <f>ListAVS!$B$312</f>
        <v>Jeśli znasz wagę frontu, możesz ją wprowadzić, w przeciwnym razie skorzystaj z „Obliczenia wagi”.</v>
      </c>
      <c r="C151" s="255"/>
      <c r="D151" s="255"/>
      <c r="E151" s="255"/>
      <c r="F151" s="255"/>
      <c r="G151" s="255"/>
      <c r="H151" s="255"/>
      <c r="I151" s="255"/>
      <c r="J151" s="255"/>
      <c r="K151" s="255"/>
      <c r="L151" s="255"/>
    </row>
    <row r="152" spans="1:12" ht="12.75" x14ac:dyDescent="0.2">
      <c r="A152" s="1045"/>
      <c r="B152" s="255" t="str">
        <f>ListAVS!$B$313</f>
        <v>W tabeli wprowadzona wartość ma pierwszeństwo aby skorzystać z wagi obliczeniowej, należy usunąć wprowadzoną wartość.</v>
      </c>
      <c r="C152" s="255"/>
      <c r="D152" s="255"/>
      <c r="E152" s="255"/>
      <c r="F152" s="255"/>
      <c r="G152" s="255"/>
      <c r="H152" s="255"/>
      <c r="I152" s="255"/>
      <c r="J152" s="255"/>
      <c r="K152" s="255"/>
      <c r="L152" s="255"/>
    </row>
    <row r="153" spans="1:12" ht="12.75" x14ac:dyDescent="0.2">
      <c r="A153" s="1045"/>
      <c r="B153" s="255"/>
      <c r="C153" s="255"/>
      <c r="D153" s="255"/>
      <c r="E153" s="255"/>
      <c r="F153" s="255"/>
      <c r="G153" s="255"/>
      <c r="H153" s="255"/>
      <c r="I153" s="255"/>
      <c r="J153" s="255"/>
      <c r="K153" s="255"/>
      <c r="L153" s="255"/>
    </row>
    <row r="154" spans="1:12" ht="12.75" x14ac:dyDescent="0.2">
      <c r="A154" s="1045"/>
      <c r="B154" s="255" t="str">
        <f>ListAVS!$B$323&amp;". "&amp;ListAVS!$B$324&amp;"."</f>
        <v>Długość podnośnika teleskopowego zależy od wysokości korpusu KH. W przypadku frontów asymetrycznych wykorzystuje się wysokość teoretyczną TKH.</v>
      </c>
      <c r="C154" s="255"/>
      <c r="D154" s="255"/>
      <c r="E154" s="255"/>
      <c r="F154" s="255"/>
      <c r="G154" s="255"/>
      <c r="H154" s="255"/>
      <c r="I154" s="255"/>
      <c r="J154" s="255"/>
      <c r="K154" s="255"/>
      <c r="L154" s="255"/>
    </row>
    <row r="155" spans="1:12" ht="12.75" x14ac:dyDescent="0.2">
      <c r="A155" s="1045"/>
      <c r="B155" s="255"/>
      <c r="C155" s="255"/>
      <c r="D155" s="255"/>
      <c r="E155" s="255"/>
      <c r="F155" s="255"/>
      <c r="G155" s="255"/>
      <c r="H155" s="255"/>
      <c r="I155" s="255"/>
      <c r="J155" s="255"/>
      <c r="K155" s="255"/>
      <c r="L155" s="255"/>
    </row>
    <row r="156" spans="1:12" ht="15" customHeight="1" x14ac:dyDescent="0.2">
      <c r="A156" s="1045"/>
      <c r="B156" s="699" t="str">
        <f>" "&amp;ListAVS!$B$163&amp;":"</f>
        <v xml:space="preserve"> Fronty asymetryczne:</v>
      </c>
      <c r="C156" s="700"/>
      <c r="D156" s="700"/>
      <c r="E156" s="700"/>
      <c r="F156" s="700"/>
      <c r="G156" s="700"/>
      <c r="H156" s="700"/>
      <c r="I156" s="700"/>
      <c r="J156" s="700"/>
      <c r="K156" s="700"/>
      <c r="L156" s="700"/>
    </row>
    <row r="157" spans="1:12" ht="18" customHeight="1" x14ac:dyDescent="0.2">
      <c r="A157" s="1045"/>
      <c r="B157" s="701" t="str">
        <f>" "&amp;ListAVS!$B$321</f>
        <v xml:space="preserve"> Teoretyczna wysokość korpusu (TKH) = wysokość frontu górnego (FHo) x 2 + szczeliny</v>
      </c>
      <c r="C157" s="700"/>
      <c r="D157" s="700"/>
      <c r="E157" s="700"/>
      <c r="F157" s="700"/>
      <c r="G157" s="700"/>
      <c r="H157" s="700"/>
      <c r="I157" s="700"/>
      <c r="J157" s="700"/>
      <c r="K157" s="700"/>
      <c r="L157" s="700"/>
    </row>
    <row r="158" spans="1:12" ht="12.75" x14ac:dyDescent="0.2">
      <c r="A158" s="1045"/>
      <c r="B158" s="255"/>
      <c r="C158" s="255"/>
      <c r="D158" s="255"/>
      <c r="E158" s="255"/>
      <c r="F158" s="255"/>
      <c r="G158" s="255"/>
      <c r="H158" s="255"/>
      <c r="I158" s="255"/>
      <c r="J158" s="255"/>
      <c r="K158" s="255"/>
      <c r="L158" s="255"/>
    </row>
    <row r="159" spans="1:12" ht="12.75" x14ac:dyDescent="0.2">
      <c r="A159" s="1045"/>
      <c r="B159" s="255" t="str">
        <f>ListAVS!$B$316</f>
        <v>W przypadku frontów asymetrycznych, większy front musi być na górze!</v>
      </c>
      <c r="C159" s="255"/>
      <c r="D159" s="255"/>
      <c r="E159" s="255"/>
      <c r="F159" s="255"/>
      <c r="G159" s="255"/>
      <c r="H159" s="255"/>
      <c r="I159" s="255"/>
      <c r="J159" s="255"/>
      <c r="K159" s="255"/>
      <c r="L159" s="255"/>
    </row>
    <row r="160" spans="1:12" ht="12.75" x14ac:dyDescent="0.2">
      <c r="A160" s="1045"/>
      <c r="B160" s="255"/>
      <c r="C160" s="255"/>
      <c r="D160" s="255"/>
      <c r="E160" s="255"/>
      <c r="F160" s="255"/>
      <c r="G160" s="255"/>
      <c r="H160" s="255"/>
      <c r="I160" s="255"/>
      <c r="J160" s="255"/>
      <c r="K160" s="255"/>
      <c r="L160" s="255"/>
    </row>
    <row r="161" spans="1:12" ht="12.75" x14ac:dyDescent="0.2">
      <c r="A161" s="1045"/>
      <c r="B161" s="255" t="str">
        <f>ListAVS!$B$326</f>
        <v>Jeżeli podasz wartość TKH, będzie ona wykorzystana do określenia długości podnośnika teleskopowego</v>
      </c>
      <c r="C161" s="255"/>
      <c r="D161" s="255"/>
      <c r="E161" s="255"/>
      <c r="F161" s="255"/>
      <c r="G161" s="255"/>
      <c r="H161" s="255"/>
      <c r="I161" s="255"/>
      <c r="J161" s="255"/>
      <c r="K161" s="255"/>
      <c r="L161" s="255"/>
    </row>
    <row r="162" spans="1:12" ht="12.75" x14ac:dyDescent="0.2">
      <c r="A162" s="1045"/>
      <c r="B162" s="255" t="str">
        <f>ListAVS!$B$327</f>
        <v>Jeśli nie masz asymetrycznych frontów, zostaw pole puste</v>
      </c>
      <c r="C162" s="255"/>
      <c r="D162" s="255"/>
      <c r="E162" s="255"/>
      <c r="F162" s="255"/>
      <c r="G162" s="255"/>
      <c r="H162" s="255"/>
      <c r="I162" s="255"/>
      <c r="J162" s="255"/>
      <c r="K162" s="255"/>
      <c r="L162" s="255"/>
    </row>
    <row r="163" spans="1:12" ht="12.75" x14ac:dyDescent="0.2">
      <c r="A163" s="1045"/>
      <c r="B163" s="255" t="str">
        <f>ListAVS!$B$328&amp;" ' "&amp;ListAVS!$B$195&amp;"' "</f>
        <v xml:space="preserve">Do obliczenia TKH użyj ' Obliczanie frontów asymetrycznych' </v>
      </c>
      <c r="C163" s="255"/>
      <c r="D163" s="255"/>
      <c r="E163" s="255"/>
      <c r="F163" s="255"/>
      <c r="G163" s="255"/>
      <c r="H163" s="255"/>
      <c r="I163" s="255"/>
      <c r="J163" s="255"/>
      <c r="K163" s="255"/>
      <c r="L163" s="255"/>
    </row>
    <row r="164" spans="1:12" ht="12.75" x14ac:dyDescent="0.2">
      <c r="A164" s="1045"/>
      <c r="B164" s="255"/>
      <c r="C164" s="255"/>
      <c r="D164" s="255"/>
      <c r="E164" s="255"/>
      <c r="F164" s="255"/>
      <c r="G164" s="255"/>
      <c r="H164" s="255"/>
      <c r="I164" s="255"/>
      <c r="J164" s="255"/>
      <c r="K164" s="255"/>
      <c r="L164" s="255"/>
    </row>
    <row r="165" spans="1:12" ht="12.75" x14ac:dyDescent="0.2">
      <c r="A165" s="1045"/>
      <c r="B165" s="255"/>
      <c r="C165" s="255"/>
      <c r="D165" s="255"/>
      <c r="E165" s="255"/>
      <c r="F165" s="255"/>
      <c r="G165" s="255"/>
      <c r="H165" s="255"/>
      <c r="I165" s="255"/>
      <c r="J165" s="255"/>
      <c r="K165" s="255"/>
      <c r="L165" s="255"/>
    </row>
    <row r="166" spans="1:12" ht="12.75" x14ac:dyDescent="0.2">
      <c r="A166" s="1045"/>
      <c r="B166" s="255" t="str">
        <f>ListAVS!$B$306</f>
        <v>Aby zmienić kolor zaślepek przejdź do „Wprowadzenie do planowania”</v>
      </c>
      <c r="C166" s="255"/>
      <c r="D166" s="255"/>
      <c r="E166" s="255"/>
      <c r="F166" s="255"/>
      <c r="G166" s="255"/>
      <c r="H166" s="255"/>
      <c r="I166" s="255"/>
      <c r="J166" s="255"/>
      <c r="K166" s="255"/>
      <c r="L166" s="255"/>
    </row>
    <row r="167" spans="1:12" ht="12.75" x14ac:dyDescent="0.2">
      <c r="A167" s="1045"/>
      <c r="B167" s="255"/>
      <c r="C167" s="255"/>
      <c r="D167" s="255"/>
      <c r="E167" s="255"/>
      <c r="F167" s="255"/>
      <c r="G167" s="255"/>
      <c r="H167" s="255"/>
      <c r="I167" s="255"/>
      <c r="J167" s="255"/>
      <c r="K167" s="255"/>
      <c r="L167" s="255"/>
    </row>
    <row r="168" spans="1:12" ht="12.75" x14ac:dyDescent="0.2">
      <c r="A168" s="1045"/>
      <c r="B168" s="255" t="str">
        <f>ListAVS!$B$411</f>
        <v>Zwróć uwagę na wybór ramek aluminiowych</v>
      </c>
      <c r="C168" s="255"/>
      <c r="D168" s="255"/>
      <c r="E168" s="255"/>
      <c r="F168" s="255"/>
      <c r="G168" s="255"/>
      <c r="H168" s="255"/>
      <c r="I168" s="255"/>
      <c r="J168" s="255"/>
      <c r="K168" s="255"/>
      <c r="L168" s="255"/>
    </row>
    <row r="169" spans="1:12" ht="12.75" x14ac:dyDescent="0.2">
      <c r="A169" s="1045"/>
      <c r="B169" s="255" t="str">
        <f>ListAVS!$B$412</f>
        <v>Wybierz, rodzaj, który lepiej pasuje do kształtu zastosowanej ramki aluminiowej.</v>
      </c>
      <c r="C169" s="255"/>
      <c r="D169" s="255"/>
      <c r="E169" s="255"/>
      <c r="F169" s="255"/>
      <c r="G169" s="255"/>
      <c r="H169" s="255"/>
      <c r="I169" s="255"/>
      <c r="J169" s="255"/>
      <c r="K169" s="255"/>
      <c r="L169" s="255"/>
    </row>
    <row r="170" spans="1:12" ht="12.75" x14ac:dyDescent="0.2">
      <c r="A170" s="1045"/>
      <c r="B170" s="255" t="str">
        <f>ListAVS!$B$413</f>
        <v>Sposób mocowania szkła w ramkę znacząco wpływa na powierzchnię szkła, a co za tym idzie na jego wagę!</v>
      </c>
      <c r="C170" s="255"/>
      <c r="D170" s="255"/>
      <c r="E170" s="255"/>
      <c r="F170" s="255"/>
      <c r="G170" s="255"/>
      <c r="H170" s="255"/>
      <c r="I170" s="255"/>
      <c r="J170" s="255"/>
      <c r="K170" s="255"/>
      <c r="L170" s="255"/>
    </row>
    <row r="171" spans="1:12" ht="12.75" x14ac:dyDescent="0.2">
      <c r="A171" s="1045"/>
      <c r="B171" s="255"/>
      <c r="C171" s="255"/>
      <c r="D171" s="255"/>
      <c r="E171" s="255"/>
      <c r="F171" s="255"/>
      <c r="G171" s="255"/>
      <c r="H171" s="255"/>
      <c r="I171" s="255"/>
      <c r="J171" s="255"/>
      <c r="K171" s="255"/>
      <c r="L171" s="255"/>
    </row>
    <row r="172" spans="1:12" ht="12.75" x14ac:dyDescent="0.2">
      <c r="A172" s="1045"/>
      <c r="B172" s="255"/>
      <c r="C172" s="796" t="str">
        <f>"  "&amp;ListAVS!$B$422&amp;"  "</f>
        <v xml:space="preserve">  z wpuszczanym szkłem  </v>
      </c>
      <c r="D172" s="255"/>
      <c r="E172" s="255"/>
      <c r="F172" s="255"/>
      <c r="G172" s="255"/>
      <c r="H172" s="255"/>
      <c r="I172" s="255"/>
      <c r="J172" s="255"/>
      <c r="K172" s="255"/>
      <c r="L172" s="255"/>
    </row>
    <row r="173" spans="1:12" ht="12.75" x14ac:dyDescent="0.2">
      <c r="A173" s="1045"/>
      <c r="B173" s="255"/>
      <c r="C173" s="266"/>
      <c r="D173" s="255"/>
      <c r="E173" s="255"/>
      <c r="F173" s="255"/>
      <c r="G173" s="255"/>
      <c r="H173" s="255"/>
      <c r="I173" s="255"/>
      <c r="J173" s="255"/>
      <c r="K173" s="255"/>
      <c r="L173" s="255"/>
    </row>
    <row r="174" spans="1:12" ht="12.75" x14ac:dyDescent="0.2">
      <c r="A174" s="1045"/>
      <c r="B174" s="255"/>
      <c r="C174" s="796" t="str">
        <f>"  "&amp;ListAVS!$B$423&amp;"  "</f>
        <v xml:space="preserve">  ze szkłem nakładanym lub przyklejanym  </v>
      </c>
      <c r="D174" s="255"/>
      <c r="E174" s="255"/>
      <c r="F174" s="255"/>
      <c r="G174" s="255"/>
      <c r="H174" s="255"/>
      <c r="I174" s="255"/>
      <c r="J174" s="255"/>
      <c r="K174" s="255"/>
      <c r="L174" s="255"/>
    </row>
    <row r="175" spans="1:12" ht="12.75" x14ac:dyDescent="0.2">
      <c r="A175" s="1045"/>
      <c r="B175" s="255"/>
      <c r="C175" s="255"/>
      <c r="D175" s="255"/>
      <c r="E175" s="255"/>
      <c r="F175" s="255"/>
      <c r="G175" s="255"/>
      <c r="H175" s="255"/>
      <c r="I175" s="255"/>
      <c r="J175" s="255"/>
      <c r="K175" s="255"/>
      <c r="L175" s="255"/>
    </row>
    <row r="176" spans="1:12" ht="12.75" x14ac:dyDescent="0.2">
      <c r="A176" s="1045"/>
      <c r="B176" s="255"/>
      <c r="C176" s="255"/>
      <c r="D176" s="255"/>
      <c r="E176" s="255"/>
      <c r="F176" s="255"/>
      <c r="G176" s="255"/>
      <c r="H176" s="255"/>
      <c r="I176" s="255"/>
      <c r="J176" s="255"/>
      <c r="K176" s="255"/>
      <c r="L176" s="702" t="str">
        <f>ListAVS!$B$168</f>
        <v>Z powrotem</v>
      </c>
    </row>
    <row r="177" spans="1:12" ht="12.75" x14ac:dyDescent="0.2">
      <c r="A177" s="1045"/>
      <c r="B177" s="255"/>
      <c r="C177" s="255"/>
      <c r="D177" s="255"/>
      <c r="E177" s="255"/>
      <c r="F177" s="255"/>
      <c r="G177" s="255"/>
      <c r="H177" s="255"/>
      <c r="I177" s="255"/>
      <c r="J177" s="255"/>
      <c r="K177" s="255"/>
      <c r="L177" s="266"/>
    </row>
    <row r="178" spans="1:12" x14ac:dyDescent="0.2">
      <c r="A178" s="1045"/>
    </row>
    <row r="179" spans="1:12" x14ac:dyDescent="0.2">
      <c r="A179" s="1045"/>
    </row>
  </sheetData>
  <sheetProtection algorithmName="SHA-512" hashValue="6SC3inFOx86HFd9Md02uhA9C/kZVW+DiZQ/v5Y6xSrotaQCemzVJeUaCWJRK8vitBJI7qdm4NaHH9CanG+p+fQ==" saltValue="UcSDuqGGmpKjyZtpNNEnnA==" spinCount="100000" sheet="1" objects="1" scenarios="1"/>
  <mergeCells count="81">
    <mergeCell ref="B115:H115"/>
    <mergeCell ref="B114:H114"/>
    <mergeCell ref="D25:G25"/>
    <mergeCell ref="D26:G26"/>
    <mergeCell ref="P72:T72"/>
    <mergeCell ref="I104:J104"/>
    <mergeCell ref="N77:S77"/>
    <mergeCell ref="N78:S78"/>
    <mergeCell ref="B104:H104"/>
    <mergeCell ref="I115:J115"/>
    <mergeCell ref="G110:J110"/>
    <mergeCell ref="B111:F111"/>
    <mergeCell ref="B105:H105"/>
    <mergeCell ref="B109:J109"/>
    <mergeCell ref="B107:H107"/>
    <mergeCell ref="I107:J107"/>
    <mergeCell ref="I125:J125"/>
    <mergeCell ref="A139:A179"/>
    <mergeCell ref="E145:L145"/>
    <mergeCell ref="B116:H116"/>
    <mergeCell ref="I116:J116"/>
    <mergeCell ref="B117:H117"/>
    <mergeCell ref="I117:J117"/>
    <mergeCell ref="B118:H118"/>
    <mergeCell ref="I118:J118"/>
    <mergeCell ref="A99:A138"/>
    <mergeCell ref="B102:J102"/>
    <mergeCell ref="B103:H103"/>
    <mergeCell ref="I103:J103"/>
    <mergeCell ref="I105:J105"/>
    <mergeCell ref="B106:H106"/>
    <mergeCell ref="I106:J106"/>
    <mergeCell ref="AN12:AQ13"/>
    <mergeCell ref="AN14:AQ15"/>
    <mergeCell ref="N88:S88"/>
    <mergeCell ref="N89:S89"/>
    <mergeCell ref="N90:S90"/>
    <mergeCell ref="N79:S79"/>
    <mergeCell ref="N80:S80"/>
    <mergeCell ref="N81:S81"/>
    <mergeCell ref="R85:T85"/>
    <mergeCell ref="N87:S87"/>
    <mergeCell ref="N86:S86"/>
    <mergeCell ref="B112:F112"/>
    <mergeCell ref="I114:J114"/>
    <mergeCell ref="B110:F110"/>
    <mergeCell ref="N76:Q76"/>
    <mergeCell ref="R76:T76"/>
    <mergeCell ref="N103:N105"/>
    <mergeCell ref="O103:O105"/>
    <mergeCell ref="AN10:AO10"/>
    <mergeCell ref="T31:U31"/>
    <mergeCell ref="B16:G16"/>
    <mergeCell ref="B17:G17"/>
    <mergeCell ref="T20:U20"/>
    <mergeCell ref="B21:G21"/>
    <mergeCell ref="B22:D22"/>
    <mergeCell ref="B20:C20"/>
    <mergeCell ref="F20:H20"/>
    <mergeCell ref="B23:G23"/>
    <mergeCell ref="B27:G27"/>
    <mergeCell ref="B28:G28"/>
    <mergeCell ref="B31:J33"/>
    <mergeCell ref="B24:C26"/>
    <mergeCell ref="D24:G24"/>
    <mergeCell ref="B10:G10"/>
    <mergeCell ref="B11:D11"/>
    <mergeCell ref="B12:G12"/>
    <mergeCell ref="B13:C15"/>
    <mergeCell ref="D13:G13"/>
    <mergeCell ref="D14:G14"/>
    <mergeCell ref="D15:G15"/>
    <mergeCell ref="AQ1:AY1"/>
    <mergeCell ref="B2:C2"/>
    <mergeCell ref="B7:C7"/>
    <mergeCell ref="G7:H7"/>
    <mergeCell ref="T9:U9"/>
    <mergeCell ref="B9:C9"/>
    <mergeCell ref="F9:H9"/>
    <mergeCell ref="AN8:AO8"/>
    <mergeCell ref="AN9:AO9"/>
  </mergeCells>
  <conditionalFormatting sqref="B29">
    <cfRule type="containsText" dxfId="343" priority="27" operator="containsText" text="Doplňte">
      <formula>NOT(ISERROR(SEARCH("Doplňte",B29)))</formula>
    </cfRule>
  </conditionalFormatting>
  <conditionalFormatting sqref="B29">
    <cfRule type="expression" dxfId="342" priority="26">
      <formula>$M$28=0</formula>
    </cfRule>
  </conditionalFormatting>
  <conditionalFormatting sqref="I26">
    <cfRule type="containsText" dxfId="341" priority="15" operator="containsText" text="Doplňte">
      <formula>NOT(ISERROR(SEARCH("Doplňte",I26)))</formula>
    </cfRule>
  </conditionalFormatting>
  <conditionalFormatting sqref="I26">
    <cfRule type="expression" dxfId="340" priority="14">
      <formula>$M$28=0</formula>
    </cfRule>
  </conditionalFormatting>
  <conditionalFormatting sqref="E9">
    <cfRule type="expression" dxfId="339" priority="12">
      <formula>$M$17&gt;0</formula>
    </cfRule>
    <cfRule type="expression" dxfId="338" priority="13">
      <formula>$M$17&gt;0</formula>
    </cfRule>
  </conditionalFormatting>
  <conditionalFormatting sqref="E20">
    <cfRule type="expression" dxfId="337" priority="11">
      <formula>$M$28&gt;0</formula>
    </cfRule>
  </conditionalFormatting>
  <conditionalFormatting sqref="B19">
    <cfRule type="expression" dxfId="336" priority="9">
      <formula>$M$17=0</formula>
    </cfRule>
    <cfRule type="containsText" dxfId="335" priority="10" operator="containsText" text="Doplňte">
      <formula>NOT(ISERROR(SEARCH("Doplňte",B19)))</formula>
    </cfRule>
  </conditionalFormatting>
  <conditionalFormatting sqref="B30">
    <cfRule type="containsText" dxfId="334" priority="8" operator="containsText" text="Doplňte">
      <formula>NOT(ISERROR(SEARCH("Doplňte",B30)))</formula>
    </cfRule>
  </conditionalFormatting>
  <conditionalFormatting sqref="B30">
    <cfRule type="expression" dxfId="333" priority="7">
      <formula>$M$28=0</formula>
    </cfRule>
  </conditionalFormatting>
  <conditionalFormatting sqref="I12">
    <cfRule type="expression" dxfId="332" priority="5">
      <formula>$M$17=0</formula>
    </cfRule>
    <cfRule type="containsText" dxfId="331" priority="6" operator="containsText" text="Doplňte">
      <formula>NOT(ISERROR(SEARCH("Doplňte",I12)))</formula>
    </cfRule>
  </conditionalFormatting>
  <conditionalFormatting sqref="I23">
    <cfRule type="containsText" dxfId="330" priority="4" operator="containsText" text="Doplňte">
      <formula>NOT(ISERROR(SEARCH("Doplňte",I23)))</formula>
    </cfRule>
  </conditionalFormatting>
  <conditionalFormatting sqref="I23">
    <cfRule type="expression" dxfId="329" priority="3">
      <formula>$M$28=0</formula>
    </cfRule>
  </conditionalFormatting>
  <conditionalFormatting sqref="I15">
    <cfRule type="expression" dxfId="328" priority="1">
      <formula>$M$17=0</formula>
    </cfRule>
    <cfRule type="containsText" dxfId="327" priority="2" operator="containsText" text="Doplňte">
      <formula>NOT(ISERROR(SEARCH("Doplňte",I15)))</formula>
    </cfRule>
  </conditionalFormatting>
  <hyperlinks>
    <hyperlink ref="I125:J125" location="HFw_wa!A1" tooltip=" " display="HFw_wa!A1" xr:uid="{CEBEFAF8-E57B-49B5-A7E5-057B91288948}"/>
    <hyperlink ref="N86:S86" location="HFw_wa!H19" tooltip=" " display="HFw_wa!H19" xr:uid="{D9047E68-1E3C-4BFE-929F-3EC4E1B8F7EC}"/>
    <hyperlink ref="N87:S87" location="HFw_wa!H20" tooltip=" " display="HFw_wa!H20" xr:uid="{D6F0B3A2-1962-4CB3-BF7D-C0D963D317E7}"/>
    <hyperlink ref="N78:S78" location="HFw_wa!H11" tooltip=" " display="HFw_wa!H11" xr:uid="{B765C67A-BF8B-41CF-97F8-09D00AF89CDB}"/>
    <hyperlink ref="N77:S77" location="HFw_wa!H10" tooltip=" " display="HFw_wa!H10" xr:uid="{2DBAB188-113E-4E6B-B0C2-88D8088E197D}"/>
    <hyperlink ref="AL19" location="HFw_wa!A100" tooltip=" " display="HFw_wa!A100" xr:uid="{5FA8EA22-6144-4818-9A58-4D869999F81F}"/>
    <hyperlink ref="AL5" location="HFw_wa!A140" tooltip=" " display="HFw_wa!A140" xr:uid="{9721446E-7CD5-489E-8E60-3509C6A53AAA}"/>
    <hyperlink ref="L176" location="HFw_wa!A1" tooltip=" " display="HFw_wa!A1" xr:uid="{DFA05738-6C44-45DE-A128-3F6A4F8BB5C7}"/>
    <hyperlink ref="AL9" location="SumAVS!A1" tooltip=" " display="SumAVS!A1" xr:uid="{EAC9E094-4F67-473E-8537-D5AE56A5EBF1}"/>
    <hyperlink ref="AL10" location="OrdAVS!A1" tooltip=" " display="OrdAVS!A1" xr:uid="{A4DE3E50-A3B3-40C8-8346-D4D3A97C159C}"/>
    <hyperlink ref="AL7" location="AcsAVS!A1" tooltip=" " display="AcsAVS!A1" xr:uid="{EF64765F-641B-4D06-91CD-5B4CF6D0132A}"/>
    <hyperlink ref="AL4" location="MenuAVS!A1" tooltip=" " display="MenuAVS!A1" xr:uid="{773E6A8A-0E34-4AB3-A239-814806AC0B19}"/>
    <hyperlink ref="B2" location="HF!A1" tooltip=" " display=" AVENTOS HF" xr:uid="{10B09C5A-087A-4750-A292-961D60BCBCE6}"/>
  </hyperlinks>
  <pageMargins left="0.62992125984251968" right="0.23622047244094488" top="0.74803149606299213" bottom="0.74803149606299213" header="0.31496062992125984" footer="0.31496062992125984"/>
  <pageSetup paperSize="9" orientation="portrait" horizontalDpi="4294967293"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57699" r:id="rId4" name="Drop Down 3">
              <controlPr defaultSize="0" autoLine="0" autoPict="0">
                <anchor moveWithCells="1">
                  <from>
                    <xdr:col>3</xdr:col>
                    <xdr:colOff>19050</xdr:colOff>
                    <xdr:row>6</xdr:row>
                    <xdr:rowOff>9525</xdr:rowOff>
                  </from>
                  <to>
                    <xdr:col>6</xdr:col>
                    <xdr:colOff>9525</xdr:colOff>
                    <xdr:row>7</xdr:row>
                    <xdr:rowOff>0</xdr:rowOff>
                  </to>
                </anchor>
              </controlPr>
            </control>
          </mc:Choice>
        </mc:AlternateContent>
        <mc:AlternateContent xmlns:mc="http://schemas.openxmlformats.org/markup-compatibility/2006">
          <mc:Choice Requires="x14">
            <control shapeId="157702" r:id="rId5" name="Option Button 6">
              <controlPr defaultSize="0" autoFill="0" autoLine="0" autoPict="0">
                <anchor moveWithCells="1">
                  <from>
                    <xdr:col>1</xdr:col>
                    <xdr:colOff>352425</xdr:colOff>
                    <xdr:row>5</xdr:row>
                    <xdr:rowOff>38100</xdr:rowOff>
                  </from>
                  <to>
                    <xdr:col>2</xdr:col>
                    <xdr:colOff>38100</xdr:colOff>
                    <xdr:row>5</xdr:row>
                    <xdr:rowOff>247650</xdr:rowOff>
                  </to>
                </anchor>
              </controlPr>
            </control>
          </mc:Choice>
        </mc:AlternateContent>
        <mc:AlternateContent xmlns:mc="http://schemas.openxmlformats.org/markup-compatibility/2006">
          <mc:Choice Requires="x14">
            <control shapeId="157703" r:id="rId6" name="Option Button 7">
              <controlPr defaultSize="0" autoFill="0" autoLine="0" autoPict="0">
                <anchor moveWithCells="1">
                  <from>
                    <xdr:col>3</xdr:col>
                    <xdr:colOff>323850</xdr:colOff>
                    <xdr:row>5</xdr:row>
                    <xdr:rowOff>57150</xdr:rowOff>
                  </from>
                  <to>
                    <xdr:col>4</xdr:col>
                    <xdr:colOff>19050</xdr:colOff>
                    <xdr:row>5</xdr:row>
                    <xdr:rowOff>266700</xdr:rowOff>
                  </to>
                </anchor>
              </controlPr>
            </control>
          </mc:Choice>
        </mc:AlternateContent>
        <mc:AlternateContent xmlns:mc="http://schemas.openxmlformats.org/markup-compatibility/2006">
          <mc:Choice Requires="x14">
            <control shapeId="157704" r:id="rId7" name="Drop Down 8">
              <controlPr defaultSize="0" autoLine="0" autoPict="0">
                <anchor moveWithCells="1">
                  <from>
                    <xdr:col>1</xdr:col>
                    <xdr:colOff>9525</xdr:colOff>
                    <xdr:row>9</xdr:row>
                    <xdr:rowOff>9525</xdr:rowOff>
                  </from>
                  <to>
                    <xdr:col>3</xdr:col>
                    <xdr:colOff>9525</xdr:colOff>
                    <xdr:row>9</xdr:row>
                    <xdr:rowOff>200025</xdr:rowOff>
                  </to>
                </anchor>
              </controlPr>
            </control>
          </mc:Choice>
        </mc:AlternateContent>
        <mc:AlternateContent xmlns:mc="http://schemas.openxmlformats.org/markup-compatibility/2006">
          <mc:Choice Requires="x14">
            <control shapeId="157705" r:id="rId8" name="Drop Down 9">
              <controlPr defaultSize="0" autoLine="0" autoPict="0">
                <anchor moveWithCells="1">
                  <from>
                    <xdr:col>1</xdr:col>
                    <xdr:colOff>9525</xdr:colOff>
                    <xdr:row>20</xdr:row>
                    <xdr:rowOff>9525</xdr:rowOff>
                  </from>
                  <to>
                    <xdr:col>2</xdr:col>
                    <xdr:colOff>571500</xdr:colOff>
                    <xdr:row>20</xdr:row>
                    <xdr:rowOff>200025</xdr:rowOff>
                  </to>
                </anchor>
              </controlPr>
            </control>
          </mc:Choice>
        </mc:AlternateContent>
        <mc:AlternateContent xmlns:mc="http://schemas.openxmlformats.org/markup-compatibility/2006">
          <mc:Choice Requires="x14">
            <control shapeId="157706" r:id="rId9" name="Drop Down 10">
              <controlPr defaultSize="0" autoLine="0" autoPict="0">
                <anchor moveWithCells="1">
                  <from>
                    <xdr:col>6</xdr:col>
                    <xdr:colOff>0</xdr:colOff>
                    <xdr:row>3</xdr:row>
                    <xdr:rowOff>0</xdr:rowOff>
                  </from>
                  <to>
                    <xdr:col>8</xdr:col>
                    <xdr:colOff>571500</xdr:colOff>
                    <xdr:row>4</xdr:row>
                    <xdr:rowOff>0</xdr:rowOff>
                  </to>
                </anchor>
              </controlPr>
            </control>
          </mc:Choice>
        </mc:AlternateContent>
        <mc:AlternateContent xmlns:mc="http://schemas.openxmlformats.org/markup-compatibility/2006">
          <mc:Choice Requires="x14">
            <control shapeId="157707" r:id="rId10" name="Drop Down 11">
              <controlPr defaultSize="0" autoLine="0" autoPict="0">
                <anchor moveWithCells="1">
                  <from>
                    <xdr:col>6</xdr:col>
                    <xdr:colOff>0</xdr:colOff>
                    <xdr:row>4</xdr:row>
                    <xdr:rowOff>0</xdr:rowOff>
                  </from>
                  <to>
                    <xdr:col>8</xdr:col>
                    <xdr:colOff>571500</xdr:colOff>
                    <xdr:row>5</xdr:row>
                    <xdr:rowOff>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47E16-7EF4-4063-942B-6E567A1966A1}">
  <sheetPr codeName="Sheet24">
    <tabColor theme="9" tint="0.59999389629810485"/>
  </sheetPr>
  <dimension ref="A1:BL179"/>
  <sheetViews>
    <sheetView showGridLines="0" showRowColHeaders="0" zoomScaleNormal="100" workbookViewId="0">
      <selection activeCell="AL30" sqref="AL30"/>
    </sheetView>
  </sheetViews>
  <sheetFormatPr defaultColWidth="8.28515625" defaultRowHeight="12" x14ac:dyDescent="0.2"/>
  <cols>
    <col min="1" max="1" width="1.28515625" style="37" customWidth="1"/>
    <col min="2" max="9" width="8.5703125" style="37" customWidth="1"/>
    <col min="10" max="10" width="6.7109375" style="37" customWidth="1"/>
    <col min="11" max="11" width="10.42578125" style="37" customWidth="1"/>
    <col min="12" max="12" width="17.28515625" style="37" customWidth="1"/>
    <col min="13" max="14" width="6.42578125" style="37" hidden="1" customWidth="1"/>
    <col min="15" max="15" width="6.42578125" style="118" hidden="1" customWidth="1"/>
    <col min="16" max="16" width="6.42578125" style="37" hidden="1" customWidth="1"/>
    <col min="17" max="17" width="6" style="118" hidden="1" customWidth="1"/>
    <col min="18" max="18" width="6.42578125" style="37" hidden="1" customWidth="1"/>
    <col min="19" max="19" width="7.7109375" style="37" hidden="1" customWidth="1"/>
    <col min="20" max="23" width="6.42578125" style="37" hidden="1" customWidth="1"/>
    <col min="24" max="24" width="10" style="108" hidden="1" customWidth="1"/>
    <col min="25" max="25" width="37.28515625" style="108" hidden="1" customWidth="1"/>
    <col min="26" max="26" width="13.5703125" style="108" hidden="1" customWidth="1"/>
    <col min="27" max="29" width="6.7109375" style="108" hidden="1" customWidth="1"/>
    <col min="30" max="30" width="9.42578125" style="108" hidden="1" customWidth="1"/>
    <col min="31" max="36" width="6.7109375" style="108" hidden="1" customWidth="1"/>
    <col min="37" max="37" width="5.28515625" style="108" customWidth="1"/>
    <col min="38" max="38" width="25" style="108" customWidth="1"/>
    <col min="39" max="39" width="8.28515625" style="137"/>
    <col min="40" max="41" width="13.28515625" style="137" customWidth="1"/>
    <col min="42" max="43" width="19.7109375" style="137" customWidth="1"/>
    <col min="44" max="55" width="8.28515625" style="137"/>
    <col min="56" max="57" width="16.28515625" style="137" customWidth="1"/>
    <col min="58" max="58" width="18.7109375" style="137" customWidth="1"/>
    <col min="59" max="59" width="23" style="137" customWidth="1"/>
    <col min="60" max="16384" width="8.28515625" style="137"/>
  </cols>
  <sheetData>
    <row r="1" spans="2:64" ht="4.5" customHeight="1" thickBot="1" x14ac:dyDescent="0.25">
      <c r="L1" s="137"/>
      <c r="BD1" s="1121"/>
      <c r="BE1" s="1121"/>
      <c r="BF1" s="1121"/>
      <c r="BG1" s="1121"/>
      <c r="BH1" s="1121"/>
      <c r="BI1" s="1121"/>
      <c r="BJ1" s="1121"/>
      <c r="BK1" s="1121"/>
      <c r="BL1" s="1121"/>
    </row>
    <row r="2" spans="2:64" s="108" customFormat="1" ht="19.5" customHeight="1" thickBot="1" x14ac:dyDescent="0.25">
      <c r="B2" s="1048" t="s">
        <v>671</v>
      </c>
      <c r="C2" s="1048"/>
      <c r="D2" s="884"/>
      <c r="E2" s="884"/>
      <c r="F2" s="884"/>
      <c r="G2" s="884"/>
      <c r="H2" s="884"/>
      <c r="I2" s="884"/>
      <c r="J2" s="884"/>
      <c r="K2" s="884"/>
      <c r="L2" s="884"/>
      <c r="O2" s="108" t="s">
        <v>64</v>
      </c>
      <c r="S2" s="117">
        <v>3</v>
      </c>
      <c r="AL2" s="226" t="str">
        <f>ListAVS!$B$153</f>
        <v>Przejdź do</v>
      </c>
    </row>
    <row r="3" spans="2:64" ht="3.75" customHeight="1" x14ac:dyDescent="0.2">
      <c r="B3" s="312"/>
      <c r="C3" s="306"/>
      <c r="D3" s="306"/>
      <c r="E3" s="306"/>
      <c r="F3" s="306"/>
      <c r="G3" s="306"/>
      <c r="H3" s="306"/>
      <c r="I3" s="306"/>
      <c r="J3" s="306"/>
      <c r="K3" s="306"/>
      <c r="L3" s="137"/>
      <c r="X3" s="137"/>
      <c r="Y3" s="137"/>
      <c r="Z3" s="137"/>
      <c r="AA3" s="137"/>
      <c r="AB3" s="137"/>
      <c r="AC3" s="137"/>
      <c r="AD3" s="137"/>
      <c r="AE3" s="137"/>
      <c r="AF3" s="137"/>
      <c r="AG3" s="137"/>
      <c r="AH3" s="137"/>
      <c r="AI3" s="137"/>
      <c r="AJ3" s="137"/>
    </row>
    <row r="4" spans="2:64" ht="16.149999999999999" customHeight="1" thickBot="1" x14ac:dyDescent="0.25">
      <c r="B4" s="313" t="str">
        <f>ListAVS!$B$20&amp;" ***"</f>
        <v>Szeroka ramka aluminiowa ***</v>
      </c>
      <c r="C4" s="306"/>
      <c r="E4" s="306"/>
      <c r="F4" s="269" t="str">
        <f>ListAVS!$B$35&amp;"  "</f>
        <v xml:space="preserve">front górny  </v>
      </c>
      <c r="G4" s="703"/>
      <c r="H4" s="703"/>
      <c r="I4" s="703"/>
      <c r="J4" s="257"/>
      <c r="K4" s="592" t="str">
        <f>U71</f>
        <v xml:space="preserve"> </v>
      </c>
      <c r="L4" s="137"/>
      <c r="O4" s="117">
        <v>1</v>
      </c>
      <c r="S4" s="37" t="str">
        <f>" "&amp;ListAVS!$B$41&amp;" A "</f>
        <v xml:space="preserve"> Cena za korpus A </v>
      </c>
      <c r="X4" s="137" t="s">
        <v>28</v>
      </c>
      <c r="Y4" s="137"/>
      <c r="Z4" s="137"/>
      <c r="AA4" s="137"/>
      <c r="AB4" s="137"/>
      <c r="AC4" s="137"/>
      <c r="AD4" s="137"/>
      <c r="AE4" s="137"/>
      <c r="AF4" s="137"/>
      <c r="AG4" s="137"/>
      <c r="AH4" s="137"/>
      <c r="AI4" s="137"/>
      <c r="AJ4" s="137"/>
      <c r="AL4" s="383" t="str">
        <f>" "&amp;ListAVS!$B$154</f>
        <v xml:space="preserve"> Wprowadzenie do planowania</v>
      </c>
    </row>
    <row r="5" spans="2:64" ht="16.149999999999999" customHeight="1" x14ac:dyDescent="0.2">
      <c r="B5" s="313" t="str">
        <f>ListAVS!$B$17</f>
        <v>Front drewniany</v>
      </c>
      <c r="C5" s="306"/>
      <c r="D5" s="306"/>
      <c r="E5" s="306"/>
      <c r="F5" s="269" t="str">
        <f>ListAVS!$B$36&amp;"  "</f>
        <v xml:space="preserve">front dolny  </v>
      </c>
      <c r="G5" s="703"/>
      <c r="H5" s="703"/>
      <c r="I5" s="703"/>
      <c r="J5" s="405"/>
      <c r="K5" s="592" t="str">
        <f>U72</f>
        <v xml:space="preserve"> </v>
      </c>
      <c r="L5" s="137"/>
      <c r="O5" s="118" t="s">
        <v>65</v>
      </c>
      <c r="S5" s="37" t="str">
        <f>" "&amp;ListAVS!$B$41&amp;" B "</f>
        <v xml:space="preserve"> Cena za korpus B </v>
      </c>
      <c r="X5" s="137"/>
      <c r="Y5" s="137"/>
      <c r="Z5" s="137"/>
      <c r="AA5" s="137"/>
      <c r="AB5" s="137"/>
      <c r="AC5" s="137"/>
      <c r="AD5" s="137"/>
      <c r="AE5" s="137"/>
      <c r="AF5" s="137"/>
      <c r="AG5" s="137"/>
      <c r="AH5" s="137"/>
      <c r="AI5" s="137"/>
      <c r="AJ5" s="137"/>
      <c r="AL5" s="634" t="str">
        <f>" "&amp;ListAVS!$B$155</f>
        <v xml:space="preserve"> Pomoc</v>
      </c>
    </row>
    <row r="6" spans="2:64" ht="22.5" customHeight="1" x14ac:dyDescent="0.2">
      <c r="B6" s="314"/>
      <c r="C6" s="306"/>
      <c r="D6" s="306"/>
      <c r="E6" s="306"/>
      <c r="F6" s="137"/>
      <c r="G6" s="704"/>
      <c r="H6" s="704"/>
      <c r="I6" s="704"/>
      <c r="J6" s="705" t="str">
        <f>IF($AF$77&lt;&gt;3,$Y$73," ")&amp;"      "</f>
        <v xml:space="preserve"> Możesz zmienić wartości we Wstępie do planowania      </v>
      </c>
      <c r="K6" s="704"/>
      <c r="L6" s="137"/>
      <c r="O6" s="323" t="s">
        <v>66</v>
      </c>
      <c r="S6" s="37" t="str">
        <f>" "&amp;ListAVS!$B$61</f>
        <v xml:space="preserve"> Cena całkowita bez VAT</v>
      </c>
      <c r="X6" s="137"/>
      <c r="Y6" s="137"/>
      <c r="Z6" s="137"/>
      <c r="AA6" s="137"/>
      <c r="AB6" s="137"/>
      <c r="AC6" s="137"/>
      <c r="AD6" s="137"/>
      <c r="AE6" s="137"/>
      <c r="AF6" s="137"/>
      <c r="AG6" s="137"/>
      <c r="AH6" s="137"/>
      <c r="AI6" s="137"/>
      <c r="AJ6" s="137"/>
      <c r="AL6" s="686"/>
      <c r="BD6" s="37"/>
      <c r="BE6" s="37"/>
      <c r="BF6" s="37"/>
      <c r="BG6" s="37"/>
    </row>
    <row r="7" spans="2:64" ht="16.149999999999999" customHeight="1" x14ac:dyDescent="0.2">
      <c r="B7" s="1059" t="str">
        <f>ListAVS!$B$51&amp;":   "</f>
        <v xml:space="preserve">Cena okucia:   </v>
      </c>
      <c r="C7" s="1060"/>
      <c r="D7" s="227"/>
      <c r="E7" s="404"/>
      <c r="F7" s="404"/>
      <c r="G7" s="1061">
        <f>IF(S2=1,$AF$47,IF($S$2=2,$AH$47,IF($S$2=3,$AD$47,0)))</f>
        <v>0</v>
      </c>
      <c r="H7" s="1062"/>
      <c r="I7" s="227"/>
      <c r="J7" s="227"/>
      <c r="K7" s="227"/>
      <c r="L7" s="227"/>
      <c r="Y7" s="938" t="str">
        <f>$B$2</f>
        <v xml:space="preserve"> AVENTOS HF top</v>
      </c>
      <c r="Z7" s="157"/>
      <c r="AA7" s="157"/>
      <c r="AB7" s="157"/>
      <c r="AC7" s="157"/>
      <c r="AD7" s="158"/>
      <c r="AE7" s="37"/>
      <c r="AF7" s="37"/>
      <c r="AG7" s="118"/>
      <c r="AH7" s="37"/>
      <c r="AI7" s="39"/>
      <c r="AJ7" s="39"/>
      <c r="AL7" s="675" t="str">
        <f>" "&amp;ListAVS!$B$160</f>
        <v xml:space="preserve"> Dodatki</v>
      </c>
      <c r="BD7" s="37"/>
      <c r="BE7" s="37"/>
      <c r="BF7" s="37"/>
      <c r="BG7" s="37"/>
    </row>
    <row r="8" spans="2:64" ht="25.15" customHeight="1" thickBot="1" x14ac:dyDescent="0.25">
      <c r="B8" s="227"/>
      <c r="C8" s="227"/>
      <c r="D8" s="227"/>
      <c r="E8" s="227"/>
      <c r="F8" s="227"/>
      <c r="G8" s="227"/>
      <c r="H8" s="579" t="str">
        <f>IF(AND(OR($S$9=2, $S$20=2), $AD$47&gt;0), $N$35, " ")</f>
        <v xml:space="preserve"> </v>
      </c>
      <c r="I8" s="227"/>
      <c r="J8" s="227"/>
      <c r="K8" s="227"/>
      <c r="L8" s="227"/>
      <c r="Y8" s="159" t="str">
        <f>ListAVS!B52</f>
        <v>Nazwa</v>
      </c>
      <c r="Z8" s="160" t="str">
        <f>ListAVS!$B$53</f>
        <v>Kod asortymentu</v>
      </c>
      <c r="AA8" s="161" t="str">
        <f>ListAVS!B54</f>
        <v>Kolor</v>
      </c>
      <c r="AB8" s="161" t="str">
        <f>ListAVS!B56</f>
        <v>Sztuka</v>
      </c>
      <c r="AC8" s="162" t="str">
        <f>ListAVS!B58</f>
        <v>Cena za sztukę</v>
      </c>
      <c r="AD8" s="161" t="str">
        <f>ListAVS!B59</f>
        <v>W sumie</v>
      </c>
      <c r="AE8" s="204" t="s">
        <v>29</v>
      </c>
      <c r="AF8" s="163" t="s">
        <v>30</v>
      </c>
      <c r="AG8" s="163" t="s">
        <v>31</v>
      </c>
      <c r="AH8" s="163" t="s">
        <v>30</v>
      </c>
      <c r="AI8" s="170"/>
      <c r="AJ8" s="170"/>
      <c r="AL8" s="671"/>
      <c r="AN8" s="1046" t="str">
        <f>"  "&amp;ListAVS!$B$86&amp;" LF "</f>
        <v xml:space="preserve">  Współczynnik mocy LF </v>
      </c>
      <c r="AO8" s="1046"/>
      <c r="AP8" s="953" t="s">
        <v>769</v>
      </c>
      <c r="AQ8" s="953" t="s">
        <v>770</v>
      </c>
      <c r="BD8" s="37"/>
      <c r="BE8" s="37"/>
      <c r="BF8" s="118"/>
      <c r="BG8" s="37"/>
    </row>
    <row r="9" spans="2:64" ht="16.149999999999999" customHeight="1" thickBot="1" x14ac:dyDescent="0.25">
      <c r="B9" s="1051" t="str">
        <f>"▼ "&amp;ListAVS!$B$318</f>
        <v>▼ Sposób otwierania</v>
      </c>
      <c r="C9" s="1052"/>
      <c r="D9" s="406" t="str">
        <f>IF($M$17&gt;0, ListAVS!$B$37&amp;": ", " ")</f>
        <v xml:space="preserve"> </v>
      </c>
      <c r="E9" s="688" t="str">
        <f>IF(SUM($AE$9:$AE$10)&gt;0,25,IF(SUM($AE$11:$AE$12)&gt;0,28," "))</f>
        <v xml:space="preserve"> </v>
      </c>
      <c r="F9" s="1056" t="str">
        <f>ListAVS!$B$64&amp;" A"</f>
        <v>Korpus A</v>
      </c>
      <c r="G9" s="1057"/>
      <c r="H9" s="1058"/>
      <c r="I9" s="227"/>
      <c r="J9" s="227"/>
      <c r="K9" s="227"/>
      <c r="L9" s="227"/>
      <c r="N9" s="39" t="s">
        <v>32</v>
      </c>
      <c r="O9" s="39"/>
      <c r="P9" s="39" t="s">
        <v>33</v>
      </c>
      <c r="Q9" s="39"/>
      <c r="S9" s="138">
        <v>1</v>
      </c>
      <c r="T9" s="1063" t="b">
        <v>0</v>
      </c>
      <c r="U9" s="1064"/>
      <c r="V9" s="139" t="s">
        <v>34</v>
      </c>
      <c r="W9" s="140"/>
      <c r="Y9" s="898" t="str">
        <f>CenAVS!A11</f>
        <v xml:space="preserve">Aventos HF Top słaby, wkręty      </v>
      </c>
      <c r="Z9" s="898" t="str">
        <f>CenAVS!B11</f>
        <v>22F2500</v>
      </c>
      <c r="AA9" s="883" t="str">
        <f>CenAVS!C11</f>
        <v>ZN</v>
      </c>
      <c r="AB9" s="665">
        <f t="shared" ref="AB9:AB15" si="0">SUM(AE9,AG9)</f>
        <v>0</v>
      </c>
      <c r="AC9" s="899">
        <f>CenAVS!F11</f>
        <v>180.23612</v>
      </c>
      <c r="AD9" s="900">
        <f>AB9*AC9</f>
        <v>0</v>
      </c>
      <c r="AE9" s="901">
        <f>IF($Y$48=1,ROUNDUP($M$17*$O$11,0),0)</f>
        <v>0</v>
      </c>
      <c r="AF9" s="902">
        <f t="shared" ref="AF9:AF38" si="1">$AC9*AE9</f>
        <v>0</v>
      </c>
      <c r="AG9" s="901">
        <f>IF($Y$48=1,ROUNDUP($M$28*$O$22,0),0)</f>
        <v>0</v>
      </c>
      <c r="AH9" s="902">
        <f t="shared" ref="AH9:AH38" si="2">$AC9*AG9</f>
        <v>0</v>
      </c>
      <c r="AI9" s="170"/>
      <c r="AJ9" s="170"/>
      <c r="AL9" s="383" t="str">
        <f>" "&amp;ListAVS!$B$157</f>
        <v xml:space="preserve"> Rodzaje korpusów</v>
      </c>
      <c r="AN9" s="1049" t="s">
        <v>786</v>
      </c>
      <c r="AO9" s="1050"/>
      <c r="AP9" s="689" t="s">
        <v>680</v>
      </c>
      <c r="AQ9" s="689" t="s">
        <v>681</v>
      </c>
      <c r="BD9" s="37"/>
      <c r="BE9" s="37"/>
      <c r="BF9" s="118"/>
      <c r="BG9" s="37"/>
    </row>
    <row r="10" spans="2:64" s="37" customFormat="1" ht="16.149999999999999" customHeight="1" thickBot="1" x14ac:dyDescent="0.25">
      <c r="B10" s="1011" t="str">
        <f>ListAVS!$B$74&amp;" KB [mm] "</f>
        <v xml:space="preserve">Szerokość korpusu KB [mm] </v>
      </c>
      <c r="C10" s="1012"/>
      <c r="D10" s="1012"/>
      <c r="E10" s="1012"/>
      <c r="F10" s="1012"/>
      <c r="G10" s="1013"/>
      <c r="H10" s="405"/>
      <c r="I10" s="256" t="str">
        <f>IF(H10=0," ",IF($H10&lt;220," min. 220mm"," "))&amp;IF(H17&gt;0,IF(H10=0,"● "&amp;ListAVS!$B$129," ")," ")</f>
        <v xml:space="preserve">  </v>
      </c>
      <c r="J10" s="227"/>
      <c r="K10" s="404"/>
      <c r="L10" s="227"/>
      <c r="N10" s="894"/>
      <c r="O10" s="895"/>
      <c r="P10" s="37" t="s">
        <v>35</v>
      </c>
      <c r="Q10" s="118">
        <f>IF(AND($P$16&gt;=$AB$54,$P$16&lt;=$AC$54),SUM($O$11:$O$12),0)</f>
        <v>0</v>
      </c>
      <c r="S10" s="137"/>
      <c r="T10" s="203" t="s">
        <v>36</v>
      </c>
      <c r="U10" s="39"/>
      <c r="V10" s="203" t="s">
        <v>37</v>
      </c>
      <c r="W10" s="39"/>
      <c r="X10" s="108"/>
      <c r="Y10" s="898" t="str">
        <f>CenAVS!A12</f>
        <v xml:space="preserve">Aventos HF Top słaby, eurowkręty      </v>
      </c>
      <c r="Z10" s="898" t="str">
        <f>CenAVS!B12</f>
        <v>22F2510</v>
      </c>
      <c r="AA10" s="883" t="str">
        <f>CenAVS!C12</f>
        <v>ZN</v>
      </c>
      <c r="AB10" s="665">
        <f t="shared" si="0"/>
        <v>0</v>
      </c>
      <c r="AC10" s="899">
        <f>CenAVS!F12</f>
        <v>181.63767999999999</v>
      </c>
      <c r="AD10" s="900">
        <f t="shared" ref="AD10:AD45" si="3">AB10*AC10</f>
        <v>0</v>
      </c>
      <c r="AE10" s="901">
        <f>IF($Y$48=2,ROUNDUP($M$17*$O$11,0),0)</f>
        <v>0</v>
      </c>
      <c r="AF10" s="902">
        <f t="shared" si="1"/>
        <v>0</v>
      </c>
      <c r="AG10" s="901">
        <f>IF($Y$48=2,ROUNDUP($M$28*$O$22,0),0)</f>
        <v>0</v>
      </c>
      <c r="AH10" s="902">
        <f t="shared" si="2"/>
        <v>0</v>
      </c>
      <c r="AI10" s="170"/>
      <c r="AJ10" s="170"/>
      <c r="AK10" s="108"/>
      <c r="AL10" s="383" t="str">
        <f>" "&amp;ListAVS!$B$158</f>
        <v xml:space="preserve"> Zamówienie</v>
      </c>
      <c r="AM10" s="137"/>
      <c r="AN10" s="1049" t="s">
        <v>734</v>
      </c>
      <c r="AO10" s="1050"/>
      <c r="AP10" s="689" t="s">
        <v>682</v>
      </c>
      <c r="AQ10" s="689" t="s">
        <v>683</v>
      </c>
      <c r="BF10" s="118"/>
    </row>
    <row r="11" spans="2:64" s="37" customFormat="1" ht="16.149999999999999" customHeight="1" x14ac:dyDescent="0.2">
      <c r="B11" s="1011" t="str">
        <f>ListAVS!$B$75&amp;" [mm]"</f>
        <v>Wysokość korpusu [mm]</v>
      </c>
      <c r="C11" s="1012"/>
      <c r="D11" s="1012"/>
      <c r="E11" s="297" t="s">
        <v>38</v>
      </c>
      <c r="F11" s="405"/>
      <c r="G11" s="295" t="s">
        <v>39</v>
      </c>
      <c r="H11" s="405"/>
      <c r="I11" s="256" t="str">
        <f>IF(H11=0," ",IF($H11&lt;480," min. 480mm",IF($H11&gt;1200," max. 1 200mm"," ")))&amp;IF(H17&gt;0,IF(H11=0,"● "&amp;ListAVS!$B$129," ")," ")</f>
        <v xml:space="preserve">  </v>
      </c>
      <c r="J11" s="227"/>
      <c r="K11" s="227"/>
      <c r="L11" s="227"/>
      <c r="N11" s="37" t="s">
        <v>40</v>
      </c>
      <c r="O11" s="118">
        <f>IF($H16&lt;$AB$50,0,IF($H16&lt;=$AC$50,1,0))</f>
        <v>0</v>
      </c>
      <c r="P11" s="37" t="s">
        <v>41</v>
      </c>
      <c r="Q11" s="118">
        <f>IF(AND($P$16&gt;=$AB$55,$P$16&lt;=$AC$55),SUM($O$11:$O$12),0)</f>
        <v>0</v>
      </c>
      <c r="T11" s="37" t="s">
        <v>42</v>
      </c>
      <c r="U11" s="895">
        <f>IF($N$48=1, IF(OR($H$10&gt;=1200, $T$17&gt;=12), 3, 2))+IF($N$48=1,IF(OR($H$10=1800, $T$17&gt;=20), 1, 0))</f>
        <v>0</v>
      </c>
      <c r="V11" s="37" t="s">
        <v>43</v>
      </c>
      <c r="W11" s="118">
        <f>IF($P$48=1, IF(OR($H$10&gt;=1200, $T$17&gt;=12), 3, 2))+IF($P$48=1,IF(OR($H$10=1800, $T$17&gt;=20), 1, 0))</f>
        <v>2</v>
      </c>
      <c r="X11" s="108"/>
      <c r="Y11" s="898" t="str">
        <f>CenAVS!A13</f>
        <v xml:space="preserve">Aventos HF Top mocny, wkręty      </v>
      </c>
      <c r="Z11" s="898" t="str">
        <f>CenAVS!B13</f>
        <v>22F2800</v>
      </c>
      <c r="AA11" s="883" t="str">
        <f>CenAVS!C13</f>
        <v>ZN</v>
      </c>
      <c r="AB11" s="665">
        <f t="shared" si="0"/>
        <v>0</v>
      </c>
      <c r="AC11" s="899">
        <f>CenAVS!F13</f>
        <v>196.99925999999999</v>
      </c>
      <c r="AD11" s="900">
        <f t="shared" si="3"/>
        <v>0</v>
      </c>
      <c r="AE11" s="901">
        <f>IF($Y$48=1,ROUNDUP($M$17*$O$12,0),0)</f>
        <v>0</v>
      </c>
      <c r="AF11" s="902">
        <f t="shared" si="1"/>
        <v>0</v>
      </c>
      <c r="AG11" s="901">
        <f>IF($Y$48=1,ROUNDUP($M$28*$O$23,0),0)</f>
        <v>0</v>
      </c>
      <c r="AH11" s="902">
        <f t="shared" si="2"/>
        <v>0</v>
      </c>
      <c r="AI11" s="170"/>
      <c r="AJ11" s="170"/>
      <c r="AK11" s="108"/>
      <c r="AM11" s="137"/>
    </row>
    <row r="12" spans="2:64" s="37" customFormat="1" ht="16.149999999999999" customHeight="1" x14ac:dyDescent="0.2">
      <c r="B12" s="1011" t="str">
        <f>ListAVS!$B$77&amp;" [kg] ** "</f>
        <v xml:space="preserve">Waga frontu wraz z uchwytem [kg] ** </v>
      </c>
      <c r="C12" s="1012"/>
      <c r="D12" s="1012"/>
      <c r="E12" s="1012"/>
      <c r="F12" s="1012"/>
      <c r="G12" s="1013"/>
      <c r="H12" s="258"/>
      <c r="I12" s="227" t="str">
        <f>IF($T14="ne", " ", IF(AND($H12=0,$H15=0, $H17&gt;0),$N$37," "))&amp;IF(AND($H17&gt;0, $H12&gt;0, $M17&gt;0),$N$41," ")</f>
        <v xml:space="preserve">  </v>
      </c>
      <c r="J12" s="227"/>
      <c r="K12" s="227"/>
      <c r="L12" s="227"/>
      <c r="N12" s="37" t="s">
        <v>44</v>
      </c>
      <c r="O12" s="118">
        <f>IF($H16&lt;$AB$51,0,IF($H16&lt;=$AC$51,1,0))</f>
        <v>0</v>
      </c>
      <c r="P12" s="37" t="s">
        <v>48</v>
      </c>
      <c r="Q12" s="118">
        <f>IF(AND($P$16&gt;=$AB$56,$P$16&lt;=$AC$56),SUM($O$11:$O$12),0)</f>
        <v>0</v>
      </c>
      <c r="T12" s="37" t="s">
        <v>46</v>
      </c>
      <c r="U12" s="118">
        <f>IF($N$48=2, IF(OR($H$10&gt;=1200, $T$17&gt;=12), 3, 2))+IF($N$48=2,IF(OR($H$10=1800, $T$17&gt;=20), 1, 0))</f>
        <v>2</v>
      </c>
      <c r="V12" s="37" t="s">
        <v>47</v>
      </c>
      <c r="W12" s="118">
        <f>IF($P$48=2, IF(OR($H$10&gt;=1200, $T$17&gt;=12), 3, 2))+IF($P$48=2,IF(OR($H$10=1800, $T$17&gt;=20), 1, 0))</f>
        <v>0</v>
      </c>
      <c r="X12" s="108"/>
      <c r="Y12" s="898" t="str">
        <f>CenAVS!A14</f>
        <v xml:space="preserve">Aventos HF Top mocny, eurowkręty      </v>
      </c>
      <c r="Z12" s="898" t="str">
        <f>CenAVS!B14</f>
        <v>22F2810</v>
      </c>
      <c r="AA12" s="883" t="str">
        <f>CenAVS!C14</f>
        <v>ZN</v>
      </c>
      <c r="AB12" s="665">
        <f t="shared" si="0"/>
        <v>0</v>
      </c>
      <c r="AC12" s="899">
        <f>CenAVS!F14</f>
        <v>198.53095999999996</v>
      </c>
      <c r="AD12" s="900">
        <f t="shared" si="3"/>
        <v>0</v>
      </c>
      <c r="AE12" s="901">
        <f>IF($Y$48=2,ROUNDUP($M$17*$O$12,0),0)</f>
        <v>0</v>
      </c>
      <c r="AF12" s="902">
        <f t="shared" si="1"/>
        <v>0</v>
      </c>
      <c r="AG12" s="901">
        <f>IF($Y$48=2,ROUNDUP($M$28*$O$23,0),0)</f>
        <v>0</v>
      </c>
      <c r="AH12" s="902">
        <f t="shared" si="2"/>
        <v>0</v>
      </c>
      <c r="AI12" s="170"/>
      <c r="AJ12" s="170"/>
      <c r="AK12" s="108"/>
      <c r="AL12" s="108"/>
      <c r="AM12" s="137"/>
      <c r="AN12" s="1043" t="str">
        <f>ListAVS!$B$86&amp;" LF = "&amp;ListAVS!$B$320&amp;" [kg]"</f>
        <v>Współczynnik mocy LF = wysokość korpusu (KH) [mm] x waga obu frontów wraz z uchwytem [kg]</v>
      </c>
      <c r="AO12" s="1043"/>
      <c r="AP12" s="1043"/>
      <c r="AQ12" s="1043"/>
      <c r="BD12" s="706"/>
      <c r="BE12" s="706"/>
      <c r="BF12" s="706"/>
      <c r="BG12" s="706"/>
    </row>
    <row r="13" spans="2:64" s="37" customFormat="1" ht="16.149999999999999" customHeight="1" x14ac:dyDescent="0.2">
      <c r="B13" s="1055" t="str">
        <f>ListAVS!$B$293</f>
        <v>Obliczenie wagi</v>
      </c>
      <c r="C13" s="1055"/>
      <c r="D13" s="1053" t="str">
        <f>ListAVS!$B$82&amp;" TS [mm] "</f>
        <v xml:space="preserve">Grubość dolnego frontu TS [mm] </v>
      </c>
      <c r="E13" s="1053"/>
      <c r="F13" s="1053"/>
      <c r="G13" s="1054"/>
      <c r="H13" s="258"/>
      <c r="I13" s="256" t="str">
        <f>IF(OR(H17=0, $T14="ne")," ",IF(AND(H12=0, H13=0)," ● "&amp;ListAVS!$B$129," "))</f>
        <v xml:space="preserve"> </v>
      </c>
      <c r="J13" s="227"/>
      <c r="K13" s="227"/>
      <c r="L13" s="227"/>
      <c r="O13" s="118"/>
      <c r="Q13" s="118"/>
      <c r="U13" s="118"/>
      <c r="W13" s="118"/>
      <c r="X13" s="108"/>
      <c r="Y13" s="898" t="str">
        <f>CenAVS!A15</f>
        <v xml:space="preserve">zestaw ramion teleskop. HF Top 480-610mm     </v>
      </c>
      <c r="Z13" s="898" t="str">
        <f>CenAVS!B15</f>
        <v>22F3200</v>
      </c>
      <c r="AA13" s="883" t="str">
        <f>CenAVS!C15</f>
        <v>NI</v>
      </c>
      <c r="AB13" s="665">
        <f t="shared" si="0"/>
        <v>0</v>
      </c>
      <c r="AC13" s="899">
        <f>CenAVS!F15</f>
        <v>85.664479999999998</v>
      </c>
      <c r="AD13" s="900">
        <f t="shared" si="3"/>
        <v>0</v>
      </c>
      <c r="AE13" s="901">
        <f>ROUNDUP($M$17*Q10,0)</f>
        <v>0</v>
      </c>
      <c r="AF13" s="902">
        <f t="shared" si="1"/>
        <v>0</v>
      </c>
      <c r="AG13" s="901">
        <f>ROUNDUP($M$28*Q21,0)</f>
        <v>0</v>
      </c>
      <c r="AH13" s="902">
        <f t="shared" si="2"/>
        <v>0</v>
      </c>
      <c r="AI13" s="170"/>
      <c r="AJ13" s="170"/>
      <c r="AK13" s="108"/>
      <c r="AL13" s="108"/>
      <c r="AM13" s="137"/>
      <c r="AN13" s="1043"/>
      <c r="AO13" s="1043"/>
      <c r="AP13" s="1043"/>
      <c r="AQ13" s="1043"/>
      <c r="BD13" s="706"/>
      <c r="BE13" s="706"/>
      <c r="BF13" s="706"/>
      <c r="BG13" s="706"/>
    </row>
    <row r="14" spans="2:64" s="37" customFormat="1" ht="16.149999999999999" customHeight="1" x14ac:dyDescent="0.2">
      <c r="B14" s="1055"/>
      <c r="C14" s="1055"/>
      <c r="D14" s="1053" t="str">
        <f>ListAVS!$B$83&amp;" [kg] "</f>
        <v xml:space="preserve">Waga uchwytu [kg] </v>
      </c>
      <c r="E14" s="1053"/>
      <c r="F14" s="1053"/>
      <c r="G14" s="1054"/>
      <c r="H14" s="258"/>
      <c r="I14" s="227" t="str">
        <f>IF(M17=0, " ", IF(AND(H12=0, S9=1, H14=0), " ● "&amp;ListAVS!$B$130," "))</f>
        <v xml:space="preserve"> </v>
      </c>
      <c r="J14" s="227"/>
      <c r="K14" s="227"/>
      <c r="L14" s="227"/>
      <c r="O14" s="118"/>
      <c r="Q14" s="118"/>
      <c r="S14" s="717" t="s">
        <v>79</v>
      </c>
      <c r="T14" s="928" t="str">
        <f>IF(AND(220&lt;=H10, H10&lt;=1800, 480&lt;=P16, P16&lt;=1200),"ano","ne")</f>
        <v>ne</v>
      </c>
      <c r="U14" s="118"/>
      <c r="W14" s="118"/>
      <c r="X14" s="108"/>
      <c r="Y14" s="898" t="str">
        <f>CenAVS!A16</f>
        <v xml:space="preserve">zestaw ramion teleskop. HF Top 600-910mm     </v>
      </c>
      <c r="Z14" s="898" t="str">
        <f>CenAVS!B16</f>
        <v>22F3500</v>
      </c>
      <c r="AA14" s="883" t="str">
        <f>CenAVS!C16</f>
        <v>NI</v>
      </c>
      <c r="AB14" s="665">
        <f t="shared" si="0"/>
        <v>0</v>
      </c>
      <c r="AC14" s="899">
        <f>CenAVS!F16</f>
        <v>105.22162</v>
      </c>
      <c r="AD14" s="900">
        <f t="shared" si="3"/>
        <v>0</v>
      </c>
      <c r="AE14" s="901">
        <f>ROUNDUP($M$17*Q11,0)</f>
        <v>0</v>
      </c>
      <c r="AF14" s="902">
        <f t="shared" si="1"/>
        <v>0</v>
      </c>
      <c r="AG14" s="901">
        <f>ROUNDUP($M$28*Q22,0)</f>
        <v>0</v>
      </c>
      <c r="AH14" s="902">
        <f t="shared" si="2"/>
        <v>0</v>
      </c>
      <c r="AI14" s="170"/>
      <c r="AJ14" s="170"/>
      <c r="AK14" s="108"/>
      <c r="AL14" s="108"/>
      <c r="AM14" s="137"/>
      <c r="AN14" s="1044"/>
      <c r="AO14" s="1044"/>
      <c r="AP14" s="1044"/>
      <c r="AQ14" s="1044"/>
      <c r="BD14" s="706"/>
      <c r="BE14" s="706"/>
      <c r="BF14" s="706"/>
      <c r="BG14" s="706"/>
    </row>
    <row r="15" spans="2:64" s="37" customFormat="1" ht="16.149999999999999" customHeight="1" x14ac:dyDescent="0.2">
      <c r="B15" s="1055"/>
      <c r="C15" s="1055"/>
      <c r="D15" s="1053" t="str">
        <f>ListAVS!$B$79&amp;" [kg] "</f>
        <v xml:space="preserve">Obliczona waga frontu [kg] </v>
      </c>
      <c r="E15" s="1053"/>
      <c r="F15" s="1053"/>
      <c r="G15" s="1054"/>
      <c r="H15" s="259">
        <f>$T$81</f>
        <v>0</v>
      </c>
      <c r="I15" s="227" t="str">
        <f>IF($M17&gt;0,IF($H15&gt;0,IF($H12=0,$N$41," ")," ")," ")&amp;IF(AND(H17&gt;0, H12=0, Z78=3, $J$4=0), $N$39, " ")</f>
        <v xml:space="preserve">  </v>
      </c>
      <c r="J15" s="227"/>
      <c r="K15" s="227"/>
      <c r="L15" s="227"/>
      <c r="O15" s="118"/>
      <c r="S15" s="717" t="s">
        <v>732</v>
      </c>
      <c r="T15" s="928" t="str">
        <f>IF(AND(H16&gt;=$AB$50, H16&lt;=$AC$51), "ano", "ne")</f>
        <v>ne</v>
      </c>
      <c r="X15" s="108"/>
      <c r="Y15" s="898" t="str">
        <f>CenAVS!A17</f>
        <v xml:space="preserve">zestaw ramion teleskop. HF Top 840-1200mm     </v>
      </c>
      <c r="Z15" s="898" t="str">
        <f>CenAVS!B17</f>
        <v>22F3900</v>
      </c>
      <c r="AA15" s="883" t="str">
        <f>CenAVS!C17</f>
        <v>NI</v>
      </c>
      <c r="AB15" s="665">
        <f t="shared" si="0"/>
        <v>0</v>
      </c>
      <c r="AC15" s="899">
        <f>CenAVS!F17</f>
        <v>124.77875</v>
      </c>
      <c r="AD15" s="900">
        <f t="shared" si="3"/>
        <v>0</v>
      </c>
      <c r="AE15" s="901">
        <f>ROUNDUP($M$17*Q12,0)</f>
        <v>0</v>
      </c>
      <c r="AF15" s="902">
        <f t="shared" si="1"/>
        <v>0</v>
      </c>
      <c r="AG15" s="901">
        <f>ROUNDUP($M$28*Q23,0)</f>
        <v>0</v>
      </c>
      <c r="AH15" s="902">
        <f t="shared" si="2"/>
        <v>0</v>
      </c>
      <c r="AI15" s="170"/>
      <c r="AJ15" s="170"/>
      <c r="AK15" s="108"/>
      <c r="AL15" s="108"/>
      <c r="AM15" s="137"/>
      <c r="AN15" s="1044"/>
      <c r="AO15" s="1044"/>
      <c r="AP15" s="1044"/>
      <c r="AQ15" s="1044"/>
      <c r="BD15" s="706"/>
      <c r="BE15" s="706"/>
      <c r="BF15" s="706"/>
      <c r="BG15" s="706"/>
    </row>
    <row r="16" spans="2:64" s="37" customFormat="1" ht="16.149999999999999" customHeight="1" thickBot="1" x14ac:dyDescent="0.25">
      <c r="B16" s="1011" t="str">
        <f>ListAVS!$B$86&amp;" LF "</f>
        <v xml:space="preserve">Współczynnik mocy LF </v>
      </c>
      <c r="C16" s="1012"/>
      <c r="D16" s="1012"/>
      <c r="E16" s="1012"/>
      <c r="F16" s="1012"/>
      <c r="G16" s="1013"/>
      <c r="H16" s="400">
        <f>IF(H12&gt;0, H11*H12, H11*H15)</f>
        <v>0</v>
      </c>
      <c r="I16" s="256" t="str">
        <f>IF(AND(H16&gt;0, H16&lt;$AB$50), $T$44, IF($H16&gt;$AC$51, $N$44, "  "))</f>
        <v xml:space="preserve">  </v>
      </c>
      <c r="J16" s="227"/>
      <c r="K16" s="227"/>
      <c r="L16" s="227"/>
      <c r="O16" s="153" t="s">
        <v>49</v>
      </c>
      <c r="P16" s="165">
        <f>IF(F11&gt;0,IF(F11&gt;=H11,F11,0),H11)</f>
        <v>0</v>
      </c>
      <c r="X16" s="108"/>
      <c r="Y16" s="898" t="str">
        <f>CenAVS!A47</f>
        <v xml:space="preserve">Zaślepki HF/HL/HS - Top bez SD jasnoszare HGR   </v>
      </c>
      <c r="Z16" s="898" t="str">
        <f>CenAVS!B47</f>
        <v>22.8000</v>
      </c>
      <c r="AA16" s="883" t="str">
        <f>CenAVS!C47</f>
        <v>HGR</v>
      </c>
      <c r="AB16" s="665">
        <f t="shared" ref="AB16:AB25" si="4">SUM(AE16,AG16)</f>
        <v>0</v>
      </c>
      <c r="AC16" s="899">
        <f>CenAVS!F47</f>
        <v>27.586120000000001</v>
      </c>
      <c r="AD16" s="900">
        <f t="shared" si="3"/>
        <v>0</v>
      </c>
      <c r="AE16" s="903">
        <f>IF(AND($S$9=1, $T$48=1), SUM($AE$9:$AE$12), 0)</f>
        <v>0</v>
      </c>
      <c r="AF16" s="902">
        <f t="shared" si="1"/>
        <v>0</v>
      </c>
      <c r="AG16" s="903">
        <f>IF(AND($S$20=1, $T$48=1), SUM($AG$9:$AG$12), 0)</f>
        <v>0</v>
      </c>
      <c r="AH16" s="902">
        <f t="shared" si="2"/>
        <v>0</v>
      </c>
      <c r="AI16" s="170"/>
      <c r="AJ16" s="170"/>
      <c r="AK16" s="108"/>
      <c r="AL16" s="255"/>
      <c r="AM16" s="137"/>
      <c r="AN16" s="137"/>
      <c r="AO16" s="137"/>
    </row>
    <row r="17" spans="1:56" s="37" customFormat="1" ht="16.149999999999999" customHeight="1" thickBot="1" x14ac:dyDescent="0.25">
      <c r="B17" s="1011" t="str">
        <f>ListAVS!$B$71&amp;" "</f>
        <v xml:space="preserve">Ilość szafek </v>
      </c>
      <c r="C17" s="1012"/>
      <c r="D17" s="1012"/>
      <c r="E17" s="1012"/>
      <c r="F17" s="1012"/>
      <c r="G17" s="1012"/>
      <c r="H17" s="261"/>
      <c r="I17" s="256"/>
      <c r="J17" s="227"/>
      <c r="K17" s="227"/>
      <c r="L17" s="227"/>
      <c r="M17" s="315">
        <f>IF($H10*$P16=0,0,IF(SUM($H12,$H15)=0,0,IF($P16&gt;$AC$57,0,IF(P16&lt;$AB$54,0,IF(OR(T14="ne", T15="ne"),0,$H17)))))</f>
        <v>0</v>
      </c>
      <c r="N17" s="37" t="s">
        <v>50</v>
      </c>
      <c r="S17" s="690" t="s">
        <v>51</v>
      </c>
      <c r="T17" s="691">
        <f>IF(H12&gt;0,H12,H15)</f>
        <v>0</v>
      </c>
      <c r="U17" s="37">
        <f>IF(SUM(H12,H15)=0,0,IF(H12&gt;0,1,2))</f>
        <v>0</v>
      </c>
      <c r="V17" s="571" t="s">
        <v>52</v>
      </c>
      <c r="X17" s="108"/>
      <c r="Y17" s="898" t="str">
        <f>CenAVS!A48</f>
        <v xml:space="preserve">zaślepki HF/HL/HS - Top bez SD ciemnoszare TGR   </v>
      </c>
      <c r="Z17" s="898" t="str">
        <f>CenAVS!B48</f>
        <v>22.8000</v>
      </c>
      <c r="AA17" s="883" t="str">
        <f>CenAVS!C48</f>
        <v>TGR</v>
      </c>
      <c r="AB17" s="665">
        <f t="shared" si="4"/>
        <v>0</v>
      </c>
      <c r="AC17" s="899">
        <f>CenAVS!F48</f>
        <v>30.106369999999998</v>
      </c>
      <c r="AD17" s="900">
        <f t="shared" si="3"/>
        <v>0</v>
      </c>
      <c r="AE17" s="903">
        <f>IF(AND($S$9=1, $T$48=2), SUM($AE$9:$AE$12), 0)</f>
        <v>0</v>
      </c>
      <c r="AF17" s="902">
        <f t="shared" si="1"/>
        <v>0</v>
      </c>
      <c r="AG17" s="903">
        <f>IF(AND($S$20=1, $T$48=2), SUM($AG$9:$AG$12), 0)</f>
        <v>0</v>
      </c>
      <c r="AH17" s="902">
        <f t="shared" si="2"/>
        <v>0</v>
      </c>
      <c r="AI17" s="170"/>
      <c r="AJ17" s="170"/>
      <c r="AK17" s="108"/>
      <c r="AM17" s="137"/>
      <c r="AN17" s="545" t="s">
        <v>771</v>
      </c>
      <c r="AO17" s="137"/>
      <c r="BD17" s="707"/>
    </row>
    <row r="18" spans="1:56" s="37" customFormat="1" ht="16.149999999999999" customHeight="1" x14ac:dyDescent="0.2">
      <c r="B18" s="227" t="str">
        <f>IF(H17&gt;0,IF(U17=0," ",IF(U17=1,$N$53,$N$54))," ")&amp;IF(H17&gt;0,IF(U17=0," ",IF(U17=1,$N$55,$N$56))," ")</f>
        <v xml:space="preserve">  </v>
      </c>
      <c r="C18" s="227"/>
      <c r="D18" s="227"/>
      <c r="E18" s="227"/>
      <c r="F18" s="262"/>
      <c r="G18" s="262"/>
      <c r="H18" s="227"/>
      <c r="I18" s="227"/>
      <c r="J18" s="227"/>
      <c r="K18" s="227"/>
      <c r="L18" s="227"/>
      <c r="X18" s="108"/>
      <c r="Y18" s="898" t="str">
        <f>CenAVS!A49</f>
        <v xml:space="preserve">Zaślepki HF/HL/HS - Top bez SD białe SW   </v>
      </c>
      <c r="Z18" s="898" t="str">
        <f>CenAVS!B49</f>
        <v>22.8000</v>
      </c>
      <c r="AA18" s="883" t="str">
        <f>CenAVS!C49</f>
        <v>SW</v>
      </c>
      <c r="AB18" s="665">
        <f t="shared" si="4"/>
        <v>0</v>
      </c>
      <c r="AC18" s="899">
        <f>CenAVS!F49</f>
        <v>30.106369999999998</v>
      </c>
      <c r="AD18" s="900">
        <f t="shared" si="3"/>
        <v>0</v>
      </c>
      <c r="AE18" s="903">
        <f>IF(AND($S$9=1, $T$48=3), SUM($AE$9:$AE$12), 0)</f>
        <v>0</v>
      </c>
      <c r="AF18" s="902">
        <f t="shared" si="1"/>
        <v>0</v>
      </c>
      <c r="AG18" s="903">
        <f>IF(AND($S$20=1, $T$48=3), SUM($AG$9:$AG$12), 0)</f>
        <v>0</v>
      </c>
      <c r="AH18" s="902">
        <f t="shared" si="2"/>
        <v>0</v>
      </c>
      <c r="AI18" s="170"/>
      <c r="AJ18" s="170"/>
      <c r="AK18" s="108"/>
      <c r="AL18" s="255"/>
      <c r="AM18" s="137"/>
      <c r="AN18" s="545" t="s">
        <v>772</v>
      </c>
      <c r="AO18" s="137"/>
    </row>
    <row r="19" spans="1:56" s="37" customFormat="1" ht="25.15" customHeight="1" thickBot="1" x14ac:dyDescent="0.25">
      <c r="B19" s="586" t="str">
        <f>IF(F11=0," ",IF(F11&gt;1200,"TKH = max. 1200!",IF(F11&lt;480,"TKH = min. 480!",IF(F11&lt;H11,$N$59,IF(H17&gt;0,IF(F11=0," ",IF(AND(F11&gt;0,M17=1), $N$58," "))," ")))))</f>
        <v xml:space="preserve"> </v>
      </c>
      <c r="C19" s="227"/>
      <c r="D19" s="227"/>
      <c r="E19" s="227"/>
      <c r="F19" s="262"/>
      <c r="G19" s="262"/>
      <c r="H19" s="227"/>
      <c r="I19" s="227"/>
      <c r="J19" s="227"/>
      <c r="K19" s="227"/>
      <c r="L19" s="227"/>
      <c r="X19" s="108"/>
      <c r="Y19" s="898" t="str">
        <f>CenAVS!A50</f>
        <v xml:space="preserve">zaślepki HF/HL/HS - Top do SD jasnoszare HGR   </v>
      </c>
      <c r="Z19" s="898" t="str">
        <f>CenAVS!B50</f>
        <v>23.8000</v>
      </c>
      <c r="AA19" s="883" t="str">
        <f>CenAVS!C50</f>
        <v>HGR</v>
      </c>
      <c r="AB19" s="665">
        <f t="shared" si="4"/>
        <v>0</v>
      </c>
      <c r="AC19" s="899">
        <f>CenAVS!F50</f>
        <v>284.41748999999999</v>
      </c>
      <c r="AD19" s="900">
        <f t="shared" si="3"/>
        <v>0</v>
      </c>
      <c r="AE19" s="903">
        <f>IF(AND($S$9=2, $T$48=1), $AE$45, 0)</f>
        <v>0</v>
      </c>
      <c r="AF19" s="902">
        <f t="shared" si="1"/>
        <v>0</v>
      </c>
      <c r="AG19" s="903">
        <f>IF(AND($S$20=2, $T$48=1), $AG$45, 0)</f>
        <v>0</v>
      </c>
      <c r="AH19" s="902">
        <f t="shared" si="2"/>
        <v>0</v>
      </c>
      <c r="AI19" s="170"/>
      <c r="AJ19" s="170"/>
      <c r="AK19" s="108"/>
      <c r="AL19" s="708" t="str">
        <f>" "&amp;ListAVS!$B$195</f>
        <v xml:space="preserve"> Obliczanie frontów asymetrycznych</v>
      </c>
      <c r="AM19" s="137"/>
      <c r="AN19" s="137"/>
      <c r="AO19" s="137"/>
    </row>
    <row r="20" spans="1:56" s="37" customFormat="1" ht="16.149999999999999" customHeight="1" thickBot="1" x14ac:dyDescent="0.25">
      <c r="B20" s="1051" t="str">
        <f>"▼ "&amp;ListAVS!$B$318</f>
        <v>▼ Sposób otwierania</v>
      </c>
      <c r="C20" s="1052"/>
      <c r="D20" s="406" t="str">
        <f>IF($M$28&gt;0, ListAVS!$B$37&amp;": ", " ")</f>
        <v xml:space="preserve"> </v>
      </c>
      <c r="E20" s="688" t="str">
        <f>IF(SUM($AG$9:$AG$10)&gt;0,25,IF(SUM($AG$11:$AG$12)&gt;0,28," "))</f>
        <v xml:space="preserve"> </v>
      </c>
      <c r="F20" s="1056" t="str">
        <f>ListAVS!$B$64&amp;" B"</f>
        <v>Korpus B</v>
      </c>
      <c r="G20" s="1057"/>
      <c r="H20" s="1058"/>
      <c r="I20" s="227"/>
      <c r="J20" s="227"/>
      <c r="K20" s="227"/>
      <c r="L20" s="227"/>
      <c r="N20" s="39" t="s">
        <v>53</v>
      </c>
      <c r="O20" s="39"/>
      <c r="P20" s="39" t="s">
        <v>33</v>
      </c>
      <c r="Q20" s="39"/>
      <c r="S20" s="138">
        <v>1</v>
      </c>
      <c r="T20" s="1063" t="b">
        <v>0</v>
      </c>
      <c r="U20" s="1064"/>
      <c r="V20" s="139" t="s">
        <v>34</v>
      </c>
      <c r="W20" s="140"/>
      <c r="X20" s="108"/>
      <c r="Y20" s="898" t="str">
        <f>CenAVS!A51</f>
        <v xml:space="preserve">Zaślepki HF/HL/HS - Top do SD ciemnoszare TGR   </v>
      </c>
      <c r="Z20" s="898" t="str">
        <f>CenAVS!B51</f>
        <v>23.8000</v>
      </c>
      <c r="AA20" s="883" t="str">
        <f>CenAVS!C51</f>
        <v>TGR</v>
      </c>
      <c r="AB20" s="665">
        <f t="shared" si="4"/>
        <v>0</v>
      </c>
      <c r="AC20" s="899">
        <f>CenAVS!F51</f>
        <v>295.60313000000002</v>
      </c>
      <c r="AD20" s="900">
        <f t="shared" si="3"/>
        <v>0</v>
      </c>
      <c r="AE20" s="903">
        <f>IF(AND($S$9=2, $T$48=2), $AE$45, 0)</f>
        <v>0</v>
      </c>
      <c r="AF20" s="902">
        <f t="shared" si="1"/>
        <v>0</v>
      </c>
      <c r="AG20" s="903">
        <f>IF(AND($S$20=2, $T$48=2), $AG$45, 0)</f>
        <v>0</v>
      </c>
      <c r="AH20" s="902">
        <f t="shared" si="2"/>
        <v>0</v>
      </c>
      <c r="AI20" s="170"/>
      <c r="AJ20" s="170"/>
      <c r="AK20" s="108"/>
      <c r="AM20" s="137"/>
      <c r="AN20" s="137"/>
      <c r="AO20" s="137"/>
      <c r="AP20" s="137"/>
    </row>
    <row r="21" spans="1:56" s="37" customFormat="1" ht="16.149999999999999" customHeight="1" x14ac:dyDescent="0.2">
      <c r="B21" s="1011" t="str">
        <f>ListAVS!$B$74&amp;" KB [mm] "</f>
        <v xml:space="preserve">Szerokość korpusu KB [mm] </v>
      </c>
      <c r="C21" s="1012"/>
      <c r="D21" s="1012"/>
      <c r="E21" s="1012"/>
      <c r="F21" s="1012"/>
      <c r="G21" s="1013"/>
      <c r="H21" s="405"/>
      <c r="I21" s="256" t="str">
        <f>IF(H21=0," ",IF($H21&lt;220," min. 220mm",IF($H21&gt;1800," max. 1 800mm"," ")))&amp;IF(H28&gt;0,IF(H21=0,"● "&amp;ListAVS!$B$129," ")," ")</f>
        <v xml:space="preserve">  </v>
      </c>
      <c r="J21" s="227"/>
      <c r="K21" s="227"/>
      <c r="L21" s="227"/>
      <c r="N21" s="894"/>
      <c r="O21" s="895"/>
      <c r="P21" s="37" t="s">
        <v>35</v>
      </c>
      <c r="Q21" s="118">
        <f>IF(AND($P$27&gt;=$AB$54,$P$27&lt;=$AC$54),SUM($O$22:$O$23),0)</f>
        <v>0</v>
      </c>
      <c r="T21" s="203" t="s">
        <v>54</v>
      </c>
      <c r="U21" s="39"/>
      <c r="V21" s="203" t="s">
        <v>55</v>
      </c>
      <c r="W21" s="39"/>
      <c r="X21" s="108"/>
      <c r="Y21" s="898" t="str">
        <f>CenAVS!A52</f>
        <v xml:space="preserve">Zaślepki HF/HL/HS - Top do SD białe SW   </v>
      </c>
      <c r="Z21" s="898" t="str">
        <f>CenAVS!B52</f>
        <v>23.8000</v>
      </c>
      <c r="AA21" s="883" t="str">
        <f>CenAVS!C52</f>
        <v>SW</v>
      </c>
      <c r="AB21" s="665">
        <f t="shared" si="4"/>
        <v>0</v>
      </c>
      <c r="AC21" s="899">
        <f>CenAVS!F52</f>
        <v>295.60313000000002</v>
      </c>
      <c r="AD21" s="900">
        <f t="shared" si="3"/>
        <v>0</v>
      </c>
      <c r="AE21" s="903">
        <f>IF(AND($S$9=2, $T$48=3), $AE$45, 0)</f>
        <v>0</v>
      </c>
      <c r="AF21" s="902">
        <f t="shared" si="1"/>
        <v>0</v>
      </c>
      <c r="AG21" s="903">
        <f>IF(AND($S$20=2, $T$48=3), $AG$45, 0)</f>
        <v>0</v>
      </c>
      <c r="AH21" s="902">
        <f t="shared" si="2"/>
        <v>0</v>
      </c>
      <c r="AI21" s="170"/>
      <c r="AJ21" s="170"/>
      <c r="AK21" s="108"/>
      <c r="AL21" s="709"/>
      <c r="AM21" s="137"/>
      <c r="AN21" s="137"/>
      <c r="AO21" s="137"/>
      <c r="AP21" s="137"/>
    </row>
    <row r="22" spans="1:56" s="37" customFormat="1" ht="16.149999999999999" customHeight="1" x14ac:dyDescent="0.2">
      <c r="B22" s="1011" t="str">
        <f>ListAVS!$B$75&amp;" [mm]"</f>
        <v>Wysokość korpusu [mm]</v>
      </c>
      <c r="C22" s="1012"/>
      <c r="D22" s="1012"/>
      <c r="E22" s="297" t="s">
        <v>38</v>
      </c>
      <c r="F22" s="405"/>
      <c r="G22" s="295" t="s">
        <v>39</v>
      </c>
      <c r="H22" s="405"/>
      <c r="I22" s="256" t="str">
        <f>IF(H22=0," ",IF($H22&lt;480," min. 480mm",IF($H22&gt;1200," max. 1 200mm"," ")))&amp;IF(H28&gt;0,IF(H22=0,"● "&amp;ListAVS!$B$129," ")," ")</f>
        <v xml:space="preserve">  </v>
      </c>
      <c r="J22" s="227"/>
      <c r="K22" s="227"/>
      <c r="L22" s="227"/>
      <c r="N22" s="37" t="s">
        <v>40</v>
      </c>
      <c r="O22" s="118">
        <f>IF($H27&lt;$AB$50,0,IF($H27&lt;=$AC$50,1,0))</f>
        <v>0</v>
      </c>
      <c r="P22" s="37" t="s">
        <v>41</v>
      </c>
      <c r="Q22" s="118">
        <f>IF(AND($P$27&gt;=$AB$55,$P$27&lt;=$AC$55),SUM($O$22:$O$23),0)</f>
        <v>0</v>
      </c>
      <c r="T22" s="37" t="s">
        <v>42</v>
      </c>
      <c r="U22" s="895">
        <f>IF($N$48=1, IF(OR($H$21&gt;=1200, $T$28&gt;=12), 3, 2))+IF($N$48=1,IF(OR($H$21=1800, $T$28&gt;=20), 1, 0))</f>
        <v>0</v>
      </c>
      <c r="V22" s="37" t="s">
        <v>43</v>
      </c>
      <c r="W22" s="118">
        <f>IF($P$48=1, IF(OR($H$21&gt;=1200, $T$28&gt;=12), 3, 2))+IF($P$48=1,IF(OR($H$21=1800, $T$28&gt;=20), 1, 0))</f>
        <v>2</v>
      </c>
      <c r="X22" s="108"/>
      <c r="Y22" s="898" t="str">
        <f>CenAVS!A18</f>
        <v xml:space="preserve">nakładany Tip-on wkręt 120°       </v>
      </c>
      <c r="Z22" s="898" t="str">
        <f>CenAVS!B18</f>
        <v>70T5550.TL</v>
      </c>
      <c r="AA22" s="883" t="str">
        <f>CenAVS!C18</f>
        <v>NI</v>
      </c>
      <c r="AB22" s="665">
        <f t="shared" si="4"/>
        <v>0</v>
      </c>
      <c r="AC22" s="899">
        <f>CenAVS!F18</f>
        <v>5.5152999999999999</v>
      </c>
      <c r="AD22" s="900">
        <f t="shared" si="3"/>
        <v>0</v>
      </c>
      <c r="AE22" s="903">
        <f>$U$12*$M$17</f>
        <v>0</v>
      </c>
      <c r="AF22" s="902">
        <f t="shared" si="1"/>
        <v>0</v>
      </c>
      <c r="AG22" s="903">
        <f>$U$23*$M$28</f>
        <v>0</v>
      </c>
      <c r="AH22" s="902">
        <f t="shared" si="2"/>
        <v>0</v>
      </c>
      <c r="AI22" s="170"/>
      <c r="AJ22" s="170"/>
      <c r="AK22" s="108"/>
      <c r="AL22" s="255"/>
      <c r="AM22" s="137"/>
      <c r="AN22" s="137"/>
      <c r="AO22" s="137"/>
      <c r="AP22" s="137"/>
    </row>
    <row r="23" spans="1:56" s="37" customFormat="1" ht="16.149999999999999" customHeight="1" x14ac:dyDescent="0.2">
      <c r="B23" s="1011" t="str">
        <f>ListAVS!$B$77&amp;" [kg] ** "</f>
        <v xml:space="preserve">Waga frontu wraz z uchwytem [kg] ** </v>
      </c>
      <c r="C23" s="1012"/>
      <c r="D23" s="1012"/>
      <c r="E23" s="1012"/>
      <c r="F23" s="1012"/>
      <c r="G23" s="1013"/>
      <c r="H23" s="258"/>
      <c r="I23" s="227" t="str">
        <f>IF($H28=0," ",IF(SUM($H23,$H26)=0,$N$37," "))&amp;IF($H28&gt;0,IF($H23&gt;0,$N$41," ")," ")</f>
        <v xml:space="preserve">  </v>
      </c>
      <c r="J23" s="227"/>
      <c r="K23" s="227"/>
      <c r="L23" s="227"/>
      <c r="N23" s="37" t="s">
        <v>44</v>
      </c>
      <c r="O23" s="118">
        <f>IF($H27&lt;$AB$51,0,IF($H27&lt;=$AC$51,1,IF($H27&gt;$AB$52,1.5,0)))</f>
        <v>0</v>
      </c>
      <c r="P23" s="37" t="s">
        <v>48</v>
      </c>
      <c r="Q23" s="118">
        <f>IF(AND($P$27&gt;=$AB$56,$P$27&lt;=$AC$56),SUM($O$22:$O$23),0)</f>
        <v>0</v>
      </c>
      <c r="T23" s="37" t="s">
        <v>46</v>
      </c>
      <c r="U23" s="118">
        <f>IF($N$48=2, IF(OR($H$21&gt;=1200, $T$28&gt;=12), 3, 2))+IF($N$48=2,IF(OR($H$21=1800, $T$28&gt;=20), 1, 0))</f>
        <v>2</v>
      </c>
      <c r="V23" s="37" t="s">
        <v>47</v>
      </c>
      <c r="W23" s="118">
        <f>IF($P$48=2, IF(OR($H$21&gt;=1200, $T$28&gt;=12), 3, 2))+IF($P$48=2,IF(OR($H$21=1800, $T$28&gt;=20), 1, 0))</f>
        <v>0</v>
      </c>
      <c r="X23" s="108"/>
      <c r="Y23" s="898" t="str">
        <f>CenAVS!A19</f>
        <v xml:space="preserve">zawias nakładany Tip-on Expando 120°      </v>
      </c>
      <c r="Z23" s="898" t="str">
        <f>CenAVS!B19</f>
        <v>70T558E</v>
      </c>
      <c r="AA23" s="883" t="str">
        <f>CenAVS!C19</f>
        <v>NI</v>
      </c>
      <c r="AB23" s="665">
        <f t="shared" si="4"/>
        <v>0</v>
      </c>
      <c r="AC23" s="899">
        <f>CenAVS!F19</f>
        <v>5.8604399999999996</v>
      </c>
      <c r="AD23" s="900">
        <f t="shared" si="3"/>
        <v>0</v>
      </c>
      <c r="AE23" s="903">
        <f>$U$11*$M$17</f>
        <v>0</v>
      </c>
      <c r="AF23" s="902">
        <f t="shared" si="1"/>
        <v>0</v>
      </c>
      <c r="AG23" s="903">
        <f>$U$22*$M$28</f>
        <v>0</v>
      </c>
      <c r="AH23" s="902">
        <f t="shared" si="2"/>
        <v>0</v>
      </c>
      <c r="AI23" s="170"/>
      <c r="AJ23" s="170"/>
      <c r="AK23" s="108"/>
      <c r="AL23" s="255"/>
      <c r="AM23" s="137"/>
      <c r="AN23" s="137"/>
      <c r="AO23" s="137"/>
      <c r="AP23" s="137"/>
    </row>
    <row r="24" spans="1:56" s="37" customFormat="1" ht="16.149999999999999" customHeight="1" x14ac:dyDescent="0.2">
      <c r="B24" s="1055" t="str">
        <f>ListAVS!$B$293</f>
        <v>Obliczenie wagi</v>
      </c>
      <c r="C24" s="1055"/>
      <c r="D24" s="1053" t="str">
        <f>ListAVS!$B$82&amp;" TS [mm] "</f>
        <v xml:space="preserve">Grubość dolnego frontu TS [mm] </v>
      </c>
      <c r="E24" s="1053"/>
      <c r="F24" s="1053"/>
      <c r="G24" s="1054"/>
      <c r="H24" s="258"/>
      <c r="I24" s="256" t="str">
        <f>IF(H28=0," ",IF(AND(H23=0, H24=0)," ● "&amp;ListAVS!$B$129," "))</f>
        <v xml:space="preserve"> </v>
      </c>
      <c r="J24" s="227"/>
      <c r="K24" s="227"/>
      <c r="L24" s="227"/>
      <c r="O24" s="118"/>
      <c r="Q24" s="118"/>
      <c r="U24" s="118"/>
      <c r="W24" s="118"/>
      <c r="X24" s="108"/>
      <c r="Y24" s="898" t="str">
        <f>CenAVS!A20</f>
        <v xml:space="preserve">zawias środkowy wkręt        </v>
      </c>
      <c r="Z24" s="898" t="str">
        <f>CenAVS!B20</f>
        <v>78Z5500T</v>
      </c>
      <c r="AA24" s="883" t="str">
        <f>CenAVS!C20</f>
        <v>NI</v>
      </c>
      <c r="AB24" s="665">
        <f t="shared" si="4"/>
        <v>0</v>
      </c>
      <c r="AC24" s="899">
        <f>CenAVS!F20</f>
        <v>10.1708</v>
      </c>
      <c r="AD24" s="900">
        <f t="shared" si="3"/>
        <v>0</v>
      </c>
      <c r="AE24" s="901">
        <f>$M$17*$W$12</f>
        <v>0</v>
      </c>
      <c r="AF24" s="902">
        <f t="shared" si="1"/>
        <v>0</v>
      </c>
      <c r="AG24" s="901">
        <f>$M$28*$W$23</f>
        <v>0</v>
      </c>
      <c r="AH24" s="902">
        <f t="shared" si="2"/>
        <v>0</v>
      </c>
      <c r="AI24" s="170"/>
      <c r="AJ24" s="170"/>
      <c r="AK24" s="108"/>
      <c r="AL24" s="255"/>
      <c r="AM24" s="137"/>
      <c r="AN24" s="137"/>
      <c r="AO24" s="137"/>
      <c r="AP24" s="137"/>
    </row>
    <row r="25" spans="1:56" s="37" customFormat="1" ht="16.149999999999999" customHeight="1" x14ac:dyDescent="0.2">
      <c r="B25" s="1055"/>
      <c r="C25" s="1055"/>
      <c r="D25" s="1053" t="str">
        <f>ListAVS!$B$83&amp;" [kg] "</f>
        <v xml:space="preserve">Waga uchwytu [kg] </v>
      </c>
      <c r="E25" s="1053"/>
      <c r="F25" s="1053"/>
      <c r="G25" s="1054"/>
      <c r="H25" s="258"/>
      <c r="I25" s="227" t="str">
        <f>IF(M28=0, " ", IF(AND(H23=0, S20=1, H25=0), " ● "&amp;ListAVS!$B$130," "))</f>
        <v xml:space="preserve"> </v>
      </c>
      <c r="J25" s="227"/>
      <c r="K25" s="227"/>
      <c r="L25" s="227"/>
      <c r="O25" s="118"/>
      <c r="Q25" s="118"/>
      <c r="S25" s="717" t="s">
        <v>79</v>
      </c>
      <c r="T25" s="928" t="str">
        <f>IF(AND(220&lt;=H21, H21&lt;=1800, 480&lt;=P27, P27&lt;=1200),"ano","ne")</f>
        <v>ne</v>
      </c>
      <c r="U25" s="118"/>
      <c r="W25" s="118"/>
      <c r="X25" s="108"/>
      <c r="Y25" s="898" t="str">
        <f>CenAVS!A21</f>
        <v xml:space="preserve">zawias środkowy Expando        </v>
      </c>
      <c r="Z25" s="898" t="str">
        <f>CenAVS!B21</f>
        <v>78Z553ET</v>
      </c>
      <c r="AA25" s="883" t="str">
        <f>CenAVS!C21</f>
        <v>NI</v>
      </c>
      <c r="AB25" s="665">
        <f t="shared" si="4"/>
        <v>0</v>
      </c>
      <c r="AC25" s="899">
        <f>CenAVS!F21</f>
        <v>10.498419999999999</v>
      </c>
      <c r="AD25" s="900">
        <f t="shared" si="3"/>
        <v>0</v>
      </c>
      <c r="AE25" s="901">
        <f>$M$17*$W$11</f>
        <v>0</v>
      </c>
      <c r="AF25" s="902">
        <f t="shared" si="1"/>
        <v>0</v>
      </c>
      <c r="AG25" s="901">
        <f>$M$28*$W$22</f>
        <v>0</v>
      </c>
      <c r="AH25" s="902">
        <f t="shared" si="2"/>
        <v>0</v>
      </c>
      <c r="AI25" s="170"/>
      <c r="AJ25" s="170"/>
      <c r="AK25" s="108"/>
      <c r="AL25" s="255"/>
      <c r="AM25" s="137"/>
      <c r="AN25" s="137"/>
      <c r="AO25" s="137"/>
      <c r="AP25" s="137"/>
    </row>
    <row r="26" spans="1:56" s="37" customFormat="1" ht="16.149999999999999" customHeight="1" x14ac:dyDescent="0.2">
      <c r="B26" s="1055"/>
      <c r="C26" s="1055"/>
      <c r="D26" s="1053" t="str">
        <f>ListAVS!$B$79&amp;" [kg] "</f>
        <v xml:space="preserve">Obliczona waga frontu [kg] </v>
      </c>
      <c r="E26" s="1053"/>
      <c r="F26" s="1053"/>
      <c r="G26" s="1054"/>
      <c r="H26" s="259">
        <f>$T$90</f>
        <v>0</v>
      </c>
      <c r="I26" s="227" t="str">
        <f>IF($M28&gt;0,IF($H26&gt;0,IF($H23=0,$N$41," ")," ")," ")&amp;IF(AND(H28&gt;0, H23=0, Z89=3, $J$4=0), $N$39, " ")</f>
        <v xml:space="preserve">  </v>
      </c>
      <c r="J26" s="227"/>
      <c r="K26" s="227"/>
      <c r="L26" s="227"/>
      <c r="O26" s="118"/>
      <c r="Q26" s="118"/>
      <c r="S26" s="717" t="s">
        <v>732</v>
      </c>
      <c r="T26" s="928" t="str">
        <f>IF(AND(H27&gt;=$AB$50, H27&lt;=$AC$51), "ano", "ne")</f>
        <v>ne</v>
      </c>
      <c r="X26" s="108"/>
      <c r="Y26" s="898" t="str">
        <f>CenAVS!A22</f>
        <v xml:space="preserve">alu nakładany Tip-on 120° Aventos HF     </v>
      </c>
      <c r="Z26" s="898" t="str">
        <f>CenAVS!B22</f>
        <v>72T550A.TL</v>
      </c>
      <c r="AA26" s="883" t="str">
        <f>CenAVS!C22</f>
        <v>NI</v>
      </c>
      <c r="AB26" s="665"/>
      <c r="AC26" s="899">
        <f>CenAVS!F22</f>
        <v>8.4674200000000006</v>
      </c>
      <c r="AD26" s="900">
        <f t="shared" si="3"/>
        <v>0</v>
      </c>
      <c r="AE26" s="901"/>
      <c r="AF26" s="902">
        <f t="shared" si="1"/>
        <v>0</v>
      </c>
      <c r="AG26" s="901"/>
      <c r="AH26" s="902">
        <f t="shared" si="2"/>
        <v>0</v>
      </c>
      <c r="AI26" s="170"/>
      <c r="AJ26" s="170"/>
      <c r="AK26" s="108"/>
      <c r="AL26" s="255"/>
      <c r="AM26" s="137"/>
    </row>
    <row r="27" spans="1:56" s="37" customFormat="1" ht="16.149999999999999" customHeight="1" thickBot="1" x14ac:dyDescent="0.25">
      <c r="B27" s="1011" t="str">
        <f>ListAVS!$B$86&amp;" LF "</f>
        <v xml:space="preserve">Współczynnik mocy LF </v>
      </c>
      <c r="C27" s="1012"/>
      <c r="D27" s="1012"/>
      <c r="E27" s="1012"/>
      <c r="F27" s="1012"/>
      <c r="G27" s="1013"/>
      <c r="H27" s="400">
        <f>IF(H22&lt;1041,IF(H22&gt;479,IF(H23&gt;0,H22*H23,H22*H26),0),0)</f>
        <v>0</v>
      </c>
      <c r="I27" s="256" t="str">
        <f>IF(AND(H27&gt;0, H27&lt;$AB$50), $T$44, IF($H27&gt;$AC$51, $N$44, "  "))</f>
        <v xml:space="preserve">  </v>
      </c>
      <c r="J27" s="227"/>
      <c r="K27" s="268"/>
      <c r="L27" s="227"/>
      <c r="O27" s="153" t="s">
        <v>49</v>
      </c>
      <c r="P27" s="165">
        <f>IF(F22&gt;0,IF(F22&gt;=H22,F22,0),H22)</f>
        <v>0</v>
      </c>
      <c r="Q27" s="118"/>
      <c r="X27" s="108"/>
      <c r="Y27" s="898" t="str">
        <f>CenAVS!A23</f>
        <v xml:space="preserve">alu zawias środkowy        </v>
      </c>
      <c r="Z27" s="898" t="str">
        <f>CenAVS!B23</f>
        <v>78Z550AT</v>
      </c>
      <c r="AA27" s="883" t="str">
        <f>CenAVS!C23</f>
        <v>NI</v>
      </c>
      <c r="AB27" s="665"/>
      <c r="AC27" s="899">
        <f>CenAVS!F23</f>
        <v>11.149290000000001</v>
      </c>
      <c r="AD27" s="900">
        <f t="shared" si="3"/>
        <v>0</v>
      </c>
      <c r="AE27" s="901"/>
      <c r="AF27" s="902">
        <f t="shared" si="1"/>
        <v>0</v>
      </c>
      <c r="AG27" s="901"/>
      <c r="AH27" s="902">
        <f t="shared" si="2"/>
        <v>0</v>
      </c>
      <c r="AI27" s="170"/>
      <c r="AJ27" s="170"/>
      <c r="AK27" s="108"/>
      <c r="AL27" s="255"/>
      <c r="AM27" s="137"/>
      <c r="AN27" s="137"/>
      <c r="AO27" s="137"/>
      <c r="AP27" s="137"/>
      <c r="AQ27" s="137"/>
    </row>
    <row r="28" spans="1:56" ht="16.149999999999999" customHeight="1" thickBot="1" x14ac:dyDescent="0.25">
      <c r="B28" s="1011" t="str">
        <f>ListAVS!$B$71&amp;" "</f>
        <v xml:space="preserve">Ilość szafek </v>
      </c>
      <c r="C28" s="1012"/>
      <c r="D28" s="1012"/>
      <c r="E28" s="1012"/>
      <c r="F28" s="1012"/>
      <c r="G28" s="1012"/>
      <c r="H28" s="261"/>
      <c r="I28" s="256"/>
      <c r="J28" s="270"/>
      <c r="K28" s="401"/>
      <c r="L28" s="402"/>
      <c r="M28" s="315">
        <f>IF($H21*$P27=0,0,IF(SUM($H23,$H26)=0,0,IF($P27&gt;$AC$57,0,IF(P27&lt;$AB$54,0,IF(OR(T25="ne", T26="ne"),0,$H28)))))</f>
        <v>0</v>
      </c>
      <c r="N28" s="37" t="s">
        <v>50</v>
      </c>
      <c r="O28" s="39"/>
      <c r="P28" s="39"/>
      <c r="Q28" s="39"/>
      <c r="R28" s="137"/>
      <c r="S28" s="690" t="s">
        <v>51</v>
      </c>
      <c r="T28" s="691">
        <f>IF(H23&gt;0,H23,H26)</f>
        <v>0</v>
      </c>
      <c r="U28" s="37">
        <f>IF(SUM(H23,H26)=0,0,IF(H23&gt;0,1,2))</f>
        <v>0</v>
      </c>
      <c r="V28" s="571" t="s">
        <v>52</v>
      </c>
      <c r="W28" s="118"/>
      <c r="Y28" s="898" t="str">
        <f>CenAVS!A24</f>
        <v xml:space="preserve">adapter alu do ramion teleskop. P     </v>
      </c>
      <c r="Z28" s="898" t="str">
        <f>CenAVS!B24</f>
        <v>175H5B00   R</v>
      </c>
      <c r="AA28" s="883" t="str">
        <f>CenAVS!C24</f>
        <v>NI</v>
      </c>
      <c r="AB28" s="665"/>
      <c r="AC28" s="899">
        <f>CenAVS!F24</f>
        <v>9.9110600000000009</v>
      </c>
      <c r="AD28" s="900">
        <f t="shared" si="3"/>
        <v>0</v>
      </c>
      <c r="AE28" s="901"/>
      <c r="AF28" s="902">
        <f t="shared" si="1"/>
        <v>0</v>
      </c>
      <c r="AG28" s="901"/>
      <c r="AH28" s="902">
        <f t="shared" si="2"/>
        <v>0</v>
      </c>
      <c r="AI28" s="170"/>
      <c r="AJ28" s="170"/>
      <c r="AL28" s="255"/>
      <c r="AM28" s="37"/>
    </row>
    <row r="29" spans="1:56" ht="16.149999999999999" customHeight="1" x14ac:dyDescent="0.2">
      <c r="A29" s="137"/>
      <c r="B29" s="227" t="str">
        <f>IF(H28&gt;0,IF(U28=0," ",IF(U28=1,$N$53,$N$54))," ")&amp;IF(H28&gt;0,IF(U28=0," ",IF(U28=1,$N$55,$N$56))," ")</f>
        <v xml:space="preserve">  </v>
      </c>
      <c r="C29" s="227"/>
      <c r="D29" s="227"/>
      <c r="E29" s="227"/>
      <c r="F29" s="227"/>
      <c r="G29" s="227"/>
      <c r="H29" s="403"/>
      <c r="I29" s="256"/>
      <c r="J29" s="404"/>
      <c r="K29" s="404"/>
      <c r="L29" s="404"/>
      <c r="N29" s="137"/>
      <c r="O29" s="137"/>
      <c r="P29" s="137"/>
      <c r="Q29" s="137"/>
      <c r="Y29" s="898" t="str">
        <f>CenAVS!A25</f>
        <v xml:space="preserve">adapter alu do ramion teleskop. L     </v>
      </c>
      <c r="Z29" s="898" t="str">
        <f>CenAVS!B25</f>
        <v>175H5B00   L</v>
      </c>
      <c r="AA29" s="883" t="str">
        <f>CenAVS!C25</f>
        <v>NI</v>
      </c>
      <c r="AB29" s="665"/>
      <c r="AC29" s="899">
        <f>CenAVS!F25</f>
        <v>9.9110600000000009</v>
      </c>
      <c r="AD29" s="900">
        <f t="shared" si="3"/>
        <v>0</v>
      </c>
      <c r="AE29" s="901"/>
      <c r="AF29" s="902">
        <f t="shared" si="1"/>
        <v>0</v>
      </c>
      <c r="AG29" s="901"/>
      <c r="AH29" s="902">
        <f t="shared" si="2"/>
        <v>0</v>
      </c>
      <c r="AI29" s="170"/>
      <c r="AJ29" s="170"/>
      <c r="AL29" s="255"/>
    </row>
    <row r="30" spans="1:56" ht="18.75" customHeight="1" x14ac:dyDescent="0.2">
      <c r="B30" s="586" t="str">
        <f>IF(F22=0," ",IF(F22&gt;1200,"TKH = max. 1200!",IF(F22&lt;480,"TKH = min. 480!",IF(F22&lt;H22,$N$59,IF(H28&gt;0,IF(F22=0," ",IF(AND(F22&gt;0,M28=1), $N$58," "))," ")))))</f>
        <v xml:space="preserve"> </v>
      </c>
      <c r="C30" s="248"/>
      <c r="D30" s="396"/>
      <c r="E30" s="396"/>
      <c r="F30" s="274"/>
      <c r="G30" s="274"/>
      <c r="H30" s="396"/>
      <c r="I30" s="264"/>
      <c r="J30" s="264"/>
      <c r="K30" s="396"/>
      <c r="L30" s="265"/>
      <c r="N30" s="137"/>
      <c r="O30" s="137"/>
      <c r="P30" s="137"/>
      <c r="Q30" s="137"/>
      <c r="Y30" s="898" t="str">
        <f>CenAVS!A26</f>
        <v xml:space="preserve">adapter alu do zawiasu środkowego      </v>
      </c>
      <c r="Z30" s="898" t="str">
        <f>CenAVS!B26</f>
        <v>175H5A00</v>
      </c>
      <c r="AA30" s="883" t="str">
        <f>CenAVS!C26</f>
        <v>NI</v>
      </c>
      <c r="AB30" s="665"/>
      <c r="AC30" s="899">
        <f>CenAVS!F26</f>
        <v>9.9110600000000009</v>
      </c>
      <c r="AD30" s="900">
        <f t="shared" si="3"/>
        <v>0</v>
      </c>
      <c r="AE30" s="901"/>
      <c r="AF30" s="902">
        <f t="shared" si="1"/>
        <v>0</v>
      </c>
      <c r="AG30" s="901"/>
      <c r="AH30" s="902">
        <f t="shared" si="2"/>
        <v>0</v>
      </c>
      <c r="AI30" s="170"/>
      <c r="AJ30" s="170"/>
    </row>
    <row r="31" spans="1:56" ht="13.5" customHeight="1" x14ac:dyDescent="0.2">
      <c r="B31" s="1109" t="str">
        <f>IF(OR(AND($S$9=2, $M$17&gt;0), AND($S$20=2, $M$28&gt;0)), ListAVS!$B$176, " ")</f>
        <v xml:space="preserve"> </v>
      </c>
      <c r="C31" s="1109"/>
      <c r="D31" s="1109"/>
      <c r="E31" s="1109"/>
      <c r="F31" s="1109"/>
      <c r="G31" s="1109"/>
      <c r="H31" s="1109"/>
      <c r="I31" s="1109"/>
      <c r="J31" s="1109"/>
      <c r="K31" s="397"/>
      <c r="L31" s="397"/>
      <c r="O31" s="37"/>
      <c r="Q31" s="37"/>
      <c r="S31" s="337">
        <f>IF($T$31=FALSE,2,1)</f>
        <v>1</v>
      </c>
      <c r="T31" s="1063" t="b">
        <v>1</v>
      </c>
      <c r="U31" s="1064"/>
      <c r="V31" s="139" t="s">
        <v>56</v>
      </c>
      <c r="W31" s="173"/>
      <c r="Y31" s="898"/>
      <c r="Z31" s="898"/>
      <c r="AA31" s="883"/>
      <c r="AB31" s="665"/>
      <c r="AC31" s="899"/>
      <c r="AD31" s="900"/>
      <c r="AE31" s="901"/>
      <c r="AF31" s="902"/>
      <c r="AG31" s="901"/>
      <c r="AH31" s="902"/>
      <c r="AI31" s="170"/>
      <c r="AJ31" s="170"/>
      <c r="AL31" s="693"/>
    </row>
    <row r="32" spans="1:56" ht="13.5" customHeight="1" x14ac:dyDescent="0.2">
      <c r="B32" s="1109"/>
      <c r="C32" s="1109"/>
      <c r="D32" s="1109"/>
      <c r="E32" s="1109"/>
      <c r="F32" s="1109"/>
      <c r="G32" s="1109"/>
      <c r="H32" s="1109"/>
      <c r="I32" s="1109"/>
      <c r="J32" s="1109"/>
      <c r="K32" s="397"/>
      <c r="L32" s="397"/>
      <c r="O32" s="37"/>
      <c r="Q32" s="37"/>
      <c r="Y32" s="898"/>
      <c r="Z32" s="898"/>
      <c r="AA32" s="883"/>
      <c r="AB32" s="665"/>
      <c r="AC32" s="899"/>
      <c r="AD32" s="900"/>
      <c r="AE32" s="901"/>
      <c r="AF32" s="902"/>
      <c r="AG32" s="901"/>
      <c r="AH32" s="902"/>
      <c r="AI32" s="170"/>
      <c r="AJ32" s="170"/>
      <c r="AL32" s="693"/>
    </row>
    <row r="33" spans="2:43" ht="12.75" x14ac:dyDescent="0.2">
      <c r="B33" s="1109"/>
      <c r="C33" s="1109"/>
      <c r="D33" s="1109"/>
      <c r="E33" s="1109"/>
      <c r="F33" s="1109"/>
      <c r="G33" s="1109"/>
      <c r="H33" s="1109"/>
      <c r="I33" s="1109"/>
      <c r="J33" s="1109"/>
      <c r="K33" s="266"/>
      <c r="L33" s="255"/>
      <c r="Y33" s="898" t="str">
        <f>CenAVS!A27</f>
        <v xml:space="preserve">          </v>
      </c>
      <c r="Z33" s="898">
        <f>CenAVS!B27</f>
        <v>0</v>
      </c>
      <c r="AA33" s="883">
        <f>CenAVS!C27</f>
        <v>0</v>
      </c>
      <c r="AB33" s="665"/>
      <c r="AC33" s="899">
        <f>CenAVS!F27</f>
        <v>0</v>
      </c>
      <c r="AD33" s="900">
        <f t="shared" si="3"/>
        <v>0</v>
      </c>
      <c r="AE33" s="901"/>
      <c r="AF33" s="902">
        <f t="shared" si="1"/>
        <v>0</v>
      </c>
      <c r="AG33" s="901"/>
      <c r="AH33" s="902">
        <f t="shared" si="2"/>
        <v>0</v>
      </c>
      <c r="AI33" s="170"/>
      <c r="AJ33" s="170"/>
      <c r="AL33" s="693"/>
    </row>
    <row r="34" spans="2:43" ht="12.75" x14ac:dyDescent="0.2">
      <c r="B34" s="272"/>
      <c r="C34" s="255"/>
      <c r="D34" s="266"/>
      <c r="E34" s="266"/>
      <c r="F34" s="266"/>
      <c r="G34" s="266"/>
      <c r="H34" s="266"/>
      <c r="I34" s="255"/>
      <c r="J34" s="266"/>
      <c r="K34" s="266"/>
      <c r="L34" s="255"/>
      <c r="Y34" s="898"/>
      <c r="Z34" s="898"/>
      <c r="AA34" s="883"/>
      <c r="AB34" s="665"/>
      <c r="AC34" s="899"/>
      <c r="AD34" s="900">
        <f t="shared" si="3"/>
        <v>0</v>
      </c>
      <c r="AE34" s="901"/>
      <c r="AF34" s="902">
        <f t="shared" si="1"/>
        <v>0</v>
      </c>
      <c r="AG34" s="901"/>
      <c r="AH34" s="902">
        <f t="shared" si="2"/>
        <v>0</v>
      </c>
      <c r="AI34" s="170"/>
      <c r="AJ34" s="170"/>
    </row>
    <row r="35" spans="2:43" ht="12.75" x14ac:dyDescent="0.2">
      <c r="B35" s="272"/>
      <c r="C35" s="273" t="str">
        <f>IF($H16&gt;25900," ",IF($H16&gt;17250,$N$46,IF($H27&gt;25900," ",IF($H27&gt;17250,$N$46," "))))</f>
        <v xml:space="preserve"> </v>
      </c>
      <c r="D35" s="266"/>
      <c r="E35" s="266"/>
      <c r="F35" s="266"/>
      <c r="G35" s="266"/>
      <c r="H35" s="266"/>
      <c r="I35" s="255"/>
      <c r="J35" s="266"/>
      <c r="K35" s="266"/>
      <c r="L35" s="255"/>
      <c r="N35" s="37" t="str">
        <f>ListAVS!B177</f>
        <v>Cena bez zasilacza!</v>
      </c>
      <c r="Y35" s="898"/>
      <c r="Z35" s="898"/>
      <c r="AA35" s="883"/>
      <c r="AB35" s="665"/>
      <c r="AC35" s="899"/>
      <c r="AD35" s="900">
        <f t="shared" si="3"/>
        <v>0</v>
      </c>
      <c r="AE35" s="903"/>
      <c r="AF35" s="902">
        <f t="shared" si="1"/>
        <v>0</v>
      </c>
      <c r="AG35" s="903"/>
      <c r="AH35" s="902">
        <f t="shared" si="2"/>
        <v>0</v>
      </c>
      <c r="AI35" s="170"/>
      <c r="AJ35" s="170"/>
    </row>
    <row r="36" spans="2:43" ht="12.75" x14ac:dyDescent="0.2">
      <c r="B36" s="272"/>
      <c r="C36" s="255"/>
      <c r="D36" s="266"/>
      <c r="E36" s="266"/>
      <c r="F36" s="266"/>
      <c r="G36" s="266"/>
      <c r="H36" s="266"/>
      <c r="I36" s="255"/>
      <c r="J36" s="266"/>
      <c r="K36" s="266"/>
      <c r="L36" s="255"/>
      <c r="Y36" s="898" t="str">
        <f>CenAVS!A162</f>
        <v xml:space="preserve">prowadnik krzyżakowy mimośród wkręt 8 5mm     </v>
      </c>
      <c r="Z36" s="898" t="str">
        <f>CenAVS!B162</f>
        <v>173H7100</v>
      </c>
      <c r="AA36" s="883" t="str">
        <f>CenAVS!C162</f>
        <v>NI</v>
      </c>
      <c r="AB36" s="665">
        <f>SUM(AE36,AG36)</f>
        <v>0</v>
      </c>
      <c r="AC36" s="899">
        <f>CenAVS!F162</f>
        <v>1.7393000000000001</v>
      </c>
      <c r="AD36" s="900">
        <f t="shared" si="3"/>
        <v>0</v>
      </c>
      <c r="AE36" s="903">
        <f>SUM($AE$24:$AE$25)</f>
        <v>0</v>
      </c>
      <c r="AF36" s="902">
        <f t="shared" si="1"/>
        <v>0</v>
      </c>
      <c r="AG36" s="903">
        <f>SUM($AG$24:$AG$25)</f>
        <v>0</v>
      </c>
      <c r="AH36" s="902">
        <f t="shared" si="2"/>
        <v>0</v>
      </c>
      <c r="AI36" s="170"/>
      <c r="AJ36" s="170"/>
    </row>
    <row r="37" spans="2:43" ht="12.75" x14ac:dyDescent="0.2">
      <c r="B37" s="272"/>
      <c r="C37" s="255" t="str">
        <f>"*  "&amp;ListAVS!$B$184</f>
        <v>*  Jedynie do frontów asymetrycznych: wpisz teoretyczną wysokość TKH</v>
      </c>
      <c r="D37" s="266"/>
      <c r="E37" s="266"/>
      <c r="F37" s="266"/>
      <c r="G37" s="266"/>
      <c r="H37" s="266"/>
      <c r="I37" s="255"/>
      <c r="J37" s="266"/>
      <c r="K37" s="266"/>
      <c r="L37" s="255"/>
      <c r="N37" s="37" t="str">
        <f>" "&amp;ListAVS!$B$116</f>
        <v xml:space="preserve"> Wprowadź wagę lub wypełnij wszystkie komórki</v>
      </c>
      <c r="Y37" s="898" t="str">
        <f>CenAVS!A163</f>
        <v xml:space="preserve">prowadnik krzyżakowy mimośród Expando 8 5mm     </v>
      </c>
      <c r="Z37" s="898" t="str">
        <f>CenAVS!B163</f>
        <v>174H7100E </v>
      </c>
      <c r="AA37" s="883" t="str">
        <f>CenAVS!C163</f>
        <v>NI</v>
      </c>
      <c r="AB37" s="665"/>
      <c r="AC37" s="899">
        <f>CenAVS!F163</f>
        <v>2.1260500000000002</v>
      </c>
      <c r="AD37" s="900">
        <f t="shared" si="3"/>
        <v>0</v>
      </c>
      <c r="AE37" s="903"/>
      <c r="AF37" s="902">
        <f t="shared" si="1"/>
        <v>0</v>
      </c>
      <c r="AG37" s="903"/>
      <c r="AH37" s="902">
        <f t="shared" si="2"/>
        <v>0</v>
      </c>
      <c r="AI37" s="170"/>
      <c r="AJ37" s="170"/>
      <c r="AL37" s="710"/>
    </row>
    <row r="38" spans="2:43" ht="12.75" x14ac:dyDescent="0.2">
      <c r="B38" s="255"/>
      <c r="C38" s="255" t="str">
        <f>" ( "&amp;ListAVS!$B$185&amp;")"</f>
        <v xml:space="preserve"> ( TKH = Wysokość frontu górnego (mm) x 2 + szczeliny)</v>
      </c>
      <c r="D38" s="255"/>
      <c r="E38" s="255"/>
      <c r="F38" s="255"/>
      <c r="G38" s="255"/>
      <c r="H38" s="255"/>
      <c r="I38" s="255"/>
      <c r="J38" s="255"/>
      <c r="K38" s="255"/>
      <c r="L38" s="255"/>
      <c r="N38" s="137"/>
      <c r="Y38" s="898"/>
      <c r="Z38" s="898"/>
      <c r="AA38" s="883"/>
      <c r="AB38" s="665"/>
      <c r="AC38" s="899"/>
      <c r="AD38" s="900"/>
      <c r="AE38" s="903"/>
      <c r="AF38" s="902">
        <f t="shared" si="1"/>
        <v>0</v>
      </c>
      <c r="AG38" s="903"/>
      <c r="AH38" s="902">
        <f t="shared" si="2"/>
        <v>0</v>
      </c>
      <c r="AI38" s="170"/>
      <c r="AJ38" s="170"/>
    </row>
    <row r="39" spans="2:43" ht="12.75" x14ac:dyDescent="0.2">
      <c r="B39" s="255"/>
      <c r="C39" s="255" t="str">
        <f>" "&amp;ListAVS!$B$328&amp;" '"&amp;ListAVS!$B$195&amp;"' "</f>
        <v xml:space="preserve"> Do obliczenia TKH użyj 'Obliczanie frontów asymetrycznych' </v>
      </c>
      <c r="D39" s="255"/>
      <c r="E39" s="255"/>
      <c r="F39" s="255"/>
      <c r="G39" s="255"/>
      <c r="H39" s="255"/>
      <c r="I39" s="255"/>
      <c r="J39" s="255"/>
      <c r="K39" s="255"/>
      <c r="L39" s="255"/>
      <c r="N39" s="37" t="str">
        <f>" "&amp;ListAVS!$B$118</f>
        <v xml:space="preserve"> Wprowadź na górze masę objętościową </v>
      </c>
      <c r="Y39" s="898"/>
      <c r="Z39" s="898"/>
      <c r="AA39" s="883"/>
      <c r="AB39" s="665"/>
      <c r="AC39" s="899"/>
      <c r="AD39" s="900"/>
      <c r="AE39" s="903"/>
      <c r="AF39" s="902"/>
      <c r="AG39" s="903"/>
      <c r="AH39" s="902"/>
      <c r="AI39" s="170"/>
      <c r="AJ39" s="170"/>
    </row>
    <row r="40" spans="2:43" ht="12.75" x14ac:dyDescent="0.2">
      <c r="B40" s="255"/>
      <c r="C40" s="255"/>
      <c r="D40" s="255"/>
      <c r="E40" s="255"/>
      <c r="F40" s="255"/>
      <c r="G40" s="255"/>
      <c r="H40" s="255"/>
      <c r="I40" s="255"/>
      <c r="J40" s="255"/>
      <c r="K40" s="255"/>
      <c r="L40" s="255"/>
      <c r="Y40" s="898"/>
      <c r="Z40" s="898"/>
      <c r="AA40" s="883"/>
      <c r="AB40" s="665"/>
      <c r="AC40" s="899"/>
      <c r="AD40" s="900"/>
      <c r="AE40" s="903"/>
      <c r="AF40" s="902"/>
      <c r="AG40" s="903"/>
      <c r="AH40" s="902"/>
      <c r="AI40" s="170"/>
      <c r="AJ40" s="170"/>
    </row>
    <row r="41" spans="2:43" ht="12.75" x14ac:dyDescent="0.2">
      <c r="B41" s="255"/>
      <c r="C41" s="255" t="str">
        <f>"** "&amp;ListAVS!$B$187</f>
        <v>** Jeżeli znasz wagę i nie chcesz skorzystać z "obliczenie wagi"</v>
      </c>
      <c r="D41" s="255"/>
      <c r="E41" s="255"/>
      <c r="F41" s="255"/>
      <c r="G41" s="255"/>
      <c r="H41" s="255"/>
      <c r="I41" s="255"/>
      <c r="J41" s="255"/>
      <c r="K41" s="255"/>
      <c r="L41" s="255"/>
      <c r="N41" s="37" t="str">
        <f>"◄ "&amp;ListAVS!$B$112</f>
        <v>◄ wartość będzie wykorzystana do obliczenia LF</v>
      </c>
      <c r="Y41" s="898"/>
      <c r="Z41" s="898"/>
      <c r="AA41" s="883"/>
      <c r="AB41" s="665"/>
      <c r="AC41" s="899"/>
      <c r="AD41" s="900"/>
      <c r="AE41" s="903"/>
      <c r="AF41" s="902"/>
      <c r="AG41" s="903"/>
      <c r="AH41" s="902"/>
      <c r="AI41" s="170"/>
      <c r="AJ41" s="170"/>
    </row>
    <row r="42" spans="2:43" ht="12.75" x14ac:dyDescent="0.2">
      <c r="B42" s="266"/>
      <c r="C42" s="273" t="str">
        <f>"*** "&amp;ListAVS!$B$403</f>
        <v>*** Wybierz rodzaj ramki aluminiowej!</v>
      </c>
      <c r="D42" s="255"/>
      <c r="E42" s="255"/>
      <c r="F42" s="255"/>
      <c r="G42" s="255"/>
      <c r="H42" s="255"/>
      <c r="I42" s="255"/>
      <c r="J42" s="255"/>
      <c r="K42" s="255"/>
      <c r="L42" s="255"/>
      <c r="N42" s="37" t="str">
        <f>" * "&amp;ListAVS!$B$128</f>
        <v xml:space="preserve"> * Wypełnij wartości</v>
      </c>
      <c r="Y42" s="898" t="str">
        <f>CenAVS!A166</f>
        <v xml:space="preserve">prowadnik prosty wkręt 8 5mm stal     </v>
      </c>
      <c r="Z42" s="898" t="str">
        <f>CenAVS!B166</f>
        <v>175H3100</v>
      </c>
      <c r="AA42" s="883" t="str">
        <f>CenAVS!C166</f>
        <v>NI</v>
      </c>
      <c r="AB42" s="665">
        <f>SUM(AE42,AG42)</f>
        <v>0</v>
      </c>
      <c r="AC42" s="899">
        <f>CenAVS!F166</f>
        <v>1.65564</v>
      </c>
      <c r="AD42" s="900">
        <f t="shared" si="3"/>
        <v>0</v>
      </c>
      <c r="AE42" s="903">
        <f>IF($R$48=2, SUM($U$11, $U$12, $W$12, $Q$10*2, $Q$11*2, $Q$12*2)*$M$17, 0)</f>
        <v>0</v>
      </c>
      <c r="AF42" s="902">
        <f>$AC42*AE42</f>
        <v>0</v>
      </c>
      <c r="AG42" s="903">
        <f>IF($R$48=2, SUM($U$22, $U$23, $W$23, $Q$21*2, $Q$22*2, $Q$23*2)*$M$28, 0)</f>
        <v>0</v>
      </c>
      <c r="AH42" s="902">
        <f>$AC42*AG42</f>
        <v>0</v>
      </c>
      <c r="AI42" s="170"/>
      <c r="AJ42" s="170"/>
    </row>
    <row r="43" spans="2:43" ht="12.75" x14ac:dyDescent="0.2">
      <c r="B43" s="255"/>
      <c r="C43" s="670" t="str">
        <f>"      "&amp;ListAVS!$B$404</f>
        <v xml:space="preserve">      Więcej informacji o wyborze ramki aluminiowej w Pomocy</v>
      </c>
      <c r="D43" s="399"/>
      <c r="E43" s="399"/>
      <c r="F43" s="399"/>
      <c r="G43" s="399"/>
      <c r="H43" s="255"/>
      <c r="I43" s="255"/>
      <c r="J43" s="255"/>
      <c r="K43" s="255"/>
      <c r="L43" s="255"/>
      <c r="Y43" s="898" t="str">
        <f>CenAVS!A167</f>
        <v xml:space="preserve">prowadnik prosty Expando 8 5mm stal     </v>
      </c>
      <c r="Z43" s="898" t="str">
        <f>CenAVS!B167</f>
        <v>177H3100E </v>
      </c>
      <c r="AA43" s="883" t="str">
        <f>CenAVS!C167</f>
        <v>NI</v>
      </c>
      <c r="AB43" s="665">
        <f>SUM(AE43,AG43)</f>
        <v>0</v>
      </c>
      <c r="AC43" s="899">
        <f>CenAVS!F167</f>
        <v>1.8724499999999999</v>
      </c>
      <c r="AD43" s="900">
        <f t="shared" si="3"/>
        <v>0</v>
      </c>
      <c r="AE43" s="903">
        <f>IF($R$48=1, SUM($U$11, $U$12, $W$12, $Q$10*2, $Q$11*2, $Q$12*2)*$M$17, 0)</f>
        <v>0</v>
      </c>
      <c r="AF43" s="902">
        <f>$AC43*AE45</f>
        <v>0</v>
      </c>
      <c r="AG43" s="903">
        <f>IF($R$48=1, SUM($U$22, $U$23, $W$23, $Q$21*2, $Q$22*2, $Q$23*2)*$M$28, 0)</f>
        <v>0</v>
      </c>
      <c r="AH43" s="902">
        <f>$AC43*AG43</f>
        <v>0</v>
      </c>
      <c r="AI43" s="170"/>
      <c r="AJ43" s="170"/>
      <c r="AN43" s="37"/>
      <c r="AO43" s="37"/>
      <c r="AP43" s="37"/>
      <c r="AQ43" s="37"/>
    </row>
    <row r="44" spans="2:43" s="37" customFormat="1" ht="12.75" x14ac:dyDescent="0.2">
      <c r="B44" s="274"/>
      <c r="C44" s="255"/>
      <c r="D44" s="255"/>
      <c r="E44" s="255"/>
      <c r="F44" s="255"/>
      <c r="G44" s="255"/>
      <c r="H44" s="255"/>
      <c r="I44" s="255"/>
      <c r="J44" s="398"/>
      <c r="K44" s="398"/>
      <c r="L44" s="255"/>
      <c r="N44" s="37" t="str">
        <f>" max. 19.300! "&amp;ListAVS!$B$122</f>
        <v xml:space="preserve"> max. 19.300! Popraw wagę albo wysokość</v>
      </c>
      <c r="T44" s="37" t="str">
        <f>" min. "&amp;$AB$50&amp;"! "&amp;ListAVS!$B$122</f>
        <v xml:space="preserve"> min. 2700! Popraw wagę albo wysokość</v>
      </c>
      <c r="X44" s="108"/>
      <c r="Y44" s="898">
        <f>CenAVS!A169</f>
        <v>0</v>
      </c>
      <c r="Z44" s="898">
        <f>CenAVS!B169</f>
        <v>0</v>
      </c>
      <c r="AA44" s="883">
        <f>CenAVS!C169</f>
        <v>0</v>
      </c>
      <c r="AB44" s="665"/>
      <c r="AC44" s="899">
        <f>CenAVS!F169</f>
        <v>0</v>
      </c>
      <c r="AD44" s="900">
        <f t="shared" si="3"/>
        <v>0</v>
      </c>
      <c r="AE44" s="903"/>
      <c r="AF44" s="902">
        <f>$AC44*AE44</f>
        <v>0</v>
      </c>
      <c r="AG44" s="903"/>
      <c r="AH44" s="902">
        <f>$AC44*AG44</f>
        <v>0</v>
      </c>
      <c r="AI44" s="170"/>
      <c r="AJ44" s="170"/>
      <c r="AK44" s="108"/>
      <c r="AL44" s="108"/>
      <c r="AM44" s="137"/>
    </row>
    <row r="45" spans="2:43" s="37" customFormat="1" x14ac:dyDescent="0.2">
      <c r="N45" s="37" t="str">
        <f>" "&amp;ListAVS!$B$120&amp;"!"</f>
        <v xml:space="preserve"> Dodatkowy trzeci siłownik!</v>
      </c>
      <c r="O45" s="118"/>
      <c r="Q45" s="149" t="str">
        <f>" "&amp;ListAVS!$B$126&amp;"!"</f>
        <v xml:space="preserve"> Druga jednostka napędu!</v>
      </c>
      <c r="U45" s="37" t="str">
        <f>" "&amp;ListAVS!B127</f>
        <v xml:space="preserve"> Użyj tylko jeden podnośnik</v>
      </c>
      <c r="X45" s="108"/>
      <c r="Y45" s="898" t="str">
        <f>CenAVS!A171</f>
        <v xml:space="preserve">Aventos HF/HL/HS - Top Servo-Drive      </v>
      </c>
      <c r="Z45" s="898" t="str">
        <f>CenAVS!B171</f>
        <v>23.A000</v>
      </c>
      <c r="AA45" s="883" t="str">
        <f>CenAVS!C171</f>
        <v>R7037</v>
      </c>
      <c r="AB45" s="665">
        <f>SUM(AE45,AG45)</f>
        <v>0</v>
      </c>
      <c r="AC45" s="899">
        <f>CenAVS!F171</f>
        <v>905.30219999999997</v>
      </c>
      <c r="AD45" s="900">
        <f t="shared" si="3"/>
        <v>0</v>
      </c>
      <c r="AE45" s="903">
        <f>IF($S$9=1, 0, $M$17)+IF(AND($S$9=2, $H$16&gt;$AB$52), $M$17, 0)</f>
        <v>0</v>
      </c>
      <c r="AF45" s="902">
        <f>$AC45*AE45</f>
        <v>0</v>
      </c>
      <c r="AG45" s="903">
        <f>IF($S$20=1, 0, $M$28)+IF(AND($S$20=2, $H$27&gt;$AB$52), $M$28, 0)</f>
        <v>0</v>
      </c>
      <c r="AH45" s="902">
        <f>$AC45*AG45</f>
        <v>0</v>
      </c>
      <c r="AI45" s="170"/>
      <c r="AJ45" s="170"/>
      <c r="AK45" s="108"/>
      <c r="AL45" s="108"/>
    </row>
    <row r="46" spans="2:43" s="37" customFormat="1" x14ac:dyDescent="0.2">
      <c r="N46" s="37" t="str">
        <f>ListAVS!$B$182</f>
        <v>Dodatkowy trzeci siłownik można zastosować jedynie z pełnym frontem dolnym!</v>
      </c>
      <c r="O46" s="118"/>
      <c r="Q46" s="118"/>
      <c r="X46" s="108"/>
      <c r="AG46" s="118"/>
      <c r="AI46" s="170"/>
      <c r="AJ46" s="170"/>
      <c r="AK46" s="108"/>
      <c r="AL46" s="108"/>
      <c r="AN46" s="137"/>
      <c r="AO46" s="137"/>
      <c r="AP46" s="137"/>
      <c r="AQ46" s="137"/>
    </row>
    <row r="47" spans="2:43" x14ac:dyDescent="0.2">
      <c r="B47" s="144"/>
      <c r="Y47" s="37"/>
      <c r="Z47" s="37"/>
      <c r="AA47" s="37"/>
      <c r="AB47" s="37"/>
      <c r="AC47" s="144" t="str">
        <f>ListAVS!$B$61&amp;" "</f>
        <v xml:space="preserve">Cena całkowita bez VAT </v>
      </c>
      <c r="AD47" s="171">
        <f>SUM(AD9:AD45)</f>
        <v>0</v>
      </c>
      <c r="AE47" s="37"/>
      <c r="AF47" s="37">
        <f>SUM(AF9:AF46)</f>
        <v>0</v>
      </c>
      <c r="AG47" s="37"/>
      <c r="AH47" s="37">
        <f>SUM(AH9:AH46)</f>
        <v>0</v>
      </c>
      <c r="AI47" s="170"/>
      <c r="AJ47" s="170"/>
      <c r="AM47" s="37"/>
    </row>
    <row r="48" spans="2:43" x14ac:dyDescent="0.2">
      <c r="N48" s="939">
        <v>2</v>
      </c>
      <c r="O48" s="298">
        <v>2</v>
      </c>
      <c r="P48" s="138">
        <f>HF!$N$33</f>
        <v>1</v>
      </c>
      <c r="Q48" s="298">
        <v>2</v>
      </c>
      <c r="R48" s="117">
        <f>HF!$P$33</f>
        <v>1</v>
      </c>
      <c r="S48" s="194"/>
      <c r="T48" s="117">
        <f>MenuAVS!$P$28</f>
        <v>1</v>
      </c>
      <c r="Y48" s="897">
        <f>HF!$R$33</f>
        <v>1</v>
      </c>
      <c r="Z48" s="108" t="str">
        <f>Param!M10</f>
        <v>Parametry HF</v>
      </c>
      <c r="AI48" s="170"/>
      <c r="AJ48" s="170"/>
    </row>
    <row r="49" spans="2:43" x14ac:dyDescent="0.2">
      <c r="B49" s="316"/>
      <c r="C49" s="317"/>
      <c r="D49" s="317"/>
      <c r="E49" s="317"/>
      <c r="F49" s="317"/>
      <c r="G49" s="317"/>
      <c r="I49" s="317"/>
      <c r="J49" s="317"/>
      <c r="N49" s="153" t="s">
        <v>7</v>
      </c>
      <c r="O49" s="39" t="s">
        <v>67</v>
      </c>
      <c r="P49" s="153" t="s">
        <v>8</v>
      </c>
      <c r="Q49" s="39" t="s">
        <v>67</v>
      </c>
      <c r="R49" s="153" t="s">
        <v>9</v>
      </c>
      <c r="T49" s="153" t="s">
        <v>6</v>
      </c>
      <c r="W49" s="154" t="s">
        <v>57</v>
      </c>
      <c r="Y49" s="896" t="s">
        <v>676</v>
      </c>
      <c r="Z49" s="108" t="str">
        <f>Param!M11</f>
        <v>Zdvihač</v>
      </c>
      <c r="AA49" s="108" t="str">
        <f>Param!N11</f>
        <v>ks</v>
      </c>
      <c r="AB49" s="108" t="str">
        <f>Param!O11</f>
        <v>min</v>
      </c>
      <c r="AC49" s="108" t="str">
        <f>Param!P11</f>
        <v>max</v>
      </c>
      <c r="AD49" s="108" t="str">
        <f>Param!Q11</f>
        <v>alu max.</v>
      </c>
      <c r="AI49" s="37"/>
      <c r="AJ49" s="37"/>
    </row>
    <row r="50" spans="2:43" x14ac:dyDescent="0.2">
      <c r="B50" s="317"/>
      <c r="C50" s="317"/>
      <c r="D50" s="317"/>
      <c r="E50" s="317"/>
      <c r="F50" s="317"/>
      <c r="G50" s="317"/>
      <c r="I50" s="317"/>
      <c r="J50" s="317"/>
      <c r="N50" s="37" t="str">
        <f>ListAVS!$B$134</f>
        <v>Expando</v>
      </c>
      <c r="P50" s="37" t="str">
        <f>ListAVS!$B$134</f>
        <v>Expando</v>
      </c>
      <c r="R50" s="37" t="str">
        <f>ListAVS!$B$134</f>
        <v>Expando</v>
      </c>
      <c r="T50" s="37" t="str">
        <f>ListAVS!$B$146</f>
        <v>Jasnoszary (HGR)</v>
      </c>
      <c r="W50" s="149" t="s">
        <v>58</v>
      </c>
      <c r="Y50" s="108" t="s">
        <v>105</v>
      </c>
      <c r="Z50" s="108" t="str">
        <f>Param!M12</f>
        <v>22F2500</v>
      </c>
      <c r="AA50" s="108">
        <f>Param!N12</f>
        <v>1</v>
      </c>
      <c r="AB50" s="108">
        <f>Param!O12</f>
        <v>2700</v>
      </c>
      <c r="AC50" s="108">
        <f>Param!P12</f>
        <v>11500</v>
      </c>
      <c r="AI50" s="37"/>
      <c r="AJ50" s="37"/>
    </row>
    <row r="51" spans="2:43" x14ac:dyDescent="0.2">
      <c r="B51" s="316"/>
      <c r="C51" s="317"/>
      <c r="D51" s="317"/>
      <c r="E51" s="317"/>
      <c r="F51" s="317"/>
      <c r="G51" s="317"/>
      <c r="I51" s="317"/>
      <c r="J51" s="317"/>
      <c r="N51" s="37" t="str">
        <f>ListAVS!$B$135</f>
        <v>na wkręty</v>
      </c>
      <c r="P51" s="37" t="str">
        <f>ListAVS!$B$135</f>
        <v>na wkręty</v>
      </c>
      <c r="R51" s="37" t="str">
        <f>ListAVS!$B$135</f>
        <v>na wkręty</v>
      </c>
      <c r="T51" s="37" t="str">
        <f>ListAVS!$B$147</f>
        <v>Ciemnoszary (TGR)</v>
      </c>
      <c r="W51" s="149" t="s">
        <v>59</v>
      </c>
      <c r="Y51" s="108" t="s">
        <v>678</v>
      </c>
      <c r="Z51" s="108" t="str">
        <f>Param!M13</f>
        <v>22F2800</v>
      </c>
      <c r="AA51" s="108">
        <f>Param!N13</f>
        <v>1</v>
      </c>
      <c r="AB51" s="108">
        <f>Param!O13</f>
        <v>11500</v>
      </c>
      <c r="AC51" s="108">
        <f>Param!P13</f>
        <v>19300</v>
      </c>
      <c r="AD51" s="108">
        <f>Param!Q13</f>
        <v>19300</v>
      </c>
      <c r="AI51" s="37"/>
      <c r="AJ51" s="37"/>
    </row>
    <row r="52" spans="2:43" x14ac:dyDescent="0.2">
      <c r="B52" s="144"/>
      <c r="C52" s="317"/>
      <c r="T52" s="37" t="str">
        <f>ListAVS!$B$148</f>
        <v>Jedwabiście biały (SW)</v>
      </c>
      <c r="Z52" s="108" t="str">
        <f>Param!M14</f>
        <v>22F2800</v>
      </c>
      <c r="AA52" s="108">
        <f>Param!N14</f>
        <v>1.5</v>
      </c>
      <c r="AB52" s="108">
        <f>Param!O14</f>
        <v>19300</v>
      </c>
      <c r="AC52" s="108">
        <f>Param!P14</f>
        <v>28950</v>
      </c>
      <c r="AD52" s="108">
        <f>Param!Q14</f>
        <v>0</v>
      </c>
    </row>
    <row r="53" spans="2:43" x14ac:dyDescent="0.2">
      <c r="B53" s="144"/>
      <c r="N53" s="37" t="str">
        <f>ListAVS!B188</f>
        <v>W celu określenia rodzaju siłownika będzie wykorzystana podana waga</v>
      </c>
      <c r="Z53" s="108" t="str">
        <f>Param!M17</f>
        <v>Teleskop</v>
      </c>
      <c r="AB53" s="108" t="str">
        <f>Param!O17</f>
        <v>min</v>
      </c>
      <c r="AC53" s="108" t="str">
        <f>Param!P17</f>
        <v>max</v>
      </c>
      <c r="AD53" s="108">
        <f>Param!Q17</f>
        <v>0</v>
      </c>
    </row>
    <row r="54" spans="2:43" x14ac:dyDescent="0.2">
      <c r="B54" s="155"/>
      <c r="D54" s="155"/>
      <c r="E54" s="155"/>
      <c r="F54" s="155"/>
      <c r="G54" s="155"/>
      <c r="I54" s="155"/>
      <c r="J54" s="155"/>
      <c r="N54" s="37" t="str">
        <f>ListAVS!B189</f>
        <v>W celu określenia rodzaju siłownika będzie wykorzystana obliczona waga</v>
      </c>
      <c r="Z54" s="108" t="str">
        <f>Param!M18</f>
        <v>20F3200</v>
      </c>
      <c r="AA54" s="108">
        <f>Param!N18</f>
        <v>0</v>
      </c>
      <c r="AB54" s="108">
        <f>Param!O18</f>
        <v>480</v>
      </c>
      <c r="AC54" s="108">
        <f>Param!P18</f>
        <v>605</v>
      </c>
      <c r="AD54" s="108">
        <f>Param!Q18</f>
        <v>0</v>
      </c>
    </row>
    <row r="55" spans="2:43" x14ac:dyDescent="0.2">
      <c r="N55" s="37" t="str">
        <f>". "&amp;ListAVS!$B$190</f>
        <v>. Jeżeli chcesz wykorzystać obliczoną wagę, zmaż podaną wartość</v>
      </c>
      <c r="Z55" s="108" t="str">
        <f>Param!M19</f>
        <v>20F3500</v>
      </c>
      <c r="AA55" s="108">
        <f>Param!N19</f>
        <v>0</v>
      </c>
      <c r="AB55" s="108">
        <f>Param!O19</f>
        <v>605</v>
      </c>
      <c r="AC55" s="108">
        <f>Param!P19</f>
        <v>890</v>
      </c>
      <c r="AD55" s="108">
        <f>Param!Q19</f>
        <v>0</v>
      </c>
      <c r="AQ55" s="37"/>
    </row>
    <row r="56" spans="2:43" s="37" customFormat="1" x14ac:dyDescent="0.2">
      <c r="N56" s="37" t="str">
        <f>". "&amp;ListAVS!$B$191</f>
        <v>. Jeżeli chcesz wykorzystać podaną wagą, wpisz ją w pole</v>
      </c>
      <c r="X56" s="108"/>
      <c r="Y56" s="108"/>
      <c r="Z56" s="108" t="str">
        <f>Param!M20</f>
        <v>20F3900</v>
      </c>
      <c r="AA56" s="108">
        <f>Param!N20</f>
        <v>0</v>
      </c>
      <c r="AB56" s="108">
        <f>Param!O20</f>
        <v>890</v>
      </c>
      <c r="AC56" s="108">
        <f>Param!P20</f>
        <v>1200</v>
      </c>
      <c r="AD56" s="108">
        <f>Param!Q20</f>
        <v>0</v>
      </c>
      <c r="AE56" s="108"/>
      <c r="AF56" s="108"/>
      <c r="AG56" s="108"/>
      <c r="AH56" s="108"/>
      <c r="AI56" s="108"/>
      <c r="AJ56" s="108"/>
      <c r="AK56" s="108"/>
      <c r="AL56" s="108"/>
      <c r="AM56" s="137"/>
      <c r="AN56" s="137"/>
      <c r="AO56" s="137"/>
      <c r="AP56" s="137"/>
    </row>
    <row r="57" spans="2:43" s="37" customFormat="1" x14ac:dyDescent="0.2">
      <c r="N57" s="37">
        <f>ListAVS!B192</f>
        <v>0</v>
      </c>
      <c r="X57" s="108"/>
      <c r="Y57" s="108"/>
      <c r="Z57" s="108"/>
      <c r="AA57" s="108"/>
      <c r="AB57" s="108" t="str">
        <f>Param!O21</f>
        <v>max.</v>
      </c>
      <c r="AC57" s="108">
        <f>Param!P21</f>
        <v>1200</v>
      </c>
      <c r="AD57" s="108">
        <f>Param!Q21</f>
        <v>0</v>
      </c>
      <c r="AE57" s="108"/>
      <c r="AF57" s="108"/>
      <c r="AG57" s="108"/>
      <c r="AH57" s="108"/>
      <c r="AI57" s="108"/>
      <c r="AJ57" s="108"/>
      <c r="AK57" s="108"/>
      <c r="AL57" s="108"/>
      <c r="AM57" s="137"/>
      <c r="AN57" s="137"/>
      <c r="AO57" s="137"/>
      <c r="AP57" s="137"/>
      <c r="AQ57" s="137"/>
    </row>
    <row r="58" spans="2:43" x14ac:dyDescent="0.2">
      <c r="N58" s="37" t="str">
        <f>ListAVS!B193</f>
        <v>Do wyboru podnośnika teleskopowego zostanie wykorzystana teoretyczna wysokość TKH</v>
      </c>
    </row>
    <row r="59" spans="2:43" x14ac:dyDescent="0.2">
      <c r="N59" s="37" t="str">
        <f>ListAVS!B194</f>
        <v xml:space="preserve">Wysokość teoretyczna TKH nie może być mniejsza niż KH </v>
      </c>
    </row>
    <row r="65" spans="1:43" x14ac:dyDescent="0.2">
      <c r="P65" s="149"/>
    </row>
    <row r="70" spans="1:43" x14ac:dyDescent="0.2">
      <c r="N70" s="172" t="str">
        <f>ListAVS!$B$73</f>
        <v>Obliczanie wagi frontów</v>
      </c>
      <c r="O70" s="173"/>
      <c r="P70" s="173"/>
      <c r="Q70" s="173"/>
      <c r="R70" s="173"/>
      <c r="X70" s="37"/>
      <c r="Y70" s="37"/>
      <c r="Z70" s="118"/>
      <c r="AA70" s="37"/>
      <c r="AB70" s="118"/>
      <c r="AC70" s="37"/>
      <c r="AD70" s="37"/>
      <c r="AE70" s="37"/>
      <c r="AF70" s="37"/>
      <c r="AG70" s="37"/>
      <c r="AH70" s="37"/>
    </row>
    <row r="71" spans="1:43" ht="15.75" customHeight="1" x14ac:dyDescent="0.2">
      <c r="O71" s="174" t="str">
        <f>ListAVS!$B$35&amp;"  "</f>
        <v xml:space="preserve">front górny  </v>
      </c>
      <c r="Q71" s="37"/>
      <c r="T71" s="300">
        <f>J4</f>
        <v>0</v>
      </c>
      <c r="U71" s="175" t="str">
        <f>IF(AF77=3,IF(T71=0,AE74," "),IF(T71&gt;0,AE75," "))</f>
        <v xml:space="preserve"> </v>
      </c>
      <c r="X71" s="37"/>
      <c r="Y71" s="149" t="str">
        <f>IF($AF$77=1,$AF$94,IF($AF$77=2,$AF$95,$AF$96&amp;" -  "&amp;$T$71&amp;"mm"))</f>
        <v>Ramki aluminiowe z 4mm szkłem</v>
      </c>
      <c r="Z71" s="118"/>
      <c r="AA71" s="37"/>
      <c r="AB71" s="118"/>
      <c r="AC71" s="37"/>
      <c r="AD71" s="209">
        <f>MenuAVS!$Q$81</f>
        <v>2500</v>
      </c>
      <c r="AE71" s="37"/>
      <c r="AF71" s="37"/>
      <c r="AG71" s="37"/>
      <c r="AH71" s="37"/>
    </row>
    <row r="72" spans="1:43" ht="15.75" customHeight="1" x14ac:dyDescent="0.2">
      <c r="O72" s="174" t="str">
        <f>ListAVS!$B$36&amp;"  "</f>
        <v xml:space="preserve">front dolny  </v>
      </c>
      <c r="Q72" s="37"/>
      <c r="T72" s="300">
        <f>J5</f>
        <v>0</v>
      </c>
      <c r="U72" s="175" t="str">
        <f>IF(Z78=3,IF(T72=0,Y74," "),IF(T72&gt;0,Y75," "))</f>
        <v xml:space="preserve"> </v>
      </c>
      <c r="X72" s="37"/>
      <c r="Y72" s="712" t="str">
        <f>IF($Z$78=1,$Z$79,IF($Z$78=2,$Z$80,$Z$81&amp;" "&amp;$Y$81&amp;"kg/m3"))&amp;" A~"&amp;$T$79&amp;"/ B~"&amp;$T$88&amp;"mm"</f>
        <v>MDF (760 kg/m3) A~0/ B~0mm</v>
      </c>
      <c r="Z72" s="118"/>
      <c r="AA72" s="37"/>
      <c r="AB72" s="118"/>
      <c r="AC72" s="37"/>
      <c r="AD72" s="37"/>
      <c r="AE72" s="37"/>
      <c r="AF72" s="37"/>
      <c r="AG72" s="37"/>
      <c r="AH72" s="37"/>
    </row>
    <row r="73" spans="1:43" ht="13.5" customHeight="1" x14ac:dyDescent="0.2">
      <c r="N73" s="137"/>
      <c r="O73" s="37"/>
      <c r="P73" s="1098" t="str">
        <f>IF($Z$78&lt;&gt;3,$Y$73," ")&amp;"      "</f>
        <v xml:space="preserve"> Możesz zmienić wartości we Wstępie do planowania      </v>
      </c>
      <c r="Q73" s="1098"/>
      <c r="R73" s="1098"/>
      <c r="S73" s="1098"/>
      <c r="T73" s="1098"/>
      <c r="X73" s="37"/>
      <c r="Y73" s="37" t="str">
        <f>" "&amp;ListAVS!$B$410</f>
        <v xml:space="preserve"> Możesz zmienić wartości we Wstępie do planowania</v>
      </c>
      <c r="Z73" s="118"/>
      <c r="AA73" s="37"/>
      <c r="AB73" s="118"/>
      <c r="AC73" s="37"/>
      <c r="AD73" s="37"/>
      <c r="AE73" s="37"/>
      <c r="AF73" s="37"/>
      <c r="AG73" s="37"/>
      <c r="AH73" s="37"/>
    </row>
    <row r="74" spans="1:43" x14ac:dyDescent="0.2">
      <c r="N74" s="137"/>
      <c r="O74" s="37"/>
      <c r="P74" s="341"/>
      <c r="Q74" s="341"/>
      <c r="R74" s="341"/>
      <c r="S74" s="341"/>
      <c r="T74" s="341"/>
      <c r="X74" s="37"/>
      <c r="Y74" s="37" t="str">
        <f>" "&amp;ListAVS!$B$245&amp;" [kg/m3]"</f>
        <v xml:space="preserve"> Podaj masę objętościową [kg/m3]</v>
      </c>
      <c r="Z74" s="118"/>
      <c r="AA74" s="37"/>
      <c r="AB74" s="118"/>
      <c r="AC74" s="37"/>
      <c r="AD74" s="37"/>
      <c r="AE74" s="37" t="str">
        <f>" "&amp;ListAVS!$B$246&amp;" [mm]"</f>
        <v xml:space="preserve"> Podaj grubość szkła [mm]</v>
      </c>
      <c r="AF74" s="37"/>
      <c r="AG74" s="37"/>
      <c r="AH74" s="37"/>
    </row>
    <row r="75" spans="1:43" x14ac:dyDescent="0.2">
      <c r="O75" s="37"/>
      <c r="Q75" s="37"/>
      <c r="X75" s="37"/>
      <c r="Y75" s="37" t="str">
        <f>" "&amp;ListAVS!$B$241&amp;" '"&amp;ListAVS!$B$92&amp;"'"</f>
        <v xml:space="preserve"> Wartość obowiązuje tylko dla opcji 'Inne – wybrana gęstość materiału'</v>
      </c>
      <c r="Z75" s="118"/>
      <c r="AA75" s="37"/>
      <c r="AB75" s="118"/>
      <c r="AC75" s="37"/>
      <c r="AD75" s="37"/>
      <c r="AE75" s="37" t="str">
        <f>" "&amp;ListAVS!$B$241&amp;" '"&amp;ListAVS!$B$95&amp;"'"</f>
        <v xml:space="preserve"> Wartość obowiązuje tylko dla opcji 'Ramki aluminiowe z innym szkłem'</v>
      </c>
      <c r="AF75" s="37"/>
      <c r="AG75" s="37"/>
      <c r="AH75" s="37"/>
    </row>
    <row r="76" spans="1:43" ht="15.75" customHeight="1" x14ac:dyDescent="0.2">
      <c r="N76" s="1099"/>
      <c r="O76" s="1099"/>
      <c r="P76" s="1099"/>
      <c r="Q76" s="1100"/>
      <c r="R76" s="1082" t="str">
        <f>D9</f>
        <v xml:space="preserve"> </v>
      </c>
      <c r="S76" s="1083"/>
      <c r="T76" s="1084"/>
      <c r="X76" s="37"/>
      <c r="Y76" s="37"/>
      <c r="Z76" s="118"/>
      <c r="AA76" s="37"/>
      <c r="AB76" s="118"/>
      <c r="AC76" s="37"/>
      <c r="AD76" s="209"/>
      <c r="AE76" s="601" t="s">
        <v>68</v>
      </c>
      <c r="AF76" s="601" t="s">
        <v>69</v>
      </c>
      <c r="AG76" s="601" t="s">
        <v>70</v>
      </c>
      <c r="AH76" s="37"/>
      <c r="AQ76" s="118"/>
    </row>
    <row r="77" spans="1:43" s="118" customFormat="1" ht="13.5" customHeight="1" x14ac:dyDescent="0.2">
      <c r="A77" s="37"/>
      <c r="N77" s="1125" t="str">
        <f>ListAVS!$B$74&amp;" KB [mm]       "</f>
        <v xml:space="preserve">Szerokość korpusu KB [mm]       </v>
      </c>
      <c r="O77" s="1126"/>
      <c r="P77" s="1126"/>
      <c r="Q77" s="1126"/>
      <c r="R77" s="1126"/>
      <c r="S77" s="1127"/>
      <c r="T77" s="300">
        <f>H10</f>
        <v>0</v>
      </c>
      <c r="U77" s="108"/>
      <c r="W77" s="37"/>
      <c r="X77" s="37"/>
      <c r="Y77" s="37">
        <f>T77*T78*T79/2</f>
        <v>0</v>
      </c>
      <c r="Z77" s="37"/>
      <c r="AA77" s="37"/>
      <c r="AC77" s="37"/>
      <c r="AD77" s="325">
        <f>IF($AG$77=1,$X$94,$X$95)</f>
        <v>0.62</v>
      </c>
      <c r="AE77" s="339">
        <f>$X$96</f>
        <v>0.61</v>
      </c>
      <c r="AF77" s="327">
        <v>1</v>
      </c>
      <c r="AG77" s="328">
        <f>$O$4</f>
        <v>1</v>
      </c>
      <c r="AH77" s="37"/>
      <c r="AJ77" s="108"/>
      <c r="AK77" s="108"/>
      <c r="AL77" s="108"/>
      <c r="AM77" s="137"/>
      <c r="AN77" s="137"/>
      <c r="AO77" s="137"/>
      <c r="AP77" s="137"/>
    </row>
    <row r="78" spans="1:43" s="118" customFormat="1" ht="13.5" customHeight="1" x14ac:dyDescent="0.2">
      <c r="A78" s="37"/>
      <c r="N78" s="1125" t="str">
        <f>ListAVS!$B$75&amp;" KH [mm]       "</f>
        <v xml:space="preserve">Wysokość korpusu KH [mm]       </v>
      </c>
      <c r="O78" s="1126"/>
      <c r="P78" s="1126"/>
      <c r="Q78" s="1126"/>
      <c r="R78" s="1126"/>
      <c r="S78" s="1127"/>
      <c r="T78" s="300">
        <f>H11</f>
        <v>0</v>
      </c>
      <c r="U78" s="108"/>
      <c r="W78" s="37"/>
      <c r="X78" s="37"/>
      <c r="Y78" s="37">
        <f>Y77/1000000000</f>
        <v>0</v>
      </c>
      <c r="Z78" s="117">
        <f>AF77</f>
        <v>1</v>
      </c>
      <c r="AC78" s="37"/>
      <c r="AD78" s="153" t="s">
        <v>71</v>
      </c>
      <c r="AE78" s="329">
        <f>SUM(T77*2,(T78/2-90)*2)*AD77/1000</f>
        <v>-0.11159999999999999</v>
      </c>
      <c r="AF78" s="601" t="s">
        <v>72</v>
      </c>
      <c r="AG78" s="601"/>
      <c r="AH78" s="37"/>
      <c r="AJ78" s="108"/>
      <c r="AK78" s="108"/>
      <c r="AL78" s="108"/>
      <c r="AM78" s="137"/>
      <c r="AN78" s="137"/>
      <c r="AO78" s="137"/>
      <c r="AP78" s="137"/>
    </row>
    <row r="79" spans="1:43" s="118" customFormat="1" ht="13.5" customHeight="1" x14ac:dyDescent="0.2">
      <c r="A79" s="37"/>
      <c r="N79" s="1122" t="str">
        <f>ListAVS!$B$80&amp;" TS [mm] "</f>
        <v xml:space="preserve">Grubość frontu TS [mm] </v>
      </c>
      <c r="O79" s="1123"/>
      <c r="P79" s="1123"/>
      <c r="Q79" s="1123"/>
      <c r="R79" s="1123"/>
      <c r="S79" s="1124"/>
      <c r="T79" s="300">
        <f>H13</f>
        <v>0</v>
      </c>
      <c r="U79" s="130" t="str">
        <f>IF(SUM(T77,T78)=0," ",IF(T79=0," ● "&amp;ListAVS!$B$129," "))</f>
        <v xml:space="preserve"> </v>
      </c>
      <c r="W79" s="37"/>
      <c r="X79" s="37"/>
      <c r="Y79" s="319">
        <f>MenuAVS!$C$31</f>
        <v>760</v>
      </c>
      <c r="Z79" s="175" t="str">
        <f>ListAVS!$B$90&amp;" ("&amp;Y79&amp;" kg/m3)"</f>
        <v>MDF (760 kg/m3)</v>
      </c>
      <c r="AC79" s="37"/>
      <c r="AD79" s="209">
        <f>$AD$71*4/1000</f>
        <v>10</v>
      </c>
      <c r="AE79" s="330">
        <f>IF($AG$77=1,AF79*AD79,AG79*AD79)</f>
        <v>6.4000000000000001E-2</v>
      </c>
      <c r="AF79" s="329">
        <f>SUM(($T$77-80)*($T$78/2-80)/1000000)</f>
        <v>6.4000000000000003E-3</v>
      </c>
      <c r="AG79" s="331">
        <f>SUM(($T$77-6)*($T$78/2-6)/1000000)</f>
        <v>3.6000000000000001E-5</v>
      </c>
      <c r="AH79" s="208" t="s">
        <v>73</v>
      </c>
      <c r="AJ79" s="108"/>
      <c r="AK79" s="108"/>
      <c r="AL79" s="108"/>
      <c r="AM79" s="137"/>
      <c r="AN79" s="137"/>
      <c r="AO79" s="137"/>
      <c r="AP79" s="137"/>
    </row>
    <row r="80" spans="1:43" s="118" customFormat="1" ht="13.5" customHeight="1" x14ac:dyDescent="0.2">
      <c r="A80" s="37"/>
      <c r="N80" s="1079" t="str">
        <f>ListAVS!$B$83&amp;" [kg] "</f>
        <v xml:space="preserve">Waga uchwytu [kg] </v>
      </c>
      <c r="O80" s="1080"/>
      <c r="P80" s="1080"/>
      <c r="Q80" s="1080"/>
      <c r="R80" s="1080"/>
      <c r="S80" s="1081"/>
      <c r="T80" s="300">
        <f>H14</f>
        <v>0</v>
      </c>
      <c r="U80" s="130" t="str">
        <f>IF(SUM(T77,T78)=0," ",IF(T80=0," ● "&amp;ListAVS!$B$130," "))</f>
        <v xml:space="preserve"> </v>
      </c>
      <c r="W80" s="37"/>
      <c r="X80" s="37"/>
      <c r="Y80" s="319">
        <f>MenuAVS!$C$32</f>
        <v>680</v>
      </c>
      <c r="Z80" s="175" t="str">
        <f>ListAVS!$B$91&amp;" ("&amp;Y80&amp;" kg/m3)"</f>
        <v>Płyta wiórowa (680 kg/m3)</v>
      </c>
      <c r="AC80" s="37"/>
      <c r="AD80" s="209">
        <f>$AD$71*5/1000</f>
        <v>12.5</v>
      </c>
      <c r="AE80" s="330">
        <f>IF($AG$77=1,AF80*AD80,AG80*AD80)</f>
        <v>0.08</v>
      </c>
      <c r="AF80" s="329">
        <f>SUM(($T$77-80)*($T$78/2-80)/1000000)</f>
        <v>6.4000000000000003E-3</v>
      </c>
      <c r="AG80" s="331">
        <f>SUM(($T$77-6)*($T$78/2-6)/1000000)</f>
        <v>3.6000000000000001E-5</v>
      </c>
      <c r="AH80" s="208" t="s">
        <v>74</v>
      </c>
      <c r="AJ80" s="108"/>
      <c r="AK80" s="108"/>
      <c r="AL80" s="108"/>
      <c r="AM80" s="137"/>
      <c r="AN80" s="137"/>
      <c r="AO80" s="137"/>
      <c r="AP80" s="137"/>
    </row>
    <row r="81" spans="1:43" s="118" customFormat="1" ht="13.5" customHeight="1" x14ac:dyDescent="0.2">
      <c r="A81" s="37"/>
      <c r="N81" s="1079" t="str">
        <f>ListAVS!$B$79&amp;" [kg] "</f>
        <v xml:space="preserve">Obliczona waga frontu [kg] </v>
      </c>
      <c r="O81" s="1080"/>
      <c r="P81" s="1080"/>
      <c r="Q81" s="1080"/>
      <c r="R81" s="1080"/>
      <c r="S81" s="1081"/>
      <c r="T81" s="185">
        <f>IF(X81*AD82&lt;&gt;0,SUM(X81,AD82,T80),0)</f>
        <v>0</v>
      </c>
      <c r="U81" s="119"/>
      <c r="W81" s="37"/>
      <c r="X81" s="186">
        <f>IF(T77*T78*T79=0,0,IF(Z78=1,Y78*Y79,IF(Z78=2,Y78*Y80,Y78*Y81)))</f>
        <v>0</v>
      </c>
      <c r="Y81" s="319">
        <f>$T$72</f>
        <v>0</v>
      </c>
      <c r="Z81" s="175" t="str">
        <f>ListAVS!$B$92</f>
        <v>Inne – wybrana gęstość materiału</v>
      </c>
      <c r="AC81" s="37"/>
      <c r="AD81" s="209">
        <f>$AD$71*$T$71/1000</f>
        <v>0</v>
      </c>
      <c r="AE81" s="330">
        <f>IF($AG$77=1,AF81*AD81,AG81*AD81)</f>
        <v>0</v>
      </c>
      <c r="AF81" s="329">
        <f>SUM(($T$77-80)*($T$78/2-80)/1000000)</f>
        <v>6.4000000000000003E-3</v>
      </c>
      <c r="AG81" s="331">
        <f>SUM(($T$77-6)*($T$78/2-6)/1000000)</f>
        <v>3.6000000000000001E-5</v>
      </c>
      <c r="AH81" s="208" t="s">
        <v>75</v>
      </c>
      <c r="AJ81" s="108"/>
      <c r="AK81" s="108"/>
      <c r="AL81" s="108"/>
      <c r="AM81" s="137"/>
      <c r="AN81" s="137"/>
      <c r="AO81" s="137"/>
      <c r="AP81" s="137"/>
      <c r="AQ81" s="137"/>
    </row>
    <row r="82" spans="1:43" ht="13.5" customHeight="1" x14ac:dyDescent="0.2">
      <c r="O82" s="142" t="str">
        <f>IF(T81&gt;0,IF(T80=0,$Z$94," ")," ")</f>
        <v xml:space="preserve"> </v>
      </c>
      <c r="Q82" s="37"/>
      <c r="U82" s="130"/>
      <c r="X82" s="37"/>
      <c r="Y82" s="37"/>
      <c r="Z82" s="118"/>
      <c r="AA82" s="37"/>
      <c r="AB82" s="118"/>
      <c r="AC82" s="37"/>
      <c r="AD82" s="332">
        <f>IF(OR(AND(AF77=3, $T$71=0), T77*T78=0), 0, SUM(IF(AF77=1,AE79,IF(AF77=2,AE80,AE81)),AE78,AE77))</f>
        <v>0</v>
      </c>
      <c r="AE82" s="37"/>
      <c r="AF82" s="37"/>
      <c r="AG82" s="37"/>
      <c r="AH82" s="37"/>
    </row>
    <row r="83" spans="1:43" x14ac:dyDescent="0.2">
      <c r="O83" s="37"/>
      <c r="Q83" s="37"/>
      <c r="X83" s="37"/>
      <c r="Y83" s="37"/>
      <c r="Z83" s="118"/>
      <c r="AA83" s="37"/>
      <c r="AB83" s="118"/>
      <c r="AC83" s="37"/>
      <c r="AD83" s="37"/>
      <c r="AE83" s="37"/>
      <c r="AF83" s="37"/>
      <c r="AG83" s="37"/>
      <c r="AH83" s="37"/>
      <c r="AQ83" s="118"/>
    </row>
    <row r="84" spans="1:43" s="118" customFormat="1" x14ac:dyDescent="0.2">
      <c r="A84" s="37"/>
      <c r="N84" s="37"/>
      <c r="O84" s="37"/>
      <c r="P84" s="37"/>
      <c r="Q84" s="37"/>
      <c r="R84" s="37"/>
      <c r="S84" s="37"/>
      <c r="T84" s="37"/>
      <c r="U84" s="37"/>
      <c r="V84" s="37"/>
      <c r="W84" s="37"/>
      <c r="X84" s="37"/>
      <c r="Y84" s="37"/>
      <c r="AA84" s="37"/>
      <c r="AC84" s="37"/>
      <c r="AD84" s="37"/>
      <c r="AE84" s="37"/>
      <c r="AF84" s="37"/>
      <c r="AG84" s="37"/>
      <c r="AH84" s="37"/>
      <c r="AJ84" s="108"/>
      <c r="AK84" s="108"/>
      <c r="AL84" s="108"/>
      <c r="AM84" s="137"/>
      <c r="AN84" s="137"/>
      <c r="AO84" s="137"/>
      <c r="AP84" s="137"/>
    </row>
    <row r="85" spans="1:43" s="118" customFormat="1" ht="15.75" customHeight="1" x14ac:dyDescent="0.2">
      <c r="A85" s="37"/>
      <c r="Q85" s="37"/>
      <c r="R85" s="1082" t="str">
        <f>D20</f>
        <v xml:space="preserve"> </v>
      </c>
      <c r="S85" s="1083"/>
      <c r="T85" s="1084"/>
      <c r="U85" s="37"/>
      <c r="V85" s="37"/>
      <c r="W85" s="37"/>
      <c r="X85" s="37"/>
      <c r="AA85" s="37"/>
      <c r="AC85" s="37"/>
      <c r="AD85" s="209"/>
      <c r="AE85" s="601" t="s">
        <v>68</v>
      </c>
      <c r="AF85" s="601" t="s">
        <v>69</v>
      </c>
      <c r="AG85" s="601" t="s">
        <v>70</v>
      </c>
      <c r="AH85" s="37"/>
      <c r="AJ85" s="108"/>
      <c r="AK85" s="108"/>
      <c r="AL85" s="108"/>
      <c r="AM85" s="137"/>
      <c r="AN85" s="137"/>
      <c r="AO85" s="137"/>
      <c r="AP85" s="137"/>
    </row>
    <row r="86" spans="1:43" s="118" customFormat="1" ht="13.5" customHeight="1" x14ac:dyDescent="0.2">
      <c r="A86" s="37"/>
      <c r="N86" s="1125" t="str">
        <f>ListAVS!$B$74&amp;" KB [mm]       "</f>
        <v xml:space="preserve">Szerokość korpusu KB [mm]       </v>
      </c>
      <c r="O86" s="1126"/>
      <c r="P86" s="1126"/>
      <c r="Q86" s="1126"/>
      <c r="R86" s="1126"/>
      <c r="S86" s="1127"/>
      <c r="T86" s="300">
        <f>H21</f>
        <v>0</v>
      </c>
      <c r="U86" s="108"/>
      <c r="V86" s="37"/>
      <c r="W86" s="37"/>
      <c r="X86" s="37"/>
      <c r="Y86" s="37">
        <f>T86*T87*T88</f>
        <v>0</v>
      </c>
      <c r="Z86" s="37"/>
      <c r="AA86" s="37"/>
      <c r="AC86" s="37"/>
      <c r="AD86" s="325">
        <f>IF($AG$77=1,$X$94,$X$95)</f>
        <v>0.62</v>
      </c>
      <c r="AE86" s="339">
        <f>$X$96</f>
        <v>0.61</v>
      </c>
      <c r="AF86" s="333">
        <f>$AF$77</f>
        <v>1</v>
      </c>
      <c r="AG86" s="328">
        <f>$AG$77</f>
        <v>1</v>
      </c>
      <c r="AH86" s="37"/>
      <c r="AJ86" s="108"/>
      <c r="AK86" s="108"/>
      <c r="AL86" s="108"/>
      <c r="AM86" s="137"/>
      <c r="AN86" s="137"/>
      <c r="AO86" s="137"/>
      <c r="AP86" s="137"/>
    </row>
    <row r="87" spans="1:43" s="118" customFormat="1" ht="13.5" customHeight="1" x14ac:dyDescent="0.2">
      <c r="A87" s="37"/>
      <c r="N87" s="1125" t="str">
        <f>ListAVS!$B$75&amp;" KH [mm]       "</f>
        <v xml:space="preserve">Wysokość korpusu KH [mm]       </v>
      </c>
      <c r="O87" s="1126"/>
      <c r="P87" s="1126"/>
      <c r="Q87" s="1126"/>
      <c r="R87" s="1126"/>
      <c r="S87" s="1127"/>
      <c r="T87" s="300">
        <f>H22</f>
        <v>0</v>
      </c>
      <c r="U87" s="108"/>
      <c r="V87" s="37"/>
      <c r="W87" s="37"/>
      <c r="X87" s="37"/>
      <c r="Y87" s="37">
        <f>Y86/1000000000/2</f>
        <v>0</v>
      </c>
      <c r="Z87" s="182">
        <f>Z78</f>
        <v>1</v>
      </c>
      <c r="AC87" s="37"/>
      <c r="AD87" s="144" t="s">
        <v>71</v>
      </c>
      <c r="AE87" s="329">
        <f>SUM(T86*2,(T87/2-90)*2)*AD86/1000</f>
        <v>-0.11159999999999999</v>
      </c>
      <c r="AF87" s="601" t="s">
        <v>72</v>
      </c>
      <c r="AG87" s="601"/>
      <c r="AH87" s="37"/>
      <c r="AJ87" s="108"/>
      <c r="AK87" s="108"/>
      <c r="AL87" s="108"/>
      <c r="AM87" s="137"/>
      <c r="AN87" s="137"/>
      <c r="AO87" s="137"/>
      <c r="AP87" s="137"/>
    </row>
    <row r="88" spans="1:43" s="118" customFormat="1" ht="13.5" customHeight="1" x14ac:dyDescent="0.2">
      <c r="A88" s="37"/>
      <c r="N88" s="1122" t="str">
        <f>ListAVS!$B$80&amp;" TS [mm] "</f>
        <v xml:space="preserve">Grubość frontu TS [mm] </v>
      </c>
      <c r="O88" s="1123"/>
      <c r="P88" s="1123"/>
      <c r="Q88" s="1123"/>
      <c r="R88" s="1123"/>
      <c r="S88" s="1124"/>
      <c r="T88" s="578">
        <f>H24</f>
        <v>0</v>
      </c>
      <c r="U88" s="130" t="str">
        <f>IF(SUM(T86,T87)=0," ",IF(T88=0," ● "&amp;ListAVS!$B$129," "))</f>
        <v xml:space="preserve"> </v>
      </c>
      <c r="X88" s="37"/>
      <c r="Y88" s="319">
        <f>$Y$79</f>
        <v>760</v>
      </c>
      <c r="Z88" s="37" t="str">
        <f>$Z$79</f>
        <v>MDF (760 kg/m3)</v>
      </c>
      <c r="AC88" s="37"/>
      <c r="AD88" s="37">
        <f>AD79</f>
        <v>10</v>
      </c>
      <c r="AE88" s="330">
        <f>IF($AG$77=1,AF88*AD88,AG88*AD88)</f>
        <v>6.4000000000000001E-2</v>
      </c>
      <c r="AF88" s="329">
        <f>SUM(($T$86-80)*($T$87/2-80)/1000000)</f>
        <v>6.4000000000000003E-3</v>
      </c>
      <c r="AG88" s="331">
        <f>SUM(($T$86-6)*($T$87/2-6)/1000000)</f>
        <v>3.6000000000000001E-5</v>
      </c>
      <c r="AH88" s="208" t="s">
        <v>73</v>
      </c>
      <c r="AJ88" s="108"/>
      <c r="AK88" s="108"/>
      <c r="AL88" s="108"/>
      <c r="AM88" s="137"/>
      <c r="AN88" s="137"/>
      <c r="AO88" s="137"/>
      <c r="AP88" s="137"/>
    </row>
    <row r="89" spans="1:43" s="118" customFormat="1" ht="13.5" customHeight="1" x14ac:dyDescent="0.2">
      <c r="A89" s="37"/>
      <c r="N89" s="1079" t="str">
        <f>ListAVS!$B$83&amp;" [kg] "</f>
        <v xml:space="preserve">Waga uchwytu [kg] </v>
      </c>
      <c r="O89" s="1080"/>
      <c r="P89" s="1080"/>
      <c r="Q89" s="1080"/>
      <c r="R89" s="1080"/>
      <c r="S89" s="1081"/>
      <c r="T89" s="578">
        <f>H25</f>
        <v>0</v>
      </c>
      <c r="U89" s="130" t="str">
        <f>IF(SUM(T86,T87)=0," ",IF(T89=0," ● "&amp;ListAVS!$B$130," "))</f>
        <v xml:space="preserve"> </v>
      </c>
      <c r="X89" s="37"/>
      <c r="Y89" s="319">
        <f>$Y$80</f>
        <v>680</v>
      </c>
      <c r="Z89" s="37" t="str">
        <f>$Z$80</f>
        <v>Płyta wiórowa (680 kg/m3)</v>
      </c>
      <c r="AC89" s="37"/>
      <c r="AD89" s="37">
        <f>AD80</f>
        <v>12.5</v>
      </c>
      <c r="AE89" s="330">
        <f>IF($AG$77=1,AF89*AD89,AG89*AD89)</f>
        <v>0.08</v>
      </c>
      <c r="AF89" s="329">
        <f>SUM(($T$86-80)*($T$87/2-80)/1000000)</f>
        <v>6.4000000000000003E-3</v>
      </c>
      <c r="AG89" s="331">
        <f>SUM(($T$86-6)*($T$87/2-6)/1000000)</f>
        <v>3.6000000000000001E-5</v>
      </c>
      <c r="AH89" s="208" t="s">
        <v>74</v>
      </c>
      <c r="AJ89" s="108"/>
      <c r="AK89" s="108"/>
      <c r="AL89" s="108"/>
      <c r="AM89" s="137"/>
      <c r="AN89" s="137"/>
      <c r="AO89" s="137"/>
      <c r="AP89" s="137"/>
    </row>
    <row r="90" spans="1:43" s="118" customFormat="1" ht="13.5" customHeight="1" x14ac:dyDescent="0.2">
      <c r="A90" s="37"/>
      <c r="N90" s="1079" t="str">
        <f>ListAVS!$B$79&amp;" [kg] "</f>
        <v xml:space="preserve">Obliczona waga frontu [kg] </v>
      </c>
      <c r="O90" s="1080"/>
      <c r="P90" s="1080"/>
      <c r="Q90" s="1080"/>
      <c r="R90" s="1080"/>
      <c r="S90" s="1081"/>
      <c r="T90" s="185">
        <f>IF(X90*AD91&lt;&gt;0,SUM(X90,AD91,T89),0)</f>
        <v>0</v>
      </c>
      <c r="U90" s="119"/>
      <c r="X90" s="186">
        <f>IF(T86*T87*T88=0,0,IF(Z87=1,Y87*Y88,IF(Z87=2,Y87*Y89,Y87*Y90)))</f>
        <v>0</v>
      </c>
      <c r="Y90" s="37">
        <f>$Y$81</f>
        <v>0</v>
      </c>
      <c r="Z90" s="37" t="str">
        <f>$Z$81</f>
        <v>Inne – wybrana gęstość materiału</v>
      </c>
      <c r="AC90" s="37"/>
      <c r="AD90" s="340">
        <f>AD81</f>
        <v>0</v>
      </c>
      <c r="AE90" s="330">
        <f>IF($AG$77=1,AF90*AD90,AG90*AD90)</f>
        <v>0</v>
      </c>
      <c r="AF90" s="329">
        <f>SUM(($T$86-80)*($T$87/2-80)/1000000)</f>
        <v>6.4000000000000003E-3</v>
      </c>
      <c r="AG90" s="331">
        <f>SUM(($T$86-6)*($T$87/2-6)/1000000)</f>
        <v>3.6000000000000001E-5</v>
      </c>
      <c r="AH90" s="208" t="s">
        <v>75</v>
      </c>
      <c r="AJ90" s="108"/>
      <c r="AK90" s="108"/>
      <c r="AL90" s="108"/>
      <c r="AM90" s="137"/>
      <c r="AN90" s="137"/>
      <c r="AO90" s="137"/>
      <c r="AP90" s="137"/>
    </row>
    <row r="91" spans="1:43" s="118" customFormat="1" x14ac:dyDescent="0.2">
      <c r="A91" s="37"/>
      <c r="N91" s="37"/>
      <c r="O91" s="142" t="str">
        <f>IF(T90&gt;0,IF(T89=0,$Z$94," ")," ")</f>
        <v xml:space="preserve"> </v>
      </c>
      <c r="P91" s="37"/>
      <c r="Q91" s="37"/>
      <c r="R91" s="37"/>
      <c r="S91" s="37"/>
      <c r="T91" s="37"/>
      <c r="U91" s="37"/>
      <c r="V91" s="37"/>
      <c r="W91" s="37"/>
      <c r="X91" s="37"/>
      <c r="Y91" s="37"/>
      <c r="AA91" s="37"/>
      <c r="AC91" s="37"/>
      <c r="AD91" s="332">
        <f>IF(OR(AND(AF86=3, $T$71=0), T86*T87=0), 0, SUM(IF(AF86=1,AE88,IF(AF86=2,AE89,AE90)),AE87,AE86))</f>
        <v>0</v>
      </c>
      <c r="AE91" s="37"/>
      <c r="AF91" s="37"/>
      <c r="AG91" s="37"/>
      <c r="AH91" s="37"/>
      <c r="AJ91" s="108"/>
      <c r="AK91" s="108"/>
      <c r="AL91" s="108"/>
      <c r="AM91" s="137"/>
      <c r="AN91" s="137"/>
      <c r="AO91" s="137"/>
      <c r="AP91" s="137"/>
    </row>
    <row r="92" spans="1:43" s="118" customFormat="1" x14ac:dyDescent="0.2">
      <c r="A92" s="37"/>
      <c r="N92" s="37"/>
      <c r="O92" s="37"/>
      <c r="P92" s="37"/>
      <c r="Q92" s="37"/>
      <c r="R92" s="37"/>
      <c r="S92" s="37"/>
      <c r="T92" s="37"/>
      <c r="U92" s="37"/>
      <c r="V92" s="37"/>
      <c r="W92" s="37"/>
      <c r="X92" s="37"/>
      <c r="Y92" s="37"/>
      <c r="AA92" s="37"/>
      <c r="AC92" s="37"/>
      <c r="AD92" s="37"/>
      <c r="AE92" s="37"/>
      <c r="AF92" s="37"/>
      <c r="AG92" s="37"/>
      <c r="AH92" s="37"/>
      <c r="AJ92" s="108"/>
      <c r="AK92" s="108"/>
      <c r="AL92" s="108"/>
      <c r="AM92" s="137"/>
      <c r="AN92" s="137"/>
      <c r="AO92" s="137"/>
      <c r="AP92" s="137"/>
    </row>
    <row r="93" spans="1:43" s="118" customFormat="1" x14ac:dyDescent="0.2">
      <c r="A93" s="37"/>
      <c r="N93" s="37"/>
      <c r="O93" s="37"/>
      <c r="P93" s="37"/>
      <c r="Q93" s="37"/>
      <c r="R93" s="37"/>
      <c r="U93" s="37"/>
      <c r="V93" s="37"/>
      <c r="W93" s="37"/>
      <c r="X93" s="37"/>
      <c r="Y93" s="37"/>
      <c r="AA93" s="37"/>
      <c r="AC93" s="37"/>
      <c r="AD93" s="37"/>
      <c r="AE93" s="37"/>
      <c r="AF93" s="37"/>
      <c r="AG93" s="37"/>
      <c r="AH93" s="37"/>
      <c r="AJ93" s="108"/>
      <c r="AK93" s="108"/>
      <c r="AL93" s="108"/>
      <c r="AM93" s="137"/>
      <c r="AN93" s="137"/>
      <c r="AO93" s="137"/>
      <c r="AP93" s="137"/>
    </row>
    <row r="94" spans="1:43" s="118" customFormat="1" ht="12" customHeight="1" x14ac:dyDescent="0.2">
      <c r="A94" s="37"/>
      <c r="N94" s="37"/>
      <c r="O94" s="148"/>
      <c r="P94" s="148"/>
      <c r="Q94" s="148"/>
      <c r="R94" s="148"/>
      <c r="S94" s="148"/>
      <c r="T94" s="148"/>
      <c r="U94" s="148"/>
      <c r="V94" s="148"/>
      <c r="W94" s="632" t="str">
        <f>ListAVS!$B$422&amp;"  "</f>
        <v xml:space="preserve">z wpuszczanym szkłem  </v>
      </c>
      <c r="X94" s="711">
        <f>MenuAVS!$I$86</f>
        <v>0.62</v>
      </c>
      <c r="Z94" s="37" t="str">
        <f>ListAVS!$B$103&amp;"!"</f>
        <v>Bez wagi uchwytu!</v>
      </c>
      <c r="AA94" s="37"/>
      <c r="AC94" s="37"/>
      <c r="AD94" s="37"/>
      <c r="AE94" s="37"/>
      <c r="AF94" s="149" t="str">
        <f>ListAVS!$B$93</f>
        <v>Ramki aluminiowe z 4mm szkłem</v>
      </c>
      <c r="AG94" s="37"/>
      <c r="AH94" s="37"/>
      <c r="AJ94" s="108"/>
      <c r="AK94" s="108"/>
      <c r="AL94" s="108"/>
      <c r="AM94" s="137"/>
      <c r="AN94" s="137"/>
      <c r="AO94" s="137"/>
      <c r="AP94" s="137"/>
    </row>
    <row r="95" spans="1:43" s="118" customFormat="1" x14ac:dyDescent="0.2">
      <c r="A95" s="37"/>
      <c r="N95" s="37"/>
      <c r="O95" s="148"/>
      <c r="P95" s="148"/>
      <c r="Q95" s="148"/>
      <c r="R95" s="148"/>
      <c r="S95" s="148"/>
      <c r="T95" s="148"/>
      <c r="U95" s="148"/>
      <c r="V95" s="148"/>
      <c r="W95" s="632" t="str">
        <f>ListAVS!$B$423&amp;"  "</f>
        <v xml:space="preserve">ze szkłem nakładanym lub przyklejanym  </v>
      </c>
      <c r="X95" s="711">
        <f>MenuAVS!$I$87</f>
        <v>0.63</v>
      </c>
      <c r="Y95" s="37"/>
      <c r="AA95" s="37"/>
      <c r="AC95" s="37"/>
      <c r="AD95" s="37"/>
      <c r="AE95" s="37"/>
      <c r="AF95" s="149" t="str">
        <f>ListAVS!$B$94</f>
        <v>Ramki aluminiowe z 5mm szkłem</v>
      </c>
      <c r="AG95" s="37"/>
      <c r="AH95" s="37"/>
      <c r="AJ95" s="108"/>
      <c r="AK95" s="108"/>
      <c r="AL95" s="108"/>
      <c r="AM95" s="137"/>
      <c r="AN95" s="137"/>
      <c r="AO95" s="137"/>
      <c r="AP95" s="137"/>
      <c r="AQ95" s="37"/>
    </row>
    <row r="96" spans="1:43" s="37" customFormat="1" x14ac:dyDescent="0.2">
      <c r="O96" s="148"/>
      <c r="P96" s="148"/>
      <c r="Q96" s="148"/>
      <c r="R96" s="148"/>
      <c r="S96" s="148"/>
      <c r="T96" s="148"/>
      <c r="U96" s="148"/>
      <c r="V96" s="148"/>
      <c r="W96" s="632" t="str">
        <f>ListAVS!$B$405&amp;" [kg/set] *  "</f>
        <v xml:space="preserve">Waga materiału łączącego  [kg/set] *  </v>
      </c>
      <c r="X96" s="711">
        <f>MenuAVS!$I$88</f>
        <v>0.61</v>
      </c>
      <c r="Z96" s="118"/>
      <c r="AB96" s="118"/>
      <c r="AF96" s="149" t="str">
        <f>ListAVS!$B$95</f>
        <v>Ramki aluminiowe z innym szkłem</v>
      </c>
      <c r="AJ96" s="108"/>
      <c r="AK96" s="108"/>
      <c r="AL96" s="108"/>
      <c r="AM96" s="137"/>
      <c r="AN96" s="137"/>
      <c r="AO96" s="137"/>
      <c r="AP96" s="137"/>
    </row>
    <row r="97" spans="1:43" s="37" customFormat="1" x14ac:dyDescent="0.2">
      <c r="Z97" s="118"/>
      <c r="AB97" s="118"/>
      <c r="AJ97" s="108"/>
      <c r="AK97" s="108"/>
      <c r="AL97" s="108"/>
      <c r="AM97" s="137"/>
      <c r="AN97" s="137"/>
      <c r="AO97" s="137"/>
      <c r="AP97" s="137"/>
    </row>
    <row r="98" spans="1:43" s="37" customFormat="1" ht="12.75" x14ac:dyDescent="0.2">
      <c r="AA98" s="118"/>
      <c r="AC98" s="118"/>
      <c r="AJ98" s="108"/>
      <c r="AK98" s="108"/>
      <c r="AL98" s="108"/>
      <c r="AM98" s="137"/>
      <c r="AN98" s="266"/>
      <c r="AO98" s="266"/>
      <c r="AP98" s="266"/>
      <c r="AQ98" s="255"/>
    </row>
    <row r="99" spans="1:43" s="255" customFormat="1" ht="15" customHeight="1" x14ac:dyDescent="0.2">
      <c r="A99" s="1045"/>
      <c r="O99" s="248"/>
      <c r="Q99" s="248"/>
      <c r="X99" s="670"/>
      <c r="Y99" s="670"/>
      <c r="Z99" s="670"/>
      <c r="AA99" s="670"/>
      <c r="AB99" s="670"/>
      <c r="AC99" s="670"/>
      <c r="AD99" s="670"/>
      <c r="AE99" s="670"/>
      <c r="AF99" s="670"/>
      <c r="AG99" s="670"/>
      <c r="AH99" s="670"/>
      <c r="AI99" s="670"/>
      <c r="AJ99" s="670"/>
      <c r="AK99" s="670"/>
      <c r="AL99" s="670"/>
      <c r="AM99" s="266"/>
      <c r="AN99" s="266"/>
      <c r="AO99" s="266"/>
      <c r="AP99" s="266"/>
    </row>
    <row r="100" spans="1:43" s="255" customFormat="1" ht="15" customHeight="1" x14ac:dyDescent="0.2">
      <c r="A100" s="1045"/>
      <c r="B100" s="604" t="str">
        <f>ListAVS!$B$195</f>
        <v>Obliczanie frontów asymetrycznych</v>
      </c>
      <c r="O100" s="248"/>
      <c r="Q100" s="248"/>
      <c r="X100" s="670"/>
      <c r="Y100" s="670"/>
      <c r="Z100" s="670"/>
      <c r="AA100" s="670"/>
      <c r="AB100" s="670"/>
      <c r="AC100" s="670"/>
      <c r="AD100" s="670"/>
      <c r="AE100" s="670"/>
      <c r="AF100" s="670"/>
      <c r="AG100" s="670"/>
      <c r="AH100" s="670"/>
      <c r="AI100" s="670"/>
      <c r="AJ100" s="670"/>
      <c r="AK100" s="670"/>
      <c r="AL100" s="670"/>
      <c r="AM100" s="266"/>
      <c r="AN100" s="266"/>
      <c r="AO100" s="266"/>
      <c r="AP100" s="266"/>
    </row>
    <row r="101" spans="1:43" s="255" customFormat="1" ht="15" customHeight="1" x14ac:dyDescent="0.2">
      <c r="A101" s="1045"/>
      <c r="O101" s="248"/>
      <c r="Q101" s="248"/>
      <c r="X101" s="670"/>
      <c r="Y101" s="670"/>
      <c r="Z101" s="670"/>
      <c r="AA101" s="670"/>
      <c r="AB101" s="670"/>
      <c r="AC101" s="670"/>
      <c r="AD101" s="670"/>
      <c r="AE101" s="670"/>
      <c r="AF101" s="670"/>
      <c r="AG101" s="670"/>
      <c r="AH101" s="670"/>
      <c r="AI101" s="670"/>
      <c r="AJ101" s="670"/>
      <c r="AK101" s="670"/>
      <c r="AL101" s="670"/>
      <c r="AM101" s="266"/>
      <c r="AN101" s="266"/>
      <c r="AO101" s="266"/>
      <c r="AP101" s="266"/>
    </row>
    <row r="102" spans="1:43" s="255" customFormat="1" ht="15" customHeight="1" x14ac:dyDescent="0.2">
      <c r="A102" s="1045"/>
      <c r="B102" s="1075" t="str">
        <f>"   "&amp;ListAVS!$B$198</f>
        <v xml:space="preserve">   Parametry korpusu</v>
      </c>
      <c r="C102" s="1076"/>
      <c r="D102" s="1076"/>
      <c r="E102" s="1076"/>
      <c r="F102" s="1076"/>
      <c r="G102" s="1076"/>
      <c r="H102" s="1076"/>
      <c r="I102" s="1077"/>
      <c r="J102" s="1078"/>
      <c r="K102" s="545"/>
      <c r="L102" s="545"/>
      <c r="M102" s="545"/>
      <c r="N102" s="545"/>
      <c r="O102" s="546"/>
      <c r="P102" s="545"/>
      <c r="Q102" s="546"/>
      <c r="R102" s="545"/>
      <c r="S102" s="545"/>
      <c r="T102" s="545"/>
      <c r="U102" s="545"/>
      <c r="V102" s="545"/>
      <c r="W102" s="545"/>
      <c r="X102" s="108"/>
      <c r="Y102" s="670"/>
      <c r="Z102" s="670"/>
      <c r="AA102" s="670"/>
      <c r="AB102" s="670"/>
      <c r="AC102" s="670"/>
      <c r="AD102" s="670"/>
      <c r="AE102" s="670"/>
      <c r="AF102" s="670"/>
      <c r="AG102" s="670"/>
      <c r="AH102" s="670"/>
      <c r="AI102" s="670"/>
      <c r="AJ102" s="670"/>
      <c r="AK102" s="670"/>
      <c r="AL102" s="670"/>
      <c r="AM102" s="266"/>
      <c r="AN102" s="266"/>
      <c r="AO102" s="266"/>
      <c r="AP102" s="266"/>
    </row>
    <row r="103" spans="1:43" s="255" customFormat="1" ht="15" customHeight="1" x14ac:dyDescent="0.2">
      <c r="A103" s="1045"/>
      <c r="B103" s="1070" t="str">
        <f>ListAVS!$B$75&amp;" KH [mm] "</f>
        <v xml:space="preserve">Wysokość korpusu KH [mm] </v>
      </c>
      <c r="C103" s="1071"/>
      <c r="D103" s="1071"/>
      <c r="E103" s="1071"/>
      <c r="F103" s="1071"/>
      <c r="G103" s="1071"/>
      <c r="H103" s="1072"/>
      <c r="I103" s="1073"/>
      <c r="J103" s="1073"/>
      <c r="K103" s="547" t="str">
        <f>IF(I103&lt;480, " min. 480", IF(I103&gt;1200, " max. 1200", " "))</f>
        <v xml:space="preserve"> min. 480</v>
      </c>
      <c r="L103" s="545"/>
      <c r="M103" s="545"/>
      <c r="N103" s="1089" t="s">
        <v>755</v>
      </c>
      <c r="O103" s="1089" t="s">
        <v>756</v>
      </c>
      <c r="P103" s="545"/>
      <c r="Q103" s="545"/>
      <c r="R103" s="545"/>
      <c r="S103" s="545"/>
      <c r="T103" s="545"/>
      <c r="U103" s="545"/>
      <c r="V103" s="545"/>
      <c r="W103" s="545"/>
      <c r="X103" s="108"/>
      <c r="Y103" s="670"/>
      <c r="Z103" s="670"/>
      <c r="AA103" s="670"/>
      <c r="AB103" s="670"/>
      <c r="AC103" s="670"/>
      <c r="AD103" s="670"/>
      <c r="AE103" s="670"/>
      <c r="AF103" s="670"/>
      <c r="AG103" s="670"/>
      <c r="AH103" s="670"/>
      <c r="AI103" s="670"/>
      <c r="AJ103" s="670"/>
      <c r="AK103" s="670"/>
      <c r="AL103" s="670"/>
      <c r="AM103" s="266"/>
      <c r="AN103" s="266"/>
      <c r="AO103" s="266"/>
      <c r="AP103" s="266"/>
    </row>
    <row r="104" spans="1:43" s="255" customFormat="1" ht="15" customHeight="1" x14ac:dyDescent="0.2">
      <c r="A104" s="1045"/>
      <c r="B104" s="1070" t="str">
        <f>ListAVS!$B$201&amp;" F1 [mm] "</f>
        <v xml:space="preserve">Szczelina na górze F1 [mm] </v>
      </c>
      <c r="C104" s="1071"/>
      <c r="D104" s="1071"/>
      <c r="E104" s="1071"/>
      <c r="F104" s="1071"/>
      <c r="G104" s="1071"/>
      <c r="H104" s="1072"/>
      <c r="I104" s="1073"/>
      <c r="J104" s="1073"/>
      <c r="K104" s="548"/>
      <c r="L104" s="545"/>
      <c r="M104" s="549"/>
      <c r="N104" s="1089"/>
      <c r="O104" s="1089"/>
      <c r="P104" s="545"/>
      <c r="Q104" s="545"/>
      <c r="R104" s="545"/>
      <c r="S104" s="545"/>
      <c r="T104" s="545"/>
      <c r="U104" s="545"/>
      <c r="V104" s="545"/>
      <c r="W104" s="545"/>
      <c r="X104" s="108"/>
      <c r="Y104" s="670"/>
      <c r="Z104" s="670"/>
      <c r="AA104" s="670"/>
      <c r="AB104" s="670"/>
      <c r="AC104" s="670"/>
      <c r="AD104" s="670"/>
      <c r="AE104" s="670"/>
      <c r="AF104" s="670"/>
      <c r="AG104" s="670"/>
      <c r="AH104" s="670"/>
      <c r="AI104" s="670"/>
      <c r="AJ104" s="670"/>
      <c r="AK104" s="670"/>
      <c r="AL104" s="670"/>
      <c r="AM104" s="266"/>
      <c r="AN104" s="266"/>
      <c r="AO104" s="266"/>
      <c r="AP104" s="266"/>
      <c r="AQ104" s="266"/>
    </row>
    <row r="105" spans="1:43" s="266" customFormat="1" ht="15" customHeight="1" x14ac:dyDescent="0.2">
      <c r="A105" s="1045"/>
      <c r="B105" s="1070" t="str">
        <f>ListAVS!$B$202&amp;" F2 [mm] "</f>
        <v xml:space="preserve">Szczelina pomiędzy frontami F2 [mm] </v>
      </c>
      <c r="C105" s="1071"/>
      <c r="D105" s="1071"/>
      <c r="E105" s="1071"/>
      <c r="F105" s="1071"/>
      <c r="G105" s="1071"/>
      <c r="H105" s="1072"/>
      <c r="I105" s="1086"/>
      <c r="J105" s="1087"/>
      <c r="K105" s="547" t="str">
        <f>IF($I$103=0," ",IF($I$105&lt;1.5," min. 1,5 mm!"," "))</f>
        <v xml:space="preserve"> </v>
      </c>
      <c r="L105" s="545"/>
      <c r="M105" s="545"/>
      <c r="N105" s="1089"/>
      <c r="O105" s="1089"/>
      <c r="P105" s="545"/>
      <c r="Q105" s="545"/>
      <c r="R105" s="545"/>
      <c r="S105" s="545"/>
      <c r="T105" s="545"/>
      <c r="U105" s="545"/>
      <c r="V105" s="545"/>
      <c r="W105" s="545"/>
      <c r="X105" s="108"/>
      <c r="Y105" s="670"/>
      <c r="Z105" s="670"/>
      <c r="AA105" s="670"/>
      <c r="AB105" s="670"/>
      <c r="AC105" s="670"/>
      <c r="AD105" s="670"/>
      <c r="AE105" s="670"/>
      <c r="AF105" s="670"/>
      <c r="AG105" s="670"/>
      <c r="AH105" s="670"/>
      <c r="AI105" s="670"/>
      <c r="AJ105" s="670"/>
      <c r="AK105" s="670"/>
      <c r="AL105" s="670"/>
      <c r="AM105" s="255"/>
    </row>
    <row r="106" spans="1:43" s="266" customFormat="1" ht="15" customHeight="1" x14ac:dyDescent="0.2">
      <c r="A106" s="1045"/>
      <c r="B106" s="1070" t="str">
        <f>ListAVS!$B$203&amp;" F3 [mm] "</f>
        <v xml:space="preserve">Szczelina na dole F3 [mm] </v>
      </c>
      <c r="C106" s="1071"/>
      <c r="D106" s="1071"/>
      <c r="E106" s="1071"/>
      <c r="F106" s="1071"/>
      <c r="G106" s="1071"/>
      <c r="H106" s="1072"/>
      <c r="I106" s="1073"/>
      <c r="J106" s="1073"/>
      <c r="K106" s="545"/>
      <c r="L106" s="545"/>
      <c r="M106" s="553" t="s">
        <v>757</v>
      </c>
      <c r="N106" s="118">
        <v>170</v>
      </c>
      <c r="O106" s="118">
        <v>189</v>
      </c>
      <c r="P106" s="545"/>
      <c r="Q106" s="545"/>
      <c r="R106" s="545"/>
      <c r="S106" s="545"/>
      <c r="T106" s="545"/>
      <c r="U106" s="545"/>
      <c r="V106" s="545"/>
      <c r="W106" s="545"/>
      <c r="X106" s="108"/>
      <c r="Y106" s="670"/>
      <c r="Z106" s="670"/>
      <c r="AA106" s="670"/>
      <c r="AB106" s="670"/>
      <c r="AC106" s="670"/>
      <c r="AD106" s="670"/>
      <c r="AE106" s="670"/>
      <c r="AF106" s="670"/>
      <c r="AG106" s="670"/>
      <c r="AH106" s="670"/>
      <c r="AI106" s="670"/>
      <c r="AJ106" s="670"/>
      <c r="AK106" s="670"/>
      <c r="AL106" s="670"/>
      <c r="AM106" s="255"/>
    </row>
    <row r="107" spans="1:43" s="266" customFormat="1" ht="15" customHeight="1" x14ac:dyDescent="0.2">
      <c r="A107" s="1045"/>
      <c r="B107" s="1070" t="str">
        <f>ListAVS!$B$204&amp;" [mm] "</f>
        <v xml:space="preserve">Grubość dna korpusu [mm] </v>
      </c>
      <c r="C107" s="1071"/>
      <c r="D107" s="1071"/>
      <c r="E107" s="1071"/>
      <c r="F107" s="1071"/>
      <c r="G107" s="1071"/>
      <c r="H107" s="1072"/>
      <c r="I107" s="1073"/>
      <c r="J107" s="1073"/>
      <c r="K107" s="545"/>
      <c r="L107" s="545"/>
      <c r="M107" s="553" t="s">
        <v>768</v>
      </c>
      <c r="N107" s="248">
        <v>93</v>
      </c>
      <c r="O107" s="248">
        <v>116</v>
      </c>
      <c r="P107" s="545"/>
      <c r="Q107" s="545"/>
      <c r="R107" s="545"/>
      <c r="S107" s="545"/>
      <c r="T107" s="545"/>
      <c r="U107" s="545"/>
      <c r="V107" s="545"/>
      <c r="W107" s="545"/>
      <c r="X107" s="108"/>
      <c r="Y107" s="670"/>
      <c r="Z107" s="670"/>
      <c r="AA107" s="670"/>
      <c r="AB107" s="670"/>
      <c r="AC107" s="670"/>
      <c r="AD107" s="670"/>
      <c r="AE107" s="670"/>
      <c r="AF107" s="670"/>
      <c r="AG107" s="670"/>
      <c r="AH107" s="670"/>
      <c r="AI107" s="670"/>
      <c r="AJ107" s="670"/>
      <c r="AK107" s="670"/>
      <c r="AL107" s="670"/>
      <c r="AM107" s="255"/>
    </row>
    <row r="108" spans="1:43" s="266" customFormat="1" ht="15" customHeight="1" x14ac:dyDescent="0.2">
      <c r="A108" s="1045"/>
      <c r="B108" s="545"/>
      <c r="C108" s="545"/>
      <c r="D108" s="545"/>
      <c r="E108" s="545"/>
      <c r="F108" s="545"/>
      <c r="G108" s="545"/>
      <c r="H108" s="545"/>
      <c r="I108" s="545"/>
      <c r="J108" s="550"/>
      <c r="K108" s="545"/>
      <c r="L108" s="545"/>
      <c r="M108" s="553"/>
      <c r="N108" s="37"/>
      <c r="O108" s="118"/>
      <c r="P108" s="545"/>
      <c r="Q108" s="545"/>
      <c r="R108" s="545"/>
      <c r="S108" s="545"/>
      <c r="T108" s="545"/>
      <c r="U108" s="545"/>
      <c r="V108" s="545"/>
      <c r="W108" s="545"/>
      <c r="X108" s="108"/>
      <c r="Y108" s="670"/>
      <c r="Z108" s="670"/>
      <c r="AA108" s="670"/>
      <c r="AB108" s="670"/>
      <c r="AC108" s="670"/>
      <c r="AD108" s="670"/>
      <c r="AE108" s="670"/>
      <c r="AF108" s="670"/>
      <c r="AG108" s="670"/>
      <c r="AH108" s="670"/>
      <c r="AI108" s="670"/>
      <c r="AJ108" s="670"/>
      <c r="AK108" s="670"/>
      <c r="AL108" s="670"/>
      <c r="AM108" s="255"/>
    </row>
    <row r="109" spans="1:43" s="266" customFormat="1" ht="15" customHeight="1" x14ac:dyDescent="0.2">
      <c r="A109" s="1045"/>
      <c r="B109" s="1091" t="str">
        <f>"   "&amp;ListAVS!$B$206</f>
        <v xml:space="preserve">   Wyniki planowania</v>
      </c>
      <c r="C109" s="1092"/>
      <c r="D109" s="1092"/>
      <c r="E109" s="1092"/>
      <c r="F109" s="1092"/>
      <c r="G109" s="1092"/>
      <c r="H109" s="1092"/>
      <c r="I109" s="1092"/>
      <c r="J109" s="1093"/>
      <c r="K109" s="545"/>
      <c r="L109" s="545"/>
      <c r="M109" s="545"/>
      <c r="N109" s="957" t="s">
        <v>762</v>
      </c>
      <c r="O109" s="958" t="s">
        <v>762</v>
      </c>
      <c r="P109" s="545"/>
      <c r="Q109" s="545"/>
      <c r="R109" s="545"/>
      <c r="S109" s="545"/>
      <c r="T109" s="545"/>
      <c r="U109" s="545"/>
      <c r="V109" s="545"/>
      <c r="W109" s="545"/>
      <c r="X109" s="108"/>
      <c r="Y109" s="670"/>
      <c r="Z109" s="670"/>
      <c r="AA109" s="670"/>
      <c r="AB109" s="670"/>
      <c r="AC109" s="670"/>
      <c r="AD109" s="670"/>
      <c r="AE109" s="670"/>
      <c r="AF109" s="670"/>
      <c r="AG109" s="670"/>
      <c r="AH109" s="670"/>
      <c r="AI109" s="670"/>
      <c r="AJ109" s="670"/>
      <c r="AK109" s="670"/>
      <c r="AL109" s="670"/>
      <c r="AM109" s="255"/>
    </row>
    <row r="110" spans="1:43" s="266" customFormat="1" ht="15" customHeight="1" x14ac:dyDescent="0.2">
      <c r="A110" s="1045"/>
      <c r="B110" s="1094"/>
      <c r="C110" s="1095"/>
      <c r="D110" s="1095"/>
      <c r="E110" s="1095"/>
      <c r="F110" s="1095"/>
      <c r="G110" s="1096" t="str">
        <f>ListAVS!$B$207&amp;" [mm] "</f>
        <v xml:space="preserve">Możliwe wysokości frontów [mm] </v>
      </c>
      <c r="H110" s="1096"/>
      <c r="I110" s="1096"/>
      <c r="J110" s="1097"/>
      <c r="K110" s="545"/>
      <c r="L110" s="545"/>
      <c r="M110" s="545"/>
      <c r="N110" s="545" t="s">
        <v>754</v>
      </c>
      <c r="O110" s="545" t="s">
        <v>754</v>
      </c>
      <c r="P110" s="545"/>
      <c r="Q110" s="545"/>
      <c r="R110" s="545"/>
      <c r="S110" s="545"/>
      <c r="T110" s="545"/>
      <c r="U110" s="545"/>
      <c r="V110" s="545"/>
      <c r="W110" s="545"/>
      <c r="X110" s="108"/>
      <c r="Y110" s="670"/>
      <c r="Z110" s="670"/>
      <c r="AA110" s="670"/>
      <c r="AB110" s="670"/>
      <c r="AC110" s="670"/>
      <c r="AD110" s="670"/>
      <c r="AE110" s="670"/>
      <c r="AF110" s="670"/>
      <c r="AG110" s="670"/>
      <c r="AH110" s="670"/>
      <c r="AI110" s="670"/>
      <c r="AJ110" s="670"/>
      <c r="AK110" s="670"/>
      <c r="AL110" s="670"/>
      <c r="AM110" s="255"/>
    </row>
    <row r="111" spans="1:43" s="266" customFormat="1" ht="15" customHeight="1" x14ac:dyDescent="0.2">
      <c r="A111" s="1045"/>
      <c r="B111" s="1069" t="str">
        <f>ListAVS!$B$208</f>
        <v>Front górny (FHo) w granicach</v>
      </c>
      <c r="C111" s="1069"/>
      <c r="D111" s="1069"/>
      <c r="E111" s="1069"/>
      <c r="F111" s="1069"/>
      <c r="G111" s="551" t="s">
        <v>60</v>
      </c>
      <c r="H111" s="552" t="str">
        <f>IF(AND($I$103&gt;=480, $I$103&lt;=519), $N$111, IF(AND($I$103&gt;=520, $I$103&lt;=1200), $O$111, $S$115))</f>
        <v>nie można</v>
      </c>
      <c r="I111" s="551" t="s">
        <v>61</v>
      </c>
      <c r="J111" s="552" t="str">
        <f>IF(AND($I$103&gt;=480, $I$103&lt;=519), $N$115, IF(AND($I$103&gt;=520, $I$103&lt;=1200), $O$115, $S$115))</f>
        <v>nie można</v>
      </c>
      <c r="K111" s="545"/>
      <c r="L111" s="545"/>
      <c r="M111" s="545"/>
      <c r="N111" s="546">
        <f>SUM(I103, -I104, -I105, -I106, -N120)</f>
        <v>0</v>
      </c>
      <c r="O111" s="546">
        <f>SUM(I103, -I104, -I105, -I106, -O120)</f>
        <v>0</v>
      </c>
      <c r="P111" s="545"/>
      <c r="Q111" s="545"/>
      <c r="R111" s="545"/>
      <c r="S111" s="545"/>
      <c r="T111" s="545"/>
      <c r="U111" s="545"/>
      <c r="V111" s="545"/>
      <c r="W111" s="545"/>
      <c r="X111" s="108"/>
      <c r="Y111" s="670"/>
      <c r="Z111" s="670"/>
      <c r="AA111" s="670"/>
      <c r="AB111" s="670"/>
      <c r="AC111" s="670"/>
      <c r="AD111" s="670"/>
      <c r="AE111" s="670"/>
      <c r="AF111" s="670"/>
      <c r="AG111" s="670"/>
      <c r="AH111" s="670"/>
      <c r="AI111" s="670"/>
      <c r="AJ111" s="670"/>
      <c r="AK111" s="670"/>
      <c r="AL111" s="670"/>
      <c r="AM111" s="255"/>
    </row>
    <row r="112" spans="1:43" s="266" customFormat="1" ht="15" customHeight="1" x14ac:dyDescent="0.2">
      <c r="A112" s="1045"/>
      <c r="B112" s="1069" t="str">
        <f>ListAVS!$B$209</f>
        <v>Front dolny (FHu) w granicach</v>
      </c>
      <c r="C112" s="1069"/>
      <c r="D112" s="1069"/>
      <c r="E112" s="1069"/>
      <c r="F112" s="1069"/>
      <c r="G112" s="551" t="s">
        <v>60</v>
      </c>
      <c r="H112" s="552" t="str">
        <f>IF(AND($I$103&gt;=480, $I$103&lt;=519), $N$118, IF(AND($I$103&gt;=520, $I$103&lt;=1200), $O$118, $S$115))</f>
        <v>nie można</v>
      </c>
      <c r="I112" s="551" t="s">
        <v>61</v>
      </c>
      <c r="J112" s="552" t="str">
        <f>IF(AND($I$103&gt;=480, $I$103&lt;=519), $N$120, IF(AND($I$103&gt;=520, $I$103&lt;=1200), $O$120, $S$115))</f>
        <v>nie można</v>
      </c>
      <c r="K112" s="545"/>
      <c r="L112" s="545"/>
      <c r="M112" s="545"/>
      <c r="N112" s="545" t="s">
        <v>758</v>
      </c>
      <c r="O112" s="545" t="s">
        <v>758</v>
      </c>
      <c r="P112" s="545"/>
      <c r="Q112" s="545"/>
      <c r="R112" s="545"/>
      <c r="S112" s="545"/>
      <c r="T112" s="545"/>
      <c r="U112" s="545"/>
      <c r="V112" s="545"/>
      <c r="W112" s="545"/>
      <c r="X112" s="108"/>
      <c r="Y112" s="670"/>
      <c r="Z112" s="670"/>
      <c r="AA112" s="670"/>
      <c r="AB112" s="670"/>
      <c r="AC112" s="670"/>
      <c r="AD112" s="670"/>
      <c r="AE112" s="670"/>
      <c r="AF112" s="670"/>
      <c r="AG112" s="670"/>
      <c r="AH112" s="670"/>
      <c r="AI112" s="670"/>
      <c r="AJ112" s="670"/>
      <c r="AK112" s="670"/>
      <c r="AL112" s="670"/>
      <c r="AM112" s="255"/>
    </row>
    <row r="113" spans="1:43" s="266" customFormat="1" ht="15" customHeight="1" x14ac:dyDescent="0.2">
      <c r="A113" s="1045"/>
      <c r="B113" s="694"/>
      <c r="C113" s="694"/>
      <c r="D113" s="694"/>
      <c r="E113" s="694"/>
      <c r="F113" s="694"/>
      <c r="G113" s="694"/>
      <c r="H113" s="694"/>
      <c r="I113" s="545"/>
      <c r="J113" s="545"/>
      <c r="K113" s="545"/>
      <c r="L113" s="545"/>
      <c r="M113" s="545"/>
      <c r="N113" s="546">
        <f>ROUNDUP(SUM(519, -$I$104, -$I$105, -$I$106)/2, 0)</f>
        <v>260</v>
      </c>
      <c r="O113" s="546">
        <f>ROUNDUP(SUM(1200, -$I$104, -$I$105, -$I$106)/2, 0)</f>
        <v>600</v>
      </c>
      <c r="P113" s="545" t="s">
        <v>759</v>
      </c>
      <c r="Q113" s="545"/>
      <c r="R113" s="545"/>
      <c r="S113" s="545"/>
      <c r="T113" s="545"/>
      <c r="U113" s="545"/>
      <c r="V113" s="545"/>
      <c r="W113" s="545"/>
      <c r="X113" s="108"/>
      <c r="Y113" s="670"/>
      <c r="Z113" s="670"/>
      <c r="AA113" s="670"/>
      <c r="AB113" s="670"/>
      <c r="AC113" s="670"/>
      <c r="AD113" s="670"/>
      <c r="AE113" s="670"/>
      <c r="AF113" s="670"/>
      <c r="AG113" s="670"/>
      <c r="AH113" s="670"/>
      <c r="AI113" s="670"/>
      <c r="AJ113" s="670"/>
      <c r="AK113" s="670"/>
      <c r="AL113" s="670"/>
      <c r="AM113" s="255"/>
    </row>
    <row r="114" spans="1:43" s="266" customFormat="1" ht="15" customHeight="1" x14ac:dyDescent="0.2">
      <c r="A114" s="1045"/>
      <c r="B114" s="1070" t="str">
        <f>ListAVS!$B$215&amp;" FHo [mm] "</f>
        <v xml:space="preserve">Wysokość frontu górnego FHo [mm] </v>
      </c>
      <c r="C114" s="1071"/>
      <c r="D114" s="1071"/>
      <c r="E114" s="1071"/>
      <c r="F114" s="1071"/>
      <c r="G114" s="1071"/>
      <c r="H114" s="1072"/>
      <c r="I114" s="1073"/>
      <c r="J114" s="1073"/>
      <c r="K114" s="547" t="str">
        <f>IF($I$103=0," ",IF($I$114&gt;$J$111,V114,IF($I$114&lt;$H$111,$S$114," ")))</f>
        <v xml:space="preserve"> </v>
      </c>
      <c r="L114" s="545"/>
      <c r="M114" s="545"/>
      <c r="N114" s="546">
        <f>SUM(I103, -I104, -I105, -I106, -N118)</f>
        <v>-219</v>
      </c>
      <c r="O114" s="248">
        <f>SUM(I103, -I104, -I105, -I106, -O118)</f>
        <v>-238</v>
      </c>
      <c r="P114" s="545" t="s">
        <v>760</v>
      </c>
      <c r="Q114" s="545"/>
      <c r="R114" s="545"/>
      <c r="S114" s="545" t="str">
        <f>" min. "&amp;TEXT($H$111,"#")&amp;" mm!"</f>
        <v xml:space="preserve"> min. nie można mm!</v>
      </c>
      <c r="T114" s="545"/>
      <c r="U114" s="545"/>
      <c r="V114" s="545" t="str">
        <f>" max. "&amp;TEXT($J$111,"#")&amp;" mm!"</f>
        <v xml:space="preserve"> max. nie można mm!</v>
      </c>
      <c r="W114" s="545"/>
      <c r="X114" s="108"/>
      <c r="Y114" s="670"/>
      <c r="Z114" s="670"/>
      <c r="AA114" s="670"/>
      <c r="AB114" s="670"/>
      <c r="AC114" s="670"/>
      <c r="AD114" s="670"/>
      <c r="AE114" s="670"/>
      <c r="AF114" s="670"/>
      <c r="AG114" s="670"/>
      <c r="AH114" s="670"/>
      <c r="AI114" s="670"/>
      <c r="AJ114" s="670"/>
      <c r="AK114" s="670"/>
      <c r="AL114" s="670"/>
      <c r="AM114" s="255"/>
    </row>
    <row r="115" spans="1:43" s="266" customFormat="1" ht="15" customHeight="1" x14ac:dyDescent="0.2">
      <c r="A115" s="1045"/>
      <c r="B115" s="1070" t="str">
        <f>ListAVS!$B$216&amp;" FHu [mm] "</f>
        <v xml:space="preserve">Wysokość frontu dolnego FHu [mm] </v>
      </c>
      <c r="C115" s="1071"/>
      <c r="D115" s="1071"/>
      <c r="E115" s="1071"/>
      <c r="F115" s="1071"/>
      <c r="G115" s="1071"/>
      <c r="H115" s="1072"/>
      <c r="I115" s="1074" t="str">
        <f>IF($I$114&lt;$H$111,$S$115,IF($I$114&gt;$J$111,$S$115,+$I$103-$I$104-$I$105-$I$106-$I$114))</f>
        <v>nie można</v>
      </c>
      <c r="J115" s="1074"/>
      <c r="K115" s="548"/>
      <c r="L115" s="545"/>
      <c r="M115" s="545"/>
      <c r="N115" s="959">
        <f>IF($N$114&gt;$N$113, $N$113, $N$114)</f>
        <v>-219</v>
      </c>
      <c r="O115" s="959">
        <f>IF($O$114&gt;$O$113, $O$113, $O$114)</f>
        <v>-238</v>
      </c>
      <c r="P115" s="545" t="s">
        <v>767</v>
      </c>
      <c r="Q115" s="118"/>
      <c r="R115" s="545"/>
      <c r="S115" s="545" t="str">
        <f>ListAVS!B212</f>
        <v>nie można</v>
      </c>
      <c r="T115" s="545"/>
      <c r="U115" s="545"/>
      <c r="V115" s="545"/>
      <c r="W115" s="545"/>
      <c r="X115" s="108"/>
      <c r="Y115" s="670"/>
      <c r="Z115" s="670"/>
      <c r="AA115" s="670"/>
      <c r="AB115" s="670"/>
      <c r="AC115" s="670"/>
      <c r="AD115" s="670"/>
      <c r="AE115" s="670"/>
      <c r="AF115" s="670"/>
      <c r="AG115" s="670"/>
      <c r="AH115" s="670"/>
      <c r="AI115" s="670"/>
      <c r="AJ115" s="670"/>
      <c r="AK115" s="670"/>
      <c r="AL115" s="670"/>
      <c r="AM115" s="255"/>
    </row>
    <row r="116" spans="1:43" s="266" customFormat="1" ht="15" customHeight="1" x14ac:dyDescent="0.2">
      <c r="A116" s="1045"/>
      <c r="B116" s="1070" t="str">
        <f>ListAVS!$B$217&amp;" H [mm] "</f>
        <v xml:space="preserve">Pozycja siłownika H [mm] </v>
      </c>
      <c r="C116" s="1071"/>
      <c r="D116" s="1071"/>
      <c r="E116" s="1071"/>
      <c r="F116" s="1071"/>
      <c r="G116" s="1071"/>
      <c r="H116" s="1072"/>
      <c r="I116" s="1074" t="str">
        <f>IF(AND($I$103&gt;=480, $I$103&lt;520), $N$107, IF(AND($I$103&gt;=520, $I$103&lt;=1200), $O$107, $S$115))</f>
        <v>nie można</v>
      </c>
      <c r="J116" s="1074"/>
      <c r="K116" s="545"/>
      <c r="L116" s="545"/>
      <c r="M116" s="545"/>
      <c r="N116" s="957" t="s">
        <v>761</v>
      </c>
      <c r="O116" s="958" t="s">
        <v>761</v>
      </c>
      <c r="P116" s="545"/>
      <c r="Q116" s="545"/>
      <c r="R116" s="545"/>
      <c r="S116" s="545"/>
      <c r="T116" s="545"/>
      <c r="U116" s="545"/>
      <c r="V116" s="545"/>
      <c r="W116" s="545"/>
      <c r="X116" s="108"/>
      <c r="Y116" s="670"/>
      <c r="Z116" s="670"/>
      <c r="AA116" s="670"/>
      <c r="AB116" s="670"/>
      <c r="AC116" s="670"/>
      <c r="AD116" s="670"/>
      <c r="AE116" s="670"/>
      <c r="AF116" s="670"/>
      <c r="AG116" s="670"/>
      <c r="AH116" s="670"/>
      <c r="AI116" s="670"/>
      <c r="AJ116" s="670"/>
      <c r="AK116" s="670"/>
      <c r="AL116" s="670"/>
      <c r="AM116" s="255"/>
    </row>
    <row r="117" spans="1:43" s="266" customFormat="1" ht="15" customHeight="1" x14ac:dyDescent="0.2">
      <c r="A117" s="1045"/>
      <c r="B117" s="1070" t="str">
        <f>ListAVS!$B$218&amp;" Z [mm] "</f>
        <v xml:space="preserve">Pozycja podkładki montażowej do podnośnika teleskopowego Z [mm] </v>
      </c>
      <c r="C117" s="1071"/>
      <c r="D117" s="1071"/>
      <c r="E117" s="1071"/>
      <c r="F117" s="1071"/>
      <c r="G117" s="1071"/>
      <c r="H117" s="1072"/>
      <c r="I117" s="1074" t="str">
        <f>IF(AND($I$103&gt;=480, $I$103&lt;520), $N$106, IF(AND($I$103&gt;=520, $I$103&lt;=1200), $O$106, $S$115))</f>
        <v>nie można</v>
      </c>
      <c r="J117" s="1074"/>
      <c r="K117" s="545"/>
      <c r="L117" s="545"/>
      <c r="M117" s="545"/>
      <c r="N117" s="545" t="s">
        <v>754</v>
      </c>
      <c r="O117" s="545" t="s">
        <v>754</v>
      </c>
      <c r="P117" s="545"/>
      <c r="Q117" s="545"/>
      <c r="R117" s="545"/>
      <c r="S117" s="545"/>
      <c r="T117" s="545"/>
      <c r="U117" s="545"/>
      <c r="V117" s="545"/>
      <c r="W117" s="545"/>
      <c r="X117" s="108"/>
      <c r="Y117" s="670"/>
      <c r="Z117" s="670"/>
      <c r="AA117" s="670"/>
      <c r="AB117" s="670"/>
      <c r="AC117" s="670"/>
      <c r="AD117" s="670"/>
      <c r="AE117" s="670"/>
      <c r="AF117" s="670"/>
      <c r="AG117" s="670"/>
      <c r="AH117" s="670"/>
      <c r="AI117" s="670"/>
      <c r="AJ117" s="670"/>
      <c r="AK117" s="670"/>
      <c r="AL117" s="670"/>
      <c r="AM117" s="255"/>
    </row>
    <row r="118" spans="1:43" s="266" customFormat="1" ht="15" customHeight="1" x14ac:dyDescent="0.2">
      <c r="A118" s="1045"/>
      <c r="B118" s="1070" t="str">
        <f>ListAVS!$B$219&amp;" TKH [mm] * "</f>
        <v xml:space="preserve">Teoretyczna wysokość korpusu TKH [mm] * </v>
      </c>
      <c r="C118" s="1071"/>
      <c r="D118" s="1071"/>
      <c r="E118" s="1071"/>
      <c r="F118" s="1071"/>
      <c r="G118" s="1071"/>
      <c r="H118" s="1072"/>
      <c r="I118" s="1090" t="str">
        <f>IF($I$115=$S$115, $S$115, IF($Q$118&gt;=480, IF($Q$118&lt;=1202, $Q$118, $S$115)," "))</f>
        <v>nie można</v>
      </c>
      <c r="J118" s="1090"/>
      <c r="K118" s="545"/>
      <c r="L118" s="545"/>
      <c r="M118" s="545"/>
      <c r="N118" s="546">
        <f>SUM(N106, 32, 17, $I$107, -$I$106)</f>
        <v>219</v>
      </c>
      <c r="O118" s="546">
        <f>SUM(O106, 32, 17, $I$107, -$I$106)</f>
        <v>238</v>
      </c>
      <c r="P118" s="545" t="s">
        <v>62</v>
      </c>
      <c r="Q118" s="545">
        <f>ROUND(SUM($I$114*2+$I$104+$I$105+$I$106), -1)</f>
        <v>0</v>
      </c>
      <c r="R118" s="545"/>
      <c r="S118" s="545"/>
      <c r="T118" s="545"/>
      <c r="U118" s="545"/>
      <c r="V118" s="545"/>
      <c r="W118" s="545"/>
      <c r="X118" s="108"/>
      <c r="Y118" s="670"/>
      <c r="Z118" s="670"/>
      <c r="AA118" s="670"/>
      <c r="AB118" s="670"/>
      <c r="AC118" s="670"/>
      <c r="AD118" s="670"/>
      <c r="AE118" s="670"/>
      <c r="AF118" s="670"/>
      <c r="AG118" s="670"/>
      <c r="AH118" s="670"/>
      <c r="AI118" s="670"/>
      <c r="AJ118" s="670"/>
      <c r="AK118" s="670"/>
      <c r="AL118" s="670"/>
      <c r="AM118" s="255"/>
    </row>
    <row r="119" spans="1:43" s="266" customFormat="1" ht="15" customHeight="1" x14ac:dyDescent="0.2">
      <c r="A119" s="1045"/>
      <c r="B119" s="545"/>
      <c r="C119" s="545"/>
      <c r="D119" s="545"/>
      <c r="E119" s="545"/>
      <c r="F119" s="545"/>
      <c r="G119" s="545"/>
      <c r="H119" s="545"/>
      <c r="I119" s="545"/>
      <c r="J119" s="545"/>
      <c r="K119" s="545"/>
      <c r="L119" s="545"/>
      <c r="M119" s="545"/>
      <c r="N119" s="545" t="s">
        <v>758</v>
      </c>
      <c r="O119" s="545" t="s">
        <v>758</v>
      </c>
      <c r="P119" s="545"/>
      <c r="Q119" s="546"/>
      <c r="R119" s="545"/>
      <c r="S119" s="545"/>
      <c r="T119" s="545"/>
      <c r="U119" s="545"/>
      <c r="V119" s="545"/>
      <c r="W119" s="545"/>
      <c r="X119" s="108"/>
      <c r="Y119" s="670"/>
      <c r="Z119" s="670"/>
      <c r="AA119" s="670"/>
      <c r="AB119" s="670"/>
      <c r="AC119" s="670"/>
      <c r="AD119" s="670"/>
      <c r="AE119" s="670"/>
      <c r="AF119" s="670"/>
      <c r="AG119" s="670"/>
      <c r="AH119" s="670"/>
      <c r="AI119" s="670"/>
      <c r="AJ119" s="670"/>
      <c r="AK119" s="670"/>
      <c r="AL119" s="670"/>
      <c r="AM119" s="255"/>
    </row>
    <row r="120" spans="1:43" s="266" customFormat="1" ht="15" customHeight="1" x14ac:dyDescent="0.2">
      <c r="A120" s="1045"/>
      <c r="B120" s="553" t="s">
        <v>63</v>
      </c>
      <c r="C120" s="545" t="str">
        <f>ListAVS!$B$221</f>
        <v xml:space="preserve">Wprowadź tę wysokość do tabelki służącej do planowania podnośników </v>
      </c>
      <c r="D120" s="545"/>
      <c r="E120" s="545"/>
      <c r="F120" s="545"/>
      <c r="G120" s="545"/>
      <c r="H120" s="545"/>
      <c r="I120" s="545"/>
      <c r="J120" s="545"/>
      <c r="K120" s="545"/>
      <c r="L120" s="545"/>
      <c r="M120" s="545"/>
      <c r="N120" s="546">
        <f>ROUNDDOWN(SUM(I103, -I104, -I105, -I106)/2, 0)</f>
        <v>0</v>
      </c>
      <c r="O120" s="546">
        <f>ROUNDDOWN(SUM(I103, -I104, -I105, -I106)/2, 0)</f>
        <v>0</v>
      </c>
      <c r="P120" s="545"/>
      <c r="Q120" s="546"/>
      <c r="R120" s="545"/>
      <c r="S120" s="545"/>
      <c r="T120" s="545"/>
      <c r="U120" s="545"/>
      <c r="V120" s="545"/>
      <c r="W120" s="545"/>
      <c r="X120" s="108"/>
      <c r="Y120" s="670"/>
      <c r="Z120" s="670"/>
      <c r="AA120" s="670"/>
      <c r="AB120" s="670"/>
      <c r="AC120" s="670"/>
      <c r="AD120" s="670"/>
      <c r="AE120" s="670"/>
      <c r="AF120" s="670"/>
      <c r="AG120" s="670"/>
      <c r="AH120" s="670"/>
      <c r="AI120" s="670"/>
      <c r="AJ120" s="670"/>
      <c r="AK120" s="670"/>
      <c r="AL120" s="670"/>
      <c r="AM120" s="255"/>
    </row>
    <row r="121" spans="1:43" s="266" customFormat="1" ht="15" customHeight="1" x14ac:dyDescent="0.2">
      <c r="A121" s="1045"/>
      <c r="B121" s="545"/>
      <c r="C121" s="545"/>
      <c r="D121" s="545"/>
      <c r="E121" s="545"/>
      <c r="F121" s="545"/>
      <c r="G121" s="545"/>
      <c r="H121" s="545"/>
      <c r="I121" s="545"/>
      <c r="J121" s="545"/>
      <c r="K121" s="545"/>
      <c r="L121" s="545"/>
      <c r="M121" s="545"/>
      <c r="N121" s="545"/>
      <c r="O121" s="546"/>
      <c r="P121" s="545"/>
      <c r="Q121" s="546"/>
      <c r="R121" s="545"/>
      <c r="S121" s="545"/>
      <c r="T121" s="545"/>
      <c r="U121" s="545"/>
      <c r="V121" s="545"/>
      <c r="W121" s="545"/>
      <c r="X121" s="108"/>
      <c r="Y121" s="670"/>
      <c r="Z121" s="670"/>
      <c r="AA121" s="670"/>
      <c r="AB121" s="670"/>
      <c r="AC121" s="670"/>
      <c r="AD121" s="670"/>
      <c r="AE121" s="670"/>
      <c r="AF121" s="670"/>
      <c r="AG121" s="670"/>
      <c r="AH121" s="670"/>
      <c r="AI121" s="670"/>
      <c r="AJ121" s="670"/>
      <c r="AK121" s="670"/>
      <c r="AL121" s="670"/>
    </row>
    <row r="122" spans="1:43" s="266" customFormat="1" ht="15" customHeight="1" x14ac:dyDescent="0.2">
      <c r="A122" s="1045"/>
      <c r="B122" s="255"/>
      <c r="C122" s="255"/>
      <c r="D122" s="255"/>
      <c r="E122" s="255"/>
      <c r="F122" s="255"/>
      <c r="G122" s="255"/>
      <c r="H122" s="255"/>
      <c r="I122" s="255"/>
      <c r="J122" s="255"/>
      <c r="K122" s="255"/>
      <c r="L122" s="255"/>
      <c r="M122" s="255"/>
      <c r="N122" s="255"/>
      <c r="O122" s="248"/>
      <c r="P122" s="255"/>
      <c r="Q122" s="248"/>
      <c r="R122" s="255"/>
      <c r="S122" s="255"/>
      <c r="T122" s="255"/>
      <c r="U122" s="255"/>
      <c r="V122" s="255"/>
      <c r="W122" s="255"/>
      <c r="X122" s="670"/>
      <c r="Y122" s="670"/>
      <c r="Z122" s="670"/>
      <c r="AA122" s="670"/>
      <c r="AB122" s="670"/>
      <c r="AC122" s="670"/>
      <c r="AD122" s="670"/>
      <c r="AE122" s="670"/>
      <c r="AF122" s="670"/>
      <c r="AG122" s="670"/>
      <c r="AH122" s="670"/>
      <c r="AI122" s="670"/>
      <c r="AJ122" s="670"/>
      <c r="AK122" s="670"/>
      <c r="AL122" s="670"/>
    </row>
    <row r="123" spans="1:43" s="266" customFormat="1" ht="15" customHeight="1" x14ac:dyDescent="0.2">
      <c r="A123" s="1045"/>
      <c r="B123" s="255"/>
      <c r="C123" s="255"/>
      <c r="D123" s="255"/>
      <c r="E123" s="255"/>
      <c r="F123" s="255"/>
      <c r="G123" s="255"/>
      <c r="H123" s="255"/>
      <c r="I123" s="255"/>
      <c r="J123" s="255"/>
      <c r="K123" s="255"/>
      <c r="L123" s="255"/>
      <c r="M123" s="255"/>
      <c r="N123" s="255"/>
      <c r="O123" s="248"/>
      <c r="P123" s="255"/>
      <c r="Q123" s="248"/>
      <c r="R123" s="255"/>
      <c r="S123" s="255"/>
      <c r="T123" s="255"/>
      <c r="U123" s="255"/>
      <c r="V123" s="255"/>
      <c r="W123" s="255"/>
      <c r="X123" s="670"/>
      <c r="Y123" s="670"/>
      <c r="Z123" s="670"/>
      <c r="AA123" s="670"/>
      <c r="AB123" s="670"/>
      <c r="AC123" s="670"/>
      <c r="AD123" s="670"/>
      <c r="AE123" s="670"/>
      <c r="AF123" s="670"/>
      <c r="AG123" s="670"/>
      <c r="AH123" s="670"/>
      <c r="AI123" s="670"/>
      <c r="AJ123" s="670"/>
      <c r="AK123" s="670"/>
      <c r="AL123" s="670"/>
    </row>
    <row r="124" spans="1:43" s="266" customFormat="1" ht="15" customHeight="1" x14ac:dyDescent="0.2">
      <c r="A124" s="1045"/>
      <c r="B124" s="255"/>
      <c r="C124" s="255"/>
      <c r="D124" s="255"/>
      <c r="E124" s="255"/>
      <c r="F124" s="255"/>
      <c r="G124" s="255"/>
      <c r="H124" s="255"/>
      <c r="I124" s="255"/>
      <c r="J124" s="255"/>
      <c r="K124" s="255"/>
      <c r="L124" s="255"/>
      <c r="M124" s="255"/>
      <c r="N124" s="255"/>
      <c r="O124" s="248"/>
      <c r="P124" s="255"/>
      <c r="Q124" s="248"/>
      <c r="R124" s="255"/>
      <c r="S124" s="255"/>
      <c r="T124" s="255"/>
      <c r="U124" s="255"/>
      <c r="V124" s="255"/>
      <c r="W124" s="255"/>
      <c r="X124" s="670"/>
      <c r="Y124" s="670"/>
      <c r="Z124" s="670"/>
      <c r="AA124" s="670"/>
      <c r="AB124" s="670"/>
      <c r="AC124" s="670"/>
      <c r="AD124" s="670"/>
      <c r="AE124" s="670"/>
      <c r="AF124" s="670"/>
      <c r="AG124" s="670"/>
      <c r="AH124" s="670"/>
      <c r="AI124" s="670"/>
      <c r="AJ124" s="670"/>
      <c r="AK124" s="670"/>
      <c r="AL124" s="670"/>
    </row>
    <row r="125" spans="1:43" s="266" customFormat="1" ht="15" customHeight="1" x14ac:dyDescent="0.2">
      <c r="A125" s="1045"/>
      <c r="B125" s="605"/>
      <c r="C125" s="605"/>
      <c r="D125" s="255"/>
      <c r="E125" s="255"/>
      <c r="F125" s="255"/>
      <c r="G125" s="255"/>
      <c r="H125" s="255"/>
      <c r="I125" s="1128" t="str">
        <f>ListAVS!$B$168</f>
        <v>Z powrotem</v>
      </c>
      <c r="J125" s="1128"/>
      <c r="K125" s="255"/>
      <c r="L125" s="255"/>
      <c r="M125" s="255"/>
      <c r="N125" s="255"/>
      <c r="O125" s="248"/>
      <c r="P125" s="255"/>
      <c r="Q125" s="248"/>
      <c r="R125" s="255"/>
      <c r="S125" s="255"/>
      <c r="T125" s="255"/>
      <c r="U125" s="255"/>
      <c r="V125" s="255"/>
      <c r="W125" s="255"/>
      <c r="X125" s="670"/>
      <c r="Y125" s="670"/>
      <c r="Z125" s="670"/>
      <c r="AA125" s="670"/>
      <c r="AB125" s="670"/>
      <c r="AC125" s="670"/>
      <c r="AD125" s="670"/>
      <c r="AE125" s="670"/>
      <c r="AF125" s="670"/>
      <c r="AG125" s="670"/>
      <c r="AH125" s="670"/>
      <c r="AI125" s="670"/>
      <c r="AJ125" s="670"/>
      <c r="AK125" s="670"/>
      <c r="AL125" s="670"/>
      <c r="AQ125" s="255"/>
    </row>
    <row r="126" spans="1:43" s="255" customFormat="1" ht="15" customHeight="1" x14ac:dyDescent="0.2">
      <c r="A126" s="1045"/>
      <c r="O126" s="248"/>
      <c r="Q126" s="248"/>
      <c r="X126" s="670"/>
      <c r="Y126" s="670"/>
      <c r="Z126" s="670"/>
      <c r="AA126" s="670"/>
      <c r="AB126" s="670"/>
      <c r="AC126" s="670"/>
      <c r="AD126" s="670"/>
      <c r="AE126" s="670"/>
      <c r="AF126" s="670"/>
      <c r="AG126" s="670"/>
      <c r="AH126" s="670"/>
      <c r="AI126" s="670"/>
      <c r="AJ126" s="670"/>
      <c r="AK126" s="670"/>
      <c r="AL126" s="670"/>
      <c r="AM126" s="266"/>
      <c r="AN126" s="137"/>
      <c r="AO126" s="137"/>
      <c r="AP126" s="137"/>
      <c r="AQ126" s="37"/>
    </row>
    <row r="127" spans="1:43" s="37" customFormat="1" x14ac:dyDescent="0.2">
      <c r="A127" s="1045"/>
      <c r="O127" s="118"/>
      <c r="Q127" s="118"/>
      <c r="X127" s="108"/>
      <c r="Y127" s="108"/>
      <c r="Z127" s="108"/>
      <c r="AA127" s="108"/>
      <c r="AB127" s="108"/>
      <c r="AC127" s="108"/>
      <c r="AD127" s="108"/>
      <c r="AE127" s="108"/>
      <c r="AF127" s="108"/>
      <c r="AG127" s="108"/>
      <c r="AH127" s="108"/>
      <c r="AI127" s="108"/>
      <c r="AJ127" s="108"/>
      <c r="AK127" s="108"/>
      <c r="AL127" s="108"/>
      <c r="AM127" s="137"/>
      <c r="AN127" s="137"/>
      <c r="AO127" s="137"/>
      <c r="AP127" s="137"/>
    </row>
    <row r="128" spans="1:43" s="37" customFormat="1" x14ac:dyDescent="0.2">
      <c r="A128" s="1045"/>
      <c r="O128" s="118"/>
      <c r="Q128" s="118"/>
      <c r="X128" s="108"/>
      <c r="Y128" s="108"/>
      <c r="Z128" s="108"/>
      <c r="AA128" s="108"/>
      <c r="AB128" s="108"/>
      <c r="AC128" s="108"/>
      <c r="AD128" s="108"/>
      <c r="AE128" s="108"/>
      <c r="AF128" s="108"/>
      <c r="AG128" s="108"/>
      <c r="AH128" s="108"/>
      <c r="AI128" s="108"/>
      <c r="AJ128" s="108"/>
      <c r="AK128" s="108"/>
      <c r="AL128" s="108"/>
      <c r="AM128" s="137"/>
      <c r="AN128" s="137"/>
      <c r="AO128" s="137"/>
      <c r="AP128" s="137"/>
    </row>
    <row r="129" spans="1:43" s="37" customFormat="1" x14ac:dyDescent="0.2">
      <c r="A129" s="1045"/>
      <c r="O129" s="118"/>
      <c r="Q129" s="118"/>
      <c r="X129" s="108"/>
      <c r="Y129" s="108"/>
      <c r="Z129" s="108"/>
      <c r="AA129" s="108"/>
      <c r="AB129" s="108"/>
      <c r="AC129" s="108"/>
      <c r="AD129" s="108"/>
      <c r="AE129" s="108"/>
      <c r="AF129" s="108"/>
      <c r="AG129" s="108"/>
      <c r="AH129" s="108"/>
      <c r="AI129" s="108"/>
      <c r="AJ129" s="108"/>
      <c r="AK129" s="108"/>
      <c r="AL129" s="108"/>
      <c r="AM129" s="137"/>
      <c r="AN129" s="137"/>
      <c r="AO129" s="137"/>
      <c r="AP129" s="137"/>
    </row>
    <row r="130" spans="1:43" s="37" customFormat="1" x14ac:dyDescent="0.2">
      <c r="A130" s="1045"/>
      <c r="O130" s="118"/>
      <c r="Q130" s="118"/>
      <c r="X130" s="108"/>
      <c r="Y130" s="108"/>
      <c r="Z130" s="108"/>
      <c r="AA130" s="108"/>
      <c r="AB130" s="108"/>
      <c r="AC130" s="108"/>
      <c r="AD130" s="108"/>
      <c r="AE130" s="108"/>
      <c r="AF130" s="108"/>
      <c r="AG130" s="108"/>
      <c r="AH130" s="108"/>
      <c r="AI130" s="108"/>
      <c r="AJ130" s="108"/>
      <c r="AK130" s="108"/>
      <c r="AL130" s="108"/>
      <c r="AM130" s="137"/>
      <c r="AN130" s="137"/>
      <c r="AO130" s="137"/>
      <c r="AP130" s="137"/>
    </row>
    <row r="131" spans="1:43" s="37" customFormat="1" x14ac:dyDescent="0.2">
      <c r="A131" s="1045"/>
      <c r="O131" s="118"/>
      <c r="Q131" s="118"/>
      <c r="X131" s="108"/>
      <c r="Y131" s="108"/>
      <c r="Z131" s="108"/>
      <c r="AA131" s="108"/>
      <c r="AB131" s="108"/>
      <c r="AC131" s="108"/>
      <c r="AD131" s="108"/>
      <c r="AE131" s="108"/>
      <c r="AF131" s="108"/>
      <c r="AG131" s="108"/>
      <c r="AH131" s="108"/>
      <c r="AI131" s="108"/>
      <c r="AJ131" s="108"/>
      <c r="AK131" s="108"/>
      <c r="AL131" s="108"/>
      <c r="AM131" s="137"/>
      <c r="AN131" s="137"/>
      <c r="AO131" s="137"/>
      <c r="AP131" s="137"/>
    </row>
    <row r="132" spans="1:43" s="37" customFormat="1" x14ac:dyDescent="0.2">
      <c r="A132" s="1045"/>
      <c r="O132" s="118"/>
      <c r="Q132" s="118"/>
      <c r="X132" s="108"/>
      <c r="Y132" s="108"/>
      <c r="Z132" s="108"/>
      <c r="AA132" s="108"/>
      <c r="AB132" s="108"/>
      <c r="AC132" s="108"/>
      <c r="AD132" s="108"/>
      <c r="AE132" s="108"/>
      <c r="AF132" s="108"/>
      <c r="AG132" s="108"/>
      <c r="AH132" s="108"/>
      <c r="AI132" s="108"/>
      <c r="AJ132" s="108"/>
      <c r="AK132" s="108"/>
      <c r="AL132" s="108"/>
      <c r="AM132" s="137"/>
      <c r="AN132" s="137"/>
      <c r="AO132" s="137"/>
      <c r="AP132" s="137"/>
    </row>
    <row r="133" spans="1:43" s="37" customFormat="1" x14ac:dyDescent="0.2">
      <c r="A133" s="1045"/>
      <c r="O133" s="118"/>
      <c r="Q133" s="118"/>
      <c r="X133" s="108"/>
      <c r="Y133" s="108"/>
      <c r="Z133" s="108"/>
      <c r="AA133" s="108"/>
      <c r="AB133" s="108"/>
      <c r="AC133" s="108"/>
      <c r="AD133" s="108"/>
      <c r="AE133" s="108"/>
      <c r="AF133" s="108"/>
      <c r="AG133" s="108"/>
      <c r="AH133" s="108"/>
      <c r="AI133" s="108"/>
      <c r="AJ133" s="108"/>
      <c r="AK133" s="108"/>
      <c r="AL133" s="108"/>
      <c r="AM133" s="137"/>
      <c r="AN133" s="137"/>
      <c r="AO133" s="137"/>
      <c r="AP133" s="137"/>
    </row>
    <row r="134" spans="1:43" s="37" customFormat="1" x14ac:dyDescent="0.2">
      <c r="A134" s="1045"/>
      <c r="O134" s="118"/>
      <c r="Q134" s="118"/>
      <c r="X134" s="108"/>
      <c r="Y134" s="108"/>
      <c r="Z134" s="108"/>
      <c r="AA134" s="108"/>
      <c r="AB134" s="108"/>
      <c r="AC134" s="108"/>
      <c r="AD134" s="108"/>
      <c r="AE134" s="108"/>
      <c r="AF134" s="108"/>
      <c r="AG134" s="108"/>
      <c r="AH134" s="108"/>
      <c r="AI134" s="108"/>
      <c r="AJ134" s="108"/>
      <c r="AK134" s="108"/>
      <c r="AL134" s="108"/>
      <c r="AM134" s="137"/>
      <c r="AN134" s="137"/>
      <c r="AO134" s="137"/>
      <c r="AP134" s="137"/>
    </row>
    <row r="135" spans="1:43" s="37" customFormat="1" x14ac:dyDescent="0.2">
      <c r="A135" s="1045"/>
      <c r="O135" s="118"/>
      <c r="Q135" s="118"/>
      <c r="X135" s="108"/>
      <c r="Y135" s="108"/>
      <c r="Z135" s="108"/>
      <c r="AA135" s="108"/>
      <c r="AB135" s="108"/>
      <c r="AC135" s="108"/>
      <c r="AD135" s="108"/>
      <c r="AE135" s="108"/>
      <c r="AF135" s="108"/>
      <c r="AG135" s="108"/>
      <c r="AH135" s="108"/>
      <c r="AI135" s="108"/>
      <c r="AJ135" s="108"/>
      <c r="AK135" s="108"/>
      <c r="AL135" s="108"/>
      <c r="AM135" s="137"/>
      <c r="AN135" s="137"/>
      <c r="AO135" s="137"/>
      <c r="AP135" s="137"/>
    </row>
    <row r="136" spans="1:43" s="37" customFormat="1" x14ac:dyDescent="0.2">
      <c r="A136" s="1045"/>
      <c r="O136" s="118"/>
      <c r="Q136" s="118"/>
      <c r="X136" s="108"/>
      <c r="Y136" s="108"/>
      <c r="Z136" s="108"/>
      <c r="AA136" s="108"/>
      <c r="AB136" s="108"/>
      <c r="AC136" s="108"/>
      <c r="AD136" s="108"/>
      <c r="AE136" s="108"/>
      <c r="AF136" s="108"/>
      <c r="AG136" s="108"/>
      <c r="AH136" s="108"/>
      <c r="AI136" s="108"/>
      <c r="AJ136" s="108"/>
      <c r="AK136" s="108"/>
      <c r="AL136" s="108"/>
      <c r="AM136" s="137"/>
      <c r="AN136" s="137"/>
      <c r="AO136" s="137"/>
      <c r="AP136" s="137"/>
    </row>
    <row r="137" spans="1:43" s="37" customFormat="1" x14ac:dyDescent="0.2">
      <c r="A137" s="1045"/>
      <c r="O137" s="118"/>
      <c r="Q137" s="118"/>
      <c r="X137" s="108"/>
      <c r="Y137" s="108"/>
      <c r="Z137" s="108"/>
      <c r="AA137" s="108"/>
      <c r="AB137" s="108"/>
      <c r="AC137" s="108"/>
      <c r="AD137" s="108"/>
      <c r="AE137" s="108"/>
      <c r="AF137" s="108"/>
      <c r="AG137" s="108"/>
      <c r="AH137" s="108"/>
      <c r="AI137" s="108"/>
      <c r="AJ137" s="108"/>
      <c r="AK137" s="108"/>
      <c r="AL137" s="108"/>
      <c r="AM137" s="137"/>
      <c r="AN137" s="137"/>
      <c r="AO137" s="137"/>
      <c r="AP137" s="137"/>
    </row>
    <row r="138" spans="1:43" s="37" customFormat="1" x14ac:dyDescent="0.2">
      <c r="A138" s="1045"/>
      <c r="O138" s="118"/>
      <c r="Q138" s="118"/>
      <c r="X138" s="108"/>
      <c r="Y138" s="108"/>
      <c r="Z138" s="108"/>
      <c r="AA138" s="108"/>
      <c r="AB138" s="108"/>
      <c r="AC138" s="108"/>
      <c r="AD138" s="108"/>
      <c r="AE138" s="108"/>
      <c r="AF138" s="108"/>
      <c r="AG138" s="108"/>
      <c r="AH138" s="108"/>
      <c r="AI138" s="108"/>
      <c r="AJ138" s="108"/>
      <c r="AK138" s="108"/>
      <c r="AL138" s="108"/>
      <c r="AM138" s="137"/>
      <c r="AN138" s="137"/>
      <c r="AO138" s="137"/>
      <c r="AP138" s="137"/>
      <c r="AQ138" s="137"/>
    </row>
    <row r="139" spans="1:43" ht="18" x14ac:dyDescent="0.2">
      <c r="A139" s="1045"/>
      <c r="B139" s="308" t="s">
        <v>11</v>
      </c>
      <c r="C139" s="321"/>
      <c r="D139" s="308"/>
      <c r="E139" s="308"/>
      <c r="F139" s="308"/>
      <c r="G139" s="308"/>
      <c r="H139" s="308"/>
      <c r="I139" s="308"/>
      <c r="J139" s="308"/>
      <c r="K139" s="308"/>
      <c r="L139" s="308"/>
    </row>
    <row r="140" spans="1:43" x14ac:dyDescent="0.2">
      <c r="A140" s="1045"/>
    </row>
    <row r="141" spans="1:43" ht="12.75" x14ac:dyDescent="0.2">
      <c r="A141" s="1045"/>
      <c r="B141" s="255" t="str">
        <f>ListAVS!$B$303</f>
        <v>Odpowiedni siłownik będzie określony za pomocą współczynnika mocy</v>
      </c>
      <c r="C141" s="255"/>
      <c r="D141" s="255"/>
      <c r="E141" s="255"/>
      <c r="F141" s="255"/>
      <c r="G141" s="255"/>
      <c r="H141" s="255"/>
      <c r="I141" s="255"/>
      <c r="J141" s="255"/>
      <c r="K141" s="255"/>
      <c r="L141" s="255"/>
    </row>
    <row r="142" spans="1:43" ht="12.75" x14ac:dyDescent="0.2">
      <c r="A142" s="1045"/>
      <c r="B142" s="255" t="str">
        <f>ListAVS!$B$304</f>
        <v>Współczynnik mocy zależy od wagi dolnego i górnego frontu oraz od wysokości korpusu</v>
      </c>
      <c r="C142" s="255"/>
      <c r="D142" s="255"/>
      <c r="E142" s="255"/>
      <c r="F142" s="255"/>
      <c r="G142" s="255"/>
      <c r="H142" s="255"/>
      <c r="I142" s="255"/>
      <c r="J142" s="255"/>
      <c r="K142" s="255"/>
      <c r="L142" s="255"/>
    </row>
    <row r="143" spans="1:43" ht="12.75" x14ac:dyDescent="0.2">
      <c r="A143" s="1045"/>
      <c r="B143" s="255"/>
      <c r="C143" s="695"/>
      <c r="D143" s="695"/>
      <c r="E143" s="695"/>
      <c r="F143" s="695"/>
      <c r="G143" s="695"/>
      <c r="H143" s="695"/>
      <c r="I143" s="695"/>
      <c r="J143" s="695"/>
      <c r="K143" s="695"/>
      <c r="L143" s="695"/>
    </row>
    <row r="144" spans="1:43" ht="15" customHeight="1" x14ac:dyDescent="0.2">
      <c r="A144" s="1045"/>
      <c r="B144" s="696"/>
      <c r="C144" s="696"/>
      <c r="D144" s="696"/>
      <c r="E144" s="696"/>
      <c r="F144" s="696"/>
      <c r="G144" s="696"/>
      <c r="H144" s="696"/>
      <c r="I144" s="696"/>
      <c r="J144" s="696"/>
      <c r="K144" s="696"/>
      <c r="L144" s="696"/>
    </row>
    <row r="145" spans="1:12" ht="18" customHeight="1" x14ac:dyDescent="0.2">
      <c r="A145" s="1045"/>
      <c r="B145" s="697"/>
      <c r="C145" s="697"/>
      <c r="D145" s="698" t="str">
        <f>ListAVS!$B$86&amp;" = "</f>
        <v xml:space="preserve">Współczynnik mocy = </v>
      </c>
      <c r="E145" s="1068" t="str">
        <f>ListAVS!$B$320&amp;" [kg]"</f>
        <v>wysokość korpusu (KH) [mm] x waga obu frontów wraz z uchwytem [kg]</v>
      </c>
      <c r="F145" s="1068"/>
      <c r="G145" s="1068"/>
      <c r="H145" s="1068"/>
      <c r="I145" s="1068"/>
      <c r="J145" s="1068"/>
      <c r="K145" s="1068"/>
      <c r="L145" s="1068"/>
    </row>
    <row r="146" spans="1:12" ht="12.75" x14ac:dyDescent="0.2">
      <c r="A146" s="1045"/>
      <c r="B146" s="255"/>
      <c r="C146" s="255"/>
      <c r="D146" s="255"/>
      <c r="E146" s="255"/>
      <c r="F146" s="255"/>
      <c r="G146" s="255"/>
      <c r="H146" s="255"/>
      <c r="I146" s="255"/>
      <c r="J146" s="255"/>
      <c r="K146" s="255"/>
      <c r="L146" s="255"/>
    </row>
    <row r="147" spans="1:12" ht="12.75" x14ac:dyDescent="0.2">
      <c r="A147" s="1045"/>
      <c r="B147" s="255" t="str">
        <f>ListAVS!$B$308</f>
        <v>Jeżeli współczynnik mocy jest większy niż 19300, doda się trzeci siłownik.</v>
      </c>
      <c r="C147" s="255"/>
      <c r="D147" s="255"/>
      <c r="E147" s="255"/>
      <c r="F147" s="255"/>
      <c r="G147" s="255"/>
      <c r="H147" s="255"/>
      <c r="I147" s="255"/>
      <c r="J147" s="255"/>
      <c r="K147" s="255"/>
      <c r="L147" s="255"/>
    </row>
    <row r="148" spans="1:12" ht="12.75" x14ac:dyDescent="0.2">
      <c r="A148" s="1045"/>
      <c r="B148" s="255" t="str">
        <f>ListAVS!$B$310</f>
        <v>W przypadku wybrania SERVO-DRIVE dodawana jest także druga jednostka napędu</v>
      </c>
      <c r="C148" s="255"/>
      <c r="D148" s="255"/>
      <c r="E148" s="255"/>
      <c r="F148" s="255"/>
      <c r="G148" s="255"/>
      <c r="H148" s="255"/>
      <c r="I148" s="255"/>
      <c r="J148" s="255"/>
      <c r="K148" s="255"/>
      <c r="L148" s="255"/>
    </row>
    <row r="149" spans="1:12" ht="12.75" x14ac:dyDescent="0.2">
      <c r="A149" s="1045"/>
      <c r="B149" s="273" t="str">
        <f>ListAVS!$B$182</f>
        <v>Dodatkowy trzeci siłownik można zastosować jedynie z pełnym frontem dolnym!</v>
      </c>
      <c r="C149" s="255"/>
      <c r="D149" s="255"/>
      <c r="E149" s="255"/>
      <c r="F149" s="255"/>
      <c r="G149" s="255"/>
      <c r="H149" s="255"/>
      <c r="I149" s="255"/>
      <c r="J149" s="255"/>
      <c r="K149" s="255"/>
      <c r="L149" s="255"/>
    </row>
    <row r="150" spans="1:12" ht="12.75" x14ac:dyDescent="0.2">
      <c r="A150" s="1045"/>
      <c r="B150" s="255"/>
      <c r="C150" s="255"/>
      <c r="D150" s="255"/>
      <c r="E150" s="255"/>
      <c r="F150" s="255"/>
      <c r="G150" s="255"/>
      <c r="H150" s="255"/>
      <c r="I150" s="255"/>
      <c r="J150" s="255"/>
      <c r="K150" s="255"/>
      <c r="L150" s="255"/>
    </row>
    <row r="151" spans="1:12" ht="12.75" x14ac:dyDescent="0.2">
      <c r="A151" s="1045"/>
      <c r="B151" s="255" t="str">
        <f>ListAVS!$B$312</f>
        <v>Jeśli znasz wagę frontu, możesz ją wprowadzić, w przeciwnym razie skorzystaj z „Obliczenia wagi”.</v>
      </c>
      <c r="C151" s="255"/>
      <c r="D151" s="255"/>
      <c r="E151" s="255"/>
      <c r="F151" s="255"/>
      <c r="G151" s="255"/>
      <c r="H151" s="255"/>
      <c r="I151" s="255"/>
      <c r="J151" s="255"/>
      <c r="K151" s="255"/>
      <c r="L151" s="255"/>
    </row>
    <row r="152" spans="1:12" ht="12.75" x14ac:dyDescent="0.2">
      <c r="A152" s="1045"/>
      <c r="B152" s="255" t="str">
        <f>ListAVS!$B$313</f>
        <v>W tabeli wprowadzona wartość ma pierwszeństwo aby skorzystać z wagi obliczeniowej, należy usunąć wprowadzoną wartość.</v>
      </c>
      <c r="C152" s="255"/>
      <c r="D152" s="255"/>
      <c r="E152" s="255"/>
      <c r="F152" s="255"/>
      <c r="G152" s="255"/>
      <c r="H152" s="255"/>
      <c r="I152" s="255"/>
      <c r="J152" s="255"/>
      <c r="K152" s="255"/>
      <c r="L152" s="255"/>
    </row>
    <row r="153" spans="1:12" ht="12.75" x14ac:dyDescent="0.2">
      <c r="A153" s="1045"/>
      <c r="B153" s="255"/>
      <c r="C153" s="255"/>
      <c r="D153" s="255"/>
      <c r="E153" s="255"/>
      <c r="F153" s="255"/>
      <c r="G153" s="255"/>
      <c r="H153" s="255"/>
      <c r="I153" s="255"/>
      <c r="J153" s="255"/>
      <c r="K153" s="255"/>
      <c r="L153" s="255"/>
    </row>
    <row r="154" spans="1:12" ht="12.75" x14ac:dyDescent="0.2">
      <c r="A154" s="1045"/>
      <c r="B154" s="255" t="str">
        <f>ListAVS!$B$323&amp;". "&amp;ListAVS!$B$324&amp;"."</f>
        <v>Długość podnośnika teleskopowego zależy od wysokości korpusu KH. W przypadku frontów asymetrycznych wykorzystuje się wysokość teoretyczną TKH.</v>
      </c>
      <c r="C154" s="255"/>
      <c r="D154" s="255"/>
      <c r="E154" s="255"/>
      <c r="F154" s="255"/>
      <c r="G154" s="255"/>
      <c r="H154" s="255"/>
      <c r="I154" s="255"/>
      <c r="J154" s="255"/>
      <c r="K154" s="255"/>
      <c r="L154" s="255"/>
    </row>
    <row r="155" spans="1:12" ht="12.75" x14ac:dyDescent="0.2">
      <c r="A155" s="1045"/>
      <c r="B155" s="255"/>
      <c r="C155" s="255"/>
      <c r="D155" s="255"/>
      <c r="E155" s="255"/>
      <c r="F155" s="255"/>
      <c r="G155" s="255"/>
      <c r="H155" s="255"/>
      <c r="I155" s="255"/>
      <c r="J155" s="255"/>
      <c r="K155" s="255"/>
      <c r="L155" s="255"/>
    </row>
    <row r="156" spans="1:12" ht="15" customHeight="1" x14ac:dyDescent="0.2">
      <c r="A156" s="1045"/>
      <c r="B156" s="699" t="str">
        <f>" "&amp;ListAVS!$B$163&amp;":"</f>
        <v xml:space="preserve"> Fronty asymetryczne:</v>
      </c>
      <c r="C156" s="700"/>
      <c r="D156" s="700"/>
      <c r="E156" s="700"/>
      <c r="F156" s="700"/>
      <c r="G156" s="700"/>
      <c r="H156" s="700"/>
      <c r="I156" s="700"/>
      <c r="J156" s="700"/>
      <c r="K156" s="700"/>
      <c r="L156" s="700"/>
    </row>
    <row r="157" spans="1:12" ht="18" customHeight="1" x14ac:dyDescent="0.2">
      <c r="A157" s="1045"/>
      <c r="B157" s="701" t="str">
        <f>" "&amp;ListAVS!$B$321</f>
        <v xml:space="preserve"> Teoretyczna wysokość korpusu (TKH) = wysokość frontu górnego (FHo) x 2 + szczeliny</v>
      </c>
      <c r="C157" s="700"/>
      <c r="D157" s="700"/>
      <c r="E157" s="700"/>
      <c r="F157" s="700"/>
      <c r="G157" s="700"/>
      <c r="H157" s="700"/>
      <c r="I157" s="700"/>
      <c r="J157" s="700"/>
      <c r="K157" s="700"/>
      <c r="L157" s="700"/>
    </row>
    <row r="158" spans="1:12" ht="12.75" x14ac:dyDescent="0.2">
      <c r="A158" s="1045"/>
      <c r="B158" s="255"/>
      <c r="C158" s="255"/>
      <c r="D158" s="255"/>
      <c r="E158" s="255"/>
      <c r="F158" s="255"/>
      <c r="G158" s="255"/>
      <c r="H158" s="255"/>
      <c r="I158" s="255"/>
      <c r="J158" s="255"/>
      <c r="K158" s="255"/>
      <c r="L158" s="255"/>
    </row>
    <row r="159" spans="1:12" ht="12.75" x14ac:dyDescent="0.2">
      <c r="A159" s="1045"/>
      <c r="B159" s="255" t="str">
        <f>ListAVS!$B$316</f>
        <v>W przypadku frontów asymetrycznych, większy front musi być na górze!</v>
      </c>
      <c r="C159" s="255"/>
      <c r="D159" s="255"/>
      <c r="E159" s="255"/>
      <c r="F159" s="255"/>
      <c r="G159" s="255"/>
      <c r="H159" s="255"/>
      <c r="I159" s="255"/>
      <c r="J159" s="255"/>
      <c r="K159" s="255"/>
      <c r="L159" s="255"/>
    </row>
    <row r="160" spans="1:12" ht="12.75" x14ac:dyDescent="0.2">
      <c r="A160" s="1045"/>
      <c r="B160" s="255"/>
      <c r="C160" s="255"/>
      <c r="D160" s="255"/>
      <c r="E160" s="255"/>
      <c r="F160" s="255"/>
      <c r="G160" s="255"/>
      <c r="H160" s="255"/>
      <c r="I160" s="255"/>
      <c r="J160" s="255"/>
      <c r="K160" s="255"/>
      <c r="L160" s="255"/>
    </row>
    <row r="161" spans="1:12" ht="12.75" x14ac:dyDescent="0.2">
      <c r="A161" s="1045"/>
      <c r="B161" s="255" t="str">
        <f>ListAVS!$B$326</f>
        <v>Jeżeli podasz wartość TKH, będzie ona wykorzystana do określenia długości podnośnika teleskopowego</v>
      </c>
      <c r="C161" s="255"/>
      <c r="D161" s="255"/>
      <c r="E161" s="255"/>
      <c r="F161" s="255"/>
      <c r="G161" s="255"/>
      <c r="H161" s="255"/>
      <c r="I161" s="255"/>
      <c r="J161" s="255"/>
      <c r="K161" s="255"/>
      <c r="L161" s="255"/>
    </row>
    <row r="162" spans="1:12" ht="12.75" x14ac:dyDescent="0.2">
      <c r="A162" s="1045"/>
      <c r="B162" s="255" t="str">
        <f>ListAVS!$B$327</f>
        <v>Jeśli nie masz asymetrycznych frontów, zostaw pole puste</v>
      </c>
      <c r="C162" s="255"/>
      <c r="D162" s="255"/>
      <c r="E162" s="255"/>
      <c r="F162" s="255"/>
      <c r="G162" s="255"/>
      <c r="H162" s="255"/>
      <c r="I162" s="255"/>
      <c r="J162" s="255"/>
      <c r="K162" s="255"/>
      <c r="L162" s="255"/>
    </row>
    <row r="163" spans="1:12" ht="12.75" x14ac:dyDescent="0.2">
      <c r="A163" s="1045"/>
      <c r="B163" s="255" t="str">
        <f>ListAVS!$B$328&amp;" ' "&amp;ListAVS!$B$195&amp;"' "</f>
        <v xml:space="preserve">Do obliczenia TKH użyj ' Obliczanie frontów asymetrycznych' </v>
      </c>
      <c r="C163" s="255"/>
      <c r="D163" s="255"/>
      <c r="E163" s="255"/>
      <c r="F163" s="255"/>
      <c r="G163" s="255"/>
      <c r="H163" s="255"/>
      <c r="I163" s="255"/>
      <c r="J163" s="255"/>
      <c r="K163" s="255"/>
      <c r="L163" s="255"/>
    </row>
    <row r="164" spans="1:12" ht="12.75" x14ac:dyDescent="0.2">
      <c r="A164" s="1045"/>
      <c r="B164" s="255"/>
      <c r="C164" s="255"/>
      <c r="D164" s="255"/>
      <c r="E164" s="255"/>
      <c r="F164" s="255"/>
      <c r="G164" s="255"/>
      <c r="H164" s="255"/>
      <c r="I164" s="255"/>
      <c r="J164" s="255"/>
      <c r="K164" s="255"/>
      <c r="L164" s="255"/>
    </row>
    <row r="165" spans="1:12" ht="12.75" x14ac:dyDescent="0.2">
      <c r="A165" s="1045"/>
      <c r="B165" s="255"/>
      <c r="C165" s="255"/>
      <c r="D165" s="255"/>
      <c r="E165" s="255"/>
      <c r="F165" s="255"/>
      <c r="G165" s="255"/>
      <c r="H165" s="255"/>
      <c r="I165" s="255"/>
      <c r="J165" s="255"/>
      <c r="K165" s="255"/>
      <c r="L165" s="255"/>
    </row>
    <row r="166" spans="1:12" ht="12.75" x14ac:dyDescent="0.2">
      <c r="A166" s="1045"/>
      <c r="B166" s="255" t="str">
        <f>ListAVS!$B$306</f>
        <v>Aby zmienić kolor zaślepek przejdź do „Wprowadzenie do planowania”</v>
      </c>
      <c r="C166" s="255"/>
      <c r="D166" s="255"/>
      <c r="E166" s="255"/>
      <c r="F166" s="255"/>
      <c r="G166" s="255"/>
      <c r="H166" s="255"/>
      <c r="I166" s="255"/>
      <c r="J166" s="255"/>
      <c r="K166" s="255"/>
      <c r="L166" s="255"/>
    </row>
    <row r="167" spans="1:12" ht="12.75" x14ac:dyDescent="0.2">
      <c r="A167" s="1045"/>
      <c r="B167" s="255"/>
      <c r="C167" s="255"/>
      <c r="D167" s="255"/>
      <c r="E167" s="255"/>
      <c r="F167" s="255"/>
      <c r="G167" s="255"/>
      <c r="H167" s="255"/>
      <c r="I167" s="255"/>
      <c r="J167" s="255"/>
      <c r="K167" s="255"/>
      <c r="L167" s="255"/>
    </row>
    <row r="168" spans="1:12" ht="12.75" x14ac:dyDescent="0.2">
      <c r="A168" s="1045"/>
      <c r="B168" s="255" t="str">
        <f>ListAVS!$B$411</f>
        <v>Zwróć uwagę na wybór ramek aluminiowych</v>
      </c>
      <c r="C168" s="255"/>
      <c r="D168" s="255"/>
      <c r="E168" s="255"/>
      <c r="F168" s="255"/>
      <c r="G168" s="255"/>
      <c r="H168" s="255"/>
      <c r="I168" s="255"/>
      <c r="J168" s="255"/>
      <c r="K168" s="255"/>
      <c r="L168" s="255"/>
    </row>
    <row r="169" spans="1:12" ht="12.75" x14ac:dyDescent="0.2">
      <c r="A169" s="1045"/>
      <c r="B169" s="255" t="str">
        <f>ListAVS!$B$412</f>
        <v>Wybierz, rodzaj, który lepiej pasuje do kształtu zastosowanej ramki aluminiowej.</v>
      </c>
      <c r="C169" s="255"/>
      <c r="D169" s="255"/>
      <c r="E169" s="255"/>
      <c r="F169" s="255"/>
      <c r="G169" s="255"/>
      <c r="H169" s="255"/>
      <c r="I169" s="255"/>
      <c r="J169" s="255"/>
      <c r="K169" s="255"/>
      <c r="L169" s="255"/>
    </row>
    <row r="170" spans="1:12" ht="12.75" x14ac:dyDescent="0.2">
      <c r="A170" s="1045"/>
      <c r="B170" s="255" t="str">
        <f>ListAVS!$B$413</f>
        <v>Sposób mocowania szkła w ramkę znacząco wpływa na powierzchnię szkła, a co za tym idzie na jego wagę!</v>
      </c>
      <c r="C170" s="255"/>
      <c r="D170" s="255"/>
      <c r="E170" s="255"/>
      <c r="F170" s="255"/>
      <c r="G170" s="255"/>
      <c r="H170" s="255"/>
      <c r="I170" s="255"/>
      <c r="J170" s="255"/>
      <c r="K170" s="255"/>
      <c r="L170" s="266"/>
    </row>
    <row r="171" spans="1:12" ht="12.75" x14ac:dyDescent="0.2">
      <c r="A171" s="1045"/>
      <c r="B171" s="255"/>
      <c r="C171" s="255"/>
      <c r="D171" s="255"/>
      <c r="E171" s="255"/>
      <c r="F171" s="255"/>
      <c r="G171" s="255"/>
      <c r="H171" s="255"/>
      <c r="I171" s="255"/>
      <c r="J171" s="255"/>
      <c r="K171" s="255"/>
      <c r="L171" s="255"/>
    </row>
    <row r="172" spans="1:12" ht="12.75" x14ac:dyDescent="0.2">
      <c r="A172" s="1045"/>
      <c r="B172" s="255"/>
      <c r="C172" s="796" t="str">
        <f>"  "&amp;ListAVS!$B$422&amp;"  "</f>
        <v xml:space="preserve">  z wpuszczanym szkłem  </v>
      </c>
      <c r="D172" s="255"/>
      <c r="E172" s="255"/>
      <c r="F172" s="255"/>
      <c r="G172" s="255"/>
      <c r="H172" s="255"/>
      <c r="I172" s="255"/>
      <c r="J172" s="255"/>
      <c r="K172" s="255"/>
      <c r="L172" s="255"/>
    </row>
    <row r="173" spans="1:12" ht="12.75" x14ac:dyDescent="0.2">
      <c r="A173" s="1045"/>
      <c r="B173" s="255"/>
      <c r="C173" s="266"/>
      <c r="D173" s="255"/>
      <c r="E173" s="255"/>
      <c r="F173" s="255"/>
      <c r="G173" s="255"/>
      <c r="H173" s="255"/>
      <c r="I173" s="255"/>
      <c r="J173" s="255"/>
      <c r="K173" s="255"/>
      <c r="L173" s="255"/>
    </row>
    <row r="174" spans="1:12" ht="12.75" x14ac:dyDescent="0.2">
      <c r="A174" s="1045"/>
      <c r="B174" s="255"/>
      <c r="C174" s="796" t="str">
        <f>"  "&amp;ListAVS!$B$423&amp;"  "</f>
        <v xml:space="preserve">  ze szkłem nakładanym lub przyklejanym  </v>
      </c>
      <c r="D174" s="255"/>
      <c r="E174" s="255"/>
      <c r="F174" s="255"/>
      <c r="G174" s="255"/>
      <c r="H174" s="255"/>
      <c r="I174" s="255"/>
      <c r="J174" s="255"/>
      <c r="K174" s="255"/>
      <c r="L174" s="255"/>
    </row>
    <row r="175" spans="1:12" ht="12.75" x14ac:dyDescent="0.2">
      <c r="A175" s="1045"/>
      <c r="B175" s="255"/>
      <c r="C175" s="255"/>
      <c r="D175" s="255"/>
      <c r="E175" s="255"/>
      <c r="F175" s="255"/>
      <c r="G175" s="255"/>
      <c r="H175" s="255"/>
      <c r="I175" s="255"/>
      <c r="J175" s="255"/>
      <c r="K175" s="255"/>
      <c r="L175" s="255"/>
    </row>
    <row r="176" spans="1:12" ht="12.75" x14ac:dyDescent="0.2">
      <c r="A176" s="1045"/>
      <c r="B176" s="255"/>
      <c r="C176" s="255"/>
      <c r="D176" s="255"/>
      <c r="E176" s="255"/>
      <c r="F176" s="255"/>
      <c r="G176" s="255"/>
      <c r="H176" s="255"/>
      <c r="I176" s="255"/>
      <c r="J176" s="255"/>
      <c r="K176" s="255"/>
      <c r="L176" s="702" t="str">
        <f>ListAVS!$B$168</f>
        <v>Z powrotem</v>
      </c>
    </row>
    <row r="177" spans="1:12" ht="12.75" x14ac:dyDescent="0.2">
      <c r="A177" s="1045"/>
      <c r="B177" s="255"/>
      <c r="C177" s="255"/>
      <c r="D177" s="255"/>
      <c r="E177" s="255"/>
      <c r="F177" s="255"/>
      <c r="G177" s="255"/>
      <c r="H177" s="255"/>
      <c r="I177" s="255"/>
      <c r="J177" s="255"/>
      <c r="K177" s="255"/>
      <c r="L177" s="255"/>
    </row>
    <row r="178" spans="1:12" x14ac:dyDescent="0.2">
      <c r="A178" s="1045"/>
    </row>
    <row r="179" spans="1:12" x14ac:dyDescent="0.2">
      <c r="A179" s="1045"/>
    </row>
  </sheetData>
  <sheetProtection algorithmName="SHA-512" hashValue="VKn3sUwePvbUtrSb9mx3VltxEtNHBopPV78d3VEi8dPiaI1NlP1l3Xw8zPibLJTP7YtEqg4r+V8rNOZcG/nhHg==" saltValue="xPcKQHBy9SE97LxN770Qqg==" spinCount="100000" sheet="1" objects="1" scenarios="1"/>
  <mergeCells count="81">
    <mergeCell ref="B115:H115"/>
    <mergeCell ref="B114:H114"/>
    <mergeCell ref="D25:G25"/>
    <mergeCell ref="D26:G26"/>
    <mergeCell ref="P73:T73"/>
    <mergeCell ref="I104:J104"/>
    <mergeCell ref="N77:S77"/>
    <mergeCell ref="N78:S78"/>
    <mergeCell ref="B104:H104"/>
    <mergeCell ref="I115:J115"/>
    <mergeCell ref="G110:J110"/>
    <mergeCell ref="B111:F111"/>
    <mergeCell ref="B105:H105"/>
    <mergeCell ref="B109:J109"/>
    <mergeCell ref="B107:H107"/>
    <mergeCell ref="I107:J107"/>
    <mergeCell ref="I125:J125"/>
    <mergeCell ref="A139:A179"/>
    <mergeCell ref="E145:L145"/>
    <mergeCell ref="B116:H116"/>
    <mergeCell ref="I116:J116"/>
    <mergeCell ref="B117:H117"/>
    <mergeCell ref="I117:J117"/>
    <mergeCell ref="B118:H118"/>
    <mergeCell ref="I118:J118"/>
    <mergeCell ref="A99:A138"/>
    <mergeCell ref="B102:J102"/>
    <mergeCell ref="B103:H103"/>
    <mergeCell ref="I103:J103"/>
    <mergeCell ref="I105:J105"/>
    <mergeCell ref="B106:H106"/>
    <mergeCell ref="I106:J106"/>
    <mergeCell ref="AN12:AQ13"/>
    <mergeCell ref="AN14:AQ15"/>
    <mergeCell ref="N88:S88"/>
    <mergeCell ref="N89:S89"/>
    <mergeCell ref="N90:S90"/>
    <mergeCell ref="N79:S79"/>
    <mergeCell ref="N80:S80"/>
    <mergeCell ref="N81:S81"/>
    <mergeCell ref="R85:T85"/>
    <mergeCell ref="N87:S87"/>
    <mergeCell ref="N86:S86"/>
    <mergeCell ref="B112:F112"/>
    <mergeCell ref="I114:J114"/>
    <mergeCell ref="B110:F110"/>
    <mergeCell ref="N76:Q76"/>
    <mergeCell ref="R76:T76"/>
    <mergeCell ref="N103:N105"/>
    <mergeCell ref="O103:O105"/>
    <mergeCell ref="AN10:AO10"/>
    <mergeCell ref="T31:U31"/>
    <mergeCell ref="B16:G16"/>
    <mergeCell ref="B17:G17"/>
    <mergeCell ref="T20:U20"/>
    <mergeCell ref="B21:G21"/>
    <mergeCell ref="B22:D22"/>
    <mergeCell ref="B20:C20"/>
    <mergeCell ref="F20:H20"/>
    <mergeCell ref="B23:G23"/>
    <mergeCell ref="B27:G27"/>
    <mergeCell ref="B28:G28"/>
    <mergeCell ref="B31:J33"/>
    <mergeCell ref="B24:C26"/>
    <mergeCell ref="D24:G24"/>
    <mergeCell ref="B10:G10"/>
    <mergeCell ref="B11:D11"/>
    <mergeCell ref="B12:G12"/>
    <mergeCell ref="B13:C15"/>
    <mergeCell ref="D13:G13"/>
    <mergeCell ref="D14:G14"/>
    <mergeCell ref="D15:G15"/>
    <mergeCell ref="BD1:BL1"/>
    <mergeCell ref="B2:C2"/>
    <mergeCell ref="B7:C7"/>
    <mergeCell ref="G7:H7"/>
    <mergeCell ref="T9:U9"/>
    <mergeCell ref="B9:C9"/>
    <mergeCell ref="F9:H9"/>
    <mergeCell ref="AN8:AO8"/>
    <mergeCell ref="AN9:AO9"/>
  </mergeCells>
  <conditionalFormatting sqref="I23">
    <cfRule type="containsText" dxfId="326" priority="21" operator="containsText" text="Doplňte">
      <formula>NOT(ISERROR(SEARCH("Doplňte",I23)))</formula>
    </cfRule>
  </conditionalFormatting>
  <conditionalFormatting sqref="I23">
    <cfRule type="expression" dxfId="325" priority="18">
      <formula>$M$28=0</formula>
    </cfRule>
  </conditionalFormatting>
  <conditionalFormatting sqref="E9">
    <cfRule type="expression" dxfId="324" priority="12">
      <formula>$M$17&gt;0</formula>
    </cfRule>
    <cfRule type="expression" dxfId="323" priority="13">
      <formula>$M$17&gt;0</formula>
    </cfRule>
  </conditionalFormatting>
  <conditionalFormatting sqref="E20">
    <cfRule type="expression" dxfId="322" priority="11">
      <formula>$M$28&gt;0</formula>
    </cfRule>
  </conditionalFormatting>
  <conditionalFormatting sqref="I12">
    <cfRule type="expression" dxfId="321" priority="9">
      <formula>$M$17=0</formula>
    </cfRule>
    <cfRule type="containsText" dxfId="320" priority="10" operator="containsText" text="Doplňte">
      <formula>NOT(ISERROR(SEARCH("Doplňte",I12)))</formula>
    </cfRule>
  </conditionalFormatting>
  <conditionalFormatting sqref="I15">
    <cfRule type="expression" dxfId="319" priority="7">
      <formula>$M$17=0</formula>
    </cfRule>
    <cfRule type="containsText" dxfId="318" priority="8" operator="containsText" text="Doplňte">
      <formula>NOT(ISERROR(SEARCH("Doplňte",I15)))</formula>
    </cfRule>
  </conditionalFormatting>
  <conditionalFormatting sqref="I26">
    <cfRule type="expression" dxfId="317" priority="5">
      <formula>$M$28=0</formula>
    </cfRule>
    <cfRule type="containsText" dxfId="316" priority="6" operator="containsText" text="Doplňte">
      <formula>NOT(ISERROR(SEARCH("Doplňte",I26)))</formula>
    </cfRule>
  </conditionalFormatting>
  <conditionalFormatting sqref="B19">
    <cfRule type="expression" dxfId="315" priority="3">
      <formula>$M$17=0</formula>
    </cfRule>
    <cfRule type="containsText" dxfId="314" priority="4" operator="containsText" text="Doplňte">
      <formula>NOT(ISERROR(SEARCH("Doplňte",B19)))</formula>
    </cfRule>
  </conditionalFormatting>
  <conditionalFormatting sqref="B30">
    <cfRule type="containsText" dxfId="313" priority="2" operator="containsText" text="Doplňte">
      <formula>NOT(ISERROR(SEARCH("Doplňte",B30)))</formula>
    </cfRule>
  </conditionalFormatting>
  <conditionalFormatting sqref="B30">
    <cfRule type="expression" dxfId="312" priority="1">
      <formula>$M$28=0</formula>
    </cfRule>
  </conditionalFormatting>
  <hyperlinks>
    <hyperlink ref="I125:J125" location="HFwa_w!A1" tooltip=" " display="HFwa_w!A1" xr:uid="{526C6CEE-386E-405E-AA57-3F67365258A8}"/>
    <hyperlink ref="N86:S86" location="HFwa_w!H19" tooltip=" " display="HFwa_w!H19" xr:uid="{93071494-D4C1-493C-A3C5-FF671B8FACD7}"/>
    <hyperlink ref="N87:S87" location="HFwa_w!H20" tooltip=" " display="HFwa_w!H20" xr:uid="{9BE27BB5-3CD2-4ABB-994A-E212927D7415}"/>
    <hyperlink ref="N78:S78" location="HFwa_w!H11" tooltip=" " display="HFwa_w!H11" xr:uid="{5DD100CE-A10E-4C87-AD36-4341B88B1D1C}"/>
    <hyperlink ref="N77:S77" location="HFwa_w!H10" tooltip=" " display="HFwa_w!H10" xr:uid="{1A34431F-9F9B-40DF-81B5-C223FB9C3DBD}"/>
    <hyperlink ref="AL19" location="HFwa_w!A100" tooltip=" " display="HFwa_w!A100" xr:uid="{065D1C86-67C0-4B25-AE9E-D5E6115D5B21}"/>
    <hyperlink ref="AL5" location="HFwa_w!A140" tooltip=" " display="HFwa_w!A140" xr:uid="{B79F6C11-4920-4C5C-A285-9CE0C34437FC}"/>
    <hyperlink ref="L176" location="HFwa_w!A1" tooltip=" " display="HFwa_w!A1" xr:uid="{05ADFB8A-B9FB-4056-98C9-C293F2B763D7}"/>
    <hyperlink ref="AL9" location="SumAVS!A1" tooltip=" " display="SumAVS!A1" xr:uid="{68F6B29A-ED38-4C96-BDC4-75AE6DF32500}"/>
    <hyperlink ref="AL10" location="OrdAVS!A1" tooltip=" " display="OrdAVS!A1" xr:uid="{C2E6F529-AAAB-4714-A1E4-D7F2C9243A7B}"/>
    <hyperlink ref="AL7" location="AcsAVS!A1" tooltip=" " display="AcsAVS!A1" xr:uid="{10397CE6-2BA7-4AA0-892B-4A995C936DC9}"/>
    <hyperlink ref="AL4" location="MenuAVS!A1" tooltip=" " display="MenuAVS!A1" xr:uid="{5AD1CF1D-52D6-48C1-91AF-E43858091E74}"/>
    <hyperlink ref="B2" location="HF!A1" tooltip=" " display=" AVENTOS HF" xr:uid="{5B9D912E-DE4C-4692-8139-6E7B5B15D513}"/>
  </hyperlinks>
  <pageMargins left="0.62992125984251968" right="0.23622047244094488" top="0.74803149606299213" bottom="0.74803149606299213" header="0.31496062992125984" footer="0.31496062992125984"/>
  <pageSetup paperSize="9" orientation="portrait" horizontalDpi="4294967293"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58723" r:id="rId4" name="Drop Down 3">
              <controlPr defaultSize="0" autoLine="0" autoPict="0">
                <anchor moveWithCells="1">
                  <from>
                    <xdr:col>3</xdr:col>
                    <xdr:colOff>19050</xdr:colOff>
                    <xdr:row>6</xdr:row>
                    <xdr:rowOff>0</xdr:rowOff>
                  </from>
                  <to>
                    <xdr:col>5</xdr:col>
                    <xdr:colOff>571500</xdr:colOff>
                    <xdr:row>7</xdr:row>
                    <xdr:rowOff>0</xdr:rowOff>
                  </to>
                </anchor>
              </controlPr>
            </control>
          </mc:Choice>
        </mc:AlternateContent>
        <mc:AlternateContent xmlns:mc="http://schemas.openxmlformats.org/markup-compatibility/2006">
          <mc:Choice Requires="x14">
            <control shapeId="158726" r:id="rId5" name="Option Button 6">
              <controlPr defaultSize="0" autoFill="0" autoLine="0" autoPict="0">
                <anchor moveWithCells="1">
                  <from>
                    <xdr:col>1</xdr:col>
                    <xdr:colOff>466725</xdr:colOff>
                    <xdr:row>5</xdr:row>
                    <xdr:rowOff>47625</xdr:rowOff>
                  </from>
                  <to>
                    <xdr:col>2</xdr:col>
                    <xdr:colOff>152400</xdr:colOff>
                    <xdr:row>5</xdr:row>
                    <xdr:rowOff>257175</xdr:rowOff>
                  </to>
                </anchor>
              </controlPr>
            </control>
          </mc:Choice>
        </mc:AlternateContent>
        <mc:AlternateContent xmlns:mc="http://schemas.openxmlformats.org/markup-compatibility/2006">
          <mc:Choice Requires="x14">
            <control shapeId="158727" r:id="rId6" name="Option Button 7">
              <controlPr defaultSize="0" autoFill="0" autoLine="0" autoPict="0">
                <anchor moveWithCells="1">
                  <from>
                    <xdr:col>3</xdr:col>
                    <xdr:colOff>466725</xdr:colOff>
                    <xdr:row>5</xdr:row>
                    <xdr:rowOff>57150</xdr:rowOff>
                  </from>
                  <to>
                    <xdr:col>4</xdr:col>
                    <xdr:colOff>152400</xdr:colOff>
                    <xdr:row>5</xdr:row>
                    <xdr:rowOff>266700</xdr:rowOff>
                  </to>
                </anchor>
              </controlPr>
            </control>
          </mc:Choice>
        </mc:AlternateContent>
        <mc:AlternateContent xmlns:mc="http://schemas.openxmlformats.org/markup-compatibility/2006">
          <mc:Choice Requires="x14">
            <control shapeId="158729" r:id="rId7" name="Drop Down 9">
              <controlPr defaultSize="0" autoLine="0" autoPict="0">
                <anchor moveWithCells="1">
                  <from>
                    <xdr:col>1</xdr:col>
                    <xdr:colOff>9525</xdr:colOff>
                    <xdr:row>9</xdr:row>
                    <xdr:rowOff>9525</xdr:rowOff>
                  </from>
                  <to>
                    <xdr:col>3</xdr:col>
                    <xdr:colOff>9525</xdr:colOff>
                    <xdr:row>9</xdr:row>
                    <xdr:rowOff>200025</xdr:rowOff>
                  </to>
                </anchor>
              </controlPr>
            </control>
          </mc:Choice>
        </mc:AlternateContent>
        <mc:AlternateContent xmlns:mc="http://schemas.openxmlformats.org/markup-compatibility/2006">
          <mc:Choice Requires="x14">
            <control shapeId="158730" r:id="rId8" name="Drop Down 10">
              <controlPr defaultSize="0" autoLine="0" autoPict="0">
                <anchor moveWithCells="1">
                  <from>
                    <xdr:col>1</xdr:col>
                    <xdr:colOff>9525</xdr:colOff>
                    <xdr:row>20</xdr:row>
                    <xdr:rowOff>9525</xdr:rowOff>
                  </from>
                  <to>
                    <xdr:col>2</xdr:col>
                    <xdr:colOff>571500</xdr:colOff>
                    <xdr:row>20</xdr:row>
                    <xdr:rowOff>200025</xdr:rowOff>
                  </to>
                </anchor>
              </controlPr>
            </control>
          </mc:Choice>
        </mc:AlternateContent>
        <mc:AlternateContent xmlns:mc="http://schemas.openxmlformats.org/markup-compatibility/2006">
          <mc:Choice Requires="x14">
            <control shapeId="158731" r:id="rId9" name="Drop Down 11">
              <controlPr defaultSize="0" autoLine="0" autoPict="0">
                <anchor moveWithCells="1">
                  <from>
                    <xdr:col>5</xdr:col>
                    <xdr:colOff>590550</xdr:colOff>
                    <xdr:row>3</xdr:row>
                    <xdr:rowOff>0</xdr:rowOff>
                  </from>
                  <to>
                    <xdr:col>8</xdr:col>
                    <xdr:colOff>590550</xdr:colOff>
                    <xdr:row>4</xdr:row>
                    <xdr:rowOff>0</xdr:rowOff>
                  </to>
                </anchor>
              </controlPr>
            </control>
          </mc:Choice>
        </mc:AlternateContent>
        <mc:AlternateContent xmlns:mc="http://schemas.openxmlformats.org/markup-compatibility/2006">
          <mc:Choice Requires="x14">
            <control shapeId="158733" r:id="rId10" name="Drop Down 13">
              <controlPr defaultSize="0" autoLine="0" autoPict="0">
                <anchor moveWithCells="1">
                  <from>
                    <xdr:col>6</xdr:col>
                    <xdr:colOff>0</xdr:colOff>
                    <xdr:row>4</xdr:row>
                    <xdr:rowOff>0</xdr:rowOff>
                  </from>
                  <to>
                    <xdr:col>9</xdr:col>
                    <xdr:colOff>0</xdr:colOff>
                    <xdr:row>5</xdr:row>
                    <xdr:rowOff>9525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4A6B4-3853-4A0A-9BB7-5E9FF69D59B2}">
  <sheetPr codeName="Sheet25">
    <tabColor theme="9" tint="0.59999389629810485"/>
  </sheetPr>
  <dimension ref="A1:BL178"/>
  <sheetViews>
    <sheetView showGridLines="0" showRowColHeaders="0" workbookViewId="0">
      <selection activeCell="I103" sqref="I103:J103"/>
    </sheetView>
  </sheetViews>
  <sheetFormatPr defaultColWidth="8.28515625" defaultRowHeight="12" x14ac:dyDescent="0.2"/>
  <cols>
    <col min="1" max="1" width="1.28515625" style="37" customWidth="1"/>
    <col min="2" max="9" width="8.5703125" style="37" customWidth="1"/>
    <col min="10" max="10" width="6.7109375" style="37" customWidth="1"/>
    <col min="11" max="11" width="10.42578125" style="37" customWidth="1"/>
    <col min="12" max="12" width="17.28515625" style="37" customWidth="1"/>
    <col min="13" max="14" width="6.42578125" style="37" hidden="1" customWidth="1"/>
    <col min="15" max="15" width="6.42578125" style="118" hidden="1" customWidth="1"/>
    <col min="16" max="16" width="6.42578125" style="37" hidden="1" customWidth="1"/>
    <col min="17" max="17" width="6" style="118" hidden="1" customWidth="1"/>
    <col min="18" max="18" width="6.42578125" style="37" hidden="1" customWidth="1"/>
    <col min="19" max="19" width="7.7109375" style="37" hidden="1" customWidth="1"/>
    <col min="20" max="23" width="6.42578125" style="37" hidden="1" customWidth="1"/>
    <col min="24" max="24" width="10" style="108" hidden="1" customWidth="1"/>
    <col min="25" max="25" width="37.28515625" style="108" hidden="1" customWidth="1"/>
    <col min="26" max="26" width="13.5703125" style="108" hidden="1" customWidth="1"/>
    <col min="27" max="29" width="6.7109375" style="108" hidden="1" customWidth="1"/>
    <col min="30" max="30" width="9.42578125" style="108" hidden="1" customWidth="1"/>
    <col min="31" max="36" width="6.7109375" style="108" hidden="1" customWidth="1"/>
    <col min="37" max="37" width="5.28515625" style="108" customWidth="1"/>
    <col min="38" max="38" width="25" style="108" customWidth="1"/>
    <col min="39" max="39" width="8.28515625" style="137"/>
    <col min="40" max="41" width="13.28515625" style="137" customWidth="1"/>
    <col min="42" max="43" width="19.7109375" style="137" customWidth="1"/>
    <col min="44" max="55" width="8.28515625" style="137"/>
    <col min="56" max="57" width="16.28515625" style="137" customWidth="1"/>
    <col min="58" max="58" width="18.7109375" style="137" customWidth="1"/>
    <col min="59" max="59" width="23" style="137" customWidth="1"/>
    <col min="60" max="16384" width="8.28515625" style="137"/>
  </cols>
  <sheetData>
    <row r="1" spans="2:64" ht="4.5" customHeight="1" thickBot="1" x14ac:dyDescent="0.25">
      <c r="L1" s="137"/>
      <c r="BD1" s="1121"/>
      <c r="BE1" s="1121"/>
      <c r="BF1" s="1121"/>
      <c r="BG1" s="1121"/>
      <c r="BH1" s="1121"/>
      <c r="BI1" s="1121"/>
      <c r="BJ1" s="1121"/>
      <c r="BK1" s="1121"/>
      <c r="BL1" s="1121"/>
    </row>
    <row r="2" spans="2:64" s="108" customFormat="1" ht="19.5" customHeight="1" thickBot="1" x14ac:dyDescent="0.25">
      <c r="B2" s="1048" t="s">
        <v>671</v>
      </c>
      <c r="C2" s="1048"/>
      <c r="D2" s="884"/>
      <c r="E2" s="884"/>
      <c r="F2" s="884"/>
      <c r="G2" s="884"/>
      <c r="H2" s="884"/>
      <c r="I2" s="884"/>
      <c r="J2" s="884"/>
      <c r="K2" s="884"/>
      <c r="L2" s="884"/>
      <c r="O2" s="108" t="s">
        <v>64</v>
      </c>
      <c r="S2" s="117">
        <v>3</v>
      </c>
      <c r="AL2" s="226" t="str">
        <f>ListAVS!$B$153</f>
        <v>Przejdź do</v>
      </c>
    </row>
    <row r="3" spans="2:64" ht="3.75" customHeight="1" x14ac:dyDescent="0.2">
      <c r="B3" s="312"/>
      <c r="C3" s="306"/>
      <c r="D3" s="306"/>
      <c r="E3" s="306"/>
      <c r="F3" s="306"/>
      <c r="G3" s="306"/>
      <c r="H3" s="306"/>
      <c r="I3" s="306"/>
      <c r="J3" s="306"/>
      <c r="K3" s="306"/>
      <c r="L3" s="137"/>
      <c r="X3" s="137"/>
      <c r="Y3" s="137"/>
      <c r="Z3" s="137"/>
      <c r="AA3" s="137"/>
      <c r="AB3" s="137"/>
      <c r="AC3" s="137"/>
      <c r="AD3" s="137"/>
      <c r="AE3" s="137"/>
      <c r="AF3" s="137"/>
      <c r="AG3" s="137"/>
      <c r="AH3" s="137"/>
      <c r="AI3" s="137"/>
      <c r="AJ3" s="137"/>
    </row>
    <row r="4" spans="2:64" ht="16.149999999999999" customHeight="1" thickBot="1" x14ac:dyDescent="0.25">
      <c r="B4" s="313" t="str">
        <f>ListAVS!$B$21&amp;" ***"</f>
        <v>Wąskie ramki aluminiowe ***</v>
      </c>
      <c r="C4" s="306"/>
      <c r="E4" s="306"/>
      <c r="F4" s="269" t="str">
        <f>ListAVS!$B$180&amp;"  "</f>
        <v xml:space="preserve">Wykonanie frontów  </v>
      </c>
      <c r="G4" s="703"/>
      <c r="H4" s="703"/>
      <c r="I4" s="703"/>
      <c r="J4" s="258"/>
      <c r="K4" s="591" t="str">
        <f>U71</f>
        <v xml:space="preserve"> </v>
      </c>
      <c r="L4" s="137"/>
      <c r="O4" s="117">
        <v>1</v>
      </c>
      <c r="S4" s="37" t="str">
        <f>" "&amp;ListAVS!$B$41&amp;" A "</f>
        <v xml:space="preserve"> Cena za korpus A </v>
      </c>
      <c r="X4" s="137" t="s">
        <v>28</v>
      </c>
      <c r="Y4" s="137"/>
      <c r="Z4" s="137"/>
      <c r="AA4" s="137"/>
      <c r="AB4" s="137"/>
      <c r="AC4" s="137"/>
      <c r="AD4" s="137"/>
      <c r="AE4" s="137"/>
      <c r="AF4" s="137"/>
      <c r="AG4" s="137"/>
      <c r="AH4" s="137"/>
      <c r="AI4" s="137"/>
      <c r="AJ4" s="137"/>
      <c r="AL4" s="383" t="str">
        <f>" "&amp;ListAVS!$B$154</f>
        <v xml:space="preserve"> Wprowadzenie do planowania</v>
      </c>
    </row>
    <row r="5" spans="2:64" ht="16.149999999999999" customHeight="1" x14ac:dyDescent="0.2">
      <c r="B5" s="137"/>
      <c r="C5" s="306"/>
      <c r="D5" s="306"/>
      <c r="E5" s="1027" t="str">
        <f>IF($AF$77&lt;&gt;3,$Y$76," ")&amp;"      "</f>
        <v xml:space="preserve"> Możesz zmienić wartości we Wstępie do planowania      </v>
      </c>
      <c r="F5" s="1027"/>
      <c r="G5" s="1027"/>
      <c r="H5" s="1027"/>
      <c r="I5" s="1027"/>
      <c r="J5" s="1027"/>
      <c r="K5" s="306"/>
      <c r="L5" s="137"/>
      <c r="O5" s="118" t="s">
        <v>65</v>
      </c>
      <c r="S5" s="37" t="str">
        <f>" "&amp;ListAVS!$B$41&amp;" B "</f>
        <v xml:space="preserve"> Cena za korpus B </v>
      </c>
      <c r="X5" s="137"/>
      <c r="Y5" s="137"/>
      <c r="Z5" s="137"/>
      <c r="AA5" s="137"/>
      <c r="AB5" s="137"/>
      <c r="AC5" s="137"/>
      <c r="AD5" s="137"/>
      <c r="AE5" s="137"/>
      <c r="AF5" s="137"/>
      <c r="AG5" s="137"/>
      <c r="AH5" s="137"/>
      <c r="AI5" s="137"/>
      <c r="AJ5" s="137"/>
      <c r="AL5" s="634" t="str">
        <f>" "&amp;ListAVS!$B$155</f>
        <v xml:space="preserve"> Pomoc</v>
      </c>
    </row>
    <row r="6" spans="2:64" ht="22.5" customHeight="1" x14ac:dyDescent="0.2">
      <c r="B6" s="314"/>
      <c r="C6" s="306"/>
      <c r="D6" s="306"/>
      <c r="E6" s="306"/>
      <c r="F6" s="137"/>
      <c r="G6" s="704"/>
      <c r="H6" s="704"/>
      <c r="I6" s="704"/>
      <c r="J6" s="704"/>
      <c r="K6" s="704"/>
      <c r="L6" s="137"/>
      <c r="O6" s="323" t="s">
        <v>66</v>
      </c>
      <c r="S6" s="37" t="str">
        <f>" "&amp;ListAVS!$B$61</f>
        <v xml:space="preserve"> Cena całkowita bez VAT</v>
      </c>
      <c r="X6" s="137"/>
      <c r="Y6" s="137"/>
      <c r="Z6" s="137"/>
      <c r="AA6" s="137"/>
      <c r="AB6" s="137"/>
      <c r="AC6" s="137"/>
      <c r="AD6" s="137"/>
      <c r="AE6" s="137"/>
      <c r="AF6" s="137"/>
      <c r="AG6" s="137"/>
      <c r="AH6" s="137"/>
      <c r="AI6" s="137"/>
      <c r="AJ6" s="137"/>
      <c r="AL6" s="686"/>
      <c r="BD6" s="37"/>
      <c r="BE6" s="37"/>
      <c r="BF6" s="37"/>
      <c r="BG6" s="37"/>
    </row>
    <row r="7" spans="2:64" ht="16.149999999999999" customHeight="1" x14ac:dyDescent="0.2">
      <c r="B7" s="1059" t="str">
        <f>ListAVS!$B$51&amp;":   "</f>
        <v xml:space="preserve">Cena okucia:   </v>
      </c>
      <c r="C7" s="1060"/>
      <c r="D7" s="227"/>
      <c r="E7" s="404"/>
      <c r="F7" s="404"/>
      <c r="G7" s="1061">
        <f>IF(S2=1,$AF$47,IF($S$2=2,$AH$47,IF($S$2=3,$AD$47,0)))</f>
        <v>0</v>
      </c>
      <c r="H7" s="1062"/>
      <c r="I7" s="227"/>
      <c r="J7" s="227"/>
      <c r="K7" s="227"/>
      <c r="L7" s="227"/>
      <c r="Y7" s="938" t="str">
        <f>$B$2</f>
        <v xml:space="preserve"> AVENTOS HF top</v>
      </c>
      <c r="Z7" s="157"/>
      <c r="AA7" s="157"/>
      <c r="AB7" s="157"/>
      <c r="AC7" s="157"/>
      <c r="AD7" s="158"/>
      <c r="AE7" s="37"/>
      <c r="AF7" s="37"/>
      <c r="AG7" s="118"/>
      <c r="AH7" s="37"/>
      <c r="AI7" s="39"/>
      <c r="AJ7" s="39"/>
      <c r="AL7" s="675" t="str">
        <f>" "&amp;ListAVS!$B$160</f>
        <v xml:space="preserve"> Dodatki</v>
      </c>
      <c r="BD7" s="37"/>
      <c r="BE7" s="37"/>
      <c r="BF7" s="37"/>
      <c r="BG7" s="37"/>
    </row>
    <row r="8" spans="2:64" ht="25.15" customHeight="1" thickBot="1" x14ac:dyDescent="0.25">
      <c r="B8" s="227"/>
      <c r="C8" s="227"/>
      <c r="D8" s="227"/>
      <c r="E8" s="227"/>
      <c r="F8" s="227"/>
      <c r="G8" s="227"/>
      <c r="H8" s="579" t="str">
        <f>IF(AND(OR($S$9=2, $S$20=2), $AD$47&gt;0), $N$35, " ")</f>
        <v xml:space="preserve"> </v>
      </c>
      <c r="I8" s="227"/>
      <c r="J8" s="227"/>
      <c r="K8" s="227"/>
      <c r="L8" s="227"/>
      <c r="Y8" s="159" t="str">
        <f>ListAVS!B52</f>
        <v>Nazwa</v>
      </c>
      <c r="Z8" s="160" t="str">
        <f>ListAVS!$B$53</f>
        <v>Kod asortymentu</v>
      </c>
      <c r="AA8" s="161" t="str">
        <f>ListAVS!B54</f>
        <v>Kolor</v>
      </c>
      <c r="AB8" s="161" t="str">
        <f>ListAVS!B56</f>
        <v>Sztuka</v>
      </c>
      <c r="AC8" s="162" t="str">
        <f>ListAVS!B58</f>
        <v>Cena za sztukę</v>
      </c>
      <c r="AD8" s="161" t="str">
        <f>ListAVS!B59</f>
        <v>W sumie</v>
      </c>
      <c r="AE8" s="204" t="s">
        <v>29</v>
      </c>
      <c r="AF8" s="163" t="s">
        <v>30</v>
      </c>
      <c r="AG8" s="163" t="s">
        <v>31</v>
      </c>
      <c r="AH8" s="163" t="s">
        <v>30</v>
      </c>
      <c r="AI8" s="170"/>
      <c r="AJ8" s="170"/>
      <c r="AL8" s="671"/>
      <c r="AN8" s="1046" t="str">
        <f>"  "&amp;ListAVS!$B$86&amp;" LF "</f>
        <v xml:space="preserve">  Współczynnik mocy LF </v>
      </c>
      <c r="AO8" s="1046"/>
      <c r="AP8" s="953" t="s">
        <v>769</v>
      </c>
      <c r="AQ8" s="953" t="s">
        <v>770</v>
      </c>
      <c r="BD8" s="37"/>
      <c r="BE8" s="37"/>
      <c r="BF8" s="118"/>
      <c r="BG8" s="37"/>
    </row>
    <row r="9" spans="2:64" ht="16.149999999999999" customHeight="1" thickBot="1" x14ac:dyDescent="0.25">
      <c r="B9" s="1051" t="str">
        <f>"▼ "&amp;ListAVS!$B$318</f>
        <v>▼ Sposób otwierania</v>
      </c>
      <c r="C9" s="1052"/>
      <c r="D9" s="406" t="str">
        <f>IF($M$17&gt;0, ListAVS!$B$37&amp;": ", " ")</f>
        <v xml:space="preserve"> </v>
      </c>
      <c r="E9" s="688" t="str">
        <f>IF(SUM($AE$9:$AE$10)&gt;0,25,IF(SUM($AE$11:$AE$12)&gt;0,28," "))</f>
        <v xml:space="preserve"> </v>
      </c>
      <c r="F9" s="1056" t="str">
        <f>ListAVS!$B$64&amp;" A"</f>
        <v>Korpus A</v>
      </c>
      <c r="G9" s="1057"/>
      <c r="H9" s="1058"/>
      <c r="I9" s="227"/>
      <c r="J9" s="227"/>
      <c r="K9" s="227"/>
      <c r="L9" s="227"/>
      <c r="N9" s="39" t="s">
        <v>32</v>
      </c>
      <c r="O9" s="39"/>
      <c r="P9" s="39" t="s">
        <v>33</v>
      </c>
      <c r="Q9" s="39"/>
      <c r="S9" s="138">
        <v>1</v>
      </c>
      <c r="T9" s="1063" t="b">
        <v>0</v>
      </c>
      <c r="U9" s="1064"/>
      <c r="V9" s="139" t="s">
        <v>34</v>
      </c>
      <c r="W9" s="140"/>
      <c r="Y9" s="898" t="str">
        <f>CenAVS!A11</f>
        <v xml:space="preserve">Aventos HF Top słaby, wkręty      </v>
      </c>
      <c r="Z9" s="898" t="str">
        <f>CenAVS!B11</f>
        <v>22F2500</v>
      </c>
      <c r="AA9" s="883" t="str">
        <f>CenAVS!C11</f>
        <v>ZN</v>
      </c>
      <c r="AB9" s="665">
        <f t="shared" ref="AB9:AB15" si="0">SUM(AE9,AG9)</f>
        <v>0</v>
      </c>
      <c r="AC9" s="899">
        <f>CenAVS!F11</f>
        <v>180.23612</v>
      </c>
      <c r="AD9" s="900">
        <f>AB9*AC9</f>
        <v>0</v>
      </c>
      <c r="AE9" s="901">
        <f>IF($Y$48=1,ROUNDUP($M$17*$O$11,0),0)</f>
        <v>0</v>
      </c>
      <c r="AF9" s="902">
        <f t="shared" ref="AF9:AF38" si="1">$AC9*AE9</f>
        <v>0</v>
      </c>
      <c r="AG9" s="901">
        <f>IF($Y$48=1,ROUNDUP($M$28*$O$22,0),0)</f>
        <v>0</v>
      </c>
      <c r="AH9" s="902">
        <f t="shared" ref="AH9:AH38" si="2">$AC9*AG9</f>
        <v>0</v>
      </c>
      <c r="AI9" s="170"/>
      <c r="AJ9" s="170"/>
      <c r="AL9" s="383" t="str">
        <f>" "&amp;ListAVS!$B$157</f>
        <v xml:space="preserve"> Rodzaje korpusów</v>
      </c>
      <c r="AN9" s="1049" t="s">
        <v>786</v>
      </c>
      <c r="AO9" s="1050"/>
      <c r="AP9" s="689" t="s">
        <v>680</v>
      </c>
      <c r="AQ9" s="689" t="s">
        <v>681</v>
      </c>
      <c r="BD9" s="37"/>
      <c r="BE9" s="37"/>
      <c r="BF9" s="118"/>
      <c r="BG9" s="37"/>
    </row>
    <row r="10" spans="2:64" s="37" customFormat="1" ht="16.149999999999999" customHeight="1" thickBot="1" x14ac:dyDescent="0.25">
      <c r="B10" s="1011" t="str">
        <f>ListAVS!$B$74&amp;" KB [mm] "</f>
        <v xml:space="preserve">Szerokość korpusu KB [mm] </v>
      </c>
      <c r="C10" s="1012"/>
      <c r="D10" s="1012"/>
      <c r="E10" s="1012"/>
      <c r="F10" s="1012"/>
      <c r="G10" s="1013"/>
      <c r="H10" s="260"/>
      <c r="I10" s="256" t="str">
        <f>IF(H10=0," ",IF($H10&lt;220," min. 220mm"," "))&amp;IF(H17&gt;0,IF(H10=0,"● "&amp;ListAVS!$B$129," ")," ")</f>
        <v xml:space="preserve">  </v>
      </c>
      <c r="J10" s="227"/>
      <c r="K10" s="404"/>
      <c r="L10" s="227"/>
      <c r="N10" s="894"/>
      <c r="O10" s="895"/>
      <c r="P10" s="37" t="s">
        <v>35</v>
      </c>
      <c r="Q10" s="118">
        <f>IF(AND($P$16&gt;=$AB$54,$P$16&lt;=$AC$54),SUM($O$11:$O$12),0)</f>
        <v>0</v>
      </c>
      <c r="S10" s="137"/>
      <c r="T10" s="203" t="s">
        <v>36</v>
      </c>
      <c r="U10" s="39"/>
      <c r="V10" s="203" t="s">
        <v>37</v>
      </c>
      <c r="W10" s="39"/>
      <c r="X10" s="108"/>
      <c r="Y10" s="898" t="str">
        <f>CenAVS!A12</f>
        <v xml:space="preserve">Aventos HF Top słaby, eurowkręty      </v>
      </c>
      <c r="Z10" s="898" t="str">
        <f>CenAVS!B12</f>
        <v>22F2510</v>
      </c>
      <c r="AA10" s="883" t="str">
        <f>CenAVS!C12</f>
        <v>ZN</v>
      </c>
      <c r="AB10" s="665">
        <f t="shared" si="0"/>
        <v>0</v>
      </c>
      <c r="AC10" s="899">
        <f>CenAVS!F12</f>
        <v>181.63767999999999</v>
      </c>
      <c r="AD10" s="900">
        <f t="shared" ref="AD10:AD45" si="3">AB10*AC10</f>
        <v>0</v>
      </c>
      <c r="AE10" s="901">
        <f>IF($Y$48=2,ROUNDUP($M$17*$O$11,0),0)</f>
        <v>0</v>
      </c>
      <c r="AF10" s="902">
        <f t="shared" si="1"/>
        <v>0</v>
      </c>
      <c r="AG10" s="901">
        <f>IF($Y$48=2,ROUNDUP($M$28*$O$22,0),0)</f>
        <v>0</v>
      </c>
      <c r="AH10" s="902">
        <f t="shared" si="2"/>
        <v>0</v>
      </c>
      <c r="AI10" s="170"/>
      <c r="AJ10" s="170"/>
      <c r="AK10" s="108"/>
      <c r="AL10" s="383" t="str">
        <f>" "&amp;ListAVS!$B$158</f>
        <v xml:space="preserve"> Zamówienie</v>
      </c>
      <c r="AM10" s="137"/>
      <c r="AN10" s="1049" t="s">
        <v>734</v>
      </c>
      <c r="AO10" s="1050"/>
      <c r="AP10" s="689" t="s">
        <v>682</v>
      </c>
      <c r="AQ10" s="689" t="s">
        <v>683</v>
      </c>
      <c r="BF10" s="118"/>
    </row>
    <row r="11" spans="2:64" s="37" customFormat="1" ht="16.149999999999999" customHeight="1" x14ac:dyDescent="0.2">
      <c r="B11" s="1011" t="str">
        <f>ListAVS!$B$75&amp;" [mm]"</f>
        <v>Wysokość korpusu [mm]</v>
      </c>
      <c r="C11" s="1012"/>
      <c r="D11" s="1012"/>
      <c r="E11" s="297" t="s">
        <v>38</v>
      </c>
      <c r="F11" s="260"/>
      <c r="G11" s="295" t="s">
        <v>39</v>
      </c>
      <c r="H11" s="260"/>
      <c r="I11" s="256" t="str">
        <f>IF(H11=0," ",IF($H11&lt;480," min. 480mm",IF($H11&gt;1200," max. 1 200mm"," ")))&amp;IF(H17&gt;0,IF(H11=0,"● "&amp;ListAVS!$B$129," ")," ")</f>
        <v xml:space="preserve">  </v>
      </c>
      <c r="J11" s="227"/>
      <c r="K11" s="227"/>
      <c r="L11" s="227"/>
      <c r="N11" s="37" t="s">
        <v>40</v>
      </c>
      <c r="O11" s="118">
        <f>IF($H16&lt;$AB$50,0,IF($H16&lt;=$AC$50,1,0))</f>
        <v>0</v>
      </c>
      <c r="P11" s="37" t="s">
        <v>41</v>
      </c>
      <c r="Q11" s="118">
        <f>IF(AND($P$16&gt;=$AB$55,$P$16&lt;=$AC$55),SUM($O$11:$O$12),0)</f>
        <v>0</v>
      </c>
      <c r="T11" s="37" t="s">
        <v>42</v>
      </c>
      <c r="U11" s="895">
        <f>IF($N$48=1, IF(OR($H$10&gt;=1200, $T$17&gt;=12), 3, 2))+IF($N$48=1,IF(OR($H$10=1800, $T$17&gt;=20), 1, 0))</f>
        <v>0</v>
      </c>
      <c r="V11" s="37" t="s">
        <v>43</v>
      </c>
      <c r="W11" s="895">
        <f>IF($P$48=1, IF(OR($H$10&gt;=1200, $T$17&gt;=12), 3, 2))+IF($P$48=1,IF(OR($H$10=1800, $T$17&gt;=20), 1, 0))</f>
        <v>0</v>
      </c>
      <c r="X11" s="108"/>
      <c r="Y11" s="898" t="str">
        <f>CenAVS!A13</f>
        <v xml:space="preserve">Aventos HF Top mocny, wkręty      </v>
      </c>
      <c r="Z11" s="898" t="str">
        <f>CenAVS!B13</f>
        <v>22F2800</v>
      </c>
      <c r="AA11" s="883" t="str">
        <f>CenAVS!C13</f>
        <v>ZN</v>
      </c>
      <c r="AB11" s="665">
        <f t="shared" si="0"/>
        <v>0</v>
      </c>
      <c r="AC11" s="899">
        <f>CenAVS!F13</f>
        <v>196.99925999999999</v>
      </c>
      <c r="AD11" s="900">
        <f t="shared" si="3"/>
        <v>0</v>
      </c>
      <c r="AE11" s="901">
        <f>IF($Y$48=1,ROUNDUP($M$17*$O$12,0),0)</f>
        <v>0</v>
      </c>
      <c r="AF11" s="902">
        <f t="shared" si="1"/>
        <v>0</v>
      </c>
      <c r="AG11" s="901">
        <f>IF($Y$48=1,ROUNDUP($M$28*$O$23,0),0)</f>
        <v>0</v>
      </c>
      <c r="AH11" s="902">
        <f t="shared" si="2"/>
        <v>0</v>
      </c>
      <c r="AI11" s="170"/>
      <c r="AJ11" s="170"/>
      <c r="AK11" s="108"/>
      <c r="AM11" s="137"/>
    </row>
    <row r="12" spans="2:64" s="37" customFormat="1" ht="16.149999999999999" customHeight="1" x14ac:dyDescent="0.2">
      <c r="B12" s="1011" t="str">
        <f>ListAVS!$B$77&amp;" [kg] ** "</f>
        <v xml:space="preserve">Waga frontu wraz z uchwytem [kg] ** </v>
      </c>
      <c r="C12" s="1012"/>
      <c r="D12" s="1012"/>
      <c r="E12" s="1012"/>
      <c r="F12" s="1012"/>
      <c r="G12" s="1013"/>
      <c r="H12" s="258"/>
      <c r="I12" s="227" t="str">
        <f>IF($T14="ne", " ", IF(AND($H12=0,$H15=0, $H17&gt;0),$N$37," "))&amp;IF(AND($H17&gt;0, $H12&gt;0, $M17&gt;0),$N$41," ")</f>
        <v xml:space="preserve">  </v>
      </c>
      <c r="J12" s="227"/>
      <c r="K12" s="227"/>
      <c r="L12" s="227"/>
      <c r="N12" s="37" t="s">
        <v>44</v>
      </c>
      <c r="O12" s="118">
        <f>IF($H16&lt;$AB$51,0,IF($H16&lt;=$AC$51,1,0))</f>
        <v>0</v>
      </c>
      <c r="P12" s="37" t="s">
        <v>48</v>
      </c>
      <c r="Q12" s="118">
        <f>IF(AND($P$16&gt;=$AB$56,$P$16&lt;=$AC$56),SUM($O$11:$O$12),0)</f>
        <v>0</v>
      </c>
      <c r="T12" s="37" t="s">
        <v>733</v>
      </c>
      <c r="U12" s="118">
        <f>IF($N$48=2, IF(OR($H$10&gt;=1200, $T$17&gt;=12), 3, 2))+IF($N$48=2,IF(OR($H$10=1800, $T$17&gt;=20), 1, 0))</f>
        <v>2</v>
      </c>
      <c r="V12" s="37" t="s">
        <v>733</v>
      </c>
      <c r="W12" s="118">
        <f>IF($P$48=2, IF(OR($H$10&gt;=1200, $T$17&gt;=12), 3, 2))+IF($P$48=2,IF(OR($H$10=1800, $T$17&gt;=20), 1, 0))</f>
        <v>2</v>
      </c>
      <c r="X12" s="108"/>
      <c r="Y12" s="898" t="str">
        <f>CenAVS!A14</f>
        <v xml:space="preserve">Aventos HF Top mocny, eurowkręty      </v>
      </c>
      <c r="Z12" s="898" t="str">
        <f>CenAVS!B14</f>
        <v>22F2810</v>
      </c>
      <c r="AA12" s="883" t="str">
        <f>CenAVS!C14</f>
        <v>ZN</v>
      </c>
      <c r="AB12" s="665">
        <f t="shared" si="0"/>
        <v>0</v>
      </c>
      <c r="AC12" s="899">
        <f>CenAVS!F14</f>
        <v>198.53095999999996</v>
      </c>
      <c r="AD12" s="900">
        <f t="shared" si="3"/>
        <v>0</v>
      </c>
      <c r="AE12" s="901">
        <f>IF($Y$48=2,ROUNDUP($M$17*$O$12,0),0)</f>
        <v>0</v>
      </c>
      <c r="AF12" s="902">
        <f t="shared" si="1"/>
        <v>0</v>
      </c>
      <c r="AG12" s="901">
        <f>IF($Y$48=2,ROUNDUP($M$28*$O$23,0),0)</f>
        <v>0</v>
      </c>
      <c r="AH12" s="902">
        <f t="shared" si="2"/>
        <v>0</v>
      </c>
      <c r="AI12" s="170"/>
      <c r="AJ12" s="170"/>
      <c r="AK12" s="108"/>
      <c r="AL12" s="108"/>
      <c r="AM12" s="137"/>
      <c r="AN12" s="1043" t="str">
        <f>ListAVS!$B$86&amp;" LF = "&amp;ListAVS!$B$320&amp;" [kg]"</f>
        <v>Współczynnik mocy LF = wysokość korpusu (KH) [mm] x waga obu frontów wraz z uchwytem [kg]</v>
      </c>
      <c r="AO12" s="1043"/>
      <c r="AP12" s="1043"/>
      <c r="AQ12" s="1043"/>
      <c r="BD12" s="706"/>
      <c r="BE12" s="706"/>
      <c r="BF12" s="706"/>
      <c r="BG12" s="706"/>
    </row>
    <row r="13" spans="2:64" s="37" customFormat="1" ht="16.149999999999999" customHeight="1" x14ac:dyDescent="0.2">
      <c r="B13" s="1055" t="str">
        <f>ListAVS!$B$293</f>
        <v>Obliczenie wagi</v>
      </c>
      <c r="C13" s="1055"/>
      <c r="D13" s="1107" t="str">
        <f>ListAVS!$B$80&amp;" TS [mm] "</f>
        <v xml:space="preserve">Grubość frontu TS [mm] </v>
      </c>
      <c r="E13" s="1107"/>
      <c r="F13" s="1107"/>
      <c r="G13" s="1108"/>
      <c r="H13" s="259"/>
      <c r="I13" s="256"/>
      <c r="J13" s="227"/>
      <c r="K13" s="227"/>
      <c r="L13" s="227"/>
      <c r="O13" s="118"/>
      <c r="Q13" s="118"/>
      <c r="U13" s="118"/>
      <c r="W13" s="118"/>
      <c r="X13" s="108"/>
      <c r="Y13" s="898" t="str">
        <f>CenAVS!A15</f>
        <v xml:space="preserve">zestaw ramion teleskop. HF Top 480-610mm     </v>
      </c>
      <c r="Z13" s="898" t="str">
        <f>CenAVS!B15</f>
        <v>22F3200</v>
      </c>
      <c r="AA13" s="883" t="str">
        <f>CenAVS!C15</f>
        <v>NI</v>
      </c>
      <c r="AB13" s="665">
        <f t="shared" si="0"/>
        <v>0</v>
      </c>
      <c r="AC13" s="899">
        <f>CenAVS!F15</f>
        <v>85.664479999999998</v>
      </c>
      <c r="AD13" s="900">
        <f t="shared" si="3"/>
        <v>0</v>
      </c>
      <c r="AE13" s="901">
        <f>ROUNDUP($M$17*Q10,0)</f>
        <v>0</v>
      </c>
      <c r="AF13" s="902">
        <f t="shared" si="1"/>
        <v>0</v>
      </c>
      <c r="AG13" s="901">
        <f>ROUNDUP($M$28*Q21,0)</f>
        <v>0</v>
      </c>
      <c r="AH13" s="902">
        <f t="shared" si="2"/>
        <v>0</v>
      </c>
      <c r="AI13" s="170"/>
      <c r="AJ13" s="170"/>
      <c r="AK13" s="108"/>
      <c r="AL13" s="108"/>
      <c r="AM13" s="137"/>
      <c r="AN13" s="1043"/>
      <c r="AO13" s="1043"/>
      <c r="AP13" s="1043"/>
      <c r="AQ13" s="1043"/>
      <c r="BD13" s="706"/>
      <c r="BE13" s="706"/>
      <c r="BF13" s="706"/>
      <c r="BG13" s="706"/>
    </row>
    <row r="14" spans="2:64" s="37" customFormat="1" ht="16.149999999999999" customHeight="1" x14ac:dyDescent="0.2">
      <c r="B14" s="1055"/>
      <c r="C14" s="1055"/>
      <c r="D14" s="1053" t="str">
        <f>ListAVS!$B$83&amp;" [kg] "</f>
        <v xml:space="preserve">Waga uchwytu [kg] </v>
      </c>
      <c r="E14" s="1053"/>
      <c r="F14" s="1053"/>
      <c r="G14" s="1054"/>
      <c r="H14" s="258"/>
      <c r="I14" s="227" t="str">
        <f>IF(H17=0, " ", IF(AND(H12=0, S9=1, H14=0), " ● "&amp;ListAVS!$B$130," "))</f>
        <v xml:space="preserve"> </v>
      </c>
      <c r="J14" s="227"/>
      <c r="K14" s="227"/>
      <c r="L14" s="227"/>
      <c r="O14" s="118"/>
      <c r="Q14" s="118"/>
      <c r="S14" s="717" t="s">
        <v>79</v>
      </c>
      <c r="T14" s="928" t="str">
        <f>IF(AND(220&lt;=H10, H10&lt;=1800, 480&lt;=P16, P16&lt;=1200),"ano","ne")</f>
        <v>ne</v>
      </c>
      <c r="U14" s="118"/>
      <c r="W14" s="118"/>
      <c r="X14" s="108"/>
      <c r="Y14" s="898" t="str">
        <f>CenAVS!A16</f>
        <v xml:space="preserve">zestaw ramion teleskop. HF Top 600-910mm     </v>
      </c>
      <c r="Z14" s="898" t="str">
        <f>CenAVS!B16</f>
        <v>22F3500</v>
      </c>
      <c r="AA14" s="883" t="str">
        <f>CenAVS!C16</f>
        <v>NI</v>
      </c>
      <c r="AB14" s="665">
        <f t="shared" si="0"/>
        <v>0</v>
      </c>
      <c r="AC14" s="899">
        <f>CenAVS!F16</f>
        <v>105.22162</v>
      </c>
      <c r="AD14" s="900">
        <f t="shared" si="3"/>
        <v>0</v>
      </c>
      <c r="AE14" s="901">
        <f>ROUNDUP($M$17*Q11,0)</f>
        <v>0</v>
      </c>
      <c r="AF14" s="902">
        <f t="shared" si="1"/>
        <v>0</v>
      </c>
      <c r="AG14" s="901">
        <f>ROUNDUP($M$28*Q22,0)</f>
        <v>0</v>
      </c>
      <c r="AH14" s="902">
        <f t="shared" si="2"/>
        <v>0</v>
      </c>
      <c r="AI14" s="170"/>
      <c r="AJ14" s="170"/>
      <c r="AK14" s="108"/>
      <c r="AL14" s="108"/>
      <c r="AM14" s="137"/>
      <c r="AN14" s="1044"/>
      <c r="AO14" s="1044"/>
      <c r="AP14" s="1044"/>
      <c r="AQ14" s="1044"/>
      <c r="BD14" s="706"/>
      <c r="BE14" s="706"/>
      <c r="BF14" s="706"/>
      <c r="BG14" s="706"/>
    </row>
    <row r="15" spans="2:64" s="37" customFormat="1" ht="16.149999999999999" customHeight="1" x14ac:dyDescent="0.2">
      <c r="B15" s="1055"/>
      <c r="C15" s="1055"/>
      <c r="D15" s="1053" t="str">
        <f>ListAVS!$B$79&amp;" [kg] "</f>
        <v xml:space="preserve">Obliczona waga frontu [kg] </v>
      </c>
      <c r="E15" s="1053"/>
      <c r="F15" s="1053"/>
      <c r="G15" s="1054"/>
      <c r="H15" s="259">
        <f>$T$81</f>
        <v>0</v>
      </c>
      <c r="I15" s="227" t="str">
        <f>IF($H17&gt;0,IF($H15&gt;0,IF($H12=0,$N$41," ")," ")," ")&amp;IF(AND(H17&gt;0, H12=0, Z78=3, $J$4=0), $N$39, " ")</f>
        <v xml:space="preserve">  </v>
      </c>
      <c r="J15" s="227"/>
      <c r="K15" s="227"/>
      <c r="L15" s="227"/>
      <c r="O15" s="118"/>
      <c r="S15" s="717" t="s">
        <v>732</v>
      </c>
      <c r="T15" s="928" t="str">
        <f>IF(AND(H16&gt;=$AB$50, H16&lt;=$AC$51), "ano", "ne")</f>
        <v>ne</v>
      </c>
      <c r="X15" s="108"/>
      <c r="Y15" s="898" t="str">
        <f>CenAVS!A17</f>
        <v xml:space="preserve">zestaw ramion teleskop. HF Top 840-1200mm     </v>
      </c>
      <c r="Z15" s="898" t="str">
        <f>CenAVS!B17</f>
        <v>22F3900</v>
      </c>
      <c r="AA15" s="883" t="str">
        <f>CenAVS!C17</f>
        <v>NI</v>
      </c>
      <c r="AB15" s="665">
        <f t="shared" si="0"/>
        <v>0</v>
      </c>
      <c r="AC15" s="899">
        <f>CenAVS!F17</f>
        <v>124.77875</v>
      </c>
      <c r="AD15" s="900">
        <f t="shared" si="3"/>
        <v>0</v>
      </c>
      <c r="AE15" s="901">
        <f>ROUNDUP($M$17*Q12,0)</f>
        <v>0</v>
      </c>
      <c r="AF15" s="902">
        <f t="shared" si="1"/>
        <v>0</v>
      </c>
      <c r="AG15" s="901">
        <f>ROUNDUP($M$28*Q23,0)</f>
        <v>0</v>
      </c>
      <c r="AH15" s="902">
        <f t="shared" si="2"/>
        <v>0</v>
      </c>
      <c r="AI15" s="170"/>
      <c r="AJ15" s="170"/>
      <c r="AK15" s="108"/>
      <c r="AL15" s="108"/>
      <c r="AM15" s="137"/>
      <c r="AN15" s="1044"/>
      <c r="AO15" s="1044"/>
      <c r="AP15" s="1044"/>
      <c r="AQ15" s="1044"/>
      <c r="BD15" s="706"/>
      <c r="BE15" s="706"/>
      <c r="BF15" s="706"/>
      <c r="BG15" s="706"/>
    </row>
    <row r="16" spans="2:64" s="37" customFormat="1" ht="16.149999999999999" customHeight="1" thickBot="1" x14ac:dyDescent="0.25">
      <c r="B16" s="1011" t="str">
        <f>ListAVS!$B$86&amp;" LF "</f>
        <v xml:space="preserve">Współczynnik mocy LF </v>
      </c>
      <c r="C16" s="1012"/>
      <c r="D16" s="1012"/>
      <c r="E16" s="1012"/>
      <c r="F16" s="1012"/>
      <c r="G16" s="1013"/>
      <c r="H16" s="400">
        <f>IF(H11&lt;=1200,IF(H11&gt;479,IF(H12&gt;0,H11*H12,H11*H15),0),0)</f>
        <v>0</v>
      </c>
      <c r="I16" s="256" t="str">
        <f>IF(AND(H16&gt;0, H16&lt;$AB$50), $T$44, IF($H16&gt;$AC$51, $N$44, "  "))</f>
        <v xml:space="preserve">  </v>
      </c>
      <c r="J16" s="227"/>
      <c r="K16" s="227"/>
      <c r="L16" s="227"/>
      <c r="O16" s="153" t="s">
        <v>49</v>
      </c>
      <c r="P16" s="165">
        <f>IF(F11&gt;0,IF(F11&gt;=H11,F11,0),H11)</f>
        <v>0</v>
      </c>
      <c r="X16" s="108"/>
      <c r="Y16" s="898" t="str">
        <f>CenAVS!A47</f>
        <v xml:space="preserve">Zaślepki HF/HL/HS - Top bez SD jasnoszare HGR   </v>
      </c>
      <c r="Z16" s="898" t="str">
        <f>CenAVS!B47</f>
        <v>22.8000</v>
      </c>
      <c r="AA16" s="883" t="str">
        <f>CenAVS!C47</f>
        <v>HGR</v>
      </c>
      <c r="AB16" s="665">
        <f>SUM(AE16,AG16)</f>
        <v>0</v>
      </c>
      <c r="AC16" s="899">
        <f>CenAVS!F47</f>
        <v>27.586120000000001</v>
      </c>
      <c r="AD16" s="900">
        <f t="shared" si="3"/>
        <v>0</v>
      </c>
      <c r="AE16" s="903">
        <f>IF(AND($S$9=1, $T$48=1), SUM($AE$9:$AE$12), 0)</f>
        <v>0</v>
      </c>
      <c r="AF16" s="902">
        <f t="shared" si="1"/>
        <v>0</v>
      </c>
      <c r="AG16" s="903">
        <f>IF(AND($S$20=1, $T$48=1), SUM($AG$9:$AG$12), 0)</f>
        <v>0</v>
      </c>
      <c r="AH16" s="902">
        <f t="shared" si="2"/>
        <v>0</v>
      </c>
      <c r="AI16" s="170"/>
      <c r="AJ16" s="170"/>
      <c r="AK16" s="108"/>
      <c r="AL16" s="255"/>
      <c r="AM16" s="137"/>
      <c r="AN16" s="137"/>
      <c r="AO16" s="137"/>
    </row>
    <row r="17" spans="1:56" s="37" customFormat="1" ht="16.149999999999999" customHeight="1" thickBot="1" x14ac:dyDescent="0.25">
      <c r="B17" s="1011" t="str">
        <f>ListAVS!$B$71&amp;" "</f>
        <v xml:space="preserve">Ilość szafek </v>
      </c>
      <c r="C17" s="1012"/>
      <c r="D17" s="1012"/>
      <c r="E17" s="1012"/>
      <c r="F17" s="1012"/>
      <c r="G17" s="1012"/>
      <c r="H17" s="410"/>
      <c r="I17" s="256"/>
      <c r="J17" s="227"/>
      <c r="K17" s="227"/>
      <c r="L17" s="227"/>
      <c r="M17" s="315">
        <f>IF($H10*$P16=0,0,IF(SUM($H12,$H15)=0,0,IF($P16&gt;$AC$57,0,IF(P16&lt;$AB$54,0,IF(OR(T14="ne", T15="ne"),0,$H17)))))</f>
        <v>0</v>
      </c>
      <c r="N17" s="37" t="s">
        <v>50</v>
      </c>
      <c r="S17" s="690" t="s">
        <v>51</v>
      </c>
      <c r="T17" s="691">
        <f>IF(H12&gt;0,H12,H15)</f>
        <v>0</v>
      </c>
      <c r="U17" s="37">
        <f>IF(SUM(H12,H15)=0,0,IF(H12&gt;0,1,2))</f>
        <v>0</v>
      </c>
      <c r="V17" s="571" t="s">
        <v>52</v>
      </c>
      <c r="X17" s="108"/>
      <c r="Y17" s="898" t="str">
        <f>CenAVS!A48</f>
        <v xml:space="preserve">zaślepki HF/HL/HS - Top bez SD ciemnoszare TGR   </v>
      </c>
      <c r="Z17" s="898" t="str">
        <f>CenAVS!B48</f>
        <v>22.8000</v>
      </c>
      <c r="AA17" s="883" t="str">
        <f>CenAVS!C48</f>
        <v>TGR</v>
      </c>
      <c r="AB17" s="665">
        <f t="shared" ref="AB17:AB45" si="4">SUM(AE17,AG17)</f>
        <v>0</v>
      </c>
      <c r="AC17" s="899">
        <f>CenAVS!F48</f>
        <v>30.106369999999998</v>
      </c>
      <c r="AD17" s="900">
        <f t="shared" si="3"/>
        <v>0</v>
      </c>
      <c r="AE17" s="903">
        <f>IF(AND($S$9=1, $T$48=2), SUM($AE$9:$AE$12), 0)</f>
        <v>0</v>
      </c>
      <c r="AF17" s="902">
        <f t="shared" si="1"/>
        <v>0</v>
      </c>
      <c r="AG17" s="903">
        <f>IF(AND($S$20=1, $T$48=2), SUM($AG$9:$AG$12), 0)</f>
        <v>0</v>
      </c>
      <c r="AH17" s="902">
        <f t="shared" si="2"/>
        <v>0</v>
      </c>
      <c r="AI17" s="170"/>
      <c r="AJ17" s="170"/>
      <c r="AK17" s="108"/>
      <c r="AM17" s="137"/>
      <c r="AN17" s="545" t="s">
        <v>771</v>
      </c>
      <c r="AO17" s="137"/>
      <c r="BD17" s="707"/>
    </row>
    <row r="18" spans="1:56" s="37" customFormat="1" ht="16.149999999999999" customHeight="1" x14ac:dyDescent="0.2">
      <c r="B18" s="227" t="str">
        <f>IF(H17&gt;0,IF(U17=0," ",IF(U17=1,$N$53,$N$54))," ")&amp;IF(H17&gt;0,IF(U17=0," ",IF(U17=1,$N$55,$N$56))," ")</f>
        <v xml:space="preserve">  </v>
      </c>
      <c r="C18" s="227"/>
      <c r="D18" s="227"/>
      <c r="E18" s="227"/>
      <c r="F18" s="262"/>
      <c r="G18" s="262"/>
      <c r="H18" s="227"/>
      <c r="I18" s="227"/>
      <c r="J18" s="227"/>
      <c r="K18" s="227"/>
      <c r="L18" s="227"/>
      <c r="X18" s="108"/>
      <c r="Y18" s="898" t="str">
        <f>CenAVS!A49</f>
        <v xml:space="preserve">Zaślepki HF/HL/HS - Top bez SD białe SW   </v>
      </c>
      <c r="Z18" s="898" t="str">
        <f>CenAVS!B49</f>
        <v>22.8000</v>
      </c>
      <c r="AA18" s="883" t="str">
        <f>CenAVS!C49</f>
        <v>SW</v>
      </c>
      <c r="AB18" s="665">
        <f t="shared" si="4"/>
        <v>0</v>
      </c>
      <c r="AC18" s="899">
        <f>CenAVS!F49</f>
        <v>30.106369999999998</v>
      </c>
      <c r="AD18" s="900">
        <f t="shared" si="3"/>
        <v>0</v>
      </c>
      <c r="AE18" s="903">
        <f>IF(AND($S$9=1, $T$48=3), SUM($AE$9:$AE$12), 0)</f>
        <v>0</v>
      </c>
      <c r="AF18" s="902">
        <f t="shared" si="1"/>
        <v>0</v>
      </c>
      <c r="AG18" s="903">
        <f>IF(AND($S$20=1, $T$48=3), SUM($AG$9:$AG$12), 0)</f>
        <v>0</v>
      </c>
      <c r="AH18" s="902">
        <f t="shared" si="2"/>
        <v>0</v>
      </c>
      <c r="AI18" s="170"/>
      <c r="AJ18" s="170"/>
      <c r="AK18" s="108"/>
      <c r="AL18" s="255"/>
      <c r="AM18" s="137"/>
      <c r="AN18" s="545" t="s">
        <v>772</v>
      </c>
      <c r="AO18" s="137"/>
    </row>
    <row r="19" spans="1:56" s="37" customFormat="1" ht="25.15" customHeight="1" thickBot="1" x14ac:dyDescent="0.25">
      <c r="B19" s="586" t="str">
        <f>IF(F11=0," ",IF(F11&gt;1200,"TKH = max. 1200!",IF(F11&lt;480,"TKH = min. 480!",IF(F11&lt;H11,$N$59,IF(H17&gt;0,IF(F11=0," ",IF(AND(F11&gt;0,M17=1), $N$58," "))," ")))))</f>
        <v xml:space="preserve"> </v>
      </c>
      <c r="C19" s="227"/>
      <c r="D19" s="227"/>
      <c r="E19" s="227"/>
      <c r="F19" s="262"/>
      <c r="G19" s="262"/>
      <c r="H19" s="227"/>
      <c r="I19" s="227"/>
      <c r="J19" s="227"/>
      <c r="K19" s="227"/>
      <c r="L19" s="227"/>
      <c r="X19" s="108"/>
      <c r="Y19" s="898" t="str">
        <f>CenAVS!A50</f>
        <v xml:space="preserve">zaślepki HF/HL/HS - Top do SD jasnoszare HGR   </v>
      </c>
      <c r="Z19" s="898" t="str">
        <f>CenAVS!B50</f>
        <v>23.8000</v>
      </c>
      <c r="AA19" s="883" t="str">
        <f>CenAVS!C50</f>
        <v>HGR</v>
      </c>
      <c r="AB19" s="665">
        <f t="shared" si="4"/>
        <v>0</v>
      </c>
      <c r="AC19" s="899">
        <f>CenAVS!F50</f>
        <v>284.41748999999999</v>
      </c>
      <c r="AD19" s="900">
        <f t="shared" si="3"/>
        <v>0</v>
      </c>
      <c r="AE19" s="903">
        <f>IF(AND($S$9=2, $T$48=1), $AE$45, 0)</f>
        <v>0</v>
      </c>
      <c r="AF19" s="902">
        <f t="shared" si="1"/>
        <v>0</v>
      </c>
      <c r="AG19" s="903">
        <f>IF(AND($S$20=2, $T$48=1), $AG$45, 0)</f>
        <v>0</v>
      </c>
      <c r="AH19" s="902">
        <f t="shared" si="2"/>
        <v>0</v>
      </c>
      <c r="AI19" s="170"/>
      <c r="AJ19" s="170"/>
      <c r="AK19" s="108"/>
      <c r="AL19" s="708" t="str">
        <f>" "&amp;ListAVS!$B$195</f>
        <v xml:space="preserve"> Obliczanie frontów asymetrycznych</v>
      </c>
      <c r="AM19" s="137"/>
      <c r="AN19" s="137"/>
      <c r="AO19" s="137"/>
    </row>
    <row r="20" spans="1:56" s="37" customFormat="1" ht="16.149999999999999" customHeight="1" thickBot="1" x14ac:dyDescent="0.25">
      <c r="B20" s="1051" t="str">
        <f>"▼ "&amp;ListAVS!$B$318</f>
        <v>▼ Sposób otwierania</v>
      </c>
      <c r="C20" s="1052"/>
      <c r="D20" s="406" t="str">
        <f>IF($M$28&gt;0, ListAVS!$B$37&amp;": ", " ")</f>
        <v xml:space="preserve"> </v>
      </c>
      <c r="E20" s="688" t="str">
        <f>IF(SUM($AG$9:$AG$10)&gt;0,25,IF(SUM($AG$11:$AG$12)&gt;0,28," "))</f>
        <v xml:space="preserve"> </v>
      </c>
      <c r="F20" s="1056" t="str">
        <f>ListAVS!$B$64&amp;" B"</f>
        <v>Korpus B</v>
      </c>
      <c r="G20" s="1057"/>
      <c r="H20" s="1058"/>
      <c r="I20" s="227"/>
      <c r="J20" s="227"/>
      <c r="K20" s="227"/>
      <c r="L20" s="227"/>
      <c r="N20" s="39" t="s">
        <v>53</v>
      </c>
      <c r="O20" s="39"/>
      <c r="P20" s="39" t="s">
        <v>33</v>
      </c>
      <c r="Q20" s="39"/>
      <c r="S20" s="138">
        <v>1</v>
      </c>
      <c r="T20" s="1063" t="b">
        <v>0</v>
      </c>
      <c r="U20" s="1064"/>
      <c r="V20" s="139" t="s">
        <v>34</v>
      </c>
      <c r="W20" s="140"/>
      <c r="X20" s="108"/>
      <c r="Y20" s="898" t="str">
        <f>CenAVS!A51</f>
        <v xml:space="preserve">Zaślepki HF/HL/HS - Top do SD ciemnoszare TGR   </v>
      </c>
      <c r="Z20" s="898" t="str">
        <f>CenAVS!B51</f>
        <v>23.8000</v>
      </c>
      <c r="AA20" s="883" t="str">
        <f>CenAVS!C51</f>
        <v>TGR</v>
      </c>
      <c r="AB20" s="665">
        <f t="shared" si="4"/>
        <v>0</v>
      </c>
      <c r="AC20" s="899">
        <f>CenAVS!F51</f>
        <v>295.60313000000002</v>
      </c>
      <c r="AD20" s="900">
        <f t="shared" si="3"/>
        <v>0</v>
      </c>
      <c r="AE20" s="903">
        <f>IF(AND($S$9=2, $T$48=2), $AE$45, 0)</f>
        <v>0</v>
      </c>
      <c r="AF20" s="902">
        <f t="shared" si="1"/>
        <v>0</v>
      </c>
      <c r="AG20" s="903">
        <f>IF(AND($S$20=2, $T$48=2), $AG$45, 0)</f>
        <v>0</v>
      </c>
      <c r="AH20" s="902">
        <f t="shared" si="2"/>
        <v>0</v>
      </c>
      <c r="AI20" s="170"/>
      <c r="AJ20" s="170"/>
      <c r="AK20" s="108"/>
      <c r="AM20" s="137"/>
      <c r="AN20" s="137"/>
      <c r="AO20" s="137"/>
      <c r="AP20" s="137"/>
    </row>
    <row r="21" spans="1:56" s="37" customFormat="1" ht="16.149999999999999" customHeight="1" x14ac:dyDescent="0.2">
      <c r="B21" s="1011" t="str">
        <f>ListAVS!$B$74&amp;" KB [mm] "</f>
        <v xml:space="preserve">Szerokość korpusu KB [mm] </v>
      </c>
      <c r="C21" s="1012"/>
      <c r="D21" s="1012"/>
      <c r="E21" s="1012"/>
      <c r="F21" s="1012"/>
      <c r="G21" s="1013"/>
      <c r="H21" s="260"/>
      <c r="I21" s="256" t="str">
        <f>IF(H21=0," ",IF($H21&lt;220," min. 220mm",IF($H21&gt;1800," max. 1 800mm"," ")))&amp;IF(H28&gt;0,IF(H21=0,"● "&amp;ListAVS!$B$129," ")," ")</f>
        <v xml:space="preserve">  </v>
      </c>
      <c r="J21" s="227"/>
      <c r="K21" s="227"/>
      <c r="L21" s="227"/>
      <c r="N21" s="894"/>
      <c r="O21" s="895"/>
      <c r="P21" s="37" t="s">
        <v>35</v>
      </c>
      <c r="Q21" s="118">
        <f>IF(AND($P$27&gt;=$AB$54,$P$27&lt;=$AC$54),SUM($O$22:$O$23),0)</f>
        <v>0</v>
      </c>
      <c r="T21" s="203" t="s">
        <v>54</v>
      </c>
      <c r="U21" s="39"/>
      <c r="V21" s="203" t="s">
        <v>55</v>
      </c>
      <c r="W21" s="39"/>
      <c r="X21" s="108"/>
      <c r="Y21" s="898" t="str">
        <f>CenAVS!A52</f>
        <v xml:space="preserve">Zaślepki HF/HL/HS - Top do SD białe SW   </v>
      </c>
      <c r="Z21" s="898" t="str">
        <f>CenAVS!B52</f>
        <v>23.8000</v>
      </c>
      <c r="AA21" s="883" t="str">
        <f>CenAVS!C52</f>
        <v>SW</v>
      </c>
      <c r="AB21" s="665">
        <f t="shared" si="4"/>
        <v>0</v>
      </c>
      <c r="AC21" s="899">
        <f>CenAVS!F52</f>
        <v>295.60313000000002</v>
      </c>
      <c r="AD21" s="900">
        <f t="shared" si="3"/>
        <v>0</v>
      </c>
      <c r="AE21" s="903">
        <f>IF(AND($S$9=2, $T$48=3), $AE$45, 0)</f>
        <v>0</v>
      </c>
      <c r="AF21" s="902">
        <f t="shared" si="1"/>
        <v>0</v>
      </c>
      <c r="AG21" s="903">
        <f>IF(AND($S$20=2, $T$48=3), $AG$45, 0)</f>
        <v>0</v>
      </c>
      <c r="AH21" s="902">
        <f t="shared" si="2"/>
        <v>0</v>
      </c>
      <c r="AI21" s="170"/>
      <c r="AJ21" s="170"/>
      <c r="AK21" s="108"/>
      <c r="AL21" s="713"/>
      <c r="AM21" s="137"/>
      <c r="AN21" s="137"/>
      <c r="AO21" s="137"/>
      <c r="AP21" s="137"/>
    </row>
    <row r="22" spans="1:56" s="37" customFormat="1" ht="16.149999999999999" customHeight="1" x14ac:dyDescent="0.2">
      <c r="B22" s="1011" t="str">
        <f>ListAVS!$B$75&amp;" [mm]"</f>
        <v>Wysokość korpusu [mm]</v>
      </c>
      <c r="C22" s="1012"/>
      <c r="D22" s="1012"/>
      <c r="E22" s="297" t="s">
        <v>38</v>
      </c>
      <c r="F22" s="260"/>
      <c r="G22" s="295" t="s">
        <v>39</v>
      </c>
      <c r="H22" s="260"/>
      <c r="I22" s="256" t="str">
        <f>IF(H22=0," ",IF($H22&lt;480," min. 480mm",IF($H22&gt;1200," max. 1 200mm"," ")))&amp;IF(H28&gt;0,IF(H22=0,"● "&amp;ListAVS!$B$129," ")," ")</f>
        <v xml:space="preserve">  </v>
      </c>
      <c r="J22" s="227"/>
      <c r="K22" s="227"/>
      <c r="L22" s="227"/>
      <c r="N22" s="37" t="s">
        <v>40</v>
      </c>
      <c r="O22" s="118">
        <f>IF($H27&lt;$AB$50,0,IF($H27&lt;=$AC$50,1,0))</f>
        <v>0</v>
      </c>
      <c r="P22" s="37" t="s">
        <v>41</v>
      </c>
      <c r="Q22" s="118">
        <f>IF(AND($P$27&gt;=$AB$55,$P$27&lt;=$AC$55),SUM($O$22:$O$23),0)</f>
        <v>0</v>
      </c>
      <c r="T22" s="37" t="s">
        <v>42</v>
      </c>
      <c r="U22" s="895">
        <f>IF($N$48=1, IF(OR($H$21&gt;=1200, $T$28&gt;=12), 3, 2))+IF($N$48=1,IF(OR($H$21=1800, $T$28&gt;=20), 1, 0))</f>
        <v>0</v>
      </c>
      <c r="V22" s="37" t="s">
        <v>43</v>
      </c>
      <c r="W22" s="895">
        <f>IF($P$48=1, IF(OR($H$21&gt;=1200, $T$28&gt;=12), 3, 2))+IF($P$48=1,IF(OR($H$21=1800, $T$28&gt;=20), 1, 0))</f>
        <v>0</v>
      </c>
      <c r="X22" s="108"/>
      <c r="Y22" s="898" t="str">
        <f>CenAVS!A18</f>
        <v xml:space="preserve">nakładany Tip-on wkręt 120°       </v>
      </c>
      <c r="Z22" s="898" t="str">
        <f>CenAVS!B18</f>
        <v>70T5550.TL</v>
      </c>
      <c r="AA22" s="883" t="str">
        <f>CenAVS!C18</f>
        <v>NI</v>
      </c>
      <c r="AB22" s="665">
        <f t="shared" si="4"/>
        <v>0</v>
      </c>
      <c r="AC22" s="899">
        <f>CenAVS!F18</f>
        <v>5.5152999999999999</v>
      </c>
      <c r="AD22" s="900">
        <f t="shared" si="3"/>
        <v>0</v>
      </c>
      <c r="AE22" s="903"/>
      <c r="AF22" s="902">
        <f t="shared" si="1"/>
        <v>0</v>
      </c>
      <c r="AG22" s="903"/>
      <c r="AH22" s="902">
        <f t="shared" si="2"/>
        <v>0</v>
      </c>
      <c r="AI22" s="170"/>
      <c r="AJ22" s="170"/>
      <c r="AK22" s="108"/>
      <c r="AL22" s="255"/>
      <c r="AM22" s="137"/>
      <c r="AN22" s="137"/>
      <c r="AO22" s="137"/>
      <c r="AP22" s="137"/>
    </row>
    <row r="23" spans="1:56" s="37" customFormat="1" ht="16.149999999999999" customHeight="1" x14ac:dyDescent="0.2">
      <c r="B23" s="1011" t="str">
        <f>ListAVS!$B$77&amp;" [kg] ** "</f>
        <v xml:space="preserve">Waga frontu wraz z uchwytem [kg] ** </v>
      </c>
      <c r="C23" s="1012"/>
      <c r="D23" s="1012"/>
      <c r="E23" s="1012"/>
      <c r="F23" s="1012"/>
      <c r="G23" s="1013"/>
      <c r="H23" s="258"/>
      <c r="I23" s="227" t="str">
        <f>IF($H28=0," ",IF(SUM($H23,$H26)=0,$N$38," "))&amp;IF($H28&gt;0,IF($H23&gt;0,$N$41," ")," ")</f>
        <v xml:space="preserve">  </v>
      </c>
      <c r="J23" s="227"/>
      <c r="K23" s="227"/>
      <c r="L23" s="227"/>
      <c r="N23" s="37" t="s">
        <v>44</v>
      </c>
      <c r="O23" s="118">
        <f>IF($H27&lt;$AB$51,0,IF($H27&lt;=$AC$51,1,IF($H27&gt;$AB$52,1.5,0)))</f>
        <v>0</v>
      </c>
      <c r="P23" s="37" t="s">
        <v>48</v>
      </c>
      <c r="Q23" s="118">
        <f>IF(AND($P$27&gt;=$AB$56,$P$27&lt;=$AC$56),SUM($O$22:$O$23),0)</f>
        <v>0</v>
      </c>
      <c r="T23" s="37" t="s">
        <v>46</v>
      </c>
      <c r="U23" s="118">
        <f>IF($N$48=2, IF(OR($H$21&gt;=1200, $T$28&gt;=12), 3, 2))+IF($N$48=2,IF(OR($H$21=1800, $T$28&gt;=20), 1, 0))</f>
        <v>2</v>
      </c>
      <c r="V23" s="37" t="s">
        <v>733</v>
      </c>
      <c r="W23" s="118">
        <f>IF($P$48=2, IF(OR($H$21&gt;=1200, $T$28&gt;=12), 3, 2))+IF($P$48=2,IF(OR($H$21=1800, $T$28&gt;=20), 1, 0))</f>
        <v>2</v>
      </c>
      <c r="X23" s="108"/>
      <c r="Y23" s="898" t="str">
        <f>CenAVS!A19</f>
        <v xml:space="preserve">zawias nakładany Tip-on Expando 120°      </v>
      </c>
      <c r="Z23" s="898" t="str">
        <f>CenAVS!B19</f>
        <v>70T558E</v>
      </c>
      <c r="AA23" s="883" t="str">
        <f>CenAVS!C19</f>
        <v>NI</v>
      </c>
      <c r="AB23" s="665">
        <f t="shared" si="4"/>
        <v>0</v>
      </c>
      <c r="AC23" s="899">
        <f>CenAVS!F19</f>
        <v>5.8604399999999996</v>
      </c>
      <c r="AD23" s="900">
        <f t="shared" si="3"/>
        <v>0</v>
      </c>
      <c r="AE23" s="903"/>
      <c r="AF23" s="902">
        <f t="shared" si="1"/>
        <v>0</v>
      </c>
      <c r="AG23" s="903"/>
      <c r="AH23" s="902">
        <f t="shared" si="2"/>
        <v>0</v>
      </c>
      <c r="AI23" s="170"/>
      <c r="AJ23" s="170"/>
      <c r="AK23" s="108"/>
      <c r="AL23" s="255"/>
      <c r="AM23" s="137"/>
      <c r="AN23" s="137"/>
      <c r="AO23" s="137"/>
      <c r="AP23" s="137"/>
    </row>
    <row r="24" spans="1:56" s="37" customFormat="1" ht="16.149999999999999" customHeight="1" x14ac:dyDescent="0.2">
      <c r="B24" s="1055" t="str">
        <f>ListAVS!$B$293</f>
        <v>Obliczenie wagi</v>
      </c>
      <c r="C24" s="1055"/>
      <c r="D24" s="1107" t="str">
        <f>ListAVS!$B$80&amp;" TS [mm] "</f>
        <v xml:space="preserve">Grubość frontu TS [mm] </v>
      </c>
      <c r="E24" s="1107"/>
      <c r="F24" s="1107"/>
      <c r="G24" s="1108"/>
      <c r="H24" s="259"/>
      <c r="I24" s="256"/>
      <c r="J24" s="227"/>
      <c r="K24" s="227"/>
      <c r="L24" s="227"/>
      <c r="O24" s="118"/>
      <c r="Q24" s="118"/>
      <c r="U24" s="118"/>
      <c r="W24" s="118"/>
      <c r="X24" s="108"/>
      <c r="Y24" s="898" t="str">
        <f>CenAVS!A20</f>
        <v xml:space="preserve">zawias środkowy wkręt        </v>
      </c>
      <c r="Z24" s="898" t="str">
        <f>CenAVS!B20</f>
        <v>78Z5500T</v>
      </c>
      <c r="AA24" s="883" t="str">
        <f>CenAVS!C20</f>
        <v>NI</v>
      </c>
      <c r="AB24" s="665">
        <f t="shared" si="4"/>
        <v>0</v>
      </c>
      <c r="AC24" s="899">
        <f>CenAVS!F20</f>
        <v>10.1708</v>
      </c>
      <c r="AD24" s="900">
        <f t="shared" si="3"/>
        <v>0</v>
      </c>
      <c r="AE24" s="901"/>
      <c r="AF24" s="902">
        <f t="shared" si="1"/>
        <v>0</v>
      </c>
      <c r="AG24" s="901"/>
      <c r="AH24" s="902">
        <f t="shared" si="2"/>
        <v>0</v>
      </c>
      <c r="AI24" s="170"/>
      <c r="AJ24" s="170"/>
      <c r="AK24" s="108"/>
      <c r="AL24" s="255"/>
      <c r="AM24" s="137"/>
      <c r="AN24" s="137"/>
      <c r="AO24" s="137"/>
      <c r="AP24" s="137"/>
    </row>
    <row r="25" spans="1:56" s="37" customFormat="1" ht="16.149999999999999" customHeight="1" x14ac:dyDescent="0.2">
      <c r="B25" s="1055"/>
      <c r="C25" s="1055"/>
      <c r="D25" s="1053" t="str">
        <f>ListAVS!$B$83&amp;" [kg] "</f>
        <v xml:space="preserve">Waga uchwytu [kg] </v>
      </c>
      <c r="E25" s="1053"/>
      <c r="F25" s="1053"/>
      <c r="G25" s="1054"/>
      <c r="H25" s="258"/>
      <c r="I25" s="227" t="str">
        <f>IF(H28=0, " ", IF(AND(H23=0, S20=1, H25=0), " ● "&amp;ListAVS!$B$130," "))</f>
        <v xml:space="preserve"> </v>
      </c>
      <c r="J25" s="227"/>
      <c r="K25" s="227"/>
      <c r="L25" s="227"/>
      <c r="O25" s="118"/>
      <c r="Q25" s="118"/>
      <c r="S25" s="717" t="s">
        <v>79</v>
      </c>
      <c r="T25" s="928" t="str">
        <f>IF(AND(220&lt;=H21, H21&lt;=1800, 480&lt;=P27, P27&lt;=1200),"ano","ne")</f>
        <v>ne</v>
      </c>
      <c r="U25" s="118"/>
      <c r="W25" s="118"/>
      <c r="X25" s="108"/>
      <c r="Y25" s="898" t="str">
        <f>CenAVS!A21</f>
        <v xml:space="preserve">zawias środkowy Expando        </v>
      </c>
      <c r="Z25" s="898" t="str">
        <f>CenAVS!B21</f>
        <v>78Z553ET</v>
      </c>
      <c r="AA25" s="883" t="str">
        <f>CenAVS!C21</f>
        <v>NI</v>
      </c>
      <c r="AB25" s="665">
        <f t="shared" si="4"/>
        <v>0</v>
      </c>
      <c r="AC25" s="899">
        <f>CenAVS!F21</f>
        <v>10.498419999999999</v>
      </c>
      <c r="AD25" s="900">
        <f t="shared" si="3"/>
        <v>0</v>
      </c>
      <c r="AE25" s="901"/>
      <c r="AF25" s="902">
        <f t="shared" si="1"/>
        <v>0</v>
      </c>
      <c r="AG25" s="901"/>
      <c r="AH25" s="902">
        <f t="shared" si="2"/>
        <v>0</v>
      </c>
      <c r="AI25" s="170"/>
      <c r="AJ25" s="170"/>
      <c r="AK25" s="108"/>
      <c r="AL25" s="255"/>
      <c r="AM25" s="137"/>
      <c r="AN25" s="137"/>
      <c r="AO25" s="137"/>
      <c r="AP25" s="137"/>
    </row>
    <row r="26" spans="1:56" s="37" customFormat="1" ht="16.149999999999999" customHeight="1" x14ac:dyDescent="0.2">
      <c r="B26" s="1055"/>
      <c r="C26" s="1055"/>
      <c r="D26" s="1053" t="str">
        <f>ListAVS!$B$79&amp;" [kg] "</f>
        <v xml:space="preserve">Obliczona waga frontu [kg] </v>
      </c>
      <c r="E26" s="1053"/>
      <c r="F26" s="1053"/>
      <c r="G26" s="1054"/>
      <c r="H26" s="259">
        <f>$T$90</f>
        <v>0</v>
      </c>
      <c r="I26" s="227" t="str">
        <f>IF($H28&gt;0,IF($H26&gt;0,IF($H23=0,$N$41," ")," ")," ")&amp;IF(AND(H28&gt;0, H23=0, Z87=3, $J$4=0), $N$39, " ")</f>
        <v xml:space="preserve">  </v>
      </c>
      <c r="J26" s="227"/>
      <c r="K26" s="227"/>
      <c r="L26" s="227"/>
      <c r="O26" s="118"/>
      <c r="Q26" s="118"/>
      <c r="S26" s="717" t="s">
        <v>732</v>
      </c>
      <c r="T26" s="928" t="str">
        <f>IF(AND(H27&gt;=$AB$50, H27&lt;=$AC$51), "ano", "ne")</f>
        <v>ne</v>
      </c>
      <c r="X26" s="108"/>
      <c r="Y26" s="898" t="str">
        <f>CenAVS!A22</f>
        <v xml:space="preserve">alu nakładany Tip-on 120° Aventos HF     </v>
      </c>
      <c r="Z26" s="898" t="str">
        <f>CenAVS!B22</f>
        <v>72T550A.TL</v>
      </c>
      <c r="AA26" s="883" t="str">
        <f>CenAVS!C22</f>
        <v>NI</v>
      </c>
      <c r="AB26" s="665">
        <f t="shared" si="4"/>
        <v>0</v>
      </c>
      <c r="AC26" s="899">
        <f>CenAVS!F22</f>
        <v>8.4674200000000006</v>
      </c>
      <c r="AD26" s="900">
        <f t="shared" si="3"/>
        <v>0</v>
      </c>
      <c r="AE26" s="901">
        <f>U12*M17</f>
        <v>0</v>
      </c>
      <c r="AF26" s="902">
        <f t="shared" si="1"/>
        <v>0</v>
      </c>
      <c r="AG26" s="901">
        <f>U23*M28</f>
        <v>0</v>
      </c>
      <c r="AH26" s="902">
        <f t="shared" si="2"/>
        <v>0</v>
      </c>
      <c r="AI26" s="170"/>
      <c r="AJ26" s="170"/>
      <c r="AK26" s="108"/>
      <c r="AL26" s="255"/>
      <c r="AM26" s="137"/>
    </row>
    <row r="27" spans="1:56" s="37" customFormat="1" ht="16.149999999999999" customHeight="1" thickBot="1" x14ac:dyDescent="0.25">
      <c r="B27" s="1011" t="str">
        <f>ListAVS!$B$86&amp;" LF "</f>
        <v xml:space="preserve">Współczynnik mocy LF </v>
      </c>
      <c r="C27" s="1012"/>
      <c r="D27" s="1012"/>
      <c r="E27" s="1012"/>
      <c r="F27" s="1012"/>
      <c r="G27" s="1013"/>
      <c r="H27" s="400">
        <f>IF(H22&lt;1041,IF(H22&gt;479,IF(H23&gt;0,H22*H23,H22*H26),0),0)</f>
        <v>0</v>
      </c>
      <c r="I27" s="256" t="str">
        <f>IF(AND(H27&gt;0, H27&lt;$AB$50), $T$44, IF($H27&gt;$AC$51, $N$44, "  "))</f>
        <v xml:space="preserve">  </v>
      </c>
      <c r="J27" s="227"/>
      <c r="K27" s="268"/>
      <c r="L27" s="227"/>
      <c r="O27" s="153" t="s">
        <v>49</v>
      </c>
      <c r="P27" s="165">
        <f>IF(F22&gt;0,IF(F22&gt;=H22,F22,0),H22)</f>
        <v>0</v>
      </c>
      <c r="Q27" s="118"/>
      <c r="X27" s="108"/>
      <c r="Y27" s="898" t="str">
        <f>CenAVS!A23</f>
        <v xml:space="preserve">alu zawias środkowy        </v>
      </c>
      <c r="Z27" s="898" t="str">
        <f>CenAVS!B23</f>
        <v>78Z550AT</v>
      </c>
      <c r="AA27" s="883" t="str">
        <f>CenAVS!C23</f>
        <v>NI</v>
      </c>
      <c r="AB27" s="665">
        <f t="shared" si="4"/>
        <v>0</v>
      </c>
      <c r="AC27" s="899">
        <f>CenAVS!F23</f>
        <v>11.149290000000001</v>
      </c>
      <c r="AD27" s="900">
        <f t="shared" si="3"/>
        <v>0</v>
      </c>
      <c r="AE27" s="901">
        <f>W12*M17</f>
        <v>0</v>
      </c>
      <c r="AF27" s="902">
        <f t="shared" si="1"/>
        <v>0</v>
      </c>
      <c r="AG27" s="901">
        <f>W23*M28</f>
        <v>0</v>
      </c>
      <c r="AH27" s="902">
        <f t="shared" si="2"/>
        <v>0</v>
      </c>
      <c r="AI27" s="170"/>
      <c r="AJ27" s="170"/>
      <c r="AK27" s="108"/>
      <c r="AL27" s="255"/>
      <c r="AM27" s="137"/>
      <c r="AN27" s="137"/>
      <c r="AO27" s="137"/>
      <c r="AP27" s="137"/>
      <c r="AQ27" s="137"/>
    </row>
    <row r="28" spans="1:56" ht="16.149999999999999" customHeight="1" thickBot="1" x14ac:dyDescent="0.25">
      <c r="B28" s="1011" t="str">
        <f>ListAVS!$B$71&amp;" "</f>
        <v xml:space="preserve">Ilość szafek </v>
      </c>
      <c r="C28" s="1012"/>
      <c r="D28" s="1012"/>
      <c r="E28" s="1012"/>
      <c r="F28" s="1012"/>
      <c r="G28" s="1012"/>
      <c r="H28" s="410"/>
      <c r="I28" s="256"/>
      <c r="J28" s="270"/>
      <c r="K28" s="401"/>
      <c r="L28" s="402"/>
      <c r="M28" s="315">
        <f>IF($H21*$P27=0,0,IF(SUM($H23,$H26)=0,0,IF($P27&gt;$AC$57,0,IF(P27&lt;$AB$54,0,IF(OR(T25="ne", T26="ne"),0,$H28)))))</f>
        <v>0</v>
      </c>
      <c r="N28" s="37" t="s">
        <v>50</v>
      </c>
      <c r="O28" s="39"/>
      <c r="P28" s="39"/>
      <c r="Q28" s="39"/>
      <c r="R28" s="137"/>
      <c r="S28" s="690" t="s">
        <v>51</v>
      </c>
      <c r="T28" s="691">
        <f>IF(H23&gt;0,H23,H26)</f>
        <v>0</v>
      </c>
      <c r="U28" s="37">
        <f>IF(SUM(H23,H26)=0,0,IF(H23&gt;0,1,2))</f>
        <v>0</v>
      </c>
      <c r="V28" s="571" t="s">
        <v>52</v>
      </c>
      <c r="W28" s="118"/>
      <c r="Y28" s="898" t="str">
        <f>CenAVS!A24</f>
        <v xml:space="preserve">adapter alu do ramion teleskop. P     </v>
      </c>
      <c r="Z28" s="898" t="str">
        <f>CenAVS!B24</f>
        <v>175H5B00   R</v>
      </c>
      <c r="AA28" s="883" t="str">
        <f>CenAVS!C24</f>
        <v>NI</v>
      </c>
      <c r="AB28" s="665">
        <f t="shared" si="4"/>
        <v>0</v>
      </c>
      <c r="AC28" s="899">
        <f>CenAVS!F24</f>
        <v>9.9110600000000009</v>
      </c>
      <c r="AD28" s="900">
        <f t="shared" si="3"/>
        <v>0</v>
      </c>
      <c r="AE28" s="901">
        <f>SUM($Q$10:$Q$12)*$M$17</f>
        <v>0</v>
      </c>
      <c r="AF28" s="902">
        <f t="shared" si="1"/>
        <v>0</v>
      </c>
      <c r="AG28" s="901">
        <f>SUM($Q$21:$Q$23)*$M$28</f>
        <v>0</v>
      </c>
      <c r="AH28" s="902">
        <f t="shared" si="2"/>
        <v>0</v>
      </c>
      <c r="AI28" s="170"/>
      <c r="AJ28" s="170"/>
      <c r="AL28" s="255"/>
      <c r="AM28" s="37"/>
    </row>
    <row r="29" spans="1:56" ht="16.149999999999999" customHeight="1" x14ac:dyDescent="0.2">
      <c r="A29" s="137"/>
      <c r="B29" s="227" t="str">
        <f>IF(H28&gt;0,IF(U28=0," ",IF(U28=1,$N$53,$N$54))," ")&amp;IF(H28&gt;0,IF(U28=0," ",IF(U28=1,$N$55,$N$56))," ")</f>
        <v xml:space="preserve">  </v>
      </c>
      <c r="C29" s="227"/>
      <c r="D29" s="227"/>
      <c r="E29" s="227"/>
      <c r="F29" s="227"/>
      <c r="G29" s="227"/>
      <c r="H29" s="403"/>
      <c r="I29" s="256"/>
      <c r="J29" s="404"/>
      <c r="K29" s="404"/>
      <c r="L29" s="404"/>
      <c r="N29" s="137"/>
      <c r="O29" s="137"/>
      <c r="P29" s="137"/>
      <c r="Q29" s="137"/>
      <c r="Y29" s="898" t="str">
        <f>CenAVS!A25</f>
        <v xml:space="preserve">adapter alu do ramion teleskop. L     </v>
      </c>
      <c r="Z29" s="898" t="str">
        <f>CenAVS!B25</f>
        <v>175H5B00   L</v>
      </c>
      <c r="AA29" s="883" t="str">
        <f>CenAVS!C25</f>
        <v>NI</v>
      </c>
      <c r="AB29" s="665">
        <f t="shared" si="4"/>
        <v>0</v>
      </c>
      <c r="AC29" s="899">
        <f>CenAVS!F25</f>
        <v>9.9110600000000009</v>
      </c>
      <c r="AD29" s="900">
        <f t="shared" si="3"/>
        <v>0</v>
      </c>
      <c r="AE29" s="901">
        <f>SUM($Q$10:$Q$12)*$M$17</f>
        <v>0</v>
      </c>
      <c r="AF29" s="902">
        <f t="shared" si="1"/>
        <v>0</v>
      </c>
      <c r="AG29" s="901">
        <f>SUM($Q$21:$Q$23)*$M$28</f>
        <v>0</v>
      </c>
      <c r="AH29" s="902">
        <f t="shared" si="2"/>
        <v>0</v>
      </c>
      <c r="AI29" s="170"/>
      <c r="AJ29" s="170"/>
    </row>
    <row r="30" spans="1:56" ht="18.75" customHeight="1" x14ac:dyDescent="0.2">
      <c r="B30" s="586" t="str">
        <f>IF(F22=0," ",IF(F22&gt;1200,"TKH = max. 1200!",IF(F22&lt;480,"TKH = min. 480!",IF(F22&lt;H22,$N$59,IF(H28&gt;0,IF(F22=0," ",IF(AND(F22&gt;0,M28=1), $N$58," "))," ")))))</f>
        <v xml:space="preserve"> </v>
      </c>
      <c r="C30" s="248"/>
      <c r="D30" s="396"/>
      <c r="E30" s="396"/>
      <c r="F30" s="274"/>
      <c r="G30" s="274"/>
      <c r="H30" s="396"/>
      <c r="I30" s="264"/>
      <c r="J30" s="264"/>
      <c r="K30" s="396"/>
      <c r="L30" s="265"/>
      <c r="N30" s="137"/>
      <c r="O30" s="137"/>
      <c r="P30" s="137"/>
      <c r="Q30" s="137"/>
      <c r="Y30" s="898" t="str">
        <f>CenAVS!A26</f>
        <v xml:space="preserve">adapter alu do zawiasu środkowego      </v>
      </c>
      <c r="Z30" s="898" t="str">
        <f>CenAVS!B26</f>
        <v>175H5A00</v>
      </c>
      <c r="AA30" s="883" t="str">
        <f>CenAVS!C26</f>
        <v>NI</v>
      </c>
      <c r="AB30" s="665">
        <f t="shared" si="4"/>
        <v>0</v>
      </c>
      <c r="AC30" s="899">
        <f>CenAVS!F26</f>
        <v>9.9110600000000009</v>
      </c>
      <c r="AD30" s="900">
        <f t="shared" si="3"/>
        <v>0</v>
      </c>
      <c r="AE30" s="901">
        <f>AE27</f>
        <v>0</v>
      </c>
      <c r="AF30" s="902">
        <f t="shared" si="1"/>
        <v>0</v>
      </c>
      <c r="AG30" s="901">
        <f>AG27</f>
        <v>0</v>
      </c>
      <c r="AH30" s="902">
        <f t="shared" si="2"/>
        <v>0</v>
      </c>
      <c r="AI30" s="170"/>
      <c r="AJ30" s="170"/>
    </row>
    <row r="31" spans="1:56" ht="13.5" customHeight="1" x14ac:dyDescent="0.2">
      <c r="B31" s="1109" t="str">
        <f>IF(OR(AND($S$9=2, $M$17&gt;0), AND($S$20=2, $M$28&gt;0)), ListAVS!$B$176, " ")</f>
        <v xml:space="preserve"> </v>
      </c>
      <c r="C31" s="1109"/>
      <c r="D31" s="1109"/>
      <c r="E31" s="1109"/>
      <c r="F31" s="1109"/>
      <c r="G31" s="1109"/>
      <c r="H31" s="1109"/>
      <c r="I31" s="1109"/>
      <c r="J31" s="1109"/>
      <c r="K31" s="397"/>
      <c r="L31" s="397"/>
      <c r="O31" s="37"/>
      <c r="Q31" s="37"/>
      <c r="S31" s="337">
        <f>IF($T$31=FALSE,2,1)</f>
        <v>1</v>
      </c>
      <c r="T31" s="1129" t="b">
        <v>1</v>
      </c>
      <c r="U31" s="1130"/>
      <c r="V31" s="139" t="s">
        <v>56</v>
      </c>
      <c r="W31" s="173"/>
      <c r="Y31" s="898"/>
      <c r="Z31" s="898"/>
      <c r="AA31" s="883"/>
      <c r="AB31" s="665"/>
      <c r="AC31" s="899"/>
      <c r="AD31" s="900"/>
      <c r="AE31" s="901"/>
      <c r="AF31" s="902"/>
      <c r="AG31" s="901"/>
      <c r="AH31" s="902"/>
      <c r="AI31" s="170"/>
      <c r="AJ31" s="170"/>
      <c r="AL31" s="693"/>
    </row>
    <row r="32" spans="1:56" ht="13.5" customHeight="1" x14ac:dyDescent="0.2">
      <c r="B32" s="1109"/>
      <c r="C32" s="1109"/>
      <c r="D32" s="1109"/>
      <c r="E32" s="1109"/>
      <c r="F32" s="1109"/>
      <c r="G32" s="1109"/>
      <c r="H32" s="1109"/>
      <c r="I32" s="1109"/>
      <c r="J32" s="1109"/>
      <c r="K32" s="397"/>
      <c r="L32" s="397"/>
      <c r="O32" s="37"/>
      <c r="Q32" s="37"/>
      <c r="Y32" s="898"/>
      <c r="Z32" s="898"/>
      <c r="AA32" s="883"/>
      <c r="AB32" s="665"/>
      <c r="AC32" s="899"/>
      <c r="AD32" s="900"/>
      <c r="AE32" s="901"/>
      <c r="AF32" s="902"/>
      <c r="AG32" s="901"/>
      <c r="AH32" s="902"/>
      <c r="AI32" s="170"/>
      <c r="AJ32" s="170"/>
      <c r="AL32" s="693"/>
    </row>
    <row r="33" spans="1:43" ht="12.75" x14ac:dyDescent="0.2">
      <c r="B33" s="1109"/>
      <c r="C33" s="1109"/>
      <c r="D33" s="1109"/>
      <c r="E33" s="1109"/>
      <c r="F33" s="1109"/>
      <c r="G33" s="1109"/>
      <c r="H33" s="1109"/>
      <c r="I33" s="1109"/>
      <c r="J33" s="1109"/>
      <c r="K33" s="266"/>
      <c r="L33" s="255"/>
      <c r="Y33" s="898" t="str">
        <f>CenAVS!A27</f>
        <v xml:space="preserve">          </v>
      </c>
      <c r="Z33" s="898">
        <f>CenAVS!B27</f>
        <v>0</v>
      </c>
      <c r="AA33" s="883">
        <f>CenAVS!C27</f>
        <v>0</v>
      </c>
      <c r="AB33" s="665"/>
      <c r="AC33" s="899">
        <f>CenAVS!F27</f>
        <v>0</v>
      </c>
      <c r="AD33" s="900">
        <f t="shared" si="3"/>
        <v>0</v>
      </c>
      <c r="AE33" s="901"/>
      <c r="AF33" s="902">
        <f t="shared" si="1"/>
        <v>0</v>
      </c>
      <c r="AG33" s="901"/>
      <c r="AH33" s="902">
        <f t="shared" si="2"/>
        <v>0</v>
      </c>
      <c r="AI33" s="170"/>
      <c r="AJ33" s="170"/>
      <c r="AL33" s="693"/>
    </row>
    <row r="34" spans="1:43" ht="12.75" x14ac:dyDescent="0.2">
      <c r="B34" s="272"/>
      <c r="C34" s="255"/>
      <c r="D34" s="266"/>
      <c r="E34" s="266"/>
      <c r="F34" s="266"/>
      <c r="G34" s="266"/>
      <c r="H34" s="266"/>
      <c r="I34" s="255"/>
      <c r="J34" s="266"/>
      <c r="K34" s="266"/>
      <c r="L34" s="255"/>
      <c r="Y34" s="898"/>
      <c r="Z34" s="898"/>
      <c r="AA34" s="883"/>
      <c r="AB34" s="665"/>
      <c r="AC34" s="899"/>
      <c r="AD34" s="900">
        <f t="shared" si="3"/>
        <v>0</v>
      </c>
      <c r="AE34" s="901"/>
      <c r="AF34" s="902">
        <f t="shared" si="1"/>
        <v>0</v>
      </c>
      <c r="AG34" s="901"/>
      <c r="AH34" s="902">
        <f t="shared" si="2"/>
        <v>0</v>
      </c>
      <c r="AI34" s="170"/>
      <c r="AJ34" s="170"/>
    </row>
    <row r="35" spans="1:43" ht="12.75" x14ac:dyDescent="0.2">
      <c r="B35" s="272"/>
      <c r="C35" s="273"/>
      <c r="D35" s="266"/>
      <c r="E35" s="266"/>
      <c r="F35" s="266"/>
      <c r="G35" s="266"/>
      <c r="H35" s="266"/>
      <c r="I35" s="255"/>
      <c r="J35" s="266"/>
      <c r="K35" s="266"/>
      <c r="L35" s="255"/>
      <c r="N35" s="37" t="str">
        <f>ListAVS!B177</f>
        <v>Cena bez zasilacza!</v>
      </c>
      <c r="Y35" s="898"/>
      <c r="Z35" s="898"/>
      <c r="AA35" s="883"/>
      <c r="AB35" s="665"/>
      <c r="AC35" s="899"/>
      <c r="AD35" s="900">
        <f t="shared" si="3"/>
        <v>0</v>
      </c>
      <c r="AE35" s="903"/>
      <c r="AF35" s="902">
        <f t="shared" si="1"/>
        <v>0</v>
      </c>
      <c r="AG35" s="903"/>
      <c r="AH35" s="902">
        <f t="shared" si="2"/>
        <v>0</v>
      </c>
      <c r="AI35" s="170"/>
      <c r="AJ35" s="170"/>
    </row>
    <row r="36" spans="1:43" ht="12.75" x14ac:dyDescent="0.2">
      <c r="B36" s="272"/>
      <c r="C36" s="255"/>
      <c r="D36" s="266"/>
      <c r="E36" s="266"/>
      <c r="F36" s="266"/>
      <c r="G36" s="266"/>
      <c r="H36" s="266"/>
      <c r="I36" s="255"/>
      <c r="J36" s="266"/>
      <c r="K36" s="266"/>
      <c r="L36" s="255"/>
      <c r="Y36" s="898" t="str">
        <f>CenAVS!A162</f>
        <v xml:space="preserve">prowadnik krzyżakowy mimośród wkręt 8 5mm     </v>
      </c>
      <c r="Z36" s="898" t="str">
        <f>CenAVS!B162</f>
        <v>173H7100</v>
      </c>
      <c r="AA36" s="883" t="str">
        <f>CenAVS!C162</f>
        <v>NI</v>
      </c>
      <c r="AB36" s="665"/>
      <c r="AC36" s="899">
        <f>CenAVS!F162</f>
        <v>1.7393000000000001</v>
      </c>
      <c r="AD36" s="900">
        <f t="shared" si="3"/>
        <v>0</v>
      </c>
      <c r="AE36" s="903"/>
      <c r="AF36" s="902">
        <f t="shared" si="1"/>
        <v>0</v>
      </c>
      <c r="AG36" s="903"/>
      <c r="AH36" s="902">
        <f t="shared" si="2"/>
        <v>0</v>
      </c>
      <c r="AI36" s="170"/>
      <c r="AJ36" s="170"/>
    </row>
    <row r="37" spans="1:43" ht="12.75" x14ac:dyDescent="0.2">
      <c r="B37" s="272"/>
      <c r="C37" s="255" t="str">
        <f>"*  "&amp;ListAVS!$B$184</f>
        <v>*  Jedynie do frontów asymetrycznych: wpisz teoretyczną wysokość TKH</v>
      </c>
      <c r="D37" s="266"/>
      <c r="E37" s="266"/>
      <c r="F37" s="266"/>
      <c r="G37" s="266"/>
      <c r="H37" s="266"/>
      <c r="I37" s="255"/>
      <c r="J37" s="266"/>
      <c r="K37" s="266"/>
      <c r="L37" s="255"/>
      <c r="N37" s="37" t="str">
        <f>" "&amp;ListAVS!$B$116</f>
        <v xml:space="preserve"> Wprowadź wagę lub wypełnij wszystkie komórki</v>
      </c>
      <c r="Y37" s="898" t="str">
        <f>CenAVS!A163</f>
        <v xml:space="preserve">prowadnik krzyżakowy mimośród Expando 8 5mm     </v>
      </c>
      <c r="Z37" s="898" t="str">
        <f>CenAVS!B163</f>
        <v>174H7100E </v>
      </c>
      <c r="AA37" s="883" t="str">
        <f>CenAVS!C163</f>
        <v>NI</v>
      </c>
      <c r="AB37" s="665"/>
      <c r="AC37" s="899">
        <f>CenAVS!F163</f>
        <v>2.1260500000000002</v>
      </c>
      <c r="AD37" s="900">
        <f t="shared" si="3"/>
        <v>0</v>
      </c>
      <c r="AE37" s="903"/>
      <c r="AF37" s="902">
        <f t="shared" si="1"/>
        <v>0</v>
      </c>
      <c r="AG37" s="903"/>
      <c r="AH37" s="902">
        <f t="shared" si="2"/>
        <v>0</v>
      </c>
      <c r="AI37" s="170"/>
      <c r="AJ37" s="170"/>
      <c r="AL37" s="710"/>
    </row>
    <row r="38" spans="1:43" ht="12.75" x14ac:dyDescent="0.2">
      <c r="A38" s="137"/>
      <c r="B38" s="255"/>
      <c r="C38" s="255" t="str">
        <f>" ( "&amp;ListAVS!$B$185&amp;")"</f>
        <v xml:space="preserve"> ( TKH = Wysokość frontu górnego (mm) x 2 + szczeliny)</v>
      </c>
      <c r="D38" s="255"/>
      <c r="E38" s="255"/>
      <c r="F38" s="255"/>
      <c r="G38" s="255"/>
      <c r="H38" s="255"/>
      <c r="I38" s="255"/>
      <c r="J38" s="255"/>
      <c r="K38" s="255"/>
      <c r="L38" s="255"/>
      <c r="N38" s="37" t="str">
        <f>" "&amp;ListAVS!$B$117</f>
        <v xml:space="preserve"> Wprowadź wagę lub wypełnij na górze grubość szkła</v>
      </c>
      <c r="Y38" s="898"/>
      <c r="Z38" s="898"/>
      <c r="AA38" s="883"/>
      <c r="AB38" s="665"/>
      <c r="AC38" s="899"/>
      <c r="AD38" s="900"/>
      <c r="AE38" s="903"/>
      <c r="AF38" s="902">
        <f t="shared" si="1"/>
        <v>0</v>
      </c>
      <c r="AG38" s="903"/>
      <c r="AH38" s="902">
        <f t="shared" si="2"/>
        <v>0</v>
      </c>
      <c r="AI38" s="170"/>
      <c r="AJ38" s="170"/>
    </row>
    <row r="39" spans="1:43" ht="12.75" x14ac:dyDescent="0.2">
      <c r="A39" s="137"/>
      <c r="B39" s="255"/>
      <c r="C39" s="255" t="str">
        <f>" "&amp;ListAVS!$B$328&amp;" '"&amp;ListAVS!$B$195&amp;"' "</f>
        <v xml:space="preserve"> Do obliczenia TKH użyj 'Obliczanie frontów asymetrycznych' </v>
      </c>
      <c r="D39" s="255"/>
      <c r="E39" s="255"/>
      <c r="F39" s="255"/>
      <c r="G39" s="255"/>
      <c r="H39" s="255"/>
      <c r="I39" s="255"/>
      <c r="J39" s="255"/>
      <c r="K39" s="255"/>
      <c r="L39" s="255"/>
      <c r="N39" s="37" t="str">
        <f>" "&amp;ListAVS!$B$118</f>
        <v xml:space="preserve"> Wprowadź na górze masę objętościową </v>
      </c>
      <c r="Y39" s="898"/>
      <c r="Z39" s="898"/>
      <c r="AA39" s="883"/>
      <c r="AB39" s="665"/>
      <c r="AC39" s="899"/>
      <c r="AD39" s="900"/>
      <c r="AE39" s="903"/>
      <c r="AF39" s="902"/>
      <c r="AG39" s="903"/>
      <c r="AH39" s="902"/>
      <c r="AI39" s="170"/>
      <c r="AJ39" s="170"/>
    </row>
    <row r="40" spans="1:43" ht="12.75" x14ac:dyDescent="0.2">
      <c r="A40" s="137"/>
      <c r="B40" s="255"/>
      <c r="C40" s="255"/>
      <c r="D40" s="255"/>
      <c r="E40" s="255"/>
      <c r="F40" s="255"/>
      <c r="G40" s="255"/>
      <c r="H40" s="255"/>
      <c r="I40" s="255"/>
      <c r="J40" s="255"/>
      <c r="K40" s="255"/>
      <c r="L40" s="255"/>
      <c r="N40" s="37" t="str">
        <f>" "&amp;ListAVS!$B$119</f>
        <v xml:space="preserve"> Wypełnij na górze grubość szkła</v>
      </c>
      <c r="Y40" s="898"/>
      <c r="Z40" s="898"/>
      <c r="AA40" s="883"/>
      <c r="AB40" s="665"/>
      <c r="AC40" s="899"/>
      <c r="AD40" s="900"/>
      <c r="AE40" s="903"/>
      <c r="AF40" s="902"/>
      <c r="AG40" s="903"/>
      <c r="AH40" s="902"/>
      <c r="AI40" s="170"/>
      <c r="AJ40" s="170"/>
    </row>
    <row r="41" spans="1:43" ht="12.75" x14ac:dyDescent="0.2">
      <c r="A41" s="137"/>
      <c r="B41" s="255"/>
      <c r="C41" s="255" t="str">
        <f>"** "&amp;ListAVS!$B$187</f>
        <v>** Jeżeli znasz wagę i nie chcesz skorzystać z "obliczenie wagi"</v>
      </c>
      <c r="D41" s="255"/>
      <c r="E41" s="255"/>
      <c r="F41" s="255"/>
      <c r="G41" s="255"/>
      <c r="H41" s="255"/>
      <c r="I41" s="255"/>
      <c r="J41" s="255"/>
      <c r="K41" s="255"/>
      <c r="L41" s="255"/>
      <c r="N41" s="37" t="str">
        <f>"◄ "&amp;ListAVS!$B$112</f>
        <v>◄ wartość będzie wykorzystana do obliczenia LF</v>
      </c>
      <c r="Y41" s="898"/>
      <c r="Z41" s="898"/>
      <c r="AA41" s="883"/>
      <c r="AB41" s="665"/>
      <c r="AC41" s="899"/>
      <c r="AD41" s="900"/>
      <c r="AE41" s="903"/>
      <c r="AF41" s="902"/>
      <c r="AG41" s="903"/>
      <c r="AH41" s="902"/>
      <c r="AI41" s="170"/>
      <c r="AJ41" s="170"/>
    </row>
    <row r="42" spans="1:43" ht="12.75" x14ac:dyDescent="0.2">
      <c r="A42" s="137"/>
      <c r="B42" s="266"/>
      <c r="C42" s="273" t="str">
        <f>"*** "&amp;ListAVS!$B$403</f>
        <v>*** Wybierz rodzaj ramki aluminiowej!</v>
      </c>
      <c r="D42" s="255"/>
      <c r="E42" s="255"/>
      <c r="F42" s="255"/>
      <c r="G42" s="255"/>
      <c r="H42" s="255"/>
      <c r="I42" s="255"/>
      <c r="J42" s="255"/>
      <c r="K42" s="255"/>
      <c r="L42" s="255"/>
      <c r="N42" s="37" t="str">
        <f>" * "&amp;ListAVS!$B$128</f>
        <v xml:space="preserve"> * Wypełnij wartości</v>
      </c>
      <c r="Y42" s="898" t="str">
        <f>CenAVS!A166</f>
        <v xml:space="preserve">prowadnik prosty wkręt 8 5mm stal     </v>
      </c>
      <c r="Z42" s="898" t="str">
        <f>CenAVS!B166</f>
        <v>175H3100</v>
      </c>
      <c r="AA42" s="883" t="str">
        <f>CenAVS!C166</f>
        <v>NI</v>
      </c>
      <c r="AB42" s="665">
        <f t="shared" si="4"/>
        <v>0</v>
      </c>
      <c r="AC42" s="899">
        <f>CenAVS!F166</f>
        <v>1.65564</v>
      </c>
      <c r="AD42" s="900">
        <f t="shared" si="3"/>
        <v>0</v>
      </c>
      <c r="AE42" s="903">
        <f>IF($R$48=2, $U$12*$M$17, 0)</f>
        <v>0</v>
      </c>
      <c r="AF42" s="902">
        <f>$AC42*AE42</f>
        <v>0</v>
      </c>
      <c r="AG42" s="903">
        <f>IF($R$48=2, $U$23*$M$28, 0)</f>
        <v>0</v>
      </c>
      <c r="AH42" s="902">
        <f>$AC42*AG42</f>
        <v>0</v>
      </c>
      <c r="AI42" s="170"/>
      <c r="AJ42" s="170"/>
    </row>
    <row r="43" spans="1:43" ht="12.75" x14ac:dyDescent="0.2">
      <c r="A43" s="137"/>
      <c r="B43" s="255"/>
      <c r="C43" s="670" t="str">
        <f>"      "&amp;ListAVS!$B$404</f>
        <v xml:space="preserve">      Więcej informacji o wyborze ramki aluminiowej w Pomocy</v>
      </c>
      <c r="D43" s="399"/>
      <c r="E43" s="399"/>
      <c r="F43" s="399"/>
      <c r="G43" s="399"/>
      <c r="H43" s="255"/>
      <c r="I43" s="255"/>
      <c r="J43" s="255"/>
      <c r="K43" s="255"/>
      <c r="L43" s="255"/>
      <c r="Y43" s="898" t="str">
        <f>CenAVS!A167</f>
        <v xml:space="preserve">prowadnik prosty Expando 8 5mm stal     </v>
      </c>
      <c r="Z43" s="898" t="str">
        <f>CenAVS!B167</f>
        <v>177H3100E </v>
      </c>
      <c r="AA43" s="883" t="str">
        <f>CenAVS!C167</f>
        <v>NI</v>
      </c>
      <c r="AB43" s="665">
        <f t="shared" si="4"/>
        <v>0</v>
      </c>
      <c r="AC43" s="899">
        <f>CenAVS!F167</f>
        <v>1.8724499999999999</v>
      </c>
      <c r="AD43" s="900">
        <f t="shared" si="3"/>
        <v>0</v>
      </c>
      <c r="AE43" s="903">
        <f>IF($R$48=1, $U$12*$M$17, 0)</f>
        <v>0</v>
      </c>
      <c r="AF43" s="902">
        <f>$AC43*AE45</f>
        <v>0</v>
      </c>
      <c r="AG43" s="903">
        <f>IF($R$48=1, $U$23*$M$28, 0)</f>
        <v>0</v>
      </c>
      <c r="AH43" s="902">
        <f>$AC43*AG43</f>
        <v>0</v>
      </c>
      <c r="AI43" s="170"/>
      <c r="AJ43" s="170"/>
      <c r="AN43" s="37"/>
      <c r="AO43" s="37"/>
      <c r="AP43" s="37"/>
      <c r="AQ43" s="37"/>
    </row>
    <row r="44" spans="1:43" s="37" customFormat="1" ht="12.75" x14ac:dyDescent="0.2">
      <c r="B44" s="274"/>
      <c r="C44" s="255"/>
      <c r="D44" s="255"/>
      <c r="E44" s="255"/>
      <c r="F44" s="255"/>
      <c r="G44" s="255"/>
      <c r="H44" s="255"/>
      <c r="I44" s="255"/>
      <c r="J44" s="398"/>
      <c r="K44" s="398"/>
      <c r="L44" s="255"/>
      <c r="N44" s="37" t="str">
        <f>" max. 19.300! "&amp;ListAVS!$B$122</f>
        <v xml:space="preserve"> max. 19.300! Popraw wagę albo wysokość</v>
      </c>
      <c r="T44" s="37" t="str">
        <f>" min. "&amp;$AB$50&amp;"! "&amp;ListAVS!$B$122</f>
        <v xml:space="preserve"> min. 2700! Popraw wagę albo wysokość</v>
      </c>
      <c r="X44" s="108"/>
      <c r="Y44" s="898">
        <f>CenAVS!A169</f>
        <v>0</v>
      </c>
      <c r="Z44" s="898">
        <f>CenAVS!B169</f>
        <v>0</v>
      </c>
      <c r="AA44" s="883">
        <f>CenAVS!C169</f>
        <v>0</v>
      </c>
      <c r="AB44" s="665"/>
      <c r="AC44" s="899">
        <f>CenAVS!F169</f>
        <v>0</v>
      </c>
      <c r="AD44" s="900">
        <f t="shared" si="3"/>
        <v>0</v>
      </c>
      <c r="AE44" s="903"/>
      <c r="AF44" s="902">
        <f>$AC44*AE44</f>
        <v>0</v>
      </c>
      <c r="AG44" s="903"/>
      <c r="AH44" s="902">
        <f>$AC44*AG44</f>
        <v>0</v>
      </c>
      <c r="AI44" s="170"/>
      <c r="AJ44" s="170"/>
      <c r="AK44" s="108"/>
      <c r="AL44" s="108"/>
      <c r="AM44" s="137"/>
    </row>
    <row r="45" spans="1:43" s="37" customFormat="1" x14ac:dyDescent="0.2">
      <c r="N45" s="37" t="str">
        <f>" "&amp;ListAVS!$B$120</f>
        <v xml:space="preserve"> Dodatkowy trzeci siłownik</v>
      </c>
      <c r="O45" s="118"/>
      <c r="Q45" s="118"/>
      <c r="U45" s="37" t="str">
        <f>" "&amp;ListAVS!B127</f>
        <v xml:space="preserve"> Użyj tylko jeden podnośnik</v>
      </c>
      <c r="X45" s="108"/>
      <c r="Y45" s="898" t="str">
        <f>CenAVS!A171</f>
        <v xml:space="preserve">Aventos HF/HL/HS - Top Servo-Drive      </v>
      </c>
      <c r="Z45" s="898" t="str">
        <f>CenAVS!B171</f>
        <v>23.A000</v>
      </c>
      <c r="AA45" s="883" t="str">
        <f>CenAVS!C171</f>
        <v>R7037</v>
      </c>
      <c r="AB45" s="665">
        <f t="shared" si="4"/>
        <v>0</v>
      </c>
      <c r="AC45" s="899">
        <f>CenAVS!F171</f>
        <v>905.30219999999997</v>
      </c>
      <c r="AD45" s="900">
        <f t="shared" si="3"/>
        <v>0</v>
      </c>
      <c r="AE45" s="903">
        <f>IF($S$9=1, 0, $M$17)+IF(AND($S$9=2, $H$16&gt;$AB$52), $M$17, 0)</f>
        <v>0</v>
      </c>
      <c r="AF45" s="902">
        <f>$AC45*AE45</f>
        <v>0</v>
      </c>
      <c r="AG45" s="903">
        <f>IF($S$20=1, 0, $M$28)+IF(AND($S$20=2, $H$27&gt;$AB$52), $M$28, 0)</f>
        <v>0</v>
      </c>
      <c r="AH45" s="902">
        <f>$AC45*AG45</f>
        <v>0</v>
      </c>
      <c r="AI45" s="170"/>
      <c r="AJ45" s="170"/>
      <c r="AK45" s="108"/>
      <c r="AL45" s="108"/>
    </row>
    <row r="46" spans="1:43" s="37" customFormat="1" x14ac:dyDescent="0.2">
      <c r="N46" s="37" t="str">
        <f>ListAVS!$B$182</f>
        <v>Dodatkowy trzeci siłownik można zastosować jedynie z pełnym frontem dolnym!</v>
      </c>
      <c r="O46" s="118"/>
      <c r="Q46" s="118"/>
      <c r="X46" s="108"/>
      <c r="AG46" s="118"/>
      <c r="AI46" s="170"/>
      <c r="AJ46" s="170"/>
      <c r="AK46" s="108"/>
      <c r="AL46" s="108"/>
      <c r="AN46" s="137"/>
      <c r="AO46" s="137"/>
      <c r="AP46" s="137"/>
      <c r="AQ46" s="137"/>
    </row>
    <row r="47" spans="1:43" x14ac:dyDescent="0.2">
      <c r="A47" s="137"/>
      <c r="B47" s="144"/>
      <c r="Y47" s="37"/>
      <c r="Z47" s="37"/>
      <c r="AA47" s="37"/>
      <c r="AB47" s="37"/>
      <c r="AC47" s="144" t="str">
        <f>ListAVS!$B$61&amp;" "</f>
        <v xml:space="preserve">Cena całkowita bez VAT </v>
      </c>
      <c r="AD47" s="171">
        <f>SUM(AD9:AD45)</f>
        <v>0</v>
      </c>
      <c r="AE47" s="37"/>
      <c r="AF47" s="37">
        <f>SUM(AF9:AF46)</f>
        <v>0</v>
      </c>
      <c r="AG47" s="37"/>
      <c r="AH47" s="37">
        <f>SUM(AH9:AH46)</f>
        <v>0</v>
      </c>
      <c r="AI47" s="170"/>
      <c r="AJ47" s="170"/>
      <c r="AM47" s="37"/>
    </row>
    <row r="48" spans="1:43" x14ac:dyDescent="0.2">
      <c r="A48" s="137"/>
      <c r="N48" s="939">
        <v>2</v>
      </c>
      <c r="O48" s="298">
        <v>2</v>
      </c>
      <c r="P48" s="939">
        <v>2</v>
      </c>
      <c r="Q48" s="298">
        <v>2</v>
      </c>
      <c r="R48" s="117">
        <f>HF!$P$33</f>
        <v>1</v>
      </c>
      <c r="S48" s="194"/>
      <c r="T48" s="117">
        <f>MenuAVS!$P$28</f>
        <v>1</v>
      </c>
      <c r="Y48" s="897">
        <f>HF!$R$33</f>
        <v>1</v>
      </c>
      <c r="Z48" s="108" t="str">
        <f>Param!M10</f>
        <v>Parametry HF</v>
      </c>
      <c r="AI48" s="170"/>
      <c r="AJ48" s="170"/>
    </row>
    <row r="49" spans="2:43" x14ac:dyDescent="0.2">
      <c r="B49" s="316"/>
      <c r="C49" s="317"/>
      <c r="D49" s="317"/>
      <c r="E49" s="317"/>
      <c r="F49" s="317"/>
      <c r="G49" s="317"/>
      <c r="I49" s="317"/>
      <c r="J49" s="317"/>
      <c r="N49" s="153" t="s">
        <v>7</v>
      </c>
      <c r="O49" s="39" t="s">
        <v>67</v>
      </c>
      <c r="P49" s="153" t="s">
        <v>8</v>
      </c>
      <c r="Q49" s="39" t="s">
        <v>67</v>
      </c>
      <c r="R49" s="153" t="s">
        <v>9</v>
      </c>
      <c r="T49" s="153" t="s">
        <v>6</v>
      </c>
      <c r="W49" s="154" t="s">
        <v>57</v>
      </c>
      <c r="Y49" s="896" t="s">
        <v>676</v>
      </c>
      <c r="Z49" s="108" t="str">
        <f>Param!M11</f>
        <v>Zdvihač</v>
      </c>
      <c r="AA49" s="108" t="str">
        <f>Param!N11</f>
        <v>ks</v>
      </c>
      <c r="AB49" s="108" t="str">
        <f>Param!O11</f>
        <v>min</v>
      </c>
      <c r="AC49" s="108" t="str">
        <f>Param!P11</f>
        <v>max</v>
      </c>
      <c r="AD49" s="108" t="str">
        <f>Param!Q11</f>
        <v>alu max.</v>
      </c>
      <c r="AI49" s="37"/>
      <c r="AJ49" s="37"/>
    </row>
    <row r="50" spans="2:43" x14ac:dyDescent="0.2">
      <c r="B50" s="317"/>
      <c r="C50" s="317"/>
      <c r="D50" s="317"/>
      <c r="E50" s="317"/>
      <c r="F50" s="317"/>
      <c r="G50" s="317"/>
      <c r="I50" s="317"/>
      <c r="J50" s="317"/>
      <c r="N50" s="37" t="str">
        <f>ListAVS!$B$134</f>
        <v>Expando</v>
      </c>
      <c r="P50" s="37" t="str">
        <f>ListAVS!$B$134</f>
        <v>Expando</v>
      </c>
      <c r="R50" s="37" t="str">
        <f>ListAVS!$B$134</f>
        <v>Expando</v>
      </c>
      <c r="T50" s="37" t="str">
        <f>ListAVS!$B$146</f>
        <v>Jasnoszary (HGR)</v>
      </c>
      <c r="W50" s="149" t="s">
        <v>58</v>
      </c>
      <c r="Y50" s="108" t="s">
        <v>105</v>
      </c>
      <c r="Z50" s="108" t="str">
        <f>Param!M12</f>
        <v>22F2500</v>
      </c>
      <c r="AA50" s="108">
        <f>Param!N12</f>
        <v>1</v>
      </c>
      <c r="AB50" s="108">
        <f>Param!O12</f>
        <v>2700</v>
      </c>
      <c r="AC50" s="108">
        <f>Param!P12</f>
        <v>11500</v>
      </c>
      <c r="AI50" s="37"/>
      <c r="AJ50" s="37"/>
    </row>
    <row r="51" spans="2:43" x14ac:dyDescent="0.2">
      <c r="B51" s="316"/>
      <c r="C51" s="317"/>
      <c r="D51" s="317"/>
      <c r="E51" s="317"/>
      <c r="F51" s="317"/>
      <c r="G51" s="317"/>
      <c r="I51" s="317"/>
      <c r="J51" s="317"/>
      <c r="N51" s="37" t="str">
        <f>ListAVS!$B$135</f>
        <v>na wkręty</v>
      </c>
      <c r="P51" s="37" t="str">
        <f>ListAVS!$B$135</f>
        <v>na wkręty</v>
      </c>
      <c r="R51" s="37" t="str">
        <f>ListAVS!$B$135</f>
        <v>na wkręty</v>
      </c>
      <c r="T51" s="37" t="str">
        <f>ListAVS!$B$147</f>
        <v>Ciemnoszary (TGR)</v>
      </c>
      <c r="W51" s="149" t="s">
        <v>59</v>
      </c>
      <c r="Y51" s="108" t="s">
        <v>678</v>
      </c>
      <c r="Z51" s="108" t="str">
        <f>Param!M13</f>
        <v>22F2800</v>
      </c>
      <c r="AA51" s="108">
        <f>Param!N13</f>
        <v>1</v>
      </c>
      <c r="AB51" s="108">
        <f>Param!O13</f>
        <v>11500</v>
      </c>
      <c r="AC51" s="108">
        <f>Param!P13</f>
        <v>19300</v>
      </c>
      <c r="AD51" s="108">
        <f>Param!Q13</f>
        <v>19300</v>
      </c>
      <c r="AI51" s="37"/>
      <c r="AJ51" s="37"/>
    </row>
    <row r="52" spans="2:43" x14ac:dyDescent="0.2">
      <c r="B52" s="144"/>
      <c r="C52" s="317"/>
      <c r="T52" s="37" t="str">
        <f>ListAVS!$B$148</f>
        <v>Jedwabiście biały (SW)</v>
      </c>
      <c r="Z52" s="108" t="str">
        <f>Param!M14</f>
        <v>22F2800</v>
      </c>
      <c r="AA52" s="108">
        <f>Param!N14</f>
        <v>1.5</v>
      </c>
      <c r="AB52" s="108">
        <f>Param!O14</f>
        <v>19300</v>
      </c>
      <c r="AC52" s="108">
        <f>Param!P14</f>
        <v>28950</v>
      </c>
      <c r="AD52" s="108">
        <f>Param!Q14</f>
        <v>0</v>
      </c>
    </row>
    <row r="53" spans="2:43" x14ac:dyDescent="0.2">
      <c r="B53" s="144"/>
      <c r="N53" s="37" t="str">
        <f>ListAVS!B188</f>
        <v>W celu określenia rodzaju siłownika będzie wykorzystana podana waga</v>
      </c>
      <c r="Z53" s="108" t="str">
        <f>Param!M17</f>
        <v>Teleskop</v>
      </c>
      <c r="AB53" s="108" t="str">
        <f>Param!O17</f>
        <v>min</v>
      </c>
      <c r="AC53" s="108" t="str">
        <f>Param!P17</f>
        <v>max</v>
      </c>
      <c r="AD53" s="108">
        <f>Param!Q17</f>
        <v>0</v>
      </c>
    </row>
    <row r="54" spans="2:43" x14ac:dyDescent="0.2">
      <c r="B54" s="155"/>
      <c r="D54" s="155"/>
      <c r="E54" s="155"/>
      <c r="F54" s="155"/>
      <c r="G54" s="155"/>
      <c r="I54" s="155"/>
      <c r="J54" s="155"/>
      <c r="N54" s="37" t="str">
        <f>ListAVS!B189</f>
        <v>W celu określenia rodzaju siłownika będzie wykorzystana obliczona waga</v>
      </c>
      <c r="Z54" s="108" t="str">
        <f>Param!M18</f>
        <v>20F3200</v>
      </c>
      <c r="AA54" s="108">
        <f>Param!N18</f>
        <v>0</v>
      </c>
      <c r="AB54" s="108">
        <f>Param!O18</f>
        <v>480</v>
      </c>
      <c r="AC54" s="108">
        <f>Param!P18</f>
        <v>605</v>
      </c>
      <c r="AD54" s="108">
        <f>Param!Q18</f>
        <v>0</v>
      </c>
    </row>
    <row r="55" spans="2:43" x14ac:dyDescent="0.2">
      <c r="N55" s="37" t="str">
        <f>". "&amp;ListAVS!$B$190</f>
        <v>. Jeżeli chcesz wykorzystać obliczoną wagę, zmaż podaną wartość</v>
      </c>
      <c r="Z55" s="108" t="str">
        <f>Param!M19</f>
        <v>20F3500</v>
      </c>
      <c r="AA55" s="108">
        <f>Param!N19</f>
        <v>0</v>
      </c>
      <c r="AB55" s="108">
        <f>Param!O19</f>
        <v>605</v>
      </c>
      <c r="AC55" s="108">
        <f>Param!P19</f>
        <v>890</v>
      </c>
      <c r="AD55" s="108">
        <f>Param!Q19</f>
        <v>0</v>
      </c>
      <c r="AQ55" s="37"/>
    </row>
    <row r="56" spans="2:43" s="37" customFormat="1" x14ac:dyDescent="0.2">
      <c r="N56" s="37" t="str">
        <f>". "&amp;ListAVS!$B$191</f>
        <v>. Jeżeli chcesz wykorzystać podaną wagą, wpisz ją w pole</v>
      </c>
      <c r="X56" s="108"/>
      <c r="Y56" s="108"/>
      <c r="Z56" s="108" t="str">
        <f>Param!M20</f>
        <v>20F3900</v>
      </c>
      <c r="AA56" s="108">
        <f>Param!N20</f>
        <v>0</v>
      </c>
      <c r="AB56" s="108">
        <f>Param!O20</f>
        <v>890</v>
      </c>
      <c r="AC56" s="108">
        <f>Param!P20</f>
        <v>1200</v>
      </c>
      <c r="AD56" s="108">
        <f>Param!Q20</f>
        <v>0</v>
      </c>
      <c r="AE56" s="108"/>
      <c r="AF56" s="108"/>
      <c r="AG56" s="108"/>
      <c r="AH56" s="108"/>
      <c r="AI56" s="108"/>
      <c r="AJ56" s="108"/>
      <c r="AK56" s="108"/>
      <c r="AL56" s="108"/>
      <c r="AM56" s="137"/>
      <c r="AN56" s="137"/>
      <c r="AO56" s="137"/>
      <c r="AP56" s="137"/>
    </row>
    <row r="57" spans="2:43" s="37" customFormat="1" x14ac:dyDescent="0.2">
      <c r="N57" s="37">
        <f>ListAVS!B192</f>
        <v>0</v>
      </c>
      <c r="X57" s="108"/>
      <c r="Y57" s="108"/>
      <c r="Z57" s="108"/>
      <c r="AA57" s="108"/>
      <c r="AB57" s="108" t="str">
        <f>Param!O21</f>
        <v>max.</v>
      </c>
      <c r="AC57" s="108">
        <f>Param!P21</f>
        <v>1200</v>
      </c>
      <c r="AD57" s="108">
        <f>Param!Q21</f>
        <v>0</v>
      </c>
      <c r="AE57" s="108"/>
      <c r="AF57" s="108"/>
      <c r="AG57" s="108"/>
      <c r="AH57" s="108"/>
      <c r="AI57" s="108"/>
      <c r="AJ57" s="108"/>
      <c r="AK57" s="108"/>
      <c r="AL57" s="108"/>
      <c r="AM57" s="137"/>
      <c r="AN57" s="137"/>
      <c r="AO57" s="137"/>
      <c r="AP57" s="137"/>
      <c r="AQ57" s="137"/>
    </row>
    <row r="58" spans="2:43" x14ac:dyDescent="0.2">
      <c r="N58" s="37" t="str">
        <f>ListAVS!B193</f>
        <v>Do wyboru podnośnika teleskopowego zostanie wykorzystana teoretyczna wysokość TKH</v>
      </c>
    </row>
    <row r="59" spans="2:43" x14ac:dyDescent="0.2">
      <c r="N59" s="37" t="str">
        <f>ListAVS!B194</f>
        <v xml:space="preserve">Wysokość teoretyczna TKH nie może być mniejsza niż KH </v>
      </c>
    </row>
    <row r="62" spans="2:43" ht="12.75" x14ac:dyDescent="0.2">
      <c r="H62" s="227"/>
      <c r="Y62" s="36"/>
      <c r="Z62" s="36"/>
      <c r="AA62" s="36"/>
      <c r="AB62" s="36"/>
      <c r="AC62" s="36"/>
      <c r="AD62" s="36"/>
      <c r="AE62" s="36"/>
      <c r="AF62" s="36"/>
      <c r="AG62" s="36"/>
      <c r="AH62" s="36"/>
    </row>
    <row r="63" spans="2:43" x14ac:dyDescent="0.2">
      <c r="Y63" s="36"/>
      <c r="Z63" s="36"/>
      <c r="AA63" s="36"/>
      <c r="AB63" s="36"/>
      <c r="AC63" s="36"/>
      <c r="AD63" s="36"/>
      <c r="AE63" s="36"/>
      <c r="AF63" s="36"/>
      <c r="AG63" s="36"/>
      <c r="AH63" s="36"/>
    </row>
    <row r="64" spans="2:43" x14ac:dyDescent="0.2">
      <c r="Y64" s="36"/>
      <c r="Z64" s="36"/>
      <c r="AA64" s="36"/>
      <c r="AB64" s="36"/>
      <c r="AC64" s="36"/>
      <c r="AD64" s="36"/>
      <c r="AE64" s="36"/>
      <c r="AF64" s="36"/>
      <c r="AG64" s="36"/>
      <c r="AH64" s="36"/>
    </row>
    <row r="65" spans="1:43" x14ac:dyDescent="0.2">
      <c r="P65" s="149"/>
      <c r="Y65" s="36"/>
      <c r="Z65" s="36"/>
      <c r="AA65" s="36"/>
      <c r="AB65" s="36"/>
      <c r="AC65" s="36"/>
      <c r="AD65" s="36"/>
      <c r="AE65" s="36"/>
      <c r="AF65" s="36"/>
      <c r="AG65" s="36"/>
      <c r="AH65" s="36"/>
    </row>
    <row r="66" spans="1:43" x14ac:dyDescent="0.2">
      <c r="Y66" s="36"/>
      <c r="Z66" s="36"/>
      <c r="AA66" s="36"/>
      <c r="AB66" s="36"/>
      <c r="AC66" s="36"/>
      <c r="AD66" s="36"/>
      <c r="AE66" s="36"/>
      <c r="AF66" s="36"/>
      <c r="AG66" s="36"/>
      <c r="AH66" s="36"/>
    </row>
    <row r="67" spans="1:43" x14ac:dyDescent="0.2">
      <c r="Y67" s="36"/>
      <c r="Z67" s="36"/>
      <c r="AA67" s="36"/>
      <c r="AB67" s="36"/>
      <c r="AC67" s="36"/>
      <c r="AD67" s="36"/>
      <c r="AE67" s="36"/>
      <c r="AF67" s="36"/>
      <c r="AG67" s="36"/>
      <c r="AH67" s="36"/>
    </row>
    <row r="70" spans="1:43" x14ac:dyDescent="0.2">
      <c r="N70" s="172" t="str">
        <f>ListAVS!$B$73</f>
        <v>Obliczanie wagi frontów</v>
      </c>
      <c r="O70" s="173"/>
      <c r="P70" s="173"/>
      <c r="Q70" s="173"/>
      <c r="R70" s="173"/>
      <c r="X70" s="37"/>
      <c r="Y70" s="37"/>
      <c r="Z70" s="118"/>
      <c r="AA70" s="37"/>
      <c r="AB70" s="118"/>
      <c r="AC70" s="37"/>
      <c r="AD70" s="37"/>
      <c r="AE70" s="37"/>
      <c r="AF70" s="37"/>
      <c r="AG70" s="37"/>
      <c r="AH70" s="37"/>
    </row>
    <row r="71" spans="1:43" ht="15.75" customHeight="1" x14ac:dyDescent="0.2">
      <c r="O71" s="174" t="str">
        <f>ListAVS!$B$180&amp;"  "</f>
        <v xml:space="preserve">Wykonanie frontów  </v>
      </c>
      <c r="Q71" s="37"/>
      <c r="T71" s="300">
        <f>J4</f>
        <v>0</v>
      </c>
      <c r="U71" s="175" t="str">
        <f>IF(AF77=3,IF(T71=0,Y74," "),IF(T71&gt;0,Y75," "))</f>
        <v xml:space="preserve"> </v>
      </c>
      <c r="X71" s="37"/>
      <c r="Y71" s="149" t="str">
        <f>IF($AF$77=1,$AF$94,IF($AF$77=2,$AF$95,$AF$96&amp;" -  "&amp;$T$71&amp;"mm"))</f>
        <v>Ramki aluminiowe z 4mm szkłem</v>
      </c>
      <c r="Z71" s="118"/>
      <c r="AA71" s="37"/>
      <c r="AB71" s="118"/>
      <c r="AC71" s="37"/>
      <c r="AD71" s="328">
        <f>MenuAVS!$Q$81</f>
        <v>2500</v>
      </c>
      <c r="AE71" s="37"/>
      <c r="AF71" s="37"/>
      <c r="AG71" s="37"/>
      <c r="AH71" s="37"/>
    </row>
    <row r="72" spans="1:43" ht="15.75" customHeight="1" x14ac:dyDescent="0.2">
      <c r="O72" s="37"/>
      <c r="Q72" s="37"/>
      <c r="X72" s="37"/>
      <c r="Y72" s="37" t="str">
        <f>" "&amp;ListAVS!$B$244</f>
        <v xml:space="preserve"> Zmień masę objętościową</v>
      </c>
      <c r="Z72" s="118"/>
      <c r="AA72" s="37"/>
      <c r="AB72" s="118"/>
      <c r="AC72" s="37"/>
      <c r="AD72" s="37"/>
      <c r="AE72" s="37"/>
      <c r="AF72" s="37"/>
      <c r="AG72" s="37"/>
      <c r="AH72" s="37"/>
    </row>
    <row r="73" spans="1:43" x14ac:dyDescent="0.2">
      <c r="N73" s="137"/>
      <c r="O73" s="37"/>
      <c r="Q73" s="37"/>
      <c r="X73" s="37"/>
      <c r="Y73" s="37" t="str">
        <f>" "&amp;ListAVS!$B$245&amp;" [kg/m3]"</f>
        <v xml:space="preserve"> Podaj masę objętościową [kg/m3]</v>
      </c>
      <c r="Z73" s="118"/>
      <c r="AA73" s="37"/>
      <c r="AB73" s="118"/>
      <c r="AC73" s="37"/>
      <c r="AD73" s="37"/>
      <c r="AE73" s="37"/>
      <c r="AF73" s="37"/>
      <c r="AG73" s="37"/>
      <c r="AH73" s="37"/>
    </row>
    <row r="74" spans="1:43" x14ac:dyDescent="0.2">
      <c r="N74" s="137"/>
      <c r="O74" s="37"/>
      <c r="Q74" s="37"/>
      <c r="X74" s="37"/>
      <c r="Y74" s="37" t="str">
        <f>" "&amp;ListAVS!$B$246&amp;" [mm]"</f>
        <v xml:space="preserve"> Podaj grubość szkła [mm]</v>
      </c>
      <c r="Z74" s="118"/>
      <c r="AA74" s="37"/>
      <c r="AB74" s="118"/>
      <c r="AC74" s="37"/>
      <c r="AD74" s="37"/>
      <c r="AE74" s="37"/>
      <c r="AF74" s="37"/>
      <c r="AG74" s="37"/>
      <c r="AH74" s="37"/>
    </row>
    <row r="75" spans="1:43" x14ac:dyDescent="0.2">
      <c r="O75" s="37"/>
      <c r="Q75" s="37"/>
      <c r="X75" s="37"/>
      <c r="Y75" s="37" t="str">
        <f>" "&amp;ListAVS!$B$241&amp;" '"&amp;ListAVS!$B$95&amp;"'"</f>
        <v xml:space="preserve"> Wartość obowiązuje tylko dla opcji 'Ramki aluminiowe z innym szkłem'</v>
      </c>
      <c r="Z75" s="118"/>
      <c r="AA75" s="37"/>
      <c r="AB75" s="118"/>
      <c r="AC75" s="37"/>
      <c r="AD75" s="37"/>
      <c r="AE75" s="37"/>
      <c r="AF75" s="37"/>
      <c r="AG75" s="37"/>
      <c r="AH75" s="37"/>
    </row>
    <row r="76" spans="1:43" ht="15.75" customHeight="1" x14ac:dyDescent="0.2">
      <c r="N76" s="1099"/>
      <c r="O76" s="1099"/>
      <c r="P76" s="1099"/>
      <c r="Q76" s="1100"/>
      <c r="R76" s="1082" t="str">
        <f>D9</f>
        <v xml:space="preserve"> </v>
      </c>
      <c r="S76" s="1083"/>
      <c r="T76" s="1084"/>
      <c r="X76" s="37"/>
      <c r="Y76" s="37" t="str">
        <f>" "&amp;ListAVS!$B$410</f>
        <v xml:space="preserve"> Możesz zmienić wartości we Wstępie do planowania</v>
      </c>
      <c r="Z76" s="118"/>
      <c r="AA76" s="37"/>
      <c r="AB76" s="118"/>
      <c r="AC76" s="37"/>
      <c r="AD76" s="209"/>
      <c r="AE76" s="601" t="s">
        <v>68</v>
      </c>
      <c r="AF76" s="601" t="s">
        <v>69</v>
      </c>
      <c r="AG76" s="601" t="s">
        <v>70</v>
      </c>
      <c r="AH76" s="37"/>
      <c r="AQ76" s="118"/>
    </row>
    <row r="77" spans="1:43" s="118" customFormat="1" ht="13.5" customHeight="1" x14ac:dyDescent="0.2">
      <c r="A77" s="37"/>
      <c r="N77" s="1125" t="str">
        <f>ListAVS!$B$74&amp;" KB [mm]       "</f>
        <v xml:space="preserve">Szerokość korpusu KB [mm]       </v>
      </c>
      <c r="O77" s="1126"/>
      <c r="P77" s="1126"/>
      <c r="Q77" s="1126"/>
      <c r="R77" s="1126"/>
      <c r="S77" s="1127"/>
      <c r="T77" s="300">
        <f>H10</f>
        <v>0</v>
      </c>
      <c r="U77" s="108"/>
      <c r="W77" s="37"/>
      <c r="X77" s="37"/>
      <c r="Y77" s="37">
        <f>T77*T78*T79</f>
        <v>0</v>
      </c>
      <c r="Z77" s="37"/>
      <c r="AA77" s="37"/>
      <c r="AC77" s="37"/>
      <c r="AD77" s="325">
        <f>IF($AG$77=1,$X$94,$X$95)</f>
        <v>0.31</v>
      </c>
      <c r="AE77" s="326">
        <f>$X$96*2</f>
        <v>0.92</v>
      </c>
      <c r="AF77" s="327">
        <v>1</v>
      </c>
      <c r="AG77" s="328">
        <f>$O$4</f>
        <v>1</v>
      </c>
      <c r="AH77" s="37"/>
      <c r="AJ77" s="108"/>
      <c r="AK77" s="108"/>
      <c r="AL77" s="108"/>
      <c r="AM77" s="137"/>
      <c r="AN77" s="137"/>
      <c r="AO77" s="137"/>
      <c r="AP77" s="137"/>
    </row>
    <row r="78" spans="1:43" s="118" customFormat="1" ht="13.5" customHeight="1" x14ac:dyDescent="0.2">
      <c r="A78" s="37"/>
      <c r="N78" s="1125" t="str">
        <f>ListAVS!$B$75&amp;" KH [mm]       "</f>
        <v xml:space="preserve">Wysokość korpusu KH [mm]       </v>
      </c>
      <c r="O78" s="1126"/>
      <c r="P78" s="1126"/>
      <c r="Q78" s="1126"/>
      <c r="R78" s="1126"/>
      <c r="S78" s="1127"/>
      <c r="T78" s="300">
        <f>H11</f>
        <v>0</v>
      </c>
      <c r="U78" s="108"/>
      <c r="W78" s="37"/>
      <c r="X78" s="37"/>
      <c r="Y78" s="37">
        <f>Y77/1000000000</f>
        <v>0</v>
      </c>
      <c r="Z78" s="117">
        <f>AF77</f>
        <v>1</v>
      </c>
      <c r="AC78" s="37"/>
      <c r="AD78" s="153" t="s">
        <v>71</v>
      </c>
      <c r="AE78" s="329">
        <f>SUM(T77*4,(T78-80)*2)*AD77/1000</f>
        <v>-4.9599999999999998E-2</v>
      </c>
      <c r="AF78" s="601" t="s">
        <v>72</v>
      </c>
      <c r="AG78" s="601"/>
      <c r="AH78" s="37"/>
      <c r="AJ78" s="108"/>
      <c r="AK78" s="108"/>
      <c r="AL78" s="108"/>
      <c r="AM78" s="137"/>
      <c r="AN78" s="137"/>
      <c r="AO78" s="137"/>
      <c r="AP78" s="137"/>
    </row>
    <row r="79" spans="1:43" s="118" customFormat="1" ht="13.5" customHeight="1" x14ac:dyDescent="0.2">
      <c r="A79" s="37"/>
      <c r="N79" s="1131" t="str">
        <f>ListAVS!$B$80&amp;" TS [mm] "</f>
        <v xml:space="preserve">Grubość frontu TS [mm] </v>
      </c>
      <c r="O79" s="1132"/>
      <c r="P79" s="1132"/>
      <c r="Q79" s="1132"/>
      <c r="R79" s="1132"/>
      <c r="S79" s="1133"/>
      <c r="T79" s="300"/>
      <c r="U79" s="130"/>
      <c r="W79" s="37"/>
      <c r="X79" s="37"/>
      <c r="Y79" s="319">
        <f>MenuAVS!$C$31</f>
        <v>760</v>
      </c>
      <c r="Z79" s="175" t="str">
        <f>ListAVS!$B$90&amp;" ("&amp;Y79&amp;" kg/m3)"</f>
        <v>MDF (760 kg/m3)</v>
      </c>
      <c r="AC79" s="37"/>
      <c r="AD79" s="209">
        <f>$AD$71*4/1000</f>
        <v>10</v>
      </c>
      <c r="AE79" s="330">
        <f>IF($AG$77=1,AF79*AD79,AG79*AD79)</f>
        <v>1.7999999999999999E-2</v>
      </c>
      <c r="AF79" s="329">
        <f>SUM(($T$77-30)*($T$78-60)/1000000)</f>
        <v>1.8E-3</v>
      </c>
      <c r="AG79" s="331">
        <f>SUM(($T$77-6)*($T$78-15)/1000000)</f>
        <v>9.0000000000000006E-5</v>
      </c>
      <c r="AH79" s="208" t="s">
        <v>73</v>
      </c>
      <c r="AJ79" s="108"/>
      <c r="AK79" s="108"/>
      <c r="AL79" s="108"/>
      <c r="AM79" s="137"/>
      <c r="AN79" s="137"/>
      <c r="AO79" s="137"/>
      <c r="AP79" s="137"/>
    </row>
    <row r="80" spans="1:43" s="118" customFormat="1" ht="13.5" customHeight="1" x14ac:dyDescent="0.2">
      <c r="A80" s="37"/>
      <c r="N80" s="1079" t="str">
        <f>ListAVS!$B$83&amp;" [kg] "</f>
        <v xml:space="preserve">Waga uchwytu [kg] </v>
      </c>
      <c r="O80" s="1080"/>
      <c r="P80" s="1080"/>
      <c r="Q80" s="1080"/>
      <c r="R80" s="1080"/>
      <c r="S80" s="1081"/>
      <c r="T80" s="300">
        <f>H14</f>
        <v>0</v>
      </c>
      <c r="U80" s="130" t="str">
        <f>IF(SUM(T77,T78)=0," ",IF(T80=0," ● "&amp;ListAVS!$B$130," "))</f>
        <v xml:space="preserve"> </v>
      </c>
      <c r="W80" s="37"/>
      <c r="X80" s="37"/>
      <c r="Y80" s="319">
        <f>MenuAVS!$C$32</f>
        <v>680</v>
      </c>
      <c r="Z80" s="175" t="str">
        <f>ListAVS!$B$91&amp;" ("&amp;Y80&amp;" kg/m3)"</f>
        <v>Płyta wiórowa (680 kg/m3)</v>
      </c>
      <c r="AC80" s="37"/>
      <c r="AD80" s="209">
        <f>$AD$71*5/1000</f>
        <v>12.5</v>
      </c>
      <c r="AE80" s="330">
        <f>IF($AG$77=1,AF80*AD80,AG80*AD80)</f>
        <v>2.2499999999999999E-2</v>
      </c>
      <c r="AF80" s="329">
        <f>SUM(($T$77-30)*($T$78-60)/1000000)</f>
        <v>1.8E-3</v>
      </c>
      <c r="AG80" s="331">
        <f>SUM(($T$77-6)*($T$78-15)/1000000)</f>
        <v>9.0000000000000006E-5</v>
      </c>
      <c r="AH80" s="208" t="s">
        <v>74</v>
      </c>
      <c r="AJ80" s="108"/>
      <c r="AK80" s="108"/>
      <c r="AL80" s="108"/>
      <c r="AM80" s="137"/>
      <c r="AN80" s="137"/>
      <c r="AO80" s="137"/>
      <c r="AP80" s="137"/>
    </row>
    <row r="81" spans="1:43" s="118" customFormat="1" ht="13.5" customHeight="1" x14ac:dyDescent="0.2">
      <c r="A81" s="37"/>
      <c r="N81" s="1079" t="str">
        <f>ListAVS!$B$79&amp;" [kg] "</f>
        <v xml:space="preserve">Obliczona waga frontu [kg] </v>
      </c>
      <c r="O81" s="1080"/>
      <c r="P81" s="1080"/>
      <c r="Q81" s="1080"/>
      <c r="R81" s="1080"/>
      <c r="S81" s="1081"/>
      <c r="T81" s="185">
        <f>IF(AD82=0,0,AD82+T80)</f>
        <v>0</v>
      </c>
      <c r="U81" s="119"/>
      <c r="W81" s="37"/>
      <c r="X81" s="186">
        <f>IF(T77*T78*T79=0,0,IF(Z78=1,Y78*Y79+T80,IF(Z78=2,Y78*Y80+T80,Y78*Y81+T80)))</f>
        <v>0</v>
      </c>
      <c r="Y81" s="37">
        <f>$T$71</f>
        <v>0</v>
      </c>
      <c r="Z81" s="175" t="str">
        <f>ListAVS!$B$92</f>
        <v>Inne – wybrana gęstość materiału</v>
      </c>
      <c r="AC81" s="37"/>
      <c r="AD81" s="209">
        <f>$AD$71*$T$71/1000</f>
        <v>0</v>
      </c>
      <c r="AE81" s="330">
        <f>IF($AG$77=1,AF81*AD81,AG81*AD81)</f>
        <v>0</v>
      </c>
      <c r="AF81" s="329">
        <f>SUM(($T$77-30)*($T$78-60)/1000000)</f>
        <v>1.8E-3</v>
      </c>
      <c r="AG81" s="331">
        <f>SUM(($T$77-6)*($T$78-15)/1000000)</f>
        <v>9.0000000000000006E-5</v>
      </c>
      <c r="AH81" s="208" t="s">
        <v>75</v>
      </c>
      <c r="AJ81" s="108"/>
      <c r="AK81" s="108"/>
      <c r="AL81" s="108"/>
      <c r="AM81" s="137"/>
      <c r="AN81" s="137"/>
      <c r="AO81" s="137"/>
      <c r="AP81" s="137"/>
      <c r="AQ81" s="137"/>
    </row>
    <row r="82" spans="1:43" ht="13.5" customHeight="1" x14ac:dyDescent="0.2">
      <c r="O82" s="142" t="str">
        <f>IF(T81&gt;0,IF(T80=0,$Z$94," ")," ")</f>
        <v xml:space="preserve"> </v>
      </c>
      <c r="Q82" s="37"/>
      <c r="U82" s="130"/>
      <c r="X82" s="37"/>
      <c r="Y82" s="37"/>
      <c r="Z82" s="118"/>
      <c r="AA82" s="37"/>
      <c r="AB82" s="118"/>
      <c r="AC82" s="37"/>
      <c r="AD82" s="332">
        <f>IF(OR(AND(AF77=3, $T$71=0), T77*T78=0), 0, SUM(IF(AF77=1,AE79,IF(AF77=2,AE80,AE81)),AE78,AE77))</f>
        <v>0</v>
      </c>
      <c r="AE82" s="37"/>
      <c r="AF82" s="37"/>
      <c r="AG82" s="37"/>
      <c r="AH82" s="37"/>
    </row>
    <row r="83" spans="1:43" x14ac:dyDescent="0.2">
      <c r="O83" s="37"/>
      <c r="Q83" s="37"/>
      <c r="X83" s="37"/>
      <c r="Y83" s="37"/>
      <c r="Z83" s="118"/>
      <c r="AA83" s="37"/>
      <c r="AB83" s="118"/>
      <c r="AC83" s="37"/>
      <c r="AD83" s="37"/>
      <c r="AE83" s="37"/>
      <c r="AF83" s="37"/>
      <c r="AG83" s="37"/>
      <c r="AH83" s="37"/>
      <c r="AQ83" s="118"/>
    </row>
    <row r="84" spans="1:43" s="118" customFormat="1" x14ac:dyDescent="0.2">
      <c r="A84" s="37"/>
      <c r="N84" s="37"/>
      <c r="O84" s="37"/>
      <c r="P84" s="37"/>
      <c r="Q84" s="37"/>
      <c r="R84" s="37"/>
      <c r="S84" s="37"/>
      <c r="T84" s="37"/>
      <c r="U84" s="37"/>
      <c r="V84" s="37"/>
      <c r="W84" s="37"/>
      <c r="X84" s="37"/>
      <c r="Y84" s="37"/>
      <c r="AA84" s="37"/>
      <c r="AC84" s="37"/>
      <c r="AD84" s="37"/>
      <c r="AE84" s="37"/>
      <c r="AF84" s="37"/>
      <c r="AG84" s="37"/>
      <c r="AH84" s="37"/>
      <c r="AJ84" s="108"/>
      <c r="AK84" s="108"/>
      <c r="AL84" s="108"/>
      <c r="AM84" s="137"/>
      <c r="AN84" s="137"/>
      <c r="AO84" s="137"/>
      <c r="AP84" s="137"/>
    </row>
    <row r="85" spans="1:43" s="118" customFormat="1" ht="15.75" customHeight="1" x14ac:dyDescent="0.2">
      <c r="A85" s="37"/>
      <c r="Q85" s="37"/>
      <c r="R85" s="1082" t="str">
        <f>D20</f>
        <v xml:space="preserve"> </v>
      </c>
      <c r="S85" s="1083"/>
      <c r="T85" s="1084"/>
      <c r="U85" s="37"/>
      <c r="V85" s="37"/>
      <c r="W85" s="37"/>
      <c r="X85" s="37"/>
      <c r="AA85" s="37"/>
      <c r="AC85" s="37"/>
      <c r="AD85" s="209"/>
      <c r="AE85" s="601" t="s">
        <v>68</v>
      </c>
      <c r="AF85" s="601" t="s">
        <v>69</v>
      </c>
      <c r="AG85" s="601" t="s">
        <v>70</v>
      </c>
      <c r="AH85" s="37"/>
      <c r="AJ85" s="108"/>
      <c r="AK85" s="108"/>
      <c r="AL85" s="108"/>
      <c r="AM85" s="137"/>
      <c r="AN85" s="137"/>
      <c r="AO85" s="137"/>
      <c r="AP85" s="137"/>
    </row>
    <row r="86" spans="1:43" s="118" customFormat="1" ht="13.5" customHeight="1" x14ac:dyDescent="0.2">
      <c r="A86" s="37"/>
      <c r="N86" s="1125" t="str">
        <f>ListAVS!$B$74&amp;" KB [mm]       "</f>
        <v xml:space="preserve">Szerokość korpusu KB [mm]       </v>
      </c>
      <c r="O86" s="1126"/>
      <c r="P86" s="1126"/>
      <c r="Q86" s="1126"/>
      <c r="R86" s="1126"/>
      <c r="S86" s="1127"/>
      <c r="T86" s="300">
        <f>H21</f>
        <v>0</v>
      </c>
      <c r="U86" s="108"/>
      <c r="V86" s="37"/>
      <c r="W86" s="37"/>
      <c r="X86" s="37"/>
      <c r="Y86" s="37">
        <f>T86*T87*T88</f>
        <v>0</v>
      </c>
      <c r="Z86" s="37"/>
      <c r="AA86" s="37"/>
      <c r="AC86" s="37"/>
      <c r="AD86" s="325">
        <f>IF($AG$77=1,$X$94,$X$95)</f>
        <v>0.31</v>
      </c>
      <c r="AE86" s="326">
        <f>$X$96*2</f>
        <v>0.92</v>
      </c>
      <c r="AF86" s="333">
        <f>$AF$77</f>
        <v>1</v>
      </c>
      <c r="AG86" s="328">
        <f>$AG$77</f>
        <v>1</v>
      </c>
      <c r="AH86" s="37"/>
      <c r="AJ86" s="108"/>
      <c r="AK86" s="108"/>
      <c r="AL86" s="108"/>
      <c r="AM86" s="137"/>
      <c r="AN86" s="137"/>
      <c r="AO86" s="137"/>
      <c r="AP86" s="137"/>
    </row>
    <row r="87" spans="1:43" s="118" customFormat="1" ht="13.5" customHeight="1" x14ac:dyDescent="0.2">
      <c r="A87" s="37"/>
      <c r="N87" s="1125" t="str">
        <f>ListAVS!$B$75&amp;" KH [mm]       "</f>
        <v xml:space="preserve">Wysokość korpusu KH [mm]       </v>
      </c>
      <c r="O87" s="1126"/>
      <c r="P87" s="1126"/>
      <c r="Q87" s="1126"/>
      <c r="R87" s="1126"/>
      <c r="S87" s="1127"/>
      <c r="T87" s="300">
        <f>H22</f>
        <v>0</v>
      </c>
      <c r="U87" s="108"/>
      <c r="V87" s="37"/>
      <c r="W87" s="37"/>
      <c r="X87" s="37"/>
      <c r="Y87" s="37">
        <f>Y86/1000000000</f>
        <v>0</v>
      </c>
      <c r="Z87" s="182">
        <f>Z78</f>
        <v>1</v>
      </c>
      <c r="AC87" s="37"/>
      <c r="AD87" s="144" t="s">
        <v>71</v>
      </c>
      <c r="AE87" s="329">
        <f>SUM(T86*4,(T87-80)*2)*AD86/1000</f>
        <v>-4.9599999999999998E-2</v>
      </c>
      <c r="AF87" s="601" t="s">
        <v>72</v>
      </c>
      <c r="AG87" s="601"/>
      <c r="AH87" s="37"/>
      <c r="AJ87" s="108"/>
      <c r="AK87" s="108"/>
      <c r="AL87" s="108"/>
      <c r="AM87" s="137"/>
      <c r="AN87" s="137"/>
      <c r="AO87" s="137"/>
      <c r="AP87" s="137"/>
    </row>
    <row r="88" spans="1:43" s="118" customFormat="1" ht="13.5" customHeight="1" x14ac:dyDescent="0.2">
      <c r="A88" s="37"/>
      <c r="N88" s="1131" t="str">
        <f>ListAVS!$B$80&amp;" TS [mm] "</f>
        <v xml:space="preserve">Grubość frontu TS [mm] </v>
      </c>
      <c r="O88" s="1132"/>
      <c r="P88" s="1132"/>
      <c r="Q88" s="1132"/>
      <c r="R88" s="1132"/>
      <c r="S88" s="1133"/>
      <c r="T88" s="300"/>
      <c r="U88" s="119"/>
      <c r="X88" s="37"/>
      <c r="Y88" s="319">
        <f>$Y$79</f>
        <v>760</v>
      </c>
      <c r="Z88" s="37" t="str">
        <f>$Z$79</f>
        <v>MDF (760 kg/m3)</v>
      </c>
      <c r="AC88" s="37"/>
      <c r="AD88" s="37">
        <f>AD79</f>
        <v>10</v>
      </c>
      <c r="AE88" s="330">
        <f>IF($AG$77=1,AF88*AD88,AG88*AD88)</f>
        <v>1.7999999999999999E-2</v>
      </c>
      <c r="AF88" s="329">
        <f>SUM(($T$86-30)*($T$87-60)/1000000)</f>
        <v>1.8E-3</v>
      </c>
      <c r="AG88" s="331">
        <f>SUM(($T$86-6)*($T$87-15)/1000000)</f>
        <v>9.0000000000000006E-5</v>
      </c>
      <c r="AH88" s="208" t="s">
        <v>73</v>
      </c>
      <c r="AJ88" s="108"/>
      <c r="AK88" s="108"/>
      <c r="AL88" s="108"/>
      <c r="AM88" s="137"/>
      <c r="AN88" s="137"/>
      <c r="AO88" s="137"/>
      <c r="AP88" s="137"/>
    </row>
    <row r="89" spans="1:43" s="118" customFormat="1" ht="13.5" customHeight="1" x14ac:dyDescent="0.2">
      <c r="A89" s="37"/>
      <c r="N89" s="1079" t="str">
        <f>ListAVS!$B$83&amp;" [kg] "</f>
        <v xml:space="preserve">Waga uchwytu [kg] </v>
      </c>
      <c r="O89" s="1080"/>
      <c r="P89" s="1080"/>
      <c r="Q89" s="1080"/>
      <c r="R89" s="1080"/>
      <c r="S89" s="1081"/>
      <c r="T89" s="300">
        <f>H25</f>
        <v>0</v>
      </c>
      <c r="U89" s="130" t="str">
        <f>IF(SUM(T86,T87)=0," ",IF(T89=0," ● "&amp;ListAVS!$B$130," "))</f>
        <v xml:space="preserve"> </v>
      </c>
      <c r="X89" s="37"/>
      <c r="Y89" s="319">
        <f>$Y$80</f>
        <v>680</v>
      </c>
      <c r="Z89" s="37" t="str">
        <f>$Z$80</f>
        <v>Płyta wiórowa (680 kg/m3)</v>
      </c>
      <c r="AC89" s="37"/>
      <c r="AD89" s="37">
        <f>AD80</f>
        <v>12.5</v>
      </c>
      <c r="AE89" s="330">
        <f>IF($AG$77=1,AF89*AD89,AG89*AD89)</f>
        <v>2.2499999999999999E-2</v>
      </c>
      <c r="AF89" s="329">
        <f>SUM(($T$86-30)*($T$87-60)/1000000)</f>
        <v>1.8E-3</v>
      </c>
      <c r="AG89" s="331">
        <f>SUM(($T$86-6)*($T$87-15)/1000000)</f>
        <v>9.0000000000000006E-5</v>
      </c>
      <c r="AH89" s="208" t="s">
        <v>74</v>
      </c>
      <c r="AJ89" s="108"/>
      <c r="AK89" s="108"/>
      <c r="AL89" s="108"/>
      <c r="AM89" s="137"/>
      <c r="AN89" s="137"/>
      <c r="AO89" s="137"/>
      <c r="AP89" s="137"/>
    </row>
    <row r="90" spans="1:43" s="118" customFormat="1" ht="13.5" customHeight="1" x14ac:dyDescent="0.2">
      <c r="A90" s="37"/>
      <c r="N90" s="1079" t="str">
        <f>ListAVS!$B$79&amp;" [kg] "</f>
        <v xml:space="preserve">Obliczona waga frontu [kg] </v>
      </c>
      <c r="O90" s="1080"/>
      <c r="P90" s="1080"/>
      <c r="Q90" s="1080"/>
      <c r="R90" s="1080"/>
      <c r="S90" s="1081"/>
      <c r="T90" s="185">
        <f>IF(AD91=0,0,AD91+T89)</f>
        <v>0</v>
      </c>
      <c r="U90" s="119"/>
      <c r="X90" s="186">
        <f>IF(T86*T87*T88=0,0,IF(Z87=1,Y87*Y88+T89,IF(Z87=2,Y87*Y89+T89,Y87*Y90+T89)))</f>
        <v>0</v>
      </c>
      <c r="Y90" s="37">
        <f>$Y$81</f>
        <v>0</v>
      </c>
      <c r="Z90" s="37" t="str">
        <f>$Z$81</f>
        <v>Inne – wybrana gęstość materiału</v>
      </c>
      <c r="AC90" s="37"/>
      <c r="AD90" s="340">
        <f>AD81</f>
        <v>0</v>
      </c>
      <c r="AE90" s="330">
        <f>IF($AG$77=1,AF90*AD90,AG90*AD90)</f>
        <v>0</v>
      </c>
      <c r="AF90" s="329">
        <f>SUM(($T$86-30)*($T$87-60)/1000000)</f>
        <v>1.8E-3</v>
      </c>
      <c r="AG90" s="331">
        <f>SUM(($T$86-6)*($T$87-15)/1000000)</f>
        <v>9.0000000000000006E-5</v>
      </c>
      <c r="AH90" s="208" t="s">
        <v>75</v>
      </c>
      <c r="AJ90" s="108"/>
      <c r="AK90" s="108"/>
      <c r="AL90" s="108"/>
      <c r="AM90" s="137"/>
      <c r="AN90" s="137"/>
      <c r="AO90" s="137"/>
      <c r="AP90" s="137"/>
    </row>
    <row r="91" spans="1:43" s="118" customFormat="1" x14ac:dyDescent="0.2">
      <c r="A91" s="37"/>
      <c r="N91" s="37"/>
      <c r="O91" s="142" t="str">
        <f>IF(T90&gt;0,IF(T89=0,$Z$94," ")," ")</f>
        <v xml:space="preserve"> </v>
      </c>
      <c r="P91" s="37"/>
      <c r="Q91" s="37"/>
      <c r="R91" s="37"/>
      <c r="S91" s="37"/>
      <c r="T91" s="37"/>
      <c r="U91" s="37"/>
      <c r="V91" s="37"/>
      <c r="W91" s="37"/>
      <c r="X91" s="37"/>
      <c r="Y91" s="37"/>
      <c r="AA91" s="37"/>
      <c r="AC91" s="37"/>
      <c r="AD91" s="332">
        <f>IF(OR(AND(AF86=3, $T$71=0), T86*T87=0), 0, SUM(IF(AF86=1,AE88,IF(AF86=2,AE89,AE90)),AE87,AE86))</f>
        <v>0</v>
      </c>
      <c r="AE91" s="37"/>
      <c r="AF91" s="37"/>
      <c r="AG91" s="37"/>
      <c r="AH91" s="37"/>
      <c r="AJ91" s="108"/>
      <c r="AK91" s="108"/>
      <c r="AL91" s="108"/>
      <c r="AM91" s="137"/>
      <c r="AN91" s="137"/>
      <c r="AO91" s="137"/>
      <c r="AP91" s="137"/>
    </row>
    <row r="92" spans="1:43" s="118" customFormat="1" x14ac:dyDescent="0.2">
      <c r="A92" s="37"/>
      <c r="N92" s="37"/>
      <c r="O92" s="37"/>
      <c r="P92" s="37"/>
      <c r="Q92" s="37"/>
      <c r="R92" s="37"/>
      <c r="S92" s="37"/>
      <c r="T92" s="37"/>
      <c r="U92" s="37"/>
      <c r="V92" s="37"/>
      <c r="W92" s="37"/>
      <c r="X92" s="37"/>
      <c r="Y92" s="37"/>
      <c r="AA92" s="37"/>
      <c r="AC92" s="37"/>
      <c r="AD92" s="37"/>
      <c r="AE92" s="37"/>
      <c r="AF92" s="37"/>
      <c r="AG92" s="37"/>
      <c r="AH92" s="37"/>
      <c r="AJ92" s="108"/>
      <c r="AK92" s="108"/>
      <c r="AL92" s="108"/>
      <c r="AM92" s="137"/>
      <c r="AN92" s="137"/>
      <c r="AO92" s="137"/>
      <c r="AP92" s="137"/>
    </row>
    <row r="93" spans="1:43" s="118" customFormat="1" x14ac:dyDescent="0.2">
      <c r="A93" s="37"/>
      <c r="N93" s="37"/>
      <c r="O93" s="37"/>
      <c r="P93" s="37"/>
      <c r="Q93" s="37"/>
      <c r="R93" s="37"/>
      <c r="U93" s="37"/>
      <c r="V93" s="37"/>
      <c r="W93" s="37"/>
      <c r="X93" s="37"/>
      <c r="Y93" s="37"/>
      <c r="AA93" s="37"/>
      <c r="AC93" s="37"/>
      <c r="AD93" s="37"/>
      <c r="AE93" s="37"/>
      <c r="AF93" s="37"/>
      <c r="AG93" s="37"/>
      <c r="AH93" s="37"/>
      <c r="AJ93" s="108"/>
      <c r="AK93" s="108"/>
      <c r="AL93" s="108"/>
      <c r="AM93" s="137"/>
      <c r="AN93" s="137"/>
      <c r="AO93" s="137"/>
      <c r="AP93" s="137"/>
    </row>
    <row r="94" spans="1:43" s="118" customFormat="1" ht="12" customHeight="1" x14ac:dyDescent="0.2">
      <c r="A94" s="37"/>
      <c r="N94" s="37"/>
      <c r="O94" s="148"/>
      <c r="P94" s="148"/>
      <c r="Q94" s="148"/>
      <c r="R94" s="148"/>
      <c r="S94" s="148"/>
      <c r="T94" s="148"/>
      <c r="U94" s="148"/>
      <c r="V94" s="148"/>
      <c r="W94" s="632" t="str">
        <f>ListAVS!$B$424&amp;"  "</f>
        <v xml:space="preserve">z wpuszczanym szkłem  </v>
      </c>
      <c r="X94" s="711">
        <f>MenuAVS!$I$91</f>
        <v>0.31</v>
      </c>
      <c r="Z94" s="37" t="str">
        <f>ListAVS!$B$103&amp;"!"</f>
        <v>Bez wagi uchwytu!</v>
      </c>
      <c r="AA94" s="37"/>
      <c r="AC94" s="37"/>
      <c r="AD94" s="37"/>
      <c r="AE94" s="37"/>
      <c r="AF94" s="149" t="str">
        <f>ListAVS!$B$93</f>
        <v>Ramki aluminiowe z 4mm szkłem</v>
      </c>
      <c r="AG94" s="37"/>
      <c r="AH94" s="37"/>
      <c r="AJ94" s="108"/>
      <c r="AK94" s="108"/>
      <c r="AL94" s="108"/>
      <c r="AM94" s="137"/>
      <c r="AN94" s="137"/>
      <c r="AO94" s="137"/>
      <c r="AP94" s="137"/>
    </row>
    <row r="95" spans="1:43" s="118" customFormat="1" x14ac:dyDescent="0.2">
      <c r="A95" s="37"/>
      <c r="N95" s="37"/>
      <c r="O95" s="148"/>
      <c r="P95" s="148"/>
      <c r="Q95" s="148"/>
      <c r="R95" s="148"/>
      <c r="S95" s="148"/>
      <c r="T95" s="148"/>
      <c r="U95" s="148"/>
      <c r="V95" s="148"/>
      <c r="W95" s="632" t="str">
        <f>ListAVS!$B$425&amp;"  "</f>
        <v xml:space="preserve">ze szkłem nakładanym lub przyklejanym  </v>
      </c>
      <c r="X95" s="711">
        <f>MenuAVS!$I$92</f>
        <v>0.32</v>
      </c>
      <c r="Y95" s="37"/>
      <c r="AA95" s="37"/>
      <c r="AC95" s="37"/>
      <c r="AD95" s="37"/>
      <c r="AE95" s="37"/>
      <c r="AF95" s="149" t="str">
        <f>ListAVS!$B$94</f>
        <v>Ramki aluminiowe z 5mm szkłem</v>
      </c>
      <c r="AG95" s="37"/>
      <c r="AH95" s="37"/>
      <c r="AJ95" s="108"/>
      <c r="AK95" s="108"/>
      <c r="AL95" s="108"/>
      <c r="AM95" s="137"/>
      <c r="AN95" s="137"/>
      <c r="AO95" s="137"/>
      <c r="AP95" s="137"/>
      <c r="AQ95" s="37"/>
    </row>
    <row r="96" spans="1:43" s="37" customFormat="1" x14ac:dyDescent="0.2">
      <c r="O96" s="148"/>
      <c r="P96" s="148"/>
      <c r="Q96" s="148"/>
      <c r="R96" s="148"/>
      <c r="S96" s="148"/>
      <c r="T96" s="148"/>
      <c r="U96" s="148"/>
      <c r="V96" s="148"/>
      <c r="W96" s="632" t="str">
        <f>ListAVS!$B$405&amp;" [kg/set] *  "</f>
        <v xml:space="preserve">Waga materiału łączącego  [kg/set] *  </v>
      </c>
      <c r="X96" s="711">
        <f>MenuAVS!$I$93</f>
        <v>0.46</v>
      </c>
      <c r="Z96" s="118"/>
      <c r="AB96" s="118"/>
      <c r="AF96" s="149" t="str">
        <f>ListAVS!$B$95</f>
        <v>Ramki aluminiowe z innym szkłem</v>
      </c>
      <c r="AJ96" s="108"/>
      <c r="AK96" s="108"/>
      <c r="AL96" s="108"/>
      <c r="AM96" s="137"/>
      <c r="AN96" s="137"/>
      <c r="AO96" s="137"/>
      <c r="AP96" s="137"/>
    </row>
    <row r="97" spans="1:43" s="37" customFormat="1" x14ac:dyDescent="0.2">
      <c r="Z97" s="118"/>
      <c r="AB97" s="118"/>
      <c r="AJ97" s="108"/>
      <c r="AK97" s="108"/>
      <c r="AL97" s="108"/>
      <c r="AM97" s="137"/>
      <c r="AN97" s="137"/>
      <c r="AO97" s="137"/>
      <c r="AP97" s="137"/>
    </row>
    <row r="98" spans="1:43" s="37" customFormat="1" ht="12.75" x14ac:dyDescent="0.2">
      <c r="AA98" s="118"/>
      <c r="AC98" s="118"/>
      <c r="AJ98" s="108"/>
      <c r="AK98" s="108"/>
      <c r="AL98" s="108"/>
      <c r="AM98" s="137"/>
      <c r="AN98" s="266"/>
      <c r="AO98" s="266"/>
      <c r="AP98" s="266"/>
      <c r="AQ98" s="255"/>
    </row>
    <row r="99" spans="1:43" s="255" customFormat="1" ht="15" customHeight="1" x14ac:dyDescent="0.2">
      <c r="A99" s="1045"/>
      <c r="O99" s="248"/>
      <c r="Q99" s="248"/>
      <c r="X99" s="670"/>
      <c r="Y99" s="670"/>
      <c r="Z99" s="670"/>
      <c r="AA99" s="670"/>
      <c r="AB99" s="670"/>
      <c r="AC99" s="670"/>
      <c r="AD99" s="670"/>
      <c r="AE99" s="670"/>
      <c r="AF99" s="670"/>
      <c r="AG99" s="670"/>
      <c r="AH99" s="670"/>
      <c r="AI99" s="670"/>
      <c r="AJ99" s="670"/>
      <c r="AK99" s="670"/>
      <c r="AL99" s="670"/>
      <c r="AM99" s="266"/>
      <c r="AN99" s="266"/>
      <c r="AO99" s="266"/>
      <c r="AP99" s="266"/>
    </row>
    <row r="100" spans="1:43" s="255" customFormat="1" ht="15" customHeight="1" x14ac:dyDescent="0.2">
      <c r="A100" s="1045"/>
      <c r="B100" s="604" t="str">
        <f>ListAVS!$B$195</f>
        <v>Obliczanie frontów asymetrycznych</v>
      </c>
      <c r="O100" s="248"/>
      <c r="Q100" s="248"/>
      <c r="X100" s="670"/>
      <c r="Y100" s="670"/>
      <c r="Z100" s="670"/>
      <c r="AA100" s="670"/>
      <c r="AB100" s="670"/>
      <c r="AC100" s="670"/>
      <c r="AD100" s="670"/>
      <c r="AE100" s="670"/>
      <c r="AF100" s="670"/>
      <c r="AG100" s="670"/>
      <c r="AH100" s="670"/>
      <c r="AI100" s="670"/>
      <c r="AJ100" s="670"/>
      <c r="AK100" s="670"/>
      <c r="AL100" s="670"/>
      <c r="AM100" s="266"/>
      <c r="AN100" s="266"/>
      <c r="AO100" s="266"/>
      <c r="AP100" s="266"/>
    </row>
    <row r="101" spans="1:43" s="255" customFormat="1" ht="15" customHeight="1" x14ac:dyDescent="0.2">
      <c r="A101" s="1045"/>
      <c r="O101" s="248"/>
      <c r="Q101" s="248"/>
      <c r="X101" s="670"/>
      <c r="Y101" s="670"/>
      <c r="Z101" s="670"/>
      <c r="AA101" s="670"/>
      <c r="AB101" s="670"/>
      <c r="AC101" s="670"/>
      <c r="AD101" s="670"/>
      <c r="AE101" s="670"/>
      <c r="AF101" s="670"/>
      <c r="AG101" s="670"/>
      <c r="AH101" s="670"/>
      <c r="AI101" s="670"/>
      <c r="AJ101" s="670"/>
      <c r="AK101" s="670"/>
      <c r="AL101" s="670"/>
      <c r="AM101" s="266"/>
      <c r="AN101" s="266"/>
      <c r="AO101" s="266"/>
      <c r="AP101" s="266"/>
    </row>
    <row r="102" spans="1:43" s="255" customFormat="1" ht="15" customHeight="1" x14ac:dyDescent="0.2">
      <c r="A102" s="1045"/>
      <c r="B102" s="1075" t="str">
        <f>"   "&amp;ListAVS!$B$198</f>
        <v xml:space="preserve">   Parametry korpusu</v>
      </c>
      <c r="C102" s="1076"/>
      <c r="D102" s="1076"/>
      <c r="E102" s="1076"/>
      <c r="F102" s="1076"/>
      <c r="G102" s="1076"/>
      <c r="H102" s="1076"/>
      <c r="I102" s="1077"/>
      <c r="J102" s="1078"/>
      <c r="K102" s="545"/>
      <c r="L102" s="545"/>
      <c r="M102" s="545"/>
      <c r="N102" s="545"/>
      <c r="O102" s="546"/>
      <c r="P102" s="545"/>
      <c r="Q102" s="546"/>
      <c r="R102" s="545"/>
      <c r="S102" s="545"/>
      <c r="T102" s="545"/>
      <c r="U102" s="545"/>
      <c r="V102" s="545"/>
      <c r="W102" s="545"/>
      <c r="X102" s="108"/>
      <c r="Y102" s="670"/>
      <c r="Z102" s="670"/>
      <c r="AA102" s="670"/>
      <c r="AB102" s="670"/>
      <c r="AC102" s="670"/>
      <c r="AD102" s="670"/>
      <c r="AE102" s="670"/>
      <c r="AF102" s="670"/>
      <c r="AG102" s="670"/>
      <c r="AH102" s="670"/>
      <c r="AI102" s="670"/>
      <c r="AJ102" s="670"/>
      <c r="AK102" s="670"/>
      <c r="AL102" s="670"/>
      <c r="AM102" s="266"/>
      <c r="AN102" s="266"/>
      <c r="AO102" s="266"/>
      <c r="AP102" s="266"/>
    </row>
    <row r="103" spans="1:43" s="255" customFormat="1" ht="15" customHeight="1" x14ac:dyDescent="0.2">
      <c r="A103" s="1045"/>
      <c r="B103" s="1070" t="str">
        <f>ListAVS!$B$75&amp;" KH [mm] "</f>
        <v xml:space="preserve">Wysokość korpusu KH [mm] </v>
      </c>
      <c r="C103" s="1071"/>
      <c r="D103" s="1071"/>
      <c r="E103" s="1071"/>
      <c r="F103" s="1071"/>
      <c r="G103" s="1071"/>
      <c r="H103" s="1072"/>
      <c r="I103" s="1073"/>
      <c r="J103" s="1073"/>
      <c r="K103" s="547" t="str">
        <f>IF(I103&lt;480, " min. 480", IF(I103&gt;1200, " max. 1200", " "))</f>
        <v xml:space="preserve"> min. 480</v>
      </c>
      <c r="L103" s="545"/>
      <c r="M103" s="545"/>
      <c r="N103" s="1089" t="s">
        <v>755</v>
      </c>
      <c r="O103" s="1089" t="s">
        <v>756</v>
      </c>
      <c r="P103" s="545"/>
      <c r="Q103" s="545"/>
      <c r="R103" s="545"/>
      <c r="S103" s="545"/>
      <c r="T103" s="545"/>
      <c r="U103" s="545"/>
      <c r="V103" s="545"/>
      <c r="W103" s="545"/>
      <c r="X103" s="108"/>
      <c r="Y103" s="670"/>
      <c r="Z103" s="670"/>
      <c r="AA103" s="670"/>
      <c r="AB103" s="670"/>
      <c r="AC103" s="670"/>
      <c r="AD103" s="670"/>
      <c r="AE103" s="670"/>
      <c r="AF103" s="670"/>
      <c r="AG103" s="670"/>
      <c r="AH103" s="670"/>
      <c r="AI103" s="670"/>
      <c r="AJ103" s="670"/>
      <c r="AK103" s="670"/>
      <c r="AL103" s="670"/>
      <c r="AM103" s="266"/>
      <c r="AN103" s="266"/>
      <c r="AO103" s="266"/>
      <c r="AP103" s="266"/>
    </row>
    <row r="104" spans="1:43" s="255" customFormat="1" ht="15" customHeight="1" x14ac:dyDescent="0.2">
      <c r="A104" s="1045"/>
      <c r="B104" s="1070" t="str">
        <f>ListAVS!$B$201&amp;" F1 [mm] "</f>
        <v xml:space="preserve">Szczelina na górze F1 [mm] </v>
      </c>
      <c r="C104" s="1071"/>
      <c r="D104" s="1071"/>
      <c r="E104" s="1071"/>
      <c r="F104" s="1071"/>
      <c r="G104" s="1071"/>
      <c r="H104" s="1072"/>
      <c r="I104" s="1073"/>
      <c r="J104" s="1073"/>
      <c r="K104" s="548"/>
      <c r="L104" s="545"/>
      <c r="M104" s="549"/>
      <c r="N104" s="1089"/>
      <c r="O104" s="1089"/>
      <c r="P104" s="545"/>
      <c r="Q104" s="545"/>
      <c r="R104" s="545"/>
      <c r="S104" s="545"/>
      <c r="T104" s="545"/>
      <c r="U104" s="545"/>
      <c r="V104" s="545"/>
      <c r="W104" s="545"/>
      <c r="X104" s="108"/>
      <c r="Y104" s="670"/>
      <c r="Z104" s="670"/>
      <c r="AA104" s="670"/>
      <c r="AB104" s="670"/>
      <c r="AC104" s="670"/>
      <c r="AD104" s="670"/>
      <c r="AE104" s="670"/>
      <c r="AF104" s="670"/>
      <c r="AG104" s="670"/>
      <c r="AH104" s="670"/>
      <c r="AI104" s="670"/>
      <c r="AJ104" s="670"/>
      <c r="AK104" s="670"/>
      <c r="AL104" s="670"/>
      <c r="AM104" s="266"/>
      <c r="AN104" s="266"/>
      <c r="AO104" s="266"/>
      <c r="AP104" s="266"/>
      <c r="AQ104" s="266"/>
    </row>
    <row r="105" spans="1:43" s="266" customFormat="1" ht="15" customHeight="1" x14ac:dyDescent="0.2">
      <c r="A105" s="1045"/>
      <c r="B105" s="1070" t="str">
        <f>ListAVS!$B$202&amp;" F2 [mm] "</f>
        <v xml:space="preserve">Szczelina pomiędzy frontami F2 [mm] </v>
      </c>
      <c r="C105" s="1071"/>
      <c r="D105" s="1071"/>
      <c r="E105" s="1071"/>
      <c r="F105" s="1071"/>
      <c r="G105" s="1071"/>
      <c r="H105" s="1072"/>
      <c r="I105" s="1086"/>
      <c r="J105" s="1087"/>
      <c r="K105" s="547" t="str">
        <f>IF($I$103=0," ",IF($I$105&lt;1.5," min. 1,5 mm!"," "))</f>
        <v xml:space="preserve"> </v>
      </c>
      <c r="L105" s="545"/>
      <c r="M105" s="545"/>
      <c r="N105" s="1089"/>
      <c r="O105" s="1089"/>
      <c r="P105" s="545"/>
      <c r="Q105" s="545"/>
      <c r="R105" s="545"/>
      <c r="S105" s="545"/>
      <c r="T105" s="545"/>
      <c r="U105" s="545"/>
      <c r="V105" s="545"/>
      <c r="W105" s="545"/>
      <c r="X105" s="108"/>
      <c r="Y105" s="670"/>
      <c r="Z105" s="670"/>
      <c r="AA105" s="670"/>
      <c r="AB105" s="670"/>
      <c r="AC105" s="670"/>
      <c r="AD105" s="670"/>
      <c r="AE105" s="670"/>
      <c r="AF105" s="670"/>
      <c r="AG105" s="670"/>
      <c r="AH105" s="670"/>
      <c r="AI105" s="670"/>
      <c r="AJ105" s="670"/>
      <c r="AK105" s="670"/>
      <c r="AL105" s="670"/>
      <c r="AM105" s="255"/>
    </row>
    <row r="106" spans="1:43" s="266" customFormat="1" ht="15" customHeight="1" x14ac:dyDescent="0.2">
      <c r="A106" s="1045"/>
      <c r="B106" s="1070" t="str">
        <f>ListAVS!$B$203&amp;" F3 [mm] "</f>
        <v xml:space="preserve">Szczelina na dole F3 [mm] </v>
      </c>
      <c r="C106" s="1071"/>
      <c r="D106" s="1071"/>
      <c r="E106" s="1071"/>
      <c r="F106" s="1071"/>
      <c r="G106" s="1071"/>
      <c r="H106" s="1072"/>
      <c r="I106" s="1073"/>
      <c r="J106" s="1073"/>
      <c r="K106" s="545"/>
      <c r="L106" s="545"/>
      <c r="M106" s="553" t="s">
        <v>757</v>
      </c>
      <c r="N106" s="118">
        <v>170</v>
      </c>
      <c r="O106" s="118">
        <v>189</v>
      </c>
      <c r="P106" s="545"/>
      <c r="Q106" s="545"/>
      <c r="R106" s="545"/>
      <c r="S106" s="545"/>
      <c r="T106" s="545"/>
      <c r="U106" s="545"/>
      <c r="V106" s="545"/>
      <c r="W106" s="545"/>
      <c r="X106" s="108"/>
      <c r="Y106" s="670"/>
      <c r="Z106" s="670"/>
      <c r="AA106" s="670"/>
      <c r="AB106" s="670"/>
      <c r="AC106" s="670"/>
      <c r="AD106" s="670"/>
      <c r="AE106" s="670"/>
      <c r="AF106" s="670"/>
      <c r="AG106" s="670"/>
      <c r="AH106" s="670"/>
      <c r="AI106" s="670"/>
      <c r="AJ106" s="670"/>
      <c r="AK106" s="670"/>
      <c r="AL106" s="670"/>
      <c r="AM106" s="255"/>
    </row>
    <row r="107" spans="1:43" s="266" customFormat="1" ht="15" customHeight="1" x14ac:dyDescent="0.2">
      <c r="A107" s="1045"/>
      <c r="B107" s="1070" t="str">
        <f>ListAVS!$B$204&amp;" [mm] "</f>
        <v xml:space="preserve">Grubość dna korpusu [mm] </v>
      </c>
      <c r="C107" s="1071"/>
      <c r="D107" s="1071"/>
      <c r="E107" s="1071"/>
      <c r="F107" s="1071"/>
      <c r="G107" s="1071"/>
      <c r="H107" s="1072"/>
      <c r="I107" s="1073"/>
      <c r="J107" s="1073"/>
      <c r="K107" s="545"/>
      <c r="L107" s="545"/>
      <c r="M107" s="553" t="s">
        <v>768</v>
      </c>
      <c r="N107" s="248">
        <v>93</v>
      </c>
      <c r="O107" s="248">
        <v>116</v>
      </c>
      <c r="P107" s="545"/>
      <c r="Q107" s="545"/>
      <c r="R107" s="545"/>
      <c r="S107" s="545"/>
      <c r="T107" s="545"/>
      <c r="U107" s="545"/>
      <c r="V107" s="545"/>
      <c r="W107" s="545"/>
      <c r="X107" s="108"/>
      <c r="Y107" s="670"/>
      <c r="Z107" s="670"/>
      <c r="AA107" s="670"/>
      <c r="AB107" s="670"/>
      <c r="AC107" s="670"/>
      <c r="AD107" s="670"/>
      <c r="AE107" s="670"/>
      <c r="AF107" s="670"/>
      <c r="AG107" s="670"/>
      <c r="AH107" s="670"/>
      <c r="AI107" s="670"/>
      <c r="AJ107" s="670"/>
      <c r="AK107" s="670"/>
      <c r="AL107" s="670"/>
      <c r="AM107" s="255"/>
    </row>
    <row r="108" spans="1:43" s="266" customFormat="1" ht="15" customHeight="1" x14ac:dyDescent="0.2">
      <c r="A108" s="1045"/>
      <c r="B108" s="545"/>
      <c r="C108" s="545"/>
      <c r="D108" s="545"/>
      <c r="E108" s="545"/>
      <c r="F108" s="545"/>
      <c r="G108" s="545"/>
      <c r="H108" s="545"/>
      <c r="I108" s="545"/>
      <c r="J108" s="550"/>
      <c r="K108" s="545"/>
      <c r="L108" s="545"/>
      <c r="M108" s="553"/>
      <c r="N108" s="37"/>
      <c r="O108" s="118"/>
      <c r="P108" s="545"/>
      <c r="Q108" s="545"/>
      <c r="R108" s="545"/>
      <c r="S108" s="545"/>
      <c r="T108" s="545"/>
      <c r="U108" s="545"/>
      <c r="V108" s="545"/>
      <c r="W108" s="545"/>
      <c r="X108" s="108"/>
      <c r="Y108" s="670"/>
      <c r="Z108" s="670"/>
      <c r="AA108" s="670"/>
      <c r="AB108" s="670"/>
      <c r="AC108" s="670"/>
      <c r="AD108" s="670"/>
      <c r="AE108" s="670"/>
      <c r="AF108" s="670"/>
      <c r="AG108" s="670"/>
      <c r="AH108" s="670"/>
      <c r="AI108" s="670"/>
      <c r="AJ108" s="670"/>
      <c r="AK108" s="670"/>
      <c r="AL108" s="670"/>
      <c r="AM108" s="255"/>
    </row>
    <row r="109" spans="1:43" s="266" customFormat="1" ht="15" customHeight="1" x14ac:dyDescent="0.2">
      <c r="A109" s="1045"/>
      <c r="B109" s="1091" t="str">
        <f>"   "&amp;ListAVS!$B$206</f>
        <v xml:space="preserve">   Wyniki planowania</v>
      </c>
      <c r="C109" s="1092"/>
      <c r="D109" s="1092"/>
      <c r="E109" s="1092"/>
      <c r="F109" s="1092"/>
      <c r="G109" s="1092"/>
      <c r="H109" s="1092"/>
      <c r="I109" s="1092"/>
      <c r="J109" s="1093"/>
      <c r="K109" s="545"/>
      <c r="L109" s="545"/>
      <c r="M109" s="545"/>
      <c r="N109" s="957" t="s">
        <v>762</v>
      </c>
      <c r="O109" s="958" t="s">
        <v>762</v>
      </c>
      <c r="P109" s="545"/>
      <c r="Q109" s="545"/>
      <c r="R109" s="545"/>
      <c r="S109" s="545"/>
      <c r="T109" s="545"/>
      <c r="U109" s="545"/>
      <c r="V109" s="545"/>
      <c r="W109" s="545"/>
      <c r="X109" s="108"/>
      <c r="Y109" s="670"/>
      <c r="Z109" s="670"/>
      <c r="AA109" s="670"/>
      <c r="AB109" s="670"/>
      <c r="AC109" s="670"/>
      <c r="AD109" s="670"/>
      <c r="AE109" s="670"/>
      <c r="AF109" s="670"/>
      <c r="AG109" s="670"/>
      <c r="AH109" s="670"/>
      <c r="AI109" s="670"/>
      <c r="AJ109" s="670"/>
      <c r="AK109" s="670"/>
      <c r="AL109" s="670"/>
      <c r="AM109" s="255"/>
    </row>
    <row r="110" spans="1:43" s="266" customFormat="1" ht="15" customHeight="1" x14ac:dyDescent="0.2">
      <c r="A110" s="1045"/>
      <c r="B110" s="1094"/>
      <c r="C110" s="1095"/>
      <c r="D110" s="1095"/>
      <c r="E110" s="1095"/>
      <c r="F110" s="1095"/>
      <c r="G110" s="1096" t="str">
        <f>ListAVS!$B$207&amp;" [mm] "</f>
        <v xml:space="preserve">Możliwe wysokości frontów [mm] </v>
      </c>
      <c r="H110" s="1096"/>
      <c r="I110" s="1096"/>
      <c r="J110" s="1097"/>
      <c r="K110" s="545"/>
      <c r="L110" s="545"/>
      <c r="M110" s="545"/>
      <c r="N110" s="545" t="s">
        <v>754</v>
      </c>
      <c r="O110" s="545" t="s">
        <v>754</v>
      </c>
      <c r="P110" s="545"/>
      <c r="Q110" s="545"/>
      <c r="R110" s="545"/>
      <c r="S110" s="545"/>
      <c r="T110" s="545"/>
      <c r="U110" s="545"/>
      <c r="V110" s="545"/>
      <c r="W110" s="545"/>
      <c r="X110" s="108"/>
      <c r="Y110" s="670"/>
      <c r="Z110" s="670"/>
      <c r="AA110" s="670"/>
      <c r="AB110" s="670"/>
      <c r="AC110" s="670"/>
      <c r="AD110" s="670"/>
      <c r="AE110" s="670"/>
      <c r="AF110" s="670"/>
      <c r="AG110" s="670"/>
      <c r="AH110" s="670"/>
      <c r="AI110" s="670"/>
      <c r="AJ110" s="670"/>
      <c r="AK110" s="670"/>
      <c r="AL110" s="670"/>
      <c r="AM110" s="255"/>
    </row>
    <row r="111" spans="1:43" s="266" customFormat="1" ht="15" customHeight="1" x14ac:dyDescent="0.2">
      <c r="A111" s="1045"/>
      <c r="B111" s="1069" t="str">
        <f>ListAVS!$B$208</f>
        <v>Front górny (FHo) w granicach</v>
      </c>
      <c r="C111" s="1069"/>
      <c r="D111" s="1069"/>
      <c r="E111" s="1069"/>
      <c r="F111" s="1069"/>
      <c r="G111" s="551" t="s">
        <v>60</v>
      </c>
      <c r="H111" s="552" t="str">
        <f>IF(AND($I$103&gt;=480, $I$103&lt;=519), $N$111, IF(AND($I$103&gt;=520, $I$103&lt;=1200), $O$111, $S$115))</f>
        <v>nie można</v>
      </c>
      <c r="I111" s="551" t="s">
        <v>61</v>
      </c>
      <c r="J111" s="552" t="str">
        <f>IF(AND($I$103&gt;=480, $I$103&lt;=519), $N$115, IF(AND($I$103&gt;=520, $I$103&lt;=1200), $O$115, $S$115))</f>
        <v>nie można</v>
      </c>
      <c r="K111" s="545"/>
      <c r="L111" s="545"/>
      <c r="M111" s="545"/>
      <c r="N111" s="546">
        <f>SUM(I103, -I104, -I105, -I106, -N120)</f>
        <v>0</v>
      </c>
      <c r="O111" s="546">
        <f>SUM(I103, -I104, -I105, -I106, -O120)</f>
        <v>0</v>
      </c>
      <c r="P111" s="545"/>
      <c r="Q111" s="545"/>
      <c r="R111" s="545"/>
      <c r="S111" s="545"/>
      <c r="T111" s="545"/>
      <c r="U111" s="545"/>
      <c r="V111" s="545"/>
      <c r="W111" s="545"/>
      <c r="X111" s="108"/>
      <c r="Y111" s="670"/>
      <c r="Z111" s="670"/>
      <c r="AA111" s="670"/>
      <c r="AB111" s="670"/>
      <c r="AC111" s="670"/>
      <c r="AD111" s="670"/>
      <c r="AE111" s="670"/>
      <c r="AF111" s="670"/>
      <c r="AG111" s="670"/>
      <c r="AH111" s="670"/>
      <c r="AI111" s="670"/>
      <c r="AJ111" s="670"/>
      <c r="AK111" s="670"/>
      <c r="AL111" s="670"/>
      <c r="AM111" s="255"/>
    </row>
    <row r="112" spans="1:43" s="266" customFormat="1" ht="15" customHeight="1" x14ac:dyDescent="0.2">
      <c r="A112" s="1045"/>
      <c r="B112" s="1069" t="str">
        <f>ListAVS!$B$209</f>
        <v>Front dolny (FHu) w granicach</v>
      </c>
      <c r="C112" s="1069"/>
      <c r="D112" s="1069"/>
      <c r="E112" s="1069"/>
      <c r="F112" s="1069"/>
      <c r="G112" s="551" t="s">
        <v>60</v>
      </c>
      <c r="H112" s="552" t="str">
        <f>IF(AND($I$103&gt;=480, $I$103&lt;=519), $N$118, IF(AND($I$103&gt;=520, $I$103&lt;=1200), $O$118, $S$115))</f>
        <v>nie można</v>
      </c>
      <c r="I112" s="551" t="s">
        <v>61</v>
      </c>
      <c r="J112" s="552" t="str">
        <f>IF(AND($I$103&gt;=480, $I$103&lt;=519), $N$120, IF(AND($I$103&gt;=520, $I$103&lt;=1200), $O$120, $S$115))</f>
        <v>nie można</v>
      </c>
      <c r="K112" s="545"/>
      <c r="L112" s="545"/>
      <c r="M112" s="545"/>
      <c r="N112" s="545" t="s">
        <v>758</v>
      </c>
      <c r="O112" s="545" t="s">
        <v>758</v>
      </c>
      <c r="P112" s="545"/>
      <c r="Q112" s="545"/>
      <c r="R112" s="545"/>
      <c r="S112" s="545"/>
      <c r="T112" s="545"/>
      <c r="U112" s="545"/>
      <c r="V112" s="545"/>
      <c r="W112" s="545"/>
      <c r="X112" s="108"/>
      <c r="Y112" s="670"/>
      <c r="Z112" s="670"/>
      <c r="AA112" s="670"/>
      <c r="AB112" s="670"/>
      <c r="AC112" s="670"/>
      <c r="AD112" s="670"/>
      <c r="AE112" s="670"/>
      <c r="AF112" s="670"/>
      <c r="AG112" s="670"/>
      <c r="AH112" s="670"/>
      <c r="AI112" s="670"/>
      <c r="AJ112" s="670"/>
      <c r="AK112" s="670"/>
      <c r="AL112" s="670"/>
      <c r="AM112" s="255"/>
    </row>
    <row r="113" spans="1:43" s="266" customFormat="1" ht="15" customHeight="1" x14ac:dyDescent="0.2">
      <c r="A113" s="1045"/>
      <c r="B113" s="694"/>
      <c r="C113" s="694"/>
      <c r="D113" s="694"/>
      <c r="E113" s="694"/>
      <c r="F113" s="694"/>
      <c r="G113" s="694"/>
      <c r="H113" s="694"/>
      <c r="I113" s="545"/>
      <c r="J113" s="545"/>
      <c r="K113" s="545"/>
      <c r="L113" s="545"/>
      <c r="M113" s="545"/>
      <c r="N113" s="546">
        <f>ROUNDUP(SUM(519, -$I$104, -$I$105, -$I$106)/2, 0)</f>
        <v>260</v>
      </c>
      <c r="O113" s="546">
        <f>ROUNDUP(SUM(1200, -$I$104, -$I$105, -$I$106)/2, 0)</f>
        <v>600</v>
      </c>
      <c r="P113" s="545" t="s">
        <v>759</v>
      </c>
      <c r="Q113" s="545"/>
      <c r="R113" s="545"/>
      <c r="S113" s="545"/>
      <c r="T113" s="545"/>
      <c r="U113" s="545"/>
      <c r="V113" s="545"/>
      <c r="W113" s="545"/>
      <c r="X113" s="108"/>
      <c r="Y113" s="670"/>
      <c r="Z113" s="670"/>
      <c r="AA113" s="670"/>
      <c r="AB113" s="670"/>
      <c r="AC113" s="670"/>
      <c r="AD113" s="670"/>
      <c r="AE113" s="670"/>
      <c r="AF113" s="670"/>
      <c r="AG113" s="670"/>
      <c r="AH113" s="670"/>
      <c r="AI113" s="670"/>
      <c r="AJ113" s="670"/>
      <c r="AK113" s="670"/>
      <c r="AL113" s="670"/>
      <c r="AM113" s="255"/>
    </row>
    <row r="114" spans="1:43" s="266" customFormat="1" ht="15" customHeight="1" x14ac:dyDescent="0.2">
      <c r="A114" s="1045"/>
      <c r="B114" s="1070" t="str">
        <f>ListAVS!$B$215&amp;" FHo [mm] "</f>
        <v xml:space="preserve">Wysokość frontu górnego FHo [mm] </v>
      </c>
      <c r="C114" s="1071"/>
      <c r="D114" s="1071"/>
      <c r="E114" s="1071"/>
      <c r="F114" s="1071"/>
      <c r="G114" s="1071"/>
      <c r="H114" s="1072"/>
      <c r="I114" s="1073"/>
      <c r="J114" s="1073"/>
      <c r="K114" s="547" t="str">
        <f>IF($I$103=0," ",IF($I$114&gt;$J$111,V114,IF($I$114&lt;$H$111,$S$114," ")))</f>
        <v xml:space="preserve"> </v>
      </c>
      <c r="L114" s="545"/>
      <c r="M114" s="545"/>
      <c r="N114" s="546">
        <f>SUM(I103, -I104, -I105, -I106, -N118)</f>
        <v>-219</v>
      </c>
      <c r="O114" s="248">
        <f>SUM(I103, -I104, -I105, -I106, -O118)</f>
        <v>-238</v>
      </c>
      <c r="P114" s="545" t="s">
        <v>760</v>
      </c>
      <c r="Q114" s="545"/>
      <c r="R114" s="545"/>
      <c r="S114" s="545" t="str">
        <f>" min. "&amp;TEXT($H$111,"#")&amp;" mm!"</f>
        <v xml:space="preserve"> min. nie można mm!</v>
      </c>
      <c r="T114" s="545"/>
      <c r="U114" s="545"/>
      <c r="V114" s="545" t="str">
        <f>" max. "&amp;TEXT($J$111,"#")&amp;" mm!"</f>
        <v xml:space="preserve"> max. nie można mm!</v>
      </c>
      <c r="W114" s="545"/>
      <c r="X114" s="108"/>
      <c r="Y114" s="670"/>
      <c r="Z114" s="670"/>
      <c r="AA114" s="670"/>
      <c r="AB114" s="670"/>
      <c r="AC114" s="670"/>
      <c r="AD114" s="670"/>
      <c r="AE114" s="670"/>
      <c r="AF114" s="670"/>
      <c r="AG114" s="670"/>
      <c r="AH114" s="670"/>
      <c r="AI114" s="670"/>
      <c r="AJ114" s="670"/>
      <c r="AK114" s="670"/>
      <c r="AL114" s="670"/>
      <c r="AM114" s="255"/>
    </row>
    <row r="115" spans="1:43" s="266" customFormat="1" ht="15" customHeight="1" x14ac:dyDescent="0.2">
      <c r="A115" s="1045"/>
      <c r="B115" s="1070" t="str">
        <f>ListAVS!$B$216&amp;" FHu [mm] "</f>
        <v xml:space="preserve">Wysokość frontu dolnego FHu [mm] </v>
      </c>
      <c r="C115" s="1071"/>
      <c r="D115" s="1071"/>
      <c r="E115" s="1071"/>
      <c r="F115" s="1071"/>
      <c r="G115" s="1071"/>
      <c r="H115" s="1072"/>
      <c r="I115" s="1074" t="str">
        <f>IF($I$114&lt;$H$111,$S$115,IF($I$114&gt;$J$111,$S$115,+$I$103-$I$104-$I$105-$I$106-$I$114))</f>
        <v>nie można</v>
      </c>
      <c r="J115" s="1074"/>
      <c r="K115" s="548"/>
      <c r="L115" s="545"/>
      <c r="M115" s="545"/>
      <c r="N115" s="959">
        <f>IF($N$114&gt;$N$113, $N$113, $N$114)</f>
        <v>-219</v>
      </c>
      <c r="O115" s="959">
        <f>IF($O$114&gt;$O$113, $O$113, $O$114)</f>
        <v>-238</v>
      </c>
      <c r="P115" s="545" t="s">
        <v>767</v>
      </c>
      <c r="Q115" s="118"/>
      <c r="R115" s="545"/>
      <c r="S115" s="545" t="str">
        <f>ListAVS!B212</f>
        <v>nie można</v>
      </c>
      <c r="T115" s="545"/>
      <c r="U115" s="545"/>
      <c r="V115" s="545"/>
      <c r="W115" s="545"/>
      <c r="X115" s="108"/>
      <c r="Y115" s="670"/>
      <c r="Z115" s="670"/>
      <c r="AA115" s="670"/>
      <c r="AB115" s="670"/>
      <c r="AC115" s="670"/>
      <c r="AD115" s="670"/>
      <c r="AE115" s="670"/>
      <c r="AF115" s="670"/>
      <c r="AG115" s="670"/>
      <c r="AH115" s="670"/>
      <c r="AI115" s="670"/>
      <c r="AJ115" s="670"/>
      <c r="AK115" s="670"/>
      <c r="AL115" s="670"/>
      <c r="AM115" s="255"/>
    </row>
    <row r="116" spans="1:43" s="266" customFormat="1" ht="15" customHeight="1" x14ac:dyDescent="0.2">
      <c r="A116" s="1045"/>
      <c r="B116" s="1070" t="str">
        <f>ListAVS!$B$217&amp;" H [mm] "</f>
        <v xml:space="preserve">Pozycja siłownika H [mm] </v>
      </c>
      <c r="C116" s="1071"/>
      <c r="D116" s="1071"/>
      <c r="E116" s="1071"/>
      <c r="F116" s="1071"/>
      <c r="G116" s="1071"/>
      <c r="H116" s="1072"/>
      <c r="I116" s="1074" t="str">
        <f>IF(AND($I$103&gt;=480, $I$103&lt;520), $N$107, IF(AND($I$103&gt;=520, $I$103&lt;=1200), $O$107, $S$115))</f>
        <v>nie można</v>
      </c>
      <c r="J116" s="1074"/>
      <c r="K116" s="545"/>
      <c r="L116" s="545"/>
      <c r="M116" s="545"/>
      <c r="N116" s="957" t="s">
        <v>761</v>
      </c>
      <c r="O116" s="958" t="s">
        <v>761</v>
      </c>
      <c r="P116" s="545"/>
      <c r="Q116" s="545"/>
      <c r="R116" s="545"/>
      <c r="S116" s="545"/>
      <c r="T116" s="545"/>
      <c r="U116" s="545"/>
      <c r="V116" s="545"/>
      <c r="W116" s="545"/>
      <c r="X116" s="108"/>
      <c r="Y116" s="670"/>
      <c r="Z116" s="670"/>
      <c r="AA116" s="670"/>
      <c r="AB116" s="670"/>
      <c r="AC116" s="670"/>
      <c r="AD116" s="670"/>
      <c r="AE116" s="670"/>
      <c r="AF116" s="670"/>
      <c r="AG116" s="670"/>
      <c r="AH116" s="670"/>
      <c r="AI116" s="670"/>
      <c r="AJ116" s="670"/>
      <c r="AK116" s="670"/>
      <c r="AL116" s="670"/>
      <c r="AM116" s="255"/>
    </row>
    <row r="117" spans="1:43" s="266" customFormat="1" ht="15" customHeight="1" x14ac:dyDescent="0.2">
      <c r="A117" s="1045"/>
      <c r="B117" s="1070" t="str">
        <f>ListAVS!$B$218&amp;" Z [mm] "</f>
        <v xml:space="preserve">Pozycja podkładki montażowej do podnośnika teleskopowego Z [mm] </v>
      </c>
      <c r="C117" s="1071"/>
      <c r="D117" s="1071"/>
      <c r="E117" s="1071"/>
      <c r="F117" s="1071"/>
      <c r="G117" s="1071"/>
      <c r="H117" s="1072"/>
      <c r="I117" s="1074" t="str">
        <f>IF(AND($I$103&gt;=480, $I$103&lt;520), $N$106, IF(AND($I$103&gt;=520, $I$103&lt;=1200), $O$106, $S$115))</f>
        <v>nie można</v>
      </c>
      <c r="J117" s="1074"/>
      <c r="K117" s="545"/>
      <c r="L117" s="545"/>
      <c r="M117" s="545"/>
      <c r="N117" s="545" t="s">
        <v>754</v>
      </c>
      <c r="O117" s="545" t="s">
        <v>754</v>
      </c>
      <c r="P117" s="545"/>
      <c r="Q117" s="545"/>
      <c r="R117" s="545"/>
      <c r="S117" s="545"/>
      <c r="T117" s="545"/>
      <c r="U117" s="545"/>
      <c r="V117" s="545"/>
      <c r="W117" s="545"/>
      <c r="X117" s="108"/>
      <c r="Y117" s="670"/>
      <c r="Z117" s="670"/>
      <c r="AA117" s="670"/>
      <c r="AB117" s="670"/>
      <c r="AC117" s="670"/>
      <c r="AD117" s="670"/>
      <c r="AE117" s="670"/>
      <c r="AF117" s="670"/>
      <c r="AG117" s="670"/>
      <c r="AH117" s="670"/>
      <c r="AI117" s="670"/>
      <c r="AJ117" s="670"/>
      <c r="AK117" s="670"/>
      <c r="AL117" s="670"/>
      <c r="AM117" s="255"/>
    </row>
    <row r="118" spans="1:43" s="266" customFormat="1" ht="15" customHeight="1" x14ac:dyDescent="0.2">
      <c r="A118" s="1045"/>
      <c r="B118" s="1070" t="str">
        <f>ListAVS!$B$219&amp;" TKH [mm] * "</f>
        <v xml:space="preserve">Teoretyczna wysokość korpusu TKH [mm] * </v>
      </c>
      <c r="C118" s="1071"/>
      <c r="D118" s="1071"/>
      <c r="E118" s="1071"/>
      <c r="F118" s="1071"/>
      <c r="G118" s="1071"/>
      <c r="H118" s="1072"/>
      <c r="I118" s="1090" t="str">
        <f>IF($I$115=$S$115, $S$115, IF($Q$118&gt;=480, IF($Q$118&lt;=1202, $Q$118, $S$115)," "))</f>
        <v>nie można</v>
      </c>
      <c r="J118" s="1090"/>
      <c r="K118" s="545"/>
      <c r="L118" s="545"/>
      <c r="M118" s="545"/>
      <c r="N118" s="546">
        <f>SUM(N106, 32, 17, $I$107, -$I$106)</f>
        <v>219</v>
      </c>
      <c r="O118" s="546">
        <f>SUM(O106, 32, 17, $I$107, -$I$106)</f>
        <v>238</v>
      </c>
      <c r="P118" s="545" t="s">
        <v>62</v>
      </c>
      <c r="Q118" s="545">
        <f>ROUND(SUM($I$114*2+$I$104+$I$105+$I$106), -1)</f>
        <v>0</v>
      </c>
      <c r="R118" s="545"/>
      <c r="S118" s="545"/>
      <c r="T118" s="545"/>
      <c r="U118" s="545"/>
      <c r="V118" s="545"/>
      <c r="W118" s="545"/>
      <c r="X118" s="108"/>
      <c r="Y118" s="670"/>
      <c r="Z118" s="670"/>
      <c r="AA118" s="670"/>
      <c r="AB118" s="670"/>
      <c r="AC118" s="670"/>
      <c r="AD118" s="670"/>
      <c r="AE118" s="670"/>
      <c r="AF118" s="670"/>
      <c r="AG118" s="670"/>
      <c r="AH118" s="670"/>
      <c r="AI118" s="670"/>
      <c r="AJ118" s="670"/>
      <c r="AK118" s="670"/>
      <c r="AL118" s="670"/>
      <c r="AM118" s="255"/>
    </row>
    <row r="119" spans="1:43" s="266" customFormat="1" ht="15" customHeight="1" x14ac:dyDescent="0.2">
      <c r="A119" s="1045"/>
      <c r="B119" s="545"/>
      <c r="C119" s="545"/>
      <c r="D119" s="545"/>
      <c r="E119" s="545"/>
      <c r="F119" s="545"/>
      <c r="G119" s="545"/>
      <c r="H119" s="545"/>
      <c r="I119" s="545"/>
      <c r="J119" s="545"/>
      <c r="K119" s="545"/>
      <c r="L119" s="545"/>
      <c r="M119" s="545"/>
      <c r="N119" s="545" t="s">
        <v>758</v>
      </c>
      <c r="O119" s="545" t="s">
        <v>758</v>
      </c>
      <c r="P119" s="545"/>
      <c r="Q119" s="546"/>
      <c r="R119" s="545"/>
      <c r="S119" s="545"/>
      <c r="T119" s="545"/>
      <c r="U119" s="545"/>
      <c r="V119" s="545"/>
      <c r="W119" s="545"/>
      <c r="X119" s="108"/>
      <c r="Y119" s="670"/>
      <c r="Z119" s="670"/>
      <c r="AA119" s="670"/>
      <c r="AB119" s="670"/>
      <c r="AC119" s="670"/>
      <c r="AD119" s="670"/>
      <c r="AE119" s="670"/>
      <c r="AF119" s="670"/>
      <c r="AG119" s="670"/>
      <c r="AH119" s="670"/>
      <c r="AI119" s="670"/>
      <c r="AJ119" s="670"/>
      <c r="AK119" s="670"/>
      <c r="AL119" s="670"/>
      <c r="AM119" s="255"/>
    </row>
    <row r="120" spans="1:43" s="266" customFormat="1" ht="15" customHeight="1" x14ac:dyDescent="0.2">
      <c r="A120" s="1045"/>
      <c r="B120" s="553" t="s">
        <v>63</v>
      </c>
      <c r="C120" s="545" t="str">
        <f>ListAVS!$B$221</f>
        <v xml:space="preserve">Wprowadź tę wysokość do tabelki służącej do planowania podnośników </v>
      </c>
      <c r="D120" s="545"/>
      <c r="E120" s="545"/>
      <c r="F120" s="545"/>
      <c r="G120" s="545"/>
      <c r="H120" s="545"/>
      <c r="I120" s="545"/>
      <c r="J120" s="545"/>
      <c r="K120" s="545"/>
      <c r="L120" s="545"/>
      <c r="M120" s="545"/>
      <c r="N120" s="546">
        <f>ROUNDDOWN(SUM(I103, -I104, -I105, -I106)/2, 0)</f>
        <v>0</v>
      </c>
      <c r="O120" s="546">
        <f>ROUNDDOWN(SUM(I103, -I104, -I105, -I106)/2, 0)</f>
        <v>0</v>
      </c>
      <c r="P120" s="545"/>
      <c r="Q120" s="546"/>
      <c r="R120" s="545"/>
      <c r="S120" s="545"/>
      <c r="T120" s="545"/>
      <c r="U120" s="545"/>
      <c r="V120" s="545"/>
      <c r="W120" s="545"/>
      <c r="X120" s="108"/>
      <c r="Y120" s="670"/>
      <c r="Z120" s="670"/>
      <c r="AA120" s="670"/>
      <c r="AB120" s="670"/>
      <c r="AC120" s="670"/>
      <c r="AD120" s="670"/>
      <c r="AE120" s="670"/>
      <c r="AF120" s="670"/>
      <c r="AG120" s="670"/>
      <c r="AH120" s="670"/>
      <c r="AI120" s="670"/>
      <c r="AJ120" s="670"/>
      <c r="AK120" s="670"/>
      <c r="AL120" s="670"/>
      <c r="AM120" s="255"/>
    </row>
    <row r="121" spans="1:43" s="266" customFormat="1" ht="15" customHeight="1" x14ac:dyDescent="0.2">
      <c r="A121" s="1045"/>
      <c r="B121" s="545"/>
      <c r="C121" s="545"/>
      <c r="D121" s="545"/>
      <c r="E121" s="545"/>
      <c r="F121" s="545"/>
      <c r="G121" s="545"/>
      <c r="H121" s="545"/>
      <c r="I121" s="545"/>
      <c r="J121" s="545"/>
      <c r="K121" s="545"/>
      <c r="L121" s="545"/>
      <c r="M121" s="545"/>
      <c r="N121" s="545"/>
      <c r="O121" s="546"/>
      <c r="P121" s="545"/>
      <c r="Q121" s="546"/>
      <c r="R121" s="545"/>
      <c r="S121" s="545"/>
      <c r="T121" s="545"/>
      <c r="U121" s="545"/>
      <c r="V121" s="545"/>
      <c r="W121" s="545"/>
      <c r="X121" s="108"/>
      <c r="Y121" s="670"/>
      <c r="Z121" s="670"/>
      <c r="AA121" s="670"/>
      <c r="AB121" s="670"/>
      <c r="AC121" s="670"/>
      <c r="AD121" s="670"/>
      <c r="AE121" s="670"/>
      <c r="AF121" s="670"/>
      <c r="AG121" s="670"/>
      <c r="AH121" s="670"/>
      <c r="AI121" s="670"/>
      <c r="AJ121" s="670"/>
      <c r="AK121" s="670"/>
      <c r="AL121" s="670"/>
    </row>
    <row r="122" spans="1:43" s="266" customFormat="1" ht="15" customHeight="1" x14ac:dyDescent="0.2">
      <c r="A122" s="1045"/>
      <c r="B122" s="255"/>
      <c r="C122" s="255"/>
      <c r="D122" s="255"/>
      <c r="E122" s="255"/>
      <c r="F122" s="255"/>
      <c r="G122" s="255"/>
      <c r="H122" s="255"/>
      <c r="I122" s="255"/>
      <c r="J122" s="255"/>
      <c r="K122" s="255"/>
      <c r="L122" s="255"/>
      <c r="M122" s="255"/>
      <c r="N122" s="255"/>
      <c r="O122" s="248"/>
      <c r="P122" s="255"/>
      <c r="Q122" s="248"/>
      <c r="R122" s="255"/>
      <c r="S122" s="255"/>
      <c r="T122" s="255"/>
      <c r="U122" s="255"/>
      <c r="V122" s="255"/>
      <c r="W122" s="255"/>
      <c r="X122" s="670"/>
      <c r="Y122" s="670"/>
      <c r="Z122" s="670"/>
      <c r="AA122" s="670"/>
      <c r="AB122" s="670"/>
      <c r="AC122" s="670"/>
      <c r="AD122" s="670"/>
      <c r="AE122" s="670"/>
      <c r="AF122" s="670"/>
      <c r="AG122" s="670"/>
      <c r="AH122" s="670"/>
      <c r="AI122" s="670"/>
      <c r="AJ122" s="670"/>
      <c r="AK122" s="670"/>
      <c r="AL122" s="670"/>
    </row>
    <row r="123" spans="1:43" s="266" customFormat="1" ht="15" customHeight="1" x14ac:dyDescent="0.2">
      <c r="A123" s="1045"/>
      <c r="B123" s="255"/>
      <c r="C123" s="255"/>
      <c r="D123" s="255"/>
      <c r="E123" s="255"/>
      <c r="F123" s="255"/>
      <c r="G123" s="255"/>
      <c r="H123" s="255"/>
      <c r="I123" s="255"/>
      <c r="J123" s="255"/>
      <c r="K123" s="255"/>
      <c r="L123" s="255"/>
      <c r="M123" s="255"/>
      <c r="N123" s="255"/>
      <c r="O123" s="248"/>
      <c r="P123" s="255"/>
      <c r="Q123" s="248"/>
      <c r="R123" s="255"/>
      <c r="S123" s="255"/>
      <c r="T123" s="255"/>
      <c r="U123" s="255"/>
      <c r="V123" s="255"/>
      <c r="W123" s="255"/>
      <c r="X123" s="670"/>
      <c r="Y123" s="670"/>
      <c r="Z123" s="670"/>
      <c r="AA123" s="670"/>
      <c r="AB123" s="670"/>
      <c r="AC123" s="670"/>
      <c r="AD123" s="670"/>
      <c r="AE123" s="670"/>
      <c r="AF123" s="670"/>
      <c r="AG123" s="670"/>
      <c r="AH123" s="670"/>
      <c r="AI123" s="670"/>
      <c r="AJ123" s="670"/>
      <c r="AK123" s="670"/>
      <c r="AL123" s="670"/>
    </row>
    <row r="124" spans="1:43" s="266" customFormat="1" ht="15" customHeight="1" x14ac:dyDescent="0.2">
      <c r="A124" s="1045"/>
      <c r="B124" s="255"/>
      <c r="C124" s="255"/>
      <c r="D124" s="255"/>
      <c r="E124" s="255"/>
      <c r="F124" s="255"/>
      <c r="G124" s="255"/>
      <c r="H124" s="255"/>
      <c r="I124" s="255"/>
      <c r="J124" s="255"/>
      <c r="K124" s="255"/>
      <c r="L124" s="255"/>
      <c r="M124" s="255"/>
      <c r="N124" s="255"/>
      <c r="O124" s="248"/>
      <c r="P124" s="255"/>
      <c r="Q124" s="248"/>
      <c r="R124" s="255"/>
      <c r="S124" s="255"/>
      <c r="T124" s="255"/>
      <c r="U124" s="255"/>
      <c r="V124" s="255"/>
      <c r="W124" s="255"/>
      <c r="X124" s="670"/>
      <c r="Y124" s="670"/>
      <c r="Z124" s="670"/>
      <c r="AA124" s="670"/>
      <c r="AB124" s="670"/>
      <c r="AC124" s="670"/>
      <c r="AD124" s="670"/>
      <c r="AE124" s="670"/>
      <c r="AF124" s="670"/>
      <c r="AG124" s="670"/>
      <c r="AH124" s="670"/>
      <c r="AI124" s="670"/>
      <c r="AJ124" s="670"/>
      <c r="AK124" s="670"/>
      <c r="AL124" s="670"/>
    </row>
    <row r="125" spans="1:43" s="266" customFormat="1" ht="15" customHeight="1" x14ac:dyDescent="0.2">
      <c r="A125" s="1045"/>
      <c r="B125" s="605"/>
      <c r="C125" s="605"/>
      <c r="D125" s="255"/>
      <c r="E125" s="255"/>
      <c r="F125" s="255"/>
      <c r="G125" s="255"/>
      <c r="H125" s="255"/>
      <c r="I125" s="1128" t="str">
        <f>ListAVS!$B$168</f>
        <v>Z powrotem</v>
      </c>
      <c r="J125" s="1128"/>
      <c r="K125" s="255"/>
      <c r="L125" s="255"/>
      <c r="M125" s="255"/>
      <c r="N125" s="255"/>
      <c r="O125" s="248"/>
      <c r="P125" s="255"/>
      <c r="Q125" s="248"/>
      <c r="R125" s="255"/>
      <c r="S125" s="255"/>
      <c r="T125" s="255"/>
      <c r="U125" s="255"/>
      <c r="V125" s="255"/>
      <c r="W125" s="255"/>
      <c r="X125" s="670"/>
      <c r="Y125" s="670"/>
      <c r="Z125" s="670"/>
      <c r="AA125" s="670"/>
      <c r="AB125" s="670"/>
      <c r="AC125" s="670"/>
      <c r="AD125" s="670"/>
      <c r="AE125" s="670"/>
      <c r="AF125" s="670"/>
      <c r="AG125" s="670"/>
      <c r="AH125" s="670"/>
      <c r="AI125" s="670"/>
      <c r="AJ125" s="670"/>
      <c r="AK125" s="670"/>
      <c r="AL125" s="670"/>
      <c r="AQ125" s="255"/>
    </row>
    <row r="126" spans="1:43" s="255" customFormat="1" ht="15" customHeight="1" x14ac:dyDescent="0.2">
      <c r="A126" s="1045"/>
      <c r="O126" s="248"/>
      <c r="Q126" s="248"/>
      <c r="X126" s="670"/>
      <c r="Y126" s="670"/>
      <c r="Z126" s="670"/>
      <c r="AA126" s="670"/>
      <c r="AB126" s="670"/>
      <c r="AC126" s="670"/>
      <c r="AD126" s="670"/>
      <c r="AE126" s="670"/>
      <c r="AF126" s="670"/>
      <c r="AG126" s="670"/>
      <c r="AH126" s="670"/>
      <c r="AI126" s="670"/>
      <c r="AJ126" s="670"/>
      <c r="AK126" s="670"/>
      <c r="AL126" s="670"/>
      <c r="AM126" s="266"/>
      <c r="AN126" s="137"/>
      <c r="AO126" s="137"/>
      <c r="AP126" s="137"/>
      <c r="AQ126" s="37"/>
    </row>
    <row r="127" spans="1:43" s="37" customFormat="1" x14ac:dyDescent="0.2">
      <c r="A127" s="1045"/>
      <c r="O127" s="118"/>
      <c r="Q127" s="118"/>
      <c r="X127" s="108"/>
      <c r="Y127" s="108"/>
      <c r="Z127" s="108"/>
      <c r="AA127" s="108"/>
      <c r="AB127" s="108"/>
      <c r="AC127" s="108"/>
      <c r="AD127" s="108"/>
      <c r="AE127" s="108"/>
      <c r="AF127" s="108"/>
      <c r="AG127" s="108"/>
      <c r="AH127" s="108"/>
      <c r="AI127" s="108"/>
      <c r="AJ127" s="108"/>
      <c r="AK127" s="108"/>
      <c r="AL127" s="108"/>
      <c r="AM127" s="137"/>
      <c r="AN127" s="137"/>
      <c r="AO127" s="137"/>
      <c r="AP127" s="137"/>
    </row>
    <row r="128" spans="1:43" s="37" customFormat="1" x14ac:dyDescent="0.2">
      <c r="A128" s="1045"/>
      <c r="O128" s="118"/>
      <c r="Q128" s="118"/>
      <c r="X128" s="108"/>
      <c r="Y128" s="108"/>
      <c r="Z128" s="108"/>
      <c r="AA128" s="108"/>
      <c r="AB128" s="108"/>
      <c r="AC128" s="108"/>
      <c r="AD128" s="108"/>
      <c r="AE128" s="108"/>
      <c r="AF128" s="108"/>
      <c r="AG128" s="108"/>
      <c r="AH128" s="108"/>
      <c r="AI128" s="108"/>
      <c r="AJ128" s="108"/>
      <c r="AK128" s="108"/>
      <c r="AL128" s="108"/>
      <c r="AM128" s="137"/>
      <c r="AN128" s="137"/>
      <c r="AO128" s="137"/>
      <c r="AP128" s="137"/>
    </row>
    <row r="129" spans="1:43" s="37" customFormat="1" x14ac:dyDescent="0.2">
      <c r="A129" s="1045"/>
      <c r="O129" s="118"/>
      <c r="Q129" s="118"/>
      <c r="X129" s="108"/>
      <c r="Y129" s="108"/>
      <c r="Z129" s="108"/>
      <c r="AA129" s="108"/>
      <c r="AB129" s="108"/>
      <c r="AC129" s="108"/>
      <c r="AD129" s="108"/>
      <c r="AE129" s="108"/>
      <c r="AF129" s="108"/>
      <c r="AG129" s="108"/>
      <c r="AH129" s="108"/>
      <c r="AI129" s="108"/>
      <c r="AJ129" s="108"/>
      <c r="AK129" s="108"/>
      <c r="AL129" s="108"/>
      <c r="AM129" s="137"/>
      <c r="AN129" s="137"/>
      <c r="AO129" s="137"/>
      <c r="AP129" s="137"/>
    </row>
    <row r="130" spans="1:43" s="37" customFormat="1" x14ac:dyDescent="0.2">
      <c r="A130" s="1045"/>
      <c r="O130" s="118"/>
      <c r="Q130" s="118"/>
      <c r="X130" s="108"/>
      <c r="Y130" s="108"/>
      <c r="Z130" s="108"/>
      <c r="AA130" s="108"/>
      <c r="AB130" s="108"/>
      <c r="AC130" s="108"/>
      <c r="AD130" s="108"/>
      <c r="AE130" s="108"/>
      <c r="AF130" s="108"/>
      <c r="AG130" s="108"/>
      <c r="AH130" s="108"/>
      <c r="AI130" s="108"/>
      <c r="AJ130" s="108"/>
      <c r="AK130" s="108"/>
      <c r="AL130" s="108"/>
      <c r="AM130" s="137"/>
      <c r="AN130" s="137"/>
      <c r="AO130" s="137"/>
      <c r="AP130" s="137"/>
    </row>
    <row r="131" spans="1:43" s="37" customFormat="1" x14ac:dyDescent="0.2">
      <c r="A131" s="1045"/>
      <c r="O131" s="118"/>
      <c r="Q131" s="118"/>
      <c r="X131" s="108"/>
      <c r="Y131" s="108"/>
      <c r="Z131" s="108"/>
      <c r="AA131" s="108"/>
      <c r="AB131" s="108"/>
      <c r="AC131" s="108"/>
      <c r="AD131" s="108"/>
      <c r="AE131" s="108"/>
      <c r="AF131" s="108"/>
      <c r="AG131" s="108"/>
      <c r="AH131" s="108"/>
      <c r="AI131" s="108"/>
      <c r="AJ131" s="108"/>
      <c r="AK131" s="108"/>
      <c r="AL131" s="108"/>
      <c r="AM131" s="137"/>
      <c r="AN131" s="137"/>
      <c r="AO131" s="137"/>
      <c r="AP131" s="137"/>
    </row>
    <row r="132" spans="1:43" s="37" customFormat="1" x14ac:dyDescent="0.2">
      <c r="A132" s="1045"/>
      <c r="O132" s="118"/>
      <c r="Q132" s="118"/>
      <c r="X132" s="108"/>
      <c r="Y132" s="108"/>
      <c r="Z132" s="108"/>
      <c r="AA132" s="108"/>
      <c r="AB132" s="108"/>
      <c r="AC132" s="108"/>
      <c r="AD132" s="108"/>
      <c r="AE132" s="108"/>
      <c r="AF132" s="108"/>
      <c r="AG132" s="108"/>
      <c r="AH132" s="108"/>
      <c r="AI132" s="108"/>
      <c r="AJ132" s="108"/>
      <c r="AK132" s="108"/>
      <c r="AL132" s="108"/>
      <c r="AM132" s="137"/>
      <c r="AN132" s="137"/>
      <c r="AO132" s="137"/>
      <c r="AP132" s="137"/>
    </row>
    <row r="133" spans="1:43" s="37" customFormat="1" x14ac:dyDescent="0.2">
      <c r="A133" s="1045"/>
      <c r="O133" s="118"/>
      <c r="Q133" s="118"/>
      <c r="X133" s="108"/>
      <c r="Y133" s="108"/>
      <c r="Z133" s="108"/>
      <c r="AA133" s="108"/>
      <c r="AB133" s="108"/>
      <c r="AC133" s="108"/>
      <c r="AD133" s="108"/>
      <c r="AE133" s="108"/>
      <c r="AF133" s="108"/>
      <c r="AG133" s="108"/>
      <c r="AH133" s="108"/>
      <c r="AI133" s="108"/>
      <c r="AJ133" s="108"/>
      <c r="AK133" s="108"/>
      <c r="AL133" s="108"/>
      <c r="AM133" s="137"/>
      <c r="AN133" s="137"/>
      <c r="AO133" s="137"/>
      <c r="AP133" s="137"/>
    </row>
    <row r="134" spans="1:43" s="37" customFormat="1" x14ac:dyDescent="0.2">
      <c r="A134" s="1045"/>
      <c r="O134" s="118"/>
      <c r="Q134" s="118"/>
      <c r="X134" s="108"/>
      <c r="Y134" s="108"/>
      <c r="Z134" s="108"/>
      <c r="AA134" s="108"/>
      <c r="AB134" s="108"/>
      <c r="AC134" s="108"/>
      <c r="AD134" s="108"/>
      <c r="AE134" s="108"/>
      <c r="AF134" s="108"/>
      <c r="AG134" s="108"/>
      <c r="AH134" s="108"/>
      <c r="AI134" s="108"/>
      <c r="AJ134" s="108"/>
      <c r="AK134" s="108"/>
      <c r="AL134" s="108"/>
      <c r="AM134" s="137"/>
      <c r="AN134" s="137"/>
      <c r="AO134" s="137"/>
      <c r="AP134" s="137"/>
    </row>
    <row r="135" spans="1:43" s="37" customFormat="1" x14ac:dyDescent="0.2">
      <c r="A135" s="1045"/>
      <c r="O135" s="118"/>
      <c r="Q135" s="118"/>
      <c r="X135" s="108"/>
      <c r="Y135" s="108"/>
      <c r="Z135" s="108"/>
      <c r="AA135" s="108"/>
      <c r="AB135" s="108"/>
      <c r="AC135" s="108"/>
      <c r="AD135" s="108"/>
      <c r="AE135" s="108"/>
      <c r="AF135" s="108"/>
      <c r="AG135" s="108"/>
      <c r="AH135" s="108"/>
      <c r="AI135" s="108"/>
      <c r="AJ135" s="108"/>
      <c r="AK135" s="108"/>
      <c r="AL135" s="108"/>
      <c r="AM135" s="137"/>
      <c r="AN135" s="137"/>
      <c r="AO135" s="137"/>
      <c r="AP135" s="137"/>
    </row>
    <row r="136" spans="1:43" s="37" customFormat="1" x14ac:dyDescent="0.2">
      <c r="A136" s="1045"/>
      <c r="O136" s="118"/>
      <c r="Q136" s="118"/>
      <c r="X136" s="108"/>
      <c r="Y136" s="108"/>
      <c r="Z136" s="108"/>
      <c r="AA136" s="108"/>
      <c r="AB136" s="108"/>
      <c r="AC136" s="108"/>
      <c r="AD136" s="108"/>
      <c r="AE136" s="108"/>
      <c r="AF136" s="108"/>
      <c r="AG136" s="108"/>
      <c r="AH136" s="108"/>
      <c r="AI136" s="108"/>
      <c r="AJ136" s="108"/>
      <c r="AK136" s="108"/>
      <c r="AL136" s="108"/>
      <c r="AM136" s="137"/>
      <c r="AN136" s="137"/>
      <c r="AO136" s="137"/>
      <c r="AP136" s="137"/>
    </row>
    <row r="137" spans="1:43" s="37" customFormat="1" x14ac:dyDescent="0.2">
      <c r="A137" s="1045"/>
      <c r="O137" s="118"/>
      <c r="Q137" s="118"/>
      <c r="X137" s="108"/>
      <c r="Y137" s="108"/>
      <c r="Z137" s="108"/>
      <c r="AA137" s="108"/>
      <c r="AB137" s="108"/>
      <c r="AC137" s="108"/>
      <c r="AD137" s="108"/>
      <c r="AE137" s="108"/>
      <c r="AF137" s="108"/>
      <c r="AG137" s="108"/>
      <c r="AH137" s="108"/>
      <c r="AI137" s="108"/>
      <c r="AJ137" s="108"/>
      <c r="AK137" s="108"/>
      <c r="AL137" s="108"/>
      <c r="AM137" s="137"/>
      <c r="AN137" s="137"/>
      <c r="AO137" s="137"/>
      <c r="AP137" s="137"/>
    </row>
    <row r="138" spans="1:43" s="37" customFormat="1" x14ac:dyDescent="0.2">
      <c r="A138" s="1045"/>
      <c r="O138" s="118"/>
      <c r="Q138" s="118"/>
      <c r="X138" s="108"/>
      <c r="Y138" s="108"/>
      <c r="Z138" s="108"/>
      <c r="AA138" s="108"/>
      <c r="AB138" s="108"/>
      <c r="AC138" s="108"/>
      <c r="AD138" s="108"/>
      <c r="AE138" s="108"/>
      <c r="AF138" s="108"/>
      <c r="AG138" s="108"/>
      <c r="AH138" s="108"/>
      <c r="AI138" s="108"/>
      <c r="AJ138" s="108"/>
      <c r="AK138" s="108"/>
      <c r="AL138" s="108"/>
      <c r="AM138" s="137"/>
      <c r="AN138" s="137"/>
      <c r="AO138" s="137"/>
      <c r="AP138" s="137"/>
      <c r="AQ138" s="137"/>
    </row>
    <row r="139" spans="1:43" ht="18" x14ac:dyDescent="0.15">
      <c r="A139" s="1045"/>
      <c r="B139" s="308" t="s">
        <v>11</v>
      </c>
      <c r="C139" s="321"/>
      <c r="D139" s="308"/>
      <c r="E139" s="308"/>
      <c r="F139" s="308"/>
      <c r="G139" s="308"/>
      <c r="H139" s="308"/>
      <c r="I139" s="308"/>
      <c r="J139" s="308"/>
      <c r="K139" s="308"/>
      <c r="L139" s="308"/>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row>
    <row r="140" spans="1:43" x14ac:dyDescent="0.2">
      <c r="A140" s="1045"/>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row>
    <row r="141" spans="1:43" ht="12.75" x14ac:dyDescent="0.2">
      <c r="A141" s="1045"/>
      <c r="B141" s="255" t="str">
        <f>ListAVS!$B$303</f>
        <v>Odpowiedni siłownik będzie określony za pomocą współczynnika mocy</v>
      </c>
      <c r="C141" s="255"/>
      <c r="D141" s="255"/>
      <c r="E141" s="255"/>
      <c r="F141" s="255"/>
      <c r="G141" s="255"/>
      <c r="H141" s="255"/>
      <c r="I141" s="255"/>
      <c r="J141" s="255"/>
      <c r="K141" s="255"/>
      <c r="L141" s="255"/>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row>
    <row r="142" spans="1:43" ht="12.75" x14ac:dyDescent="0.2">
      <c r="A142" s="1045"/>
      <c r="B142" s="255" t="str">
        <f>ListAVS!$B$304</f>
        <v>Współczynnik mocy zależy od wagi dolnego i górnego frontu oraz od wysokości korpusu</v>
      </c>
      <c r="C142" s="255"/>
      <c r="D142" s="255"/>
      <c r="E142" s="255"/>
      <c r="F142" s="255"/>
      <c r="G142" s="255"/>
      <c r="H142" s="255"/>
      <c r="I142" s="255"/>
      <c r="J142" s="255"/>
      <c r="K142" s="255"/>
      <c r="L142" s="255"/>
      <c r="M142" s="137"/>
      <c r="N142" s="137"/>
      <c r="O142" s="137"/>
      <c r="P142" s="137"/>
      <c r="Q142" s="137"/>
      <c r="R142" s="137"/>
      <c r="S142" s="137"/>
      <c r="T142" s="137"/>
      <c r="U142" s="137"/>
      <c r="V142" s="137"/>
      <c r="W142" s="137"/>
      <c r="X142" s="137"/>
      <c r="Y142" s="137"/>
      <c r="Z142" s="137"/>
      <c r="AA142" s="137"/>
      <c r="AB142" s="137"/>
      <c r="AC142" s="137"/>
      <c r="AD142" s="137"/>
      <c r="AE142" s="137"/>
      <c r="AF142" s="137"/>
      <c r="AG142" s="137"/>
      <c r="AH142" s="137"/>
      <c r="AI142" s="137"/>
      <c r="AJ142" s="137"/>
      <c r="AK142" s="137"/>
      <c r="AL142" s="137"/>
    </row>
    <row r="143" spans="1:43" ht="12.75" x14ac:dyDescent="0.2">
      <c r="A143" s="1045"/>
      <c r="B143" s="255"/>
      <c r="C143" s="695"/>
      <c r="D143" s="695"/>
      <c r="E143" s="695"/>
      <c r="F143" s="695"/>
      <c r="G143" s="695"/>
      <c r="H143" s="695"/>
      <c r="I143" s="695"/>
      <c r="J143" s="695"/>
      <c r="K143" s="695"/>
      <c r="L143" s="695"/>
      <c r="M143" s="137"/>
      <c r="N143" s="137"/>
      <c r="O143" s="137"/>
      <c r="P143" s="137"/>
      <c r="Q143" s="137"/>
      <c r="R143" s="137"/>
      <c r="S143" s="137"/>
      <c r="T143" s="137"/>
      <c r="U143" s="137"/>
      <c r="V143" s="137"/>
      <c r="W143" s="137"/>
      <c r="X143" s="137"/>
      <c r="Y143" s="137"/>
      <c r="Z143" s="137"/>
      <c r="AA143" s="137"/>
      <c r="AB143" s="137"/>
      <c r="AC143" s="137"/>
      <c r="AD143" s="137"/>
      <c r="AE143" s="137"/>
      <c r="AF143" s="137"/>
      <c r="AG143" s="137"/>
      <c r="AH143" s="137"/>
      <c r="AI143" s="137"/>
      <c r="AJ143" s="137"/>
      <c r="AK143" s="137"/>
      <c r="AL143" s="137"/>
    </row>
    <row r="144" spans="1:43" ht="15" customHeight="1" x14ac:dyDescent="0.2">
      <c r="A144" s="1045"/>
      <c r="B144" s="696"/>
      <c r="C144" s="696"/>
      <c r="D144" s="696"/>
      <c r="E144" s="696"/>
      <c r="F144" s="696"/>
      <c r="G144" s="696"/>
      <c r="H144" s="696"/>
      <c r="I144" s="696"/>
      <c r="J144" s="696"/>
      <c r="K144" s="696"/>
      <c r="L144" s="696"/>
      <c r="M144" s="137"/>
      <c r="N144" s="137"/>
      <c r="O144" s="137"/>
      <c r="P144" s="137"/>
      <c r="Q144" s="137"/>
      <c r="R144" s="137"/>
      <c r="S144" s="137"/>
      <c r="T144" s="137"/>
      <c r="U144" s="137"/>
      <c r="V144" s="137"/>
      <c r="W144" s="137"/>
      <c r="X144" s="137"/>
      <c r="Y144" s="137"/>
      <c r="Z144" s="137"/>
      <c r="AA144" s="137"/>
      <c r="AB144" s="137"/>
      <c r="AC144" s="137"/>
      <c r="AD144" s="137"/>
      <c r="AE144" s="137"/>
      <c r="AF144" s="137"/>
      <c r="AG144" s="137"/>
      <c r="AH144" s="137"/>
      <c r="AI144" s="137"/>
      <c r="AJ144" s="137"/>
      <c r="AK144" s="137"/>
      <c r="AL144" s="137"/>
    </row>
    <row r="145" spans="1:38" ht="18" customHeight="1" x14ac:dyDescent="0.15">
      <c r="A145" s="1045"/>
      <c r="B145" s="697"/>
      <c r="C145" s="697"/>
      <c r="D145" s="698" t="str">
        <f>ListAVS!$B$86&amp;" = "</f>
        <v xml:space="preserve">Współczynnik mocy = </v>
      </c>
      <c r="E145" s="1068" t="str">
        <f>ListAVS!$B$320&amp;" [kg]"</f>
        <v>wysokość korpusu (KH) [mm] x waga obu frontów wraz z uchwytem [kg]</v>
      </c>
      <c r="F145" s="1068"/>
      <c r="G145" s="1068"/>
      <c r="H145" s="1068"/>
      <c r="I145" s="1068"/>
      <c r="J145" s="1068"/>
      <c r="K145" s="1068"/>
      <c r="L145" s="1068"/>
      <c r="M145" s="137"/>
      <c r="N145" s="137"/>
      <c r="O145" s="137"/>
      <c r="P145" s="137"/>
      <c r="Q145" s="137"/>
      <c r="R145" s="137"/>
      <c r="S145" s="137"/>
      <c r="T145" s="137"/>
      <c r="U145" s="137"/>
      <c r="V145" s="137"/>
      <c r="W145" s="137"/>
      <c r="X145" s="137"/>
      <c r="Y145" s="137"/>
      <c r="Z145" s="137"/>
      <c r="AA145" s="137"/>
      <c r="AB145" s="137"/>
      <c r="AC145" s="137"/>
      <c r="AD145" s="137"/>
      <c r="AE145" s="137"/>
      <c r="AF145" s="137"/>
      <c r="AG145" s="137"/>
      <c r="AH145" s="137"/>
      <c r="AI145" s="137"/>
      <c r="AJ145" s="137"/>
      <c r="AK145" s="137"/>
      <c r="AL145" s="137"/>
    </row>
    <row r="146" spans="1:38" ht="12.75" x14ac:dyDescent="0.2">
      <c r="A146" s="1045"/>
      <c r="B146" s="255"/>
      <c r="C146" s="255"/>
      <c r="D146" s="255"/>
      <c r="E146" s="255"/>
      <c r="F146" s="255"/>
      <c r="G146" s="255"/>
      <c r="H146" s="255"/>
      <c r="I146" s="255"/>
      <c r="J146" s="255"/>
      <c r="K146" s="255"/>
      <c r="L146" s="255"/>
      <c r="M146" s="137"/>
      <c r="N146" s="137"/>
      <c r="O146" s="137"/>
      <c r="P146" s="137"/>
      <c r="Q146" s="137"/>
      <c r="R146" s="137"/>
      <c r="S146" s="137"/>
      <c r="T146" s="137"/>
      <c r="U146" s="137"/>
      <c r="V146" s="137"/>
      <c r="W146" s="137"/>
      <c r="X146" s="137"/>
      <c r="Y146" s="137"/>
      <c r="Z146" s="137"/>
      <c r="AA146" s="137"/>
      <c r="AB146" s="137"/>
      <c r="AC146" s="137"/>
      <c r="AD146" s="137"/>
      <c r="AE146" s="137"/>
      <c r="AF146" s="137"/>
      <c r="AG146" s="137"/>
      <c r="AH146" s="137"/>
      <c r="AI146" s="137"/>
      <c r="AJ146" s="137"/>
      <c r="AK146" s="137"/>
      <c r="AL146" s="137"/>
    </row>
    <row r="147" spans="1:38" ht="12.75" x14ac:dyDescent="0.2">
      <c r="A147" s="1045"/>
      <c r="B147" s="255"/>
      <c r="C147" s="255"/>
      <c r="D147" s="255"/>
      <c r="E147" s="255"/>
      <c r="F147" s="255"/>
      <c r="G147" s="255"/>
      <c r="H147" s="255"/>
      <c r="I147" s="255"/>
      <c r="J147" s="255"/>
      <c r="K147" s="255"/>
      <c r="L147" s="255"/>
      <c r="M147" s="137"/>
      <c r="N147" s="137"/>
      <c r="O147" s="137"/>
      <c r="P147" s="137"/>
      <c r="Q147" s="137"/>
      <c r="R147" s="137"/>
      <c r="S147" s="137"/>
      <c r="T147" s="137"/>
      <c r="U147" s="137"/>
      <c r="V147" s="137"/>
      <c r="W147" s="137"/>
      <c r="X147" s="137"/>
      <c r="Y147" s="137"/>
      <c r="Z147" s="137"/>
      <c r="AA147" s="137"/>
      <c r="AB147" s="137"/>
      <c r="AC147" s="137"/>
      <c r="AD147" s="137"/>
      <c r="AE147" s="137"/>
      <c r="AF147" s="137"/>
      <c r="AG147" s="137"/>
      <c r="AH147" s="137"/>
      <c r="AI147" s="137"/>
      <c r="AJ147" s="137"/>
      <c r="AK147" s="137"/>
      <c r="AL147" s="137"/>
    </row>
    <row r="148" spans="1:38" ht="12.75" x14ac:dyDescent="0.2">
      <c r="A148" s="1045"/>
      <c r="B148" s="255"/>
      <c r="C148" s="255"/>
      <c r="D148" s="255"/>
      <c r="E148" s="255"/>
      <c r="F148" s="255"/>
      <c r="G148" s="255"/>
      <c r="H148" s="255"/>
      <c r="I148" s="255"/>
      <c r="J148" s="255"/>
      <c r="K148" s="255"/>
      <c r="L148" s="255"/>
      <c r="M148" s="137"/>
      <c r="N148" s="137"/>
      <c r="O148" s="137"/>
      <c r="P148" s="137"/>
      <c r="Q148" s="137"/>
      <c r="R148" s="137"/>
      <c r="S148" s="137"/>
      <c r="T148" s="137"/>
      <c r="U148" s="137"/>
      <c r="V148" s="137"/>
      <c r="W148" s="137"/>
      <c r="X148" s="137"/>
      <c r="Y148" s="137"/>
      <c r="Z148" s="137"/>
      <c r="AA148" s="137"/>
      <c r="AB148" s="137"/>
      <c r="AC148" s="137"/>
      <c r="AD148" s="137"/>
      <c r="AE148" s="137"/>
      <c r="AF148" s="137"/>
      <c r="AG148" s="137"/>
      <c r="AH148" s="137"/>
      <c r="AI148" s="137"/>
      <c r="AJ148" s="137"/>
      <c r="AK148" s="137"/>
      <c r="AL148" s="137"/>
    </row>
    <row r="149" spans="1:38" ht="12.75" x14ac:dyDescent="0.2">
      <c r="A149" s="1045"/>
      <c r="B149" s="273"/>
      <c r="C149" s="255"/>
      <c r="D149" s="255"/>
      <c r="E149" s="255"/>
      <c r="F149" s="255"/>
      <c r="G149" s="255"/>
      <c r="H149" s="255"/>
      <c r="I149" s="255"/>
      <c r="J149" s="255"/>
      <c r="K149" s="255"/>
      <c r="L149" s="255"/>
      <c r="M149" s="137"/>
      <c r="N149" s="137"/>
      <c r="O149" s="137"/>
      <c r="P149" s="137"/>
      <c r="Q149" s="137"/>
      <c r="R149" s="137"/>
      <c r="S149" s="137"/>
      <c r="T149" s="137"/>
      <c r="U149" s="137"/>
      <c r="V149" s="137"/>
      <c r="W149" s="137"/>
      <c r="X149" s="137"/>
      <c r="Y149" s="137"/>
      <c r="Z149" s="137"/>
      <c r="AA149" s="137"/>
      <c r="AB149" s="137"/>
      <c r="AC149" s="137"/>
      <c r="AD149" s="137"/>
      <c r="AE149" s="137"/>
      <c r="AF149" s="137"/>
      <c r="AG149" s="137"/>
      <c r="AH149" s="137"/>
      <c r="AI149" s="137"/>
      <c r="AJ149" s="137"/>
      <c r="AK149" s="137"/>
      <c r="AL149" s="137"/>
    </row>
    <row r="150" spans="1:38" ht="12.75" x14ac:dyDescent="0.2">
      <c r="A150" s="1045"/>
      <c r="B150" s="255"/>
      <c r="C150" s="255"/>
      <c r="D150" s="255"/>
      <c r="E150" s="255"/>
      <c r="F150" s="255"/>
      <c r="G150" s="255"/>
      <c r="H150" s="255"/>
      <c r="I150" s="255"/>
      <c r="J150" s="255"/>
      <c r="K150" s="255"/>
      <c r="L150" s="255"/>
      <c r="M150" s="137"/>
      <c r="N150" s="137"/>
      <c r="O150" s="137"/>
      <c r="P150" s="137"/>
      <c r="Q150" s="137"/>
      <c r="R150" s="137"/>
      <c r="S150" s="137"/>
      <c r="T150" s="137"/>
      <c r="U150" s="137"/>
      <c r="V150" s="137"/>
      <c r="W150" s="137"/>
      <c r="X150" s="137"/>
      <c r="Y150" s="137"/>
      <c r="Z150" s="137"/>
      <c r="AA150" s="137"/>
      <c r="AB150" s="137"/>
      <c r="AC150" s="137"/>
      <c r="AD150" s="137"/>
      <c r="AE150" s="137"/>
      <c r="AF150" s="137"/>
      <c r="AG150" s="137"/>
      <c r="AH150" s="137"/>
      <c r="AI150" s="137"/>
      <c r="AJ150" s="137"/>
      <c r="AK150" s="137"/>
      <c r="AL150" s="137"/>
    </row>
    <row r="151" spans="1:38" ht="12.75" x14ac:dyDescent="0.2">
      <c r="A151" s="1045"/>
      <c r="B151" s="255" t="str">
        <f>ListAVS!$B$312</f>
        <v>Jeśli znasz wagę frontu, możesz ją wprowadzić, w przeciwnym razie skorzystaj z „Obliczenia wagi”.</v>
      </c>
      <c r="C151" s="255"/>
      <c r="D151" s="255"/>
      <c r="E151" s="255"/>
      <c r="F151" s="255"/>
      <c r="G151" s="255"/>
      <c r="H151" s="255"/>
      <c r="I151" s="255"/>
      <c r="J151" s="255"/>
      <c r="K151" s="255"/>
      <c r="L151" s="255"/>
      <c r="M151" s="137"/>
      <c r="N151" s="137"/>
      <c r="O151" s="137"/>
      <c r="P151" s="137"/>
      <c r="Q151" s="137"/>
      <c r="R151" s="137"/>
      <c r="S151" s="137"/>
      <c r="T151" s="137"/>
      <c r="U151" s="137"/>
      <c r="V151" s="137"/>
      <c r="W151" s="137"/>
      <c r="X151" s="137"/>
      <c r="Y151" s="137"/>
      <c r="Z151" s="137"/>
      <c r="AA151" s="137"/>
      <c r="AB151" s="137"/>
      <c r="AC151" s="137"/>
      <c r="AD151" s="137"/>
      <c r="AE151" s="137"/>
      <c r="AF151" s="137"/>
      <c r="AG151" s="137"/>
      <c r="AH151" s="137"/>
      <c r="AI151" s="137"/>
      <c r="AJ151" s="137"/>
      <c r="AK151" s="137"/>
      <c r="AL151" s="137"/>
    </row>
    <row r="152" spans="1:38" ht="12.75" x14ac:dyDescent="0.2">
      <c r="A152" s="1045"/>
      <c r="B152" s="255" t="str">
        <f>ListAVS!$B$313</f>
        <v>W tabeli wprowadzona wartość ma pierwszeństwo aby skorzystać z wagi obliczeniowej, należy usunąć wprowadzoną wartość.</v>
      </c>
      <c r="C152" s="255"/>
      <c r="D152" s="255"/>
      <c r="E152" s="255"/>
      <c r="F152" s="255"/>
      <c r="G152" s="255"/>
      <c r="H152" s="255"/>
      <c r="I152" s="255"/>
      <c r="J152" s="255"/>
      <c r="K152" s="255"/>
      <c r="L152" s="255"/>
      <c r="M152" s="137"/>
      <c r="N152" s="137"/>
      <c r="O152" s="137"/>
      <c r="P152" s="137"/>
      <c r="Q152" s="137"/>
      <c r="R152" s="137"/>
      <c r="S152" s="137"/>
      <c r="T152" s="137"/>
      <c r="U152" s="137"/>
      <c r="V152" s="137"/>
      <c r="W152" s="137"/>
      <c r="X152" s="137"/>
      <c r="Y152" s="137"/>
      <c r="Z152" s="137"/>
      <c r="AA152" s="137"/>
      <c r="AB152" s="137"/>
      <c r="AC152" s="137"/>
      <c r="AD152" s="137"/>
      <c r="AE152" s="137"/>
      <c r="AF152" s="137"/>
      <c r="AG152" s="137"/>
      <c r="AH152" s="137"/>
      <c r="AI152" s="137"/>
      <c r="AJ152" s="137"/>
      <c r="AK152" s="137"/>
      <c r="AL152" s="137"/>
    </row>
    <row r="153" spans="1:38" ht="12.75" x14ac:dyDescent="0.2">
      <c r="A153" s="1045"/>
      <c r="B153" s="255"/>
      <c r="C153" s="255"/>
      <c r="D153" s="255"/>
      <c r="E153" s="255"/>
      <c r="F153" s="255"/>
      <c r="G153" s="255"/>
      <c r="H153" s="255"/>
      <c r="I153" s="255"/>
      <c r="J153" s="255"/>
      <c r="K153" s="255"/>
      <c r="L153" s="255"/>
      <c r="M153" s="137"/>
      <c r="N153" s="137"/>
      <c r="O153" s="137"/>
      <c r="P153" s="137"/>
      <c r="Q153" s="137"/>
      <c r="R153" s="137"/>
      <c r="S153" s="137"/>
      <c r="T153" s="137"/>
      <c r="U153" s="137"/>
      <c r="V153" s="137"/>
      <c r="W153" s="137"/>
      <c r="X153" s="137"/>
      <c r="Y153" s="137"/>
      <c r="Z153" s="137"/>
      <c r="AA153" s="137"/>
      <c r="AB153" s="137"/>
      <c r="AC153" s="137"/>
      <c r="AD153" s="137"/>
      <c r="AE153" s="137"/>
      <c r="AF153" s="137"/>
      <c r="AG153" s="137"/>
      <c r="AH153" s="137"/>
      <c r="AI153" s="137"/>
      <c r="AJ153" s="137"/>
      <c r="AK153" s="137"/>
      <c r="AL153" s="137"/>
    </row>
    <row r="154" spans="1:38" ht="12.75" x14ac:dyDescent="0.2">
      <c r="A154" s="1045"/>
      <c r="B154" s="255" t="str">
        <f>ListAVS!$B$323&amp;". "&amp;ListAVS!$B$324&amp;"."</f>
        <v>Długość podnośnika teleskopowego zależy od wysokości korpusu KH. W przypadku frontów asymetrycznych wykorzystuje się wysokość teoretyczną TKH.</v>
      </c>
      <c r="C154" s="255"/>
      <c r="D154" s="255"/>
      <c r="E154" s="255"/>
      <c r="F154" s="255"/>
      <c r="G154" s="255"/>
      <c r="H154" s="255"/>
      <c r="I154" s="255"/>
      <c r="J154" s="255"/>
      <c r="K154" s="255"/>
      <c r="L154" s="255"/>
      <c r="M154" s="137"/>
      <c r="N154" s="137"/>
      <c r="O154" s="137"/>
      <c r="P154" s="137"/>
      <c r="Q154" s="137"/>
      <c r="R154" s="137"/>
      <c r="S154" s="137"/>
      <c r="T154" s="137"/>
      <c r="U154" s="137"/>
      <c r="V154" s="137"/>
      <c r="W154" s="137"/>
      <c r="X154" s="137"/>
      <c r="Y154" s="137"/>
      <c r="Z154" s="137"/>
      <c r="AA154" s="137"/>
      <c r="AB154" s="137"/>
      <c r="AC154" s="137"/>
      <c r="AD154" s="137"/>
      <c r="AE154" s="137"/>
      <c r="AF154" s="137"/>
      <c r="AG154" s="137"/>
      <c r="AH154" s="137"/>
      <c r="AI154" s="137"/>
      <c r="AJ154" s="137"/>
      <c r="AK154" s="137"/>
      <c r="AL154" s="137"/>
    </row>
    <row r="155" spans="1:38" ht="12.75" x14ac:dyDescent="0.2">
      <c r="A155" s="1045"/>
      <c r="B155" s="255"/>
      <c r="C155" s="255"/>
      <c r="D155" s="255"/>
      <c r="E155" s="255"/>
      <c r="F155" s="255"/>
      <c r="G155" s="255"/>
      <c r="H155" s="255"/>
      <c r="I155" s="255"/>
      <c r="J155" s="255"/>
      <c r="K155" s="255"/>
      <c r="L155" s="255"/>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row>
    <row r="156" spans="1:38" ht="15" customHeight="1" x14ac:dyDescent="0.2">
      <c r="A156" s="1045"/>
      <c r="B156" s="699" t="str">
        <f>" "&amp;ListAVS!$B$163&amp;":"</f>
        <v xml:space="preserve"> Fronty asymetryczne:</v>
      </c>
      <c r="C156" s="700"/>
      <c r="D156" s="700"/>
      <c r="E156" s="700"/>
      <c r="F156" s="700"/>
      <c r="G156" s="700"/>
      <c r="H156" s="700"/>
      <c r="I156" s="700"/>
      <c r="J156" s="700"/>
      <c r="K156" s="700"/>
      <c r="L156" s="700"/>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row>
    <row r="157" spans="1:38" ht="18" customHeight="1" x14ac:dyDescent="0.15">
      <c r="A157" s="1045"/>
      <c r="B157" s="701" t="str">
        <f>" "&amp;ListAVS!$B$321</f>
        <v xml:space="preserve"> Teoretyczna wysokość korpusu (TKH) = wysokość frontu górnego (FHo) x 2 + szczeliny</v>
      </c>
      <c r="C157" s="700"/>
      <c r="D157" s="700"/>
      <c r="E157" s="700"/>
      <c r="F157" s="700"/>
      <c r="G157" s="700"/>
      <c r="H157" s="700"/>
      <c r="I157" s="700"/>
      <c r="J157" s="700"/>
      <c r="K157" s="700"/>
      <c r="L157" s="700"/>
      <c r="M157" s="137"/>
      <c r="N157" s="137"/>
      <c r="O157" s="137"/>
      <c r="P157" s="137"/>
      <c r="Q157" s="137"/>
      <c r="R157" s="137"/>
      <c r="S157" s="137"/>
      <c r="T157" s="137"/>
      <c r="U157" s="137"/>
      <c r="V157" s="137"/>
      <c r="W157" s="137"/>
      <c r="X157" s="137"/>
      <c r="Y157" s="137"/>
      <c r="Z157" s="137"/>
      <c r="AA157" s="137"/>
      <c r="AB157" s="137"/>
      <c r="AC157" s="137"/>
      <c r="AD157" s="137"/>
      <c r="AE157" s="137"/>
      <c r="AF157" s="137"/>
      <c r="AG157" s="137"/>
      <c r="AH157" s="137"/>
      <c r="AI157" s="137"/>
      <c r="AJ157" s="137"/>
      <c r="AK157" s="137"/>
      <c r="AL157" s="137"/>
    </row>
    <row r="158" spans="1:38" ht="12.75" x14ac:dyDescent="0.2">
      <c r="A158" s="1045"/>
      <c r="B158" s="255"/>
      <c r="C158" s="255"/>
      <c r="D158" s="255"/>
      <c r="E158" s="255"/>
      <c r="F158" s="255"/>
      <c r="G158" s="255"/>
      <c r="H158" s="255"/>
      <c r="I158" s="255"/>
      <c r="J158" s="255"/>
      <c r="K158" s="255"/>
      <c r="L158" s="255"/>
      <c r="M158" s="137"/>
      <c r="N158" s="137"/>
      <c r="O158" s="137"/>
      <c r="P158" s="137"/>
      <c r="Q158" s="137"/>
      <c r="R158" s="137"/>
      <c r="S158" s="137"/>
      <c r="T158" s="137"/>
      <c r="U158" s="137"/>
      <c r="V158" s="137"/>
      <c r="W158" s="137"/>
      <c r="X158" s="137"/>
      <c r="Y158" s="137"/>
      <c r="Z158" s="137"/>
      <c r="AA158" s="137"/>
      <c r="AB158" s="137"/>
      <c r="AC158" s="137"/>
      <c r="AD158" s="137"/>
      <c r="AE158" s="137"/>
      <c r="AF158" s="137"/>
      <c r="AG158" s="137"/>
      <c r="AH158" s="137"/>
      <c r="AI158" s="137"/>
      <c r="AJ158" s="137"/>
      <c r="AK158" s="137"/>
      <c r="AL158" s="137"/>
    </row>
    <row r="159" spans="1:38" ht="12.75" x14ac:dyDescent="0.2">
      <c r="A159" s="1045"/>
      <c r="B159" s="255" t="str">
        <f>ListAVS!$B$316</f>
        <v>W przypadku frontów asymetrycznych, większy front musi być na górze!</v>
      </c>
      <c r="C159" s="255"/>
      <c r="D159" s="255"/>
      <c r="E159" s="255"/>
      <c r="F159" s="255"/>
      <c r="G159" s="255"/>
      <c r="H159" s="255"/>
      <c r="I159" s="255"/>
      <c r="J159" s="255"/>
      <c r="K159" s="255"/>
      <c r="L159" s="255"/>
      <c r="M159" s="137"/>
      <c r="N159" s="137"/>
      <c r="O159" s="137"/>
      <c r="P159" s="137"/>
      <c r="Q159" s="137"/>
      <c r="R159" s="137"/>
      <c r="S159" s="137"/>
      <c r="T159" s="137"/>
      <c r="U159" s="137"/>
      <c r="V159" s="137"/>
      <c r="W159" s="137"/>
      <c r="X159" s="137"/>
      <c r="Y159" s="137"/>
      <c r="Z159" s="137"/>
      <c r="AA159" s="137"/>
      <c r="AB159" s="137"/>
      <c r="AC159" s="137"/>
      <c r="AD159" s="137"/>
      <c r="AE159" s="137"/>
      <c r="AF159" s="137"/>
      <c r="AG159" s="137"/>
      <c r="AH159" s="137"/>
      <c r="AI159" s="137"/>
      <c r="AJ159" s="137"/>
      <c r="AK159" s="137"/>
      <c r="AL159" s="137"/>
    </row>
    <row r="160" spans="1:38" ht="12.75" x14ac:dyDescent="0.2">
      <c r="A160" s="1045"/>
      <c r="B160" s="255"/>
      <c r="C160" s="255"/>
      <c r="D160" s="255"/>
      <c r="E160" s="255"/>
      <c r="F160" s="255"/>
      <c r="G160" s="255"/>
      <c r="H160" s="255"/>
      <c r="I160" s="255"/>
      <c r="J160" s="255"/>
      <c r="K160" s="255"/>
      <c r="L160" s="255"/>
      <c r="M160" s="137"/>
      <c r="N160" s="137"/>
      <c r="O160" s="137"/>
      <c r="P160" s="137"/>
      <c r="Q160" s="137"/>
      <c r="R160" s="137"/>
      <c r="S160" s="137"/>
      <c r="T160" s="137"/>
      <c r="U160" s="137"/>
      <c r="V160" s="137"/>
      <c r="W160" s="137"/>
      <c r="X160" s="137"/>
      <c r="Y160" s="137"/>
      <c r="Z160" s="137"/>
      <c r="AA160" s="137"/>
      <c r="AB160" s="137"/>
      <c r="AC160" s="137"/>
      <c r="AD160" s="137"/>
      <c r="AE160" s="137"/>
      <c r="AF160" s="137"/>
      <c r="AG160" s="137"/>
      <c r="AH160" s="137"/>
      <c r="AI160" s="137"/>
      <c r="AJ160" s="137"/>
      <c r="AK160" s="137"/>
      <c r="AL160" s="137"/>
    </row>
    <row r="161" spans="1:38" ht="12.75" x14ac:dyDescent="0.2">
      <c r="A161" s="1045"/>
      <c r="B161" s="255" t="str">
        <f>ListAVS!$B$326</f>
        <v>Jeżeli podasz wartość TKH, będzie ona wykorzystana do określenia długości podnośnika teleskopowego</v>
      </c>
      <c r="C161" s="255"/>
      <c r="D161" s="255"/>
      <c r="E161" s="255"/>
      <c r="F161" s="255"/>
      <c r="G161" s="255"/>
      <c r="H161" s="255"/>
      <c r="I161" s="255"/>
      <c r="J161" s="255"/>
      <c r="K161" s="255"/>
      <c r="L161" s="255"/>
      <c r="M161" s="137"/>
      <c r="N161" s="137"/>
      <c r="O161" s="137"/>
      <c r="P161" s="137"/>
      <c r="Q161" s="137"/>
      <c r="R161" s="137"/>
      <c r="S161" s="137"/>
      <c r="T161" s="137"/>
      <c r="U161" s="137"/>
      <c r="V161" s="137"/>
      <c r="W161" s="137"/>
      <c r="X161" s="137"/>
      <c r="Y161" s="137"/>
      <c r="Z161" s="137"/>
      <c r="AA161" s="137"/>
      <c r="AB161" s="137"/>
      <c r="AC161" s="137"/>
      <c r="AD161" s="137"/>
      <c r="AE161" s="137"/>
      <c r="AF161" s="137"/>
      <c r="AG161" s="137"/>
      <c r="AH161" s="137"/>
      <c r="AI161" s="137"/>
      <c r="AJ161" s="137"/>
      <c r="AK161" s="137"/>
      <c r="AL161" s="137"/>
    </row>
    <row r="162" spans="1:38" ht="12.75" x14ac:dyDescent="0.2">
      <c r="A162" s="1045"/>
      <c r="B162" s="255" t="str">
        <f>ListAVS!$B$327</f>
        <v>Jeśli nie masz asymetrycznych frontów, zostaw pole puste</v>
      </c>
      <c r="C162" s="255"/>
      <c r="D162" s="255"/>
      <c r="E162" s="255"/>
      <c r="F162" s="255"/>
      <c r="G162" s="255"/>
      <c r="H162" s="255"/>
      <c r="I162" s="255"/>
      <c r="J162" s="255"/>
      <c r="K162" s="255"/>
      <c r="L162" s="255"/>
      <c r="M162" s="137"/>
      <c r="N162" s="137"/>
      <c r="O162" s="137"/>
      <c r="P162" s="137"/>
      <c r="Q162" s="137"/>
      <c r="R162" s="137"/>
      <c r="S162" s="137"/>
      <c r="T162" s="137"/>
      <c r="U162" s="137"/>
      <c r="V162" s="137"/>
      <c r="W162" s="137"/>
      <c r="X162" s="137"/>
      <c r="Y162" s="137"/>
      <c r="Z162" s="137"/>
      <c r="AA162" s="137"/>
      <c r="AB162" s="137"/>
      <c r="AC162" s="137"/>
      <c r="AD162" s="137"/>
      <c r="AE162" s="137"/>
      <c r="AF162" s="137"/>
      <c r="AG162" s="137"/>
      <c r="AH162" s="137"/>
      <c r="AI162" s="137"/>
      <c r="AJ162" s="137"/>
      <c r="AK162" s="137"/>
      <c r="AL162" s="137"/>
    </row>
    <row r="163" spans="1:38" ht="12.75" x14ac:dyDescent="0.2">
      <c r="A163" s="1045"/>
      <c r="B163" s="255" t="str">
        <f>ListAVS!$B$328&amp;" ' "&amp;ListAVS!$B$195&amp;"' "</f>
        <v xml:space="preserve">Do obliczenia TKH użyj ' Obliczanie frontów asymetrycznych' </v>
      </c>
      <c r="C163" s="255"/>
      <c r="D163" s="255"/>
      <c r="E163" s="255"/>
      <c r="F163" s="255"/>
      <c r="G163" s="255"/>
      <c r="H163" s="255"/>
      <c r="I163" s="255"/>
      <c r="J163" s="255"/>
      <c r="K163" s="255"/>
      <c r="L163" s="255"/>
      <c r="M163" s="137"/>
      <c r="N163" s="137"/>
      <c r="O163" s="137"/>
      <c r="P163" s="137"/>
      <c r="Q163" s="137"/>
      <c r="R163" s="137"/>
      <c r="S163" s="137"/>
      <c r="T163" s="137"/>
      <c r="U163" s="137"/>
      <c r="V163" s="137"/>
      <c r="W163" s="137"/>
      <c r="X163" s="137"/>
      <c r="Y163" s="137"/>
      <c r="Z163" s="137"/>
      <c r="AA163" s="137"/>
      <c r="AB163" s="137"/>
      <c r="AC163" s="137"/>
      <c r="AD163" s="137"/>
      <c r="AE163" s="137"/>
      <c r="AF163" s="137"/>
      <c r="AG163" s="137"/>
      <c r="AH163" s="137"/>
      <c r="AI163" s="137"/>
      <c r="AJ163" s="137"/>
      <c r="AK163" s="137"/>
      <c r="AL163" s="137"/>
    </row>
    <row r="164" spans="1:38" ht="12.75" x14ac:dyDescent="0.2">
      <c r="A164" s="1045"/>
      <c r="B164" s="255"/>
      <c r="C164" s="255"/>
      <c r="D164" s="255"/>
      <c r="E164" s="255"/>
      <c r="F164" s="255"/>
      <c r="G164" s="255"/>
      <c r="H164" s="255"/>
      <c r="I164" s="255"/>
      <c r="J164" s="255"/>
      <c r="K164" s="255"/>
      <c r="L164" s="255"/>
      <c r="M164" s="137"/>
      <c r="N164" s="137"/>
      <c r="O164" s="137"/>
      <c r="P164" s="137"/>
      <c r="Q164" s="137"/>
      <c r="R164" s="137"/>
      <c r="S164" s="137"/>
      <c r="T164" s="137"/>
      <c r="U164" s="137"/>
      <c r="V164" s="137"/>
      <c r="W164" s="137"/>
      <c r="X164" s="137"/>
      <c r="Y164" s="137"/>
      <c r="Z164" s="137"/>
      <c r="AA164" s="137"/>
      <c r="AB164" s="137"/>
      <c r="AC164" s="137"/>
      <c r="AD164" s="137"/>
      <c r="AE164" s="137"/>
      <c r="AF164" s="137"/>
      <c r="AG164" s="137"/>
      <c r="AH164" s="137"/>
      <c r="AI164" s="137"/>
      <c r="AJ164" s="137"/>
      <c r="AK164" s="137"/>
      <c r="AL164" s="137"/>
    </row>
    <row r="165" spans="1:38" ht="12.75" x14ac:dyDescent="0.2">
      <c r="A165" s="1045"/>
      <c r="B165" s="255"/>
      <c r="C165" s="255"/>
      <c r="D165" s="255"/>
      <c r="E165" s="255"/>
      <c r="F165" s="255"/>
      <c r="G165" s="255"/>
      <c r="H165" s="255"/>
      <c r="I165" s="255"/>
      <c r="J165" s="255"/>
      <c r="K165" s="255"/>
      <c r="L165" s="255"/>
      <c r="M165" s="137"/>
      <c r="N165" s="137"/>
      <c r="O165" s="137"/>
      <c r="P165" s="137"/>
      <c r="Q165" s="137"/>
      <c r="R165" s="137"/>
      <c r="S165" s="137"/>
      <c r="T165" s="137"/>
      <c r="U165" s="137"/>
      <c r="V165" s="137"/>
      <c r="W165" s="137"/>
      <c r="X165" s="137"/>
      <c r="Y165" s="137"/>
      <c r="Z165" s="137"/>
      <c r="AA165" s="137"/>
      <c r="AB165" s="137"/>
      <c r="AC165" s="137"/>
      <c r="AD165" s="137"/>
      <c r="AE165" s="137"/>
      <c r="AF165" s="137"/>
      <c r="AG165" s="137"/>
      <c r="AH165" s="137"/>
      <c r="AI165" s="137"/>
      <c r="AJ165" s="137"/>
      <c r="AK165" s="137"/>
      <c r="AL165" s="137"/>
    </row>
    <row r="166" spans="1:38" ht="12.75" x14ac:dyDescent="0.2">
      <c r="A166" s="1045"/>
      <c r="B166" s="255" t="str">
        <f>ListAVS!$B$306</f>
        <v>Aby zmienić kolor zaślepek przejdź do „Wprowadzenie do planowania”</v>
      </c>
      <c r="C166" s="255"/>
      <c r="D166" s="255"/>
      <c r="E166" s="255"/>
      <c r="F166" s="255"/>
      <c r="G166" s="255"/>
      <c r="H166" s="255"/>
      <c r="I166" s="255"/>
      <c r="J166" s="255"/>
      <c r="K166" s="255"/>
      <c r="L166" s="255"/>
      <c r="M166" s="137"/>
      <c r="N166" s="137"/>
      <c r="O166" s="137"/>
      <c r="P166" s="137"/>
      <c r="Q166" s="137"/>
      <c r="R166" s="137"/>
      <c r="S166" s="137"/>
      <c r="T166" s="137"/>
      <c r="U166" s="137"/>
      <c r="V166" s="137"/>
      <c r="W166" s="137"/>
      <c r="X166" s="137"/>
      <c r="Y166" s="137"/>
      <c r="Z166" s="137"/>
      <c r="AA166" s="137"/>
      <c r="AB166" s="137"/>
      <c r="AC166" s="137"/>
      <c r="AD166" s="137"/>
      <c r="AE166" s="137"/>
      <c r="AF166" s="137"/>
      <c r="AG166" s="137"/>
      <c r="AH166" s="137"/>
      <c r="AI166" s="137"/>
      <c r="AJ166" s="137"/>
      <c r="AK166" s="137"/>
      <c r="AL166" s="137"/>
    </row>
    <row r="167" spans="1:38" ht="12.75" x14ac:dyDescent="0.2">
      <c r="A167" s="1045"/>
      <c r="B167" s="255"/>
      <c r="C167" s="255"/>
      <c r="D167" s="255"/>
      <c r="E167" s="255"/>
      <c r="F167" s="255"/>
      <c r="G167" s="255"/>
      <c r="H167" s="255"/>
      <c r="I167" s="255"/>
      <c r="J167" s="255"/>
      <c r="K167" s="255"/>
      <c r="L167" s="255"/>
      <c r="M167" s="137"/>
      <c r="N167" s="137"/>
      <c r="O167" s="137"/>
      <c r="P167" s="137"/>
      <c r="Q167" s="137"/>
      <c r="R167" s="137"/>
      <c r="S167" s="137"/>
      <c r="T167" s="137"/>
      <c r="U167" s="137"/>
      <c r="V167" s="137"/>
      <c r="W167" s="137"/>
      <c r="X167" s="137"/>
      <c r="Y167" s="137"/>
      <c r="Z167" s="137"/>
      <c r="AA167" s="137"/>
      <c r="AB167" s="137"/>
      <c r="AC167" s="137"/>
      <c r="AD167" s="137"/>
      <c r="AE167" s="137"/>
      <c r="AF167" s="137"/>
      <c r="AG167" s="137"/>
      <c r="AH167" s="137"/>
      <c r="AI167" s="137"/>
      <c r="AJ167" s="137"/>
      <c r="AK167" s="137"/>
      <c r="AL167" s="137"/>
    </row>
    <row r="168" spans="1:38" ht="12.75" x14ac:dyDescent="0.2">
      <c r="A168" s="1045"/>
      <c r="B168" s="255" t="str">
        <f>ListAVS!$B$411</f>
        <v>Zwróć uwagę na wybór ramek aluminiowych</v>
      </c>
      <c r="C168" s="255"/>
      <c r="D168" s="255"/>
      <c r="E168" s="255"/>
      <c r="F168" s="255"/>
      <c r="G168" s="255"/>
      <c r="H168" s="255"/>
      <c r="I168" s="255"/>
      <c r="J168" s="255"/>
      <c r="K168" s="255"/>
      <c r="L168" s="255"/>
      <c r="M168" s="137"/>
      <c r="N168" s="137"/>
      <c r="O168" s="137"/>
      <c r="P168" s="137"/>
      <c r="Q168" s="137"/>
      <c r="R168" s="137"/>
      <c r="S168" s="137"/>
      <c r="T168" s="137"/>
      <c r="U168" s="137"/>
      <c r="V168" s="137"/>
      <c r="W168" s="137"/>
      <c r="X168" s="137"/>
      <c r="Y168" s="137"/>
      <c r="Z168" s="137"/>
      <c r="AA168" s="137"/>
      <c r="AB168" s="137"/>
      <c r="AC168" s="137"/>
      <c r="AD168" s="137"/>
      <c r="AE168" s="137"/>
      <c r="AF168" s="137"/>
      <c r="AG168" s="137"/>
      <c r="AH168" s="137"/>
      <c r="AI168" s="137"/>
      <c r="AJ168" s="137"/>
      <c r="AK168" s="137"/>
      <c r="AL168" s="137"/>
    </row>
    <row r="169" spans="1:38" ht="12.75" x14ac:dyDescent="0.2">
      <c r="A169" s="1045"/>
      <c r="B169" s="255" t="str">
        <f>ListAVS!$B$412</f>
        <v>Wybierz, rodzaj, który lepiej pasuje do kształtu zastosowanej ramki aluminiowej.</v>
      </c>
      <c r="C169" s="255"/>
      <c r="D169" s="255"/>
      <c r="E169" s="255"/>
      <c r="F169" s="255"/>
      <c r="G169" s="255"/>
      <c r="H169" s="255"/>
      <c r="I169" s="255"/>
      <c r="J169" s="255"/>
      <c r="K169" s="255"/>
      <c r="L169" s="255"/>
      <c r="M169" s="137"/>
      <c r="N169" s="137"/>
      <c r="O169" s="137"/>
      <c r="P169" s="137"/>
      <c r="Q169" s="137"/>
      <c r="R169" s="137"/>
      <c r="S169" s="137"/>
      <c r="T169" s="137"/>
      <c r="U169" s="137"/>
      <c r="V169" s="137"/>
      <c r="W169" s="137"/>
      <c r="X169" s="137"/>
      <c r="Y169" s="137"/>
      <c r="Z169" s="137"/>
      <c r="AA169" s="137"/>
      <c r="AB169" s="137"/>
      <c r="AC169" s="137"/>
      <c r="AD169" s="137"/>
      <c r="AE169" s="137"/>
      <c r="AF169" s="137"/>
      <c r="AG169" s="137"/>
      <c r="AH169" s="137"/>
      <c r="AI169" s="137"/>
      <c r="AJ169" s="137"/>
      <c r="AK169" s="137"/>
      <c r="AL169" s="137"/>
    </row>
    <row r="170" spans="1:38" ht="12.75" x14ac:dyDescent="0.2">
      <c r="A170" s="1045"/>
      <c r="B170" s="255" t="str">
        <f>ListAVS!$B$413</f>
        <v>Sposób mocowania szkła w ramkę znacząco wpływa na powierzchnię szkła, a co za tym idzie na jego wagę!</v>
      </c>
      <c r="C170" s="255"/>
      <c r="D170" s="255"/>
      <c r="E170" s="255"/>
      <c r="F170" s="255"/>
      <c r="G170" s="255"/>
      <c r="H170" s="255"/>
      <c r="I170" s="255"/>
      <c r="J170" s="255"/>
      <c r="K170" s="255"/>
      <c r="L170" s="266"/>
      <c r="M170" s="137"/>
      <c r="N170" s="137"/>
      <c r="O170" s="137"/>
      <c r="P170" s="137"/>
      <c r="Q170" s="137"/>
      <c r="R170" s="137"/>
      <c r="S170" s="137"/>
      <c r="T170" s="137"/>
      <c r="U170" s="137"/>
      <c r="V170" s="137"/>
      <c r="W170" s="137"/>
      <c r="X170" s="137"/>
      <c r="Y170" s="137"/>
      <c r="Z170" s="137"/>
      <c r="AA170" s="137"/>
      <c r="AB170" s="137"/>
      <c r="AC170" s="137"/>
      <c r="AD170" s="137"/>
      <c r="AE170" s="137"/>
      <c r="AF170" s="137"/>
      <c r="AG170" s="137"/>
      <c r="AH170" s="137"/>
      <c r="AI170" s="137"/>
      <c r="AJ170" s="137"/>
      <c r="AK170" s="137"/>
      <c r="AL170" s="137"/>
    </row>
    <row r="171" spans="1:38" ht="12.75" x14ac:dyDescent="0.2">
      <c r="A171" s="1045"/>
      <c r="B171" s="255"/>
      <c r="C171" s="255"/>
      <c r="D171" s="255"/>
      <c r="E171" s="255"/>
      <c r="F171" s="255"/>
      <c r="G171" s="255"/>
      <c r="H171" s="255"/>
      <c r="I171" s="255"/>
      <c r="J171" s="255"/>
      <c r="K171" s="255"/>
      <c r="L171" s="255"/>
      <c r="M171" s="137"/>
      <c r="N171" s="137"/>
      <c r="O171" s="137"/>
      <c r="P171" s="137"/>
      <c r="Q171" s="137"/>
      <c r="R171" s="137"/>
      <c r="S171" s="137"/>
      <c r="T171" s="137"/>
      <c r="U171" s="137"/>
      <c r="V171" s="137"/>
      <c r="W171" s="137"/>
      <c r="X171" s="137"/>
      <c r="Y171" s="137"/>
      <c r="Z171" s="137"/>
      <c r="AA171" s="137"/>
      <c r="AB171" s="137"/>
      <c r="AC171" s="137"/>
      <c r="AD171" s="137"/>
      <c r="AE171" s="137"/>
      <c r="AF171" s="137"/>
      <c r="AG171" s="137"/>
      <c r="AH171" s="137"/>
      <c r="AI171" s="137"/>
      <c r="AJ171" s="137"/>
      <c r="AK171" s="137"/>
      <c r="AL171" s="137"/>
    </row>
    <row r="172" spans="1:38" ht="12.75" x14ac:dyDescent="0.2">
      <c r="A172" s="1045"/>
      <c r="B172" s="255"/>
      <c r="C172" s="796" t="str">
        <f>"  "&amp;ListAVS!$B$424&amp;"  "</f>
        <v xml:space="preserve">  z wpuszczanym szkłem  </v>
      </c>
      <c r="D172" s="255"/>
      <c r="E172" s="255"/>
      <c r="F172" s="255"/>
      <c r="G172" s="255"/>
      <c r="H172" s="255"/>
      <c r="I172" s="255"/>
      <c r="J172" s="255"/>
      <c r="K172" s="255"/>
      <c r="L172" s="255"/>
      <c r="M172" s="137"/>
      <c r="N172" s="137"/>
      <c r="O172" s="137"/>
      <c r="P172" s="137"/>
      <c r="Q172" s="137"/>
      <c r="R172" s="137"/>
      <c r="S172" s="137"/>
      <c r="T172" s="137"/>
      <c r="U172" s="137"/>
      <c r="V172" s="137"/>
      <c r="W172" s="137"/>
      <c r="X172" s="137"/>
      <c r="Y172" s="137"/>
      <c r="Z172" s="137"/>
      <c r="AA172" s="137"/>
      <c r="AB172" s="137"/>
      <c r="AC172" s="137"/>
      <c r="AD172" s="137"/>
      <c r="AE172" s="137"/>
      <c r="AF172" s="137"/>
      <c r="AG172" s="137"/>
      <c r="AH172" s="137"/>
      <c r="AI172" s="137"/>
      <c r="AJ172" s="137"/>
      <c r="AK172" s="137"/>
      <c r="AL172" s="137"/>
    </row>
    <row r="173" spans="1:38" ht="12.75" x14ac:dyDescent="0.2">
      <c r="A173" s="1045"/>
      <c r="B173" s="255"/>
      <c r="C173" s="266"/>
      <c r="D173" s="255"/>
      <c r="E173" s="255"/>
      <c r="F173" s="255"/>
      <c r="G173" s="255"/>
      <c r="H173" s="255"/>
      <c r="I173" s="255"/>
      <c r="J173" s="255"/>
      <c r="K173" s="255"/>
      <c r="L173" s="255"/>
      <c r="M173" s="137"/>
      <c r="N173" s="137"/>
      <c r="O173" s="137"/>
      <c r="P173" s="137"/>
      <c r="Q173" s="137"/>
      <c r="R173" s="137"/>
      <c r="S173" s="137"/>
      <c r="T173" s="137"/>
      <c r="U173" s="137"/>
      <c r="V173" s="137"/>
      <c r="W173" s="137"/>
      <c r="X173" s="137"/>
      <c r="Y173" s="137"/>
      <c r="Z173" s="137"/>
      <c r="AA173" s="137"/>
      <c r="AB173" s="137"/>
      <c r="AC173" s="137"/>
      <c r="AD173" s="137"/>
      <c r="AE173" s="137"/>
      <c r="AF173" s="137"/>
      <c r="AG173" s="137"/>
      <c r="AH173" s="137"/>
      <c r="AI173" s="137"/>
      <c r="AJ173" s="137"/>
      <c r="AK173" s="137"/>
      <c r="AL173" s="137"/>
    </row>
    <row r="174" spans="1:38" ht="12.75" x14ac:dyDescent="0.2">
      <c r="A174" s="1045"/>
      <c r="B174" s="255"/>
      <c r="C174" s="796" t="str">
        <f>"  "&amp;ListAVS!$B$425&amp;"  "</f>
        <v xml:space="preserve">  ze szkłem nakładanym lub przyklejanym  </v>
      </c>
      <c r="D174" s="255"/>
      <c r="E174" s="255"/>
      <c r="F174" s="255"/>
      <c r="G174" s="255"/>
      <c r="H174" s="255"/>
      <c r="I174" s="255"/>
      <c r="J174" s="255"/>
      <c r="K174" s="255"/>
      <c r="L174" s="255"/>
      <c r="M174" s="137"/>
      <c r="N174" s="137"/>
      <c r="O174" s="137"/>
      <c r="P174" s="137"/>
      <c r="Q174" s="137"/>
      <c r="R174" s="137"/>
      <c r="S174" s="137"/>
      <c r="T174" s="137"/>
      <c r="U174" s="137"/>
      <c r="V174" s="137"/>
      <c r="W174" s="137"/>
      <c r="X174" s="137"/>
      <c r="Y174" s="137"/>
      <c r="Z174" s="137"/>
      <c r="AA174" s="137"/>
      <c r="AB174" s="137"/>
      <c r="AC174" s="137"/>
      <c r="AD174" s="137"/>
      <c r="AE174" s="137"/>
      <c r="AF174" s="137"/>
      <c r="AG174" s="137"/>
      <c r="AH174" s="137"/>
      <c r="AI174" s="137"/>
      <c r="AJ174" s="137"/>
      <c r="AK174" s="137"/>
      <c r="AL174" s="137"/>
    </row>
    <row r="175" spans="1:38" ht="12.75" x14ac:dyDescent="0.2">
      <c r="A175" s="1045"/>
      <c r="B175" s="255"/>
      <c r="C175" s="255"/>
      <c r="D175" s="255"/>
      <c r="E175" s="255"/>
      <c r="F175" s="255"/>
      <c r="G175" s="255"/>
      <c r="H175" s="255"/>
      <c r="I175" s="255"/>
      <c r="J175" s="255"/>
      <c r="K175" s="255"/>
      <c r="L175" s="255"/>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row>
    <row r="176" spans="1:38" ht="12.75" x14ac:dyDescent="0.2">
      <c r="A176" s="1045"/>
      <c r="B176" s="255"/>
      <c r="C176" s="255"/>
      <c r="D176" s="255"/>
      <c r="E176" s="255"/>
      <c r="F176" s="255"/>
      <c r="G176" s="255"/>
      <c r="H176" s="255"/>
      <c r="I176" s="255"/>
      <c r="J176" s="255"/>
      <c r="K176" s="255"/>
      <c r="L176" s="702" t="str">
        <f>ListAVS!$B$168</f>
        <v>Z powrotem</v>
      </c>
      <c r="M176" s="137"/>
      <c r="N176" s="137"/>
      <c r="O176" s="137"/>
      <c r="P176" s="137"/>
      <c r="Q176" s="137"/>
      <c r="R176" s="137"/>
      <c r="S176" s="137"/>
      <c r="T176" s="137"/>
      <c r="U176" s="137"/>
      <c r="V176" s="137"/>
      <c r="W176" s="137"/>
      <c r="X176" s="137"/>
      <c r="Y176" s="137"/>
      <c r="Z176" s="137"/>
      <c r="AA176" s="137"/>
      <c r="AB176" s="137"/>
      <c r="AC176" s="137"/>
      <c r="AD176" s="137"/>
      <c r="AE176" s="137"/>
      <c r="AF176" s="137"/>
      <c r="AG176" s="137"/>
      <c r="AH176" s="137"/>
      <c r="AI176" s="137"/>
      <c r="AJ176" s="137"/>
      <c r="AK176" s="137"/>
      <c r="AL176" s="137"/>
    </row>
    <row r="177" spans="1:38" ht="12.75" x14ac:dyDescent="0.2">
      <c r="A177" s="1045"/>
      <c r="B177" s="255"/>
      <c r="C177" s="255"/>
      <c r="D177" s="255"/>
      <c r="E177" s="255"/>
      <c r="F177" s="255"/>
      <c r="G177" s="255"/>
      <c r="H177" s="255"/>
      <c r="I177" s="255"/>
      <c r="J177" s="255"/>
      <c r="K177" s="255"/>
      <c r="L177" s="255"/>
      <c r="M177" s="137"/>
      <c r="N177" s="137"/>
      <c r="O177" s="137"/>
      <c r="P177" s="137"/>
      <c r="Q177" s="137"/>
      <c r="R177" s="137"/>
      <c r="S177" s="137"/>
      <c r="T177" s="137"/>
      <c r="U177" s="137"/>
      <c r="V177" s="137"/>
      <c r="W177" s="137"/>
      <c r="X177" s="137"/>
      <c r="Y177" s="137"/>
      <c r="Z177" s="137"/>
      <c r="AA177" s="137"/>
      <c r="AB177" s="137"/>
      <c r="AC177" s="137"/>
      <c r="AD177" s="137"/>
      <c r="AE177" s="137"/>
      <c r="AF177" s="137"/>
      <c r="AG177" s="137"/>
      <c r="AH177" s="137"/>
      <c r="AI177" s="137"/>
      <c r="AJ177" s="137"/>
      <c r="AK177" s="137"/>
      <c r="AL177" s="137"/>
    </row>
    <row r="178" spans="1:38" x14ac:dyDescent="0.2">
      <c r="A178" s="1045"/>
      <c r="M178" s="137"/>
      <c r="N178" s="137"/>
      <c r="O178" s="137"/>
      <c r="P178" s="137"/>
      <c r="Q178" s="137"/>
      <c r="R178" s="137"/>
      <c r="S178" s="137"/>
      <c r="T178" s="137"/>
      <c r="U178" s="137"/>
      <c r="V178" s="137"/>
      <c r="W178" s="137"/>
      <c r="X178" s="137"/>
      <c r="Y178" s="137"/>
      <c r="Z178" s="137"/>
      <c r="AA178" s="137"/>
      <c r="AB178" s="137"/>
      <c r="AC178" s="137"/>
      <c r="AD178" s="137"/>
      <c r="AE178" s="137"/>
      <c r="AF178" s="137"/>
      <c r="AG178" s="137"/>
      <c r="AH178" s="137"/>
      <c r="AI178" s="137"/>
      <c r="AJ178" s="137"/>
      <c r="AK178" s="137"/>
      <c r="AL178" s="137"/>
    </row>
  </sheetData>
  <sheetProtection algorithmName="SHA-512" hashValue="nYMeaCEQ/OklAD2Fcv9R+prABmwOvQ6m13bnXVF/scuwGtb4yOwE8adXb2C35Ya2++uNd0RM+zwKZiMQ62TDPA==" saltValue="BZIB5ExCzoKginEf+IRLjw==" spinCount="100000" sheet="1" objects="1" scenarios="1" selectLockedCells="1"/>
  <mergeCells count="81">
    <mergeCell ref="I125:J125"/>
    <mergeCell ref="A139:A178"/>
    <mergeCell ref="E145:L145"/>
    <mergeCell ref="B116:H116"/>
    <mergeCell ref="I116:J116"/>
    <mergeCell ref="B117:H117"/>
    <mergeCell ref="I117:J117"/>
    <mergeCell ref="B118:H118"/>
    <mergeCell ref="I118:J118"/>
    <mergeCell ref="A99:A138"/>
    <mergeCell ref="B102:J102"/>
    <mergeCell ref="B103:H103"/>
    <mergeCell ref="I103:J103"/>
    <mergeCell ref="B104:H104"/>
    <mergeCell ref="B105:H105"/>
    <mergeCell ref="B111:F111"/>
    <mergeCell ref="B112:F112"/>
    <mergeCell ref="B114:H114"/>
    <mergeCell ref="I114:J114"/>
    <mergeCell ref="B115:H115"/>
    <mergeCell ref="I115:J115"/>
    <mergeCell ref="B106:H106"/>
    <mergeCell ref="I106:J106"/>
    <mergeCell ref="B107:H107"/>
    <mergeCell ref="I107:J107"/>
    <mergeCell ref="B110:F110"/>
    <mergeCell ref="G110:J110"/>
    <mergeCell ref="B109:J109"/>
    <mergeCell ref="I105:J105"/>
    <mergeCell ref="N88:S88"/>
    <mergeCell ref="N79:S79"/>
    <mergeCell ref="N80:S80"/>
    <mergeCell ref="N81:S81"/>
    <mergeCell ref="R85:T85"/>
    <mergeCell ref="N89:S89"/>
    <mergeCell ref="N90:S90"/>
    <mergeCell ref="N87:S87"/>
    <mergeCell ref="N86:S86"/>
    <mergeCell ref="I104:J104"/>
    <mergeCell ref="B22:D22"/>
    <mergeCell ref="B23:G23"/>
    <mergeCell ref="B20:C20"/>
    <mergeCell ref="F20:H20"/>
    <mergeCell ref="T31:U31"/>
    <mergeCell ref="B2:C2"/>
    <mergeCell ref="E5:J5"/>
    <mergeCell ref="T9:U9"/>
    <mergeCell ref="B10:G10"/>
    <mergeCell ref="B9:C9"/>
    <mergeCell ref="F9:H9"/>
    <mergeCell ref="B7:C7"/>
    <mergeCell ref="G7:H7"/>
    <mergeCell ref="AN12:AQ13"/>
    <mergeCell ref="AN14:AQ15"/>
    <mergeCell ref="N103:N105"/>
    <mergeCell ref="O103:O105"/>
    <mergeCell ref="BD1:BL1"/>
    <mergeCell ref="AN8:AO8"/>
    <mergeCell ref="AN9:AO9"/>
    <mergeCell ref="AN10:AO10"/>
    <mergeCell ref="T20:U20"/>
    <mergeCell ref="N78:S78"/>
    <mergeCell ref="N76:Q76"/>
    <mergeCell ref="R76:T76"/>
    <mergeCell ref="N77:S77"/>
    <mergeCell ref="B11:D11"/>
    <mergeCell ref="B12:G12"/>
    <mergeCell ref="B13:C15"/>
    <mergeCell ref="D15:G15"/>
    <mergeCell ref="B31:J33"/>
    <mergeCell ref="B28:G28"/>
    <mergeCell ref="B16:G16"/>
    <mergeCell ref="B17:G17"/>
    <mergeCell ref="B27:G27"/>
    <mergeCell ref="D13:G13"/>
    <mergeCell ref="D14:G14"/>
    <mergeCell ref="B24:C26"/>
    <mergeCell ref="D24:G24"/>
    <mergeCell ref="D25:G25"/>
    <mergeCell ref="D26:G26"/>
    <mergeCell ref="B21:G21"/>
  </mergeCells>
  <conditionalFormatting sqref="H62">
    <cfRule type="containsText" dxfId="311" priority="28" operator="containsText" text="Doplňte">
      <formula>NOT(ISERROR(SEARCH("Doplňte",H62)))</formula>
    </cfRule>
  </conditionalFormatting>
  <conditionalFormatting sqref="E9">
    <cfRule type="expression" dxfId="310" priority="18">
      <formula>$M$17&gt;0</formula>
    </cfRule>
    <cfRule type="expression" dxfId="309" priority="19">
      <formula>$M$17&gt;0</formula>
    </cfRule>
  </conditionalFormatting>
  <conditionalFormatting sqref="E20">
    <cfRule type="expression" dxfId="308" priority="17">
      <formula>$M$28&gt;0</formula>
    </cfRule>
  </conditionalFormatting>
  <conditionalFormatting sqref="I15">
    <cfRule type="expression" dxfId="307" priority="11">
      <formula>$M$17=0</formula>
    </cfRule>
    <cfRule type="containsText" dxfId="306" priority="12" operator="containsText" text="Doplňte">
      <formula>NOT(ISERROR(SEARCH("Doplňte",I15)))</formula>
    </cfRule>
  </conditionalFormatting>
  <conditionalFormatting sqref="I26">
    <cfRule type="containsText" dxfId="305" priority="10" operator="containsText" text="Doplňte">
      <formula>NOT(ISERROR(SEARCH("Doplňte",I26)))</formula>
    </cfRule>
  </conditionalFormatting>
  <conditionalFormatting sqref="I26">
    <cfRule type="expression" dxfId="304" priority="9">
      <formula>$M$28=0</formula>
    </cfRule>
  </conditionalFormatting>
  <conditionalFormatting sqref="B19">
    <cfRule type="expression" dxfId="303" priority="7">
      <formula>$M$17=0</formula>
    </cfRule>
    <cfRule type="containsText" dxfId="302" priority="8" operator="containsText" text="Doplňte">
      <formula>NOT(ISERROR(SEARCH("Doplňte",B19)))</formula>
    </cfRule>
  </conditionalFormatting>
  <conditionalFormatting sqref="B30">
    <cfRule type="containsText" dxfId="301" priority="6" operator="containsText" text="Doplňte">
      <formula>NOT(ISERROR(SEARCH("Doplňte",B30)))</formula>
    </cfRule>
  </conditionalFormatting>
  <conditionalFormatting sqref="B30">
    <cfRule type="expression" dxfId="300" priority="5">
      <formula>$M$28=0</formula>
    </cfRule>
  </conditionalFormatting>
  <conditionalFormatting sqref="I12">
    <cfRule type="expression" dxfId="299" priority="3">
      <formula>$M$17=0</formula>
    </cfRule>
    <cfRule type="containsText" dxfId="298" priority="4" operator="containsText" text="Doplňte">
      <formula>NOT(ISERROR(SEARCH("Doplňte",I12)))</formula>
    </cfRule>
  </conditionalFormatting>
  <conditionalFormatting sqref="I23">
    <cfRule type="containsText" dxfId="297" priority="2" operator="containsText" text="Doplňte">
      <formula>NOT(ISERROR(SEARCH("Doplňte",I23)))</formula>
    </cfRule>
  </conditionalFormatting>
  <conditionalFormatting sqref="I23">
    <cfRule type="expression" dxfId="296" priority="1">
      <formula>$M$28=0</formula>
    </cfRule>
  </conditionalFormatting>
  <hyperlinks>
    <hyperlink ref="I125:J125" location="HFna!A1" tooltip=" " display="HFna!A1" xr:uid="{A502D84B-81D8-42B7-81AC-372785A2EC84}"/>
    <hyperlink ref="N86:S86" location="HFna!H19" tooltip=" " display="HFna!H19" xr:uid="{F900E8B8-5478-4482-A5F6-F972129C83D7}"/>
    <hyperlink ref="N87:S87" location="HFna!H20" tooltip=" " display="HFna!H20" xr:uid="{068F3AD6-076F-4F0F-8253-9023E11075EF}"/>
    <hyperlink ref="N78:S78" location="HFna!H11" tooltip=" " display="HFna!H11" xr:uid="{EC702E26-BF72-49B8-8931-7DB6C0DE2C70}"/>
    <hyperlink ref="N77:S77" location="HFna!H10" tooltip=" " display="HFna!H10" xr:uid="{6E90E088-7D1F-4A91-B59E-9C1058253FDC}"/>
    <hyperlink ref="AL5" location="HFna!A140" tooltip=" " display="HFna!A140" xr:uid="{8AC1FC6C-1D82-4B3F-A5BB-4A405A64502A}"/>
    <hyperlink ref="L176" location="HFna!A1" tooltip=" " display="HFna!A1" xr:uid="{34C85BBC-F70E-4566-8EBE-7E8160ADE4DA}"/>
    <hyperlink ref="AL9" location="SumAVS!A1" tooltip=" " display="SumAVS!A1" xr:uid="{1F8C03C3-34F9-4B1E-8A23-81F3118D56AE}"/>
    <hyperlink ref="AL10" location="OrdAVS!A1" tooltip=" " display="OrdAVS!A1" xr:uid="{71AA7364-6496-4229-AEDC-E91A596FB33F}"/>
    <hyperlink ref="AL7" location="AcsAVS!A1" tooltip=" " display="AcsAVS!A1" xr:uid="{CB32D528-CD80-4E89-84C0-B3FD313D4434}"/>
    <hyperlink ref="AL4" location="MenuAVS!A1" tooltip=" " display="MenuAVS!A1" xr:uid="{B5DB059F-248E-45F8-8E16-E894F7FAE6BD}"/>
    <hyperlink ref="AL19" location="HFna!A100" tooltip=" " display="HFna!A100" xr:uid="{5E0597B7-66B4-4484-83C0-C7ABE41F895B}"/>
    <hyperlink ref="B2" location="HF!A1" tooltip=" " display=" AVENTOS HF" xr:uid="{67E5C603-4248-4718-B60D-5E219D9F2B8A}"/>
  </hyperlinks>
  <pageMargins left="0.62992125984251968" right="0.23622047244094488" top="0.74803149606299213" bottom="0.74803149606299213" header="0.31496062992125984" footer="0.31496062992125984"/>
  <pageSetup paperSize="9" orientation="portrait" horizontalDpi="4294967293"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59747" r:id="rId4" name="Drop Down 3">
              <controlPr defaultSize="0" autoLine="0" autoPict="0">
                <anchor moveWithCells="1">
                  <from>
                    <xdr:col>3</xdr:col>
                    <xdr:colOff>19050</xdr:colOff>
                    <xdr:row>6</xdr:row>
                    <xdr:rowOff>0</xdr:rowOff>
                  </from>
                  <to>
                    <xdr:col>6</xdr:col>
                    <xdr:colOff>0</xdr:colOff>
                    <xdr:row>7</xdr:row>
                    <xdr:rowOff>0</xdr:rowOff>
                  </to>
                </anchor>
              </controlPr>
            </control>
          </mc:Choice>
        </mc:AlternateContent>
        <mc:AlternateContent xmlns:mc="http://schemas.openxmlformats.org/markup-compatibility/2006">
          <mc:Choice Requires="x14">
            <control shapeId="159749" r:id="rId5" name="Option Button 5">
              <controlPr defaultSize="0" autoFill="0" autoLine="0" autoPict="0">
                <anchor moveWithCells="1">
                  <from>
                    <xdr:col>1</xdr:col>
                    <xdr:colOff>438150</xdr:colOff>
                    <xdr:row>5</xdr:row>
                    <xdr:rowOff>19050</xdr:rowOff>
                  </from>
                  <to>
                    <xdr:col>2</xdr:col>
                    <xdr:colOff>133350</xdr:colOff>
                    <xdr:row>5</xdr:row>
                    <xdr:rowOff>247650</xdr:rowOff>
                  </to>
                </anchor>
              </controlPr>
            </control>
          </mc:Choice>
        </mc:AlternateContent>
        <mc:AlternateContent xmlns:mc="http://schemas.openxmlformats.org/markup-compatibility/2006">
          <mc:Choice Requires="x14">
            <control shapeId="159750" r:id="rId6" name="Option Button 6">
              <controlPr defaultSize="0" autoFill="0" autoLine="0" autoPict="0">
                <anchor moveWithCells="1">
                  <from>
                    <xdr:col>3</xdr:col>
                    <xdr:colOff>438150</xdr:colOff>
                    <xdr:row>5</xdr:row>
                    <xdr:rowOff>28575</xdr:rowOff>
                  </from>
                  <to>
                    <xdr:col>4</xdr:col>
                    <xdr:colOff>133350</xdr:colOff>
                    <xdr:row>5</xdr:row>
                    <xdr:rowOff>247650</xdr:rowOff>
                  </to>
                </anchor>
              </controlPr>
            </control>
          </mc:Choice>
        </mc:AlternateContent>
        <mc:AlternateContent xmlns:mc="http://schemas.openxmlformats.org/markup-compatibility/2006">
          <mc:Choice Requires="x14">
            <control shapeId="159751" r:id="rId7" name="Drop Down 7">
              <controlPr defaultSize="0" autoLine="0" autoPict="0">
                <anchor moveWithCells="1">
                  <from>
                    <xdr:col>1</xdr:col>
                    <xdr:colOff>9525</xdr:colOff>
                    <xdr:row>20</xdr:row>
                    <xdr:rowOff>9525</xdr:rowOff>
                  </from>
                  <to>
                    <xdr:col>2</xdr:col>
                    <xdr:colOff>571500</xdr:colOff>
                    <xdr:row>20</xdr:row>
                    <xdr:rowOff>200025</xdr:rowOff>
                  </to>
                </anchor>
              </controlPr>
            </control>
          </mc:Choice>
        </mc:AlternateContent>
        <mc:AlternateContent xmlns:mc="http://schemas.openxmlformats.org/markup-compatibility/2006">
          <mc:Choice Requires="x14">
            <control shapeId="159753" r:id="rId8" name="Drop Down 9">
              <controlPr defaultSize="0" autoLine="0" autoPict="0">
                <anchor moveWithCells="1">
                  <from>
                    <xdr:col>1</xdr:col>
                    <xdr:colOff>9525</xdr:colOff>
                    <xdr:row>9</xdr:row>
                    <xdr:rowOff>9525</xdr:rowOff>
                  </from>
                  <to>
                    <xdr:col>3</xdr:col>
                    <xdr:colOff>9525</xdr:colOff>
                    <xdr:row>9</xdr:row>
                    <xdr:rowOff>200025</xdr:rowOff>
                  </to>
                </anchor>
              </controlPr>
            </control>
          </mc:Choice>
        </mc:AlternateContent>
        <mc:AlternateContent xmlns:mc="http://schemas.openxmlformats.org/markup-compatibility/2006">
          <mc:Choice Requires="x14">
            <control shapeId="159754" r:id="rId9" name="Drop Down 10">
              <controlPr defaultSize="0" autoLine="0" autoPict="0">
                <anchor moveWithCells="1">
                  <from>
                    <xdr:col>6</xdr:col>
                    <xdr:colOff>0</xdr:colOff>
                    <xdr:row>3</xdr:row>
                    <xdr:rowOff>0</xdr:rowOff>
                  </from>
                  <to>
                    <xdr:col>8</xdr:col>
                    <xdr:colOff>571500</xdr:colOff>
                    <xdr:row>4</xdr:row>
                    <xdr:rowOff>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30A99-87BF-45D3-B06E-9025A01B7A80}">
  <sheetPr codeName="Sheet26">
    <tabColor theme="9" tint="0.59999389629810485"/>
  </sheetPr>
  <dimension ref="A1:BL178"/>
  <sheetViews>
    <sheetView showGridLines="0" showRowColHeaders="0" workbookViewId="0">
      <selection activeCell="AL4" sqref="AL4"/>
    </sheetView>
  </sheetViews>
  <sheetFormatPr defaultColWidth="8.28515625" defaultRowHeight="12" x14ac:dyDescent="0.2"/>
  <cols>
    <col min="1" max="1" width="1.28515625" style="37" customWidth="1"/>
    <col min="2" max="9" width="8.5703125" style="37" customWidth="1"/>
    <col min="10" max="10" width="6.7109375" style="37" customWidth="1"/>
    <col min="11" max="11" width="10.42578125" style="37" customWidth="1"/>
    <col min="12" max="12" width="17.28515625" style="37" customWidth="1"/>
    <col min="13" max="14" width="6.42578125" style="37" hidden="1" customWidth="1"/>
    <col min="15" max="15" width="6.42578125" style="118" hidden="1" customWidth="1"/>
    <col min="16" max="16" width="6.42578125" style="37" hidden="1" customWidth="1"/>
    <col min="17" max="17" width="6" style="118" hidden="1" customWidth="1"/>
    <col min="18" max="18" width="6.42578125" style="37" hidden="1" customWidth="1"/>
    <col min="19" max="19" width="7.7109375" style="37" hidden="1" customWidth="1"/>
    <col min="20" max="23" width="6.42578125" style="37" hidden="1" customWidth="1"/>
    <col min="24" max="24" width="10" style="108" hidden="1" customWidth="1"/>
    <col min="25" max="25" width="37.28515625" style="108" hidden="1" customWidth="1"/>
    <col min="26" max="26" width="13.5703125" style="108" hidden="1" customWidth="1"/>
    <col min="27" max="29" width="6.7109375" style="108" hidden="1" customWidth="1"/>
    <col min="30" max="30" width="9.42578125" style="108" hidden="1" customWidth="1"/>
    <col min="31" max="36" width="6.7109375" style="108" hidden="1" customWidth="1"/>
    <col min="37" max="37" width="5.28515625" style="108" customWidth="1"/>
    <col min="38" max="38" width="25" style="108" customWidth="1"/>
    <col min="39" max="39" width="8.28515625" style="137"/>
    <col min="40" max="41" width="13.28515625" style="137" customWidth="1"/>
    <col min="42" max="43" width="19.7109375" style="137" customWidth="1"/>
    <col min="44" max="55" width="8.28515625" style="137"/>
    <col min="56" max="57" width="16.28515625" style="137" customWidth="1"/>
    <col min="58" max="58" width="18.7109375" style="137" customWidth="1"/>
    <col min="59" max="59" width="23" style="137" customWidth="1"/>
    <col min="60" max="16384" width="8.28515625" style="137"/>
  </cols>
  <sheetData>
    <row r="1" spans="2:64" ht="4.5" customHeight="1" thickBot="1" x14ac:dyDescent="0.25">
      <c r="L1" s="137"/>
      <c r="BD1" s="1121"/>
      <c r="BE1" s="1121"/>
      <c r="BF1" s="1121"/>
      <c r="BG1" s="1121"/>
      <c r="BH1" s="1121"/>
      <c r="BI1" s="1121"/>
      <c r="BJ1" s="1121"/>
      <c r="BK1" s="1121"/>
      <c r="BL1" s="1121"/>
    </row>
    <row r="2" spans="2:64" s="108" customFormat="1" ht="19.5" customHeight="1" thickBot="1" x14ac:dyDescent="0.25">
      <c r="B2" s="1048" t="s">
        <v>671</v>
      </c>
      <c r="C2" s="1048"/>
      <c r="D2" s="884"/>
      <c r="E2" s="884"/>
      <c r="F2" s="884"/>
      <c r="G2" s="884"/>
      <c r="H2" s="884"/>
      <c r="I2" s="884"/>
      <c r="J2" s="884"/>
      <c r="K2" s="884"/>
      <c r="L2" s="884"/>
      <c r="O2" s="108" t="s">
        <v>64</v>
      </c>
      <c r="S2" s="117">
        <v>3</v>
      </c>
      <c r="AL2" s="226" t="str">
        <f>ListAVS!$B$153</f>
        <v>Przejdź do</v>
      </c>
    </row>
    <row r="3" spans="2:64" ht="3.75" customHeight="1" x14ac:dyDescent="0.2">
      <c r="B3" s="312"/>
      <c r="C3" s="306"/>
      <c r="D3" s="306"/>
      <c r="E3" s="306"/>
      <c r="F3" s="306"/>
      <c r="G3" s="306"/>
      <c r="H3" s="306"/>
      <c r="I3" s="306"/>
      <c r="J3" s="306"/>
      <c r="K3" s="306"/>
      <c r="L3" s="137"/>
      <c r="X3" s="137"/>
      <c r="Y3" s="137"/>
      <c r="Z3" s="137"/>
      <c r="AA3" s="137"/>
      <c r="AB3" s="137"/>
      <c r="AC3" s="137"/>
      <c r="AD3" s="137"/>
      <c r="AE3" s="137"/>
      <c r="AF3" s="137"/>
      <c r="AG3" s="137"/>
      <c r="AH3" s="137"/>
      <c r="AI3" s="137"/>
      <c r="AJ3" s="137"/>
    </row>
    <row r="4" spans="2:64" ht="16.149999999999999" customHeight="1" thickBot="1" x14ac:dyDescent="0.25">
      <c r="B4" s="313" t="str">
        <f>ListAVS!$B$17</f>
        <v>Front drewniany</v>
      </c>
      <c r="C4" s="306"/>
      <c r="E4" s="306"/>
      <c r="F4" s="269" t="str">
        <f>ListAVS!$B$35&amp;"  "</f>
        <v xml:space="preserve">front górny  </v>
      </c>
      <c r="G4" s="703"/>
      <c r="H4" s="703"/>
      <c r="I4" s="703"/>
      <c r="J4" s="257"/>
      <c r="K4" s="592" t="str">
        <f>U71</f>
        <v xml:space="preserve"> </v>
      </c>
      <c r="L4" s="137"/>
      <c r="O4" s="117">
        <v>1</v>
      </c>
      <c r="S4" s="37" t="str">
        <f>" "&amp;ListAVS!$B$41&amp;" A "</f>
        <v xml:space="preserve"> Cena za korpus A </v>
      </c>
      <c r="X4" s="137" t="s">
        <v>28</v>
      </c>
      <c r="Y4" s="137"/>
      <c r="Z4" s="137"/>
      <c r="AA4" s="137"/>
      <c r="AB4" s="137"/>
      <c r="AC4" s="137"/>
      <c r="AD4" s="137"/>
      <c r="AE4" s="137"/>
      <c r="AF4" s="137"/>
      <c r="AG4" s="137"/>
      <c r="AH4" s="137"/>
      <c r="AI4" s="137"/>
      <c r="AJ4" s="137"/>
      <c r="AL4" s="383" t="str">
        <f>" "&amp;ListAVS!$B$154</f>
        <v xml:space="preserve"> Wprowadzenie do planowania</v>
      </c>
    </row>
    <row r="5" spans="2:64" ht="16.149999999999999" customHeight="1" x14ac:dyDescent="0.2">
      <c r="B5" s="313" t="str">
        <f>ListAVS!$B$22&amp;" ***"</f>
        <v>Wąska ramka aluminiowa ***</v>
      </c>
      <c r="C5" s="306"/>
      <c r="D5" s="306"/>
      <c r="E5" s="306"/>
      <c r="F5" s="269" t="str">
        <f>ListAVS!$B$36&amp;"  "</f>
        <v xml:space="preserve">front dolny  </v>
      </c>
      <c r="G5" s="703"/>
      <c r="H5" s="703"/>
      <c r="I5" s="703"/>
      <c r="J5" s="405"/>
      <c r="K5" s="592" t="str">
        <f>U73</f>
        <v xml:space="preserve"> </v>
      </c>
      <c r="L5" s="137"/>
      <c r="O5" s="118" t="s">
        <v>65</v>
      </c>
      <c r="S5" s="37" t="str">
        <f>" "&amp;ListAVS!$B$41&amp;" B "</f>
        <v xml:space="preserve"> Cena za korpus B </v>
      </c>
      <c r="X5" s="137"/>
      <c r="Y5" s="137"/>
      <c r="Z5" s="137"/>
      <c r="AA5" s="137"/>
      <c r="AB5" s="137"/>
      <c r="AC5" s="137"/>
      <c r="AD5" s="137"/>
      <c r="AE5" s="137"/>
      <c r="AF5" s="137"/>
      <c r="AG5" s="137"/>
      <c r="AH5" s="137"/>
      <c r="AI5" s="137"/>
      <c r="AJ5" s="137"/>
      <c r="AL5" s="634" t="str">
        <f>" "&amp;ListAVS!$B$155</f>
        <v xml:space="preserve"> Pomoc</v>
      </c>
    </row>
    <row r="6" spans="2:64" ht="22.5" customHeight="1" x14ac:dyDescent="0.2">
      <c r="B6" s="314"/>
      <c r="C6" s="306"/>
      <c r="D6" s="306"/>
      <c r="E6" s="306"/>
      <c r="F6" s="137"/>
      <c r="G6" s="704"/>
      <c r="H6" s="704"/>
      <c r="I6" s="704"/>
      <c r="J6" s="705" t="str">
        <f>IF($Z$78&lt;&gt;3,$Y$73," ")&amp;"      "</f>
        <v xml:space="preserve"> Możesz zmienić wartości we Wstępie do planowania      </v>
      </c>
      <c r="K6" s="704"/>
      <c r="L6" s="137"/>
      <c r="O6" s="323" t="s">
        <v>66</v>
      </c>
      <c r="S6" s="37" t="str">
        <f>" "&amp;ListAVS!$B$61</f>
        <v xml:space="preserve"> Cena całkowita bez VAT</v>
      </c>
      <c r="X6" s="137"/>
      <c r="Y6" s="137"/>
      <c r="Z6" s="137"/>
      <c r="AA6" s="137"/>
      <c r="AB6" s="137"/>
      <c r="AC6" s="137"/>
      <c r="AD6" s="137"/>
      <c r="AE6" s="137"/>
      <c r="AF6" s="137"/>
      <c r="AG6" s="137"/>
      <c r="AH6" s="137"/>
      <c r="AI6" s="137"/>
      <c r="AJ6" s="137"/>
      <c r="AL6" s="686"/>
      <c r="BD6" s="37"/>
      <c r="BE6" s="37"/>
      <c r="BF6" s="37"/>
      <c r="BG6" s="37"/>
    </row>
    <row r="7" spans="2:64" ht="16.149999999999999" customHeight="1" x14ac:dyDescent="0.2">
      <c r="B7" s="1059" t="str">
        <f>ListAVS!$B$51&amp;":   "</f>
        <v xml:space="preserve">Cena okucia:   </v>
      </c>
      <c r="C7" s="1060"/>
      <c r="D7" s="227"/>
      <c r="E7" s="404"/>
      <c r="F7" s="404"/>
      <c r="G7" s="1061">
        <f>IF(S2=1,$AF$47,IF($S$2=2,$AH$47,IF($S$2=3,$AD$47,0)))</f>
        <v>0</v>
      </c>
      <c r="H7" s="1062"/>
      <c r="I7" s="227"/>
      <c r="J7" s="227"/>
      <c r="K7" s="227"/>
      <c r="L7" s="227"/>
      <c r="Y7" s="938" t="str">
        <f>$B$2</f>
        <v xml:space="preserve"> AVENTOS HF top</v>
      </c>
      <c r="Z7" s="157"/>
      <c r="AA7" s="157"/>
      <c r="AB7" s="157"/>
      <c r="AC7" s="157"/>
      <c r="AD7" s="158"/>
      <c r="AE7" s="37"/>
      <c r="AF7" s="37"/>
      <c r="AG7" s="118"/>
      <c r="AH7" s="37"/>
      <c r="AI7" s="39"/>
      <c r="AJ7" s="39"/>
      <c r="AL7" s="675" t="str">
        <f>" "&amp;ListAVS!$B$160</f>
        <v xml:space="preserve"> Dodatki</v>
      </c>
      <c r="BD7" s="37"/>
      <c r="BE7" s="37"/>
      <c r="BF7" s="37"/>
      <c r="BG7" s="37"/>
    </row>
    <row r="8" spans="2:64" ht="25.15" customHeight="1" thickBot="1" x14ac:dyDescent="0.25">
      <c r="B8" s="227"/>
      <c r="C8" s="227"/>
      <c r="D8" s="227"/>
      <c r="E8" s="227"/>
      <c r="F8" s="227"/>
      <c r="G8" s="227"/>
      <c r="H8" s="579" t="str">
        <f>IF(AND(OR($S$9=2, $S$20=2), $AD$47&gt;0), $N$35, " ")</f>
        <v xml:space="preserve"> </v>
      </c>
      <c r="I8" s="227"/>
      <c r="J8" s="227"/>
      <c r="K8" s="227"/>
      <c r="L8" s="227"/>
      <c r="Y8" s="159" t="str">
        <f>ListAVS!B52</f>
        <v>Nazwa</v>
      </c>
      <c r="Z8" s="160" t="str">
        <f>ListAVS!$B$53</f>
        <v>Kod asortymentu</v>
      </c>
      <c r="AA8" s="161" t="str">
        <f>ListAVS!B54</f>
        <v>Kolor</v>
      </c>
      <c r="AB8" s="161" t="str">
        <f>ListAVS!B56</f>
        <v>Sztuka</v>
      </c>
      <c r="AC8" s="162" t="str">
        <f>ListAVS!B58</f>
        <v>Cena za sztukę</v>
      </c>
      <c r="AD8" s="161" t="str">
        <f>ListAVS!B59</f>
        <v>W sumie</v>
      </c>
      <c r="AE8" s="204" t="s">
        <v>29</v>
      </c>
      <c r="AF8" s="163" t="s">
        <v>30</v>
      </c>
      <c r="AG8" s="163" t="s">
        <v>31</v>
      </c>
      <c r="AH8" s="163" t="s">
        <v>30</v>
      </c>
      <c r="AI8" s="170"/>
      <c r="AJ8" s="170"/>
      <c r="AL8" s="671"/>
      <c r="AN8" s="1046" t="str">
        <f>"  "&amp;ListAVS!$B$86&amp;" LF "</f>
        <v xml:space="preserve">  Współczynnik mocy LF </v>
      </c>
      <c r="AO8" s="1046"/>
      <c r="AP8" s="953" t="s">
        <v>769</v>
      </c>
      <c r="AQ8" s="953" t="s">
        <v>770</v>
      </c>
      <c r="BD8" s="37"/>
      <c r="BE8" s="37"/>
      <c r="BF8" s="118"/>
      <c r="BG8" s="37"/>
    </row>
    <row r="9" spans="2:64" ht="16.149999999999999" customHeight="1" thickBot="1" x14ac:dyDescent="0.25">
      <c r="B9" s="1051" t="str">
        <f>"▼ "&amp;ListAVS!$B$318</f>
        <v>▼ Sposób otwierania</v>
      </c>
      <c r="C9" s="1052"/>
      <c r="D9" s="406" t="str">
        <f>IF($M$17&gt;0, ListAVS!$B$37&amp;": ", " ")</f>
        <v xml:space="preserve"> </v>
      </c>
      <c r="E9" s="688" t="str">
        <f>IF(SUM($AE$9:$AE$10)&gt;0,25,IF(SUM($AE$11:$AE$12)&gt;0,28," "))</f>
        <v xml:space="preserve"> </v>
      </c>
      <c r="F9" s="1056" t="str">
        <f>ListAVS!$B$64&amp;" A"</f>
        <v>Korpus A</v>
      </c>
      <c r="G9" s="1057"/>
      <c r="H9" s="1058"/>
      <c r="I9" s="227"/>
      <c r="J9" s="227"/>
      <c r="K9" s="227"/>
      <c r="L9" s="227"/>
      <c r="N9" s="39" t="s">
        <v>32</v>
      </c>
      <c r="O9" s="39"/>
      <c r="P9" s="39" t="s">
        <v>33</v>
      </c>
      <c r="Q9" s="39"/>
      <c r="S9" s="138">
        <v>1</v>
      </c>
      <c r="T9" s="1063" t="b">
        <v>0</v>
      </c>
      <c r="U9" s="1064"/>
      <c r="V9" s="139" t="s">
        <v>34</v>
      </c>
      <c r="W9" s="140"/>
      <c r="Y9" s="898" t="str">
        <f>CenAVS!A11</f>
        <v xml:space="preserve">Aventos HF Top słaby, wkręty      </v>
      </c>
      <c r="Z9" s="898" t="str">
        <f>CenAVS!B11</f>
        <v>22F2500</v>
      </c>
      <c r="AA9" s="883" t="str">
        <f>CenAVS!C11</f>
        <v>ZN</v>
      </c>
      <c r="AB9" s="665">
        <f t="shared" ref="AB9:AB15" si="0">SUM(AE9,AG9)</f>
        <v>0</v>
      </c>
      <c r="AC9" s="899">
        <f>CenAVS!F11</f>
        <v>180.23612</v>
      </c>
      <c r="AD9" s="900">
        <f>AB9*AC9</f>
        <v>0</v>
      </c>
      <c r="AE9" s="901">
        <f>IF($Y$48=1,ROUNDUP($M$17*$O$11,0),0)</f>
        <v>0</v>
      </c>
      <c r="AF9" s="902">
        <f t="shared" ref="AF9:AF38" si="1">$AC9*AE9</f>
        <v>0</v>
      </c>
      <c r="AG9" s="901">
        <f>IF($Y$48=1,ROUNDUP($M$28*$O$22,0),0)</f>
        <v>0</v>
      </c>
      <c r="AH9" s="902">
        <f t="shared" ref="AH9:AH38" si="2">$AC9*AG9</f>
        <v>0</v>
      </c>
      <c r="AI9" s="170"/>
      <c r="AJ9" s="170"/>
      <c r="AL9" s="383" t="str">
        <f>" "&amp;ListAVS!$B$157</f>
        <v xml:space="preserve"> Rodzaje korpusów</v>
      </c>
      <c r="AN9" s="1049" t="s">
        <v>786</v>
      </c>
      <c r="AO9" s="1050"/>
      <c r="AP9" s="689" t="s">
        <v>680</v>
      </c>
      <c r="AQ9" s="689" t="s">
        <v>681</v>
      </c>
      <c r="BD9" s="37"/>
      <c r="BE9" s="37"/>
      <c r="BF9" s="118"/>
      <c r="BG9" s="37"/>
    </row>
    <row r="10" spans="2:64" s="37" customFormat="1" ht="16.149999999999999" customHeight="1" thickBot="1" x14ac:dyDescent="0.25">
      <c r="B10" s="1011" t="str">
        <f>ListAVS!$B$74&amp;" KB [mm] "</f>
        <v xml:space="preserve">Szerokość korpusu KB [mm] </v>
      </c>
      <c r="C10" s="1012"/>
      <c r="D10" s="1012"/>
      <c r="E10" s="1012"/>
      <c r="F10" s="1012"/>
      <c r="G10" s="1013"/>
      <c r="H10" s="260"/>
      <c r="I10" s="256" t="str">
        <f>IF(H10=0," ",IF($H10&lt;220," min. 220mm"," "))&amp;IF(H17&gt;0,IF(H10=0,"● "&amp;ListAVS!$B$129," ")," ")</f>
        <v xml:space="preserve">  </v>
      </c>
      <c r="J10" s="227"/>
      <c r="K10" s="404"/>
      <c r="L10" s="227"/>
      <c r="N10" s="894"/>
      <c r="O10" s="895"/>
      <c r="P10" s="37" t="s">
        <v>35</v>
      </c>
      <c r="Q10" s="118">
        <f>IF(AND($P$16&gt;=$AB$54,$P$16&lt;=$AC$54),SUM($O$11:$O$12),0)</f>
        <v>0</v>
      </c>
      <c r="S10" s="137"/>
      <c r="T10" s="203" t="s">
        <v>36</v>
      </c>
      <c r="U10" s="39"/>
      <c r="V10" s="203" t="s">
        <v>37</v>
      </c>
      <c r="W10" s="39"/>
      <c r="X10" s="108"/>
      <c r="Y10" s="898" t="str">
        <f>CenAVS!A12</f>
        <v xml:space="preserve">Aventos HF Top słaby, eurowkręty      </v>
      </c>
      <c r="Z10" s="898" t="str">
        <f>CenAVS!B12</f>
        <v>22F2510</v>
      </c>
      <c r="AA10" s="883" t="str">
        <f>CenAVS!C12</f>
        <v>ZN</v>
      </c>
      <c r="AB10" s="665">
        <f t="shared" si="0"/>
        <v>0</v>
      </c>
      <c r="AC10" s="899">
        <f>CenAVS!F12</f>
        <v>181.63767999999999</v>
      </c>
      <c r="AD10" s="900">
        <f t="shared" ref="AD10:AD45" si="3">AB10*AC10</f>
        <v>0</v>
      </c>
      <c r="AE10" s="901">
        <f>IF($Y$48=2,ROUNDUP($M$17*$O$11,0),0)</f>
        <v>0</v>
      </c>
      <c r="AF10" s="902">
        <f t="shared" si="1"/>
        <v>0</v>
      </c>
      <c r="AG10" s="901">
        <f>IF($Y$48=2,ROUNDUP($M$28*$O$22,0),0)</f>
        <v>0</v>
      </c>
      <c r="AH10" s="902">
        <f t="shared" si="2"/>
        <v>0</v>
      </c>
      <c r="AI10" s="170"/>
      <c r="AJ10" s="170"/>
      <c r="AK10" s="108"/>
      <c r="AL10" s="383" t="str">
        <f>" "&amp;ListAVS!$B$158</f>
        <v xml:space="preserve"> Zamówienie</v>
      </c>
      <c r="AM10" s="137"/>
      <c r="AN10" s="1049" t="s">
        <v>734</v>
      </c>
      <c r="AO10" s="1050"/>
      <c r="AP10" s="689" t="s">
        <v>682</v>
      </c>
      <c r="AQ10" s="689" t="s">
        <v>683</v>
      </c>
      <c r="BF10" s="118"/>
    </row>
    <row r="11" spans="2:64" s="37" customFormat="1" ht="16.149999999999999" customHeight="1" x14ac:dyDescent="0.2">
      <c r="B11" s="1011" t="str">
        <f>ListAVS!$B$75&amp;" [mm]"</f>
        <v>Wysokość korpusu [mm]</v>
      </c>
      <c r="C11" s="1012"/>
      <c r="D11" s="1012"/>
      <c r="E11" s="297" t="s">
        <v>38</v>
      </c>
      <c r="F11" s="260"/>
      <c r="G11" s="295" t="s">
        <v>39</v>
      </c>
      <c r="H11" s="260"/>
      <c r="I11" s="256" t="str">
        <f>IF(H11=0," ",IF($H11&lt;480," min. 480mm",IF($H11&gt;1200," max. 1 200mm"," ")))&amp;IF(H17&gt;0,IF(H11=0,"● "&amp;ListAVS!$B$129," ")," ")</f>
        <v xml:space="preserve">  </v>
      </c>
      <c r="J11" s="227"/>
      <c r="K11" s="227"/>
      <c r="L11" s="227"/>
      <c r="N11" s="37" t="s">
        <v>40</v>
      </c>
      <c r="O11" s="118">
        <f>IF($H16&lt;$AB$50,0,IF($H16&lt;=$AC$50,1,0))</f>
        <v>0</v>
      </c>
      <c r="P11" s="37" t="s">
        <v>41</v>
      </c>
      <c r="Q11" s="118">
        <f>IF(AND($P$16&gt;=$AB$55,$P$16&lt;=$AC$55),SUM($O$11:$O$12),0)</f>
        <v>0</v>
      </c>
      <c r="T11" s="37" t="s">
        <v>42</v>
      </c>
      <c r="U11" s="118">
        <f>IF($N$48=1, IF(OR($H$10&gt;=1200, $T$17&gt;=12), 3, 2))+IF($N$48=1,IF(OR($H$10=1800, $T$17&gt;=20), 1, 0))</f>
        <v>2</v>
      </c>
      <c r="V11" s="37" t="s">
        <v>43</v>
      </c>
      <c r="W11" s="895">
        <f>IF($P$48=1, IF(OR($H$10&gt;=1200, $T$17&gt;=12), 3, 2))+IF($P$48=1,IF(OR($H$10=1800, $T$17&gt;=20), 1, 0))</f>
        <v>0</v>
      </c>
      <c r="X11" s="108"/>
      <c r="Y11" s="898" t="str">
        <f>CenAVS!A13</f>
        <v xml:space="preserve">Aventos HF Top mocny, wkręty      </v>
      </c>
      <c r="Z11" s="898" t="str">
        <f>CenAVS!B13</f>
        <v>22F2800</v>
      </c>
      <c r="AA11" s="883" t="str">
        <f>CenAVS!C13</f>
        <v>ZN</v>
      </c>
      <c r="AB11" s="665">
        <f t="shared" si="0"/>
        <v>0</v>
      </c>
      <c r="AC11" s="899">
        <f>CenAVS!F13</f>
        <v>196.99925999999999</v>
      </c>
      <c r="AD11" s="900">
        <f t="shared" si="3"/>
        <v>0</v>
      </c>
      <c r="AE11" s="901">
        <f>IF($Y$48=1,ROUNDUP($M$17*$O$12,0),0)</f>
        <v>0</v>
      </c>
      <c r="AF11" s="902">
        <f t="shared" si="1"/>
        <v>0</v>
      </c>
      <c r="AG11" s="901">
        <f>IF($Y$48=1,ROUNDUP($M$28*$O$23,0),0)</f>
        <v>0</v>
      </c>
      <c r="AH11" s="902">
        <f t="shared" si="2"/>
        <v>0</v>
      </c>
      <c r="AI11" s="170"/>
      <c r="AJ11" s="170"/>
      <c r="AK11" s="108"/>
      <c r="AM11" s="137"/>
    </row>
    <row r="12" spans="2:64" s="37" customFormat="1" ht="16.149999999999999" customHeight="1" x14ac:dyDescent="0.2">
      <c r="B12" s="1011" t="str">
        <f>ListAVS!$B$77&amp;" [kg] ** "</f>
        <v xml:space="preserve">Waga frontu wraz z uchwytem [kg] ** </v>
      </c>
      <c r="C12" s="1012"/>
      <c r="D12" s="1012"/>
      <c r="E12" s="1012"/>
      <c r="F12" s="1012"/>
      <c r="G12" s="1013"/>
      <c r="H12" s="258"/>
      <c r="I12" s="227" t="str">
        <f>IF($T14="ne", " ", IF(AND($H12=0,$H15=0, $H17&gt;0),$N$37," "))&amp;IF(AND($H17&gt;0, $H12&gt;0, $M17&gt;0),$N$41," ")</f>
        <v xml:space="preserve">  </v>
      </c>
      <c r="J12" s="227"/>
      <c r="K12" s="227"/>
      <c r="L12" s="227"/>
      <c r="N12" s="37" t="s">
        <v>44</v>
      </c>
      <c r="O12" s="118">
        <f>IF($H16&lt;$AB$51,0,IF($H16&lt;=$AC$51,1,0))</f>
        <v>0</v>
      </c>
      <c r="P12" s="37" t="s">
        <v>48</v>
      </c>
      <c r="Q12" s="118">
        <f>IF(AND($P$16&gt;=$AB$56,$P$16&lt;=$AC$56),SUM($O$11:$O$12),0)</f>
        <v>0</v>
      </c>
      <c r="T12" s="37" t="s">
        <v>46</v>
      </c>
      <c r="U12" s="118">
        <f>IF($N$48=2, IF(OR($H$10&gt;=1200, $T$17&gt;=12), 3, 2))+IF($N$48=2,IF(OR($H$10=1800, $T$17&gt;=20), 1, 0))</f>
        <v>0</v>
      </c>
      <c r="V12" s="37" t="s">
        <v>733</v>
      </c>
      <c r="W12" s="118">
        <f>IF($P$48=2, IF(OR($H$10&gt;=1200, $T$17&gt;=12), 3, 2))+IF($P$48=2,IF(OR($H$10=1800, $T$17&gt;=20), 1, 0))</f>
        <v>2</v>
      </c>
      <c r="X12" s="108"/>
      <c r="Y12" s="898" t="str">
        <f>CenAVS!A14</f>
        <v xml:space="preserve">Aventos HF Top mocny, eurowkręty      </v>
      </c>
      <c r="Z12" s="898" t="str">
        <f>CenAVS!B14</f>
        <v>22F2810</v>
      </c>
      <c r="AA12" s="883" t="str">
        <f>CenAVS!C14</f>
        <v>ZN</v>
      </c>
      <c r="AB12" s="665">
        <f t="shared" si="0"/>
        <v>0</v>
      </c>
      <c r="AC12" s="899">
        <f>CenAVS!F14</f>
        <v>198.53095999999996</v>
      </c>
      <c r="AD12" s="900">
        <f t="shared" si="3"/>
        <v>0</v>
      </c>
      <c r="AE12" s="901">
        <f>IF($Y$48=2,ROUNDUP($M$17*$O$12,0),0)</f>
        <v>0</v>
      </c>
      <c r="AF12" s="902">
        <f t="shared" si="1"/>
        <v>0</v>
      </c>
      <c r="AG12" s="901">
        <f>IF($Y$48=2,ROUNDUP($M$28*$O$23,0),0)</f>
        <v>0</v>
      </c>
      <c r="AH12" s="902">
        <f t="shared" si="2"/>
        <v>0</v>
      </c>
      <c r="AI12" s="170"/>
      <c r="AJ12" s="170"/>
      <c r="AK12" s="108"/>
      <c r="AL12" s="108"/>
      <c r="AM12" s="137"/>
      <c r="AN12" s="1043" t="str">
        <f>ListAVS!$B$86&amp;" LF = "&amp;ListAVS!$B$320&amp;" [kg]"</f>
        <v>Współczynnik mocy LF = wysokość korpusu (KH) [mm] x waga obu frontów wraz z uchwytem [kg]</v>
      </c>
      <c r="AO12" s="1043"/>
      <c r="AP12" s="1043"/>
      <c r="AQ12" s="1043"/>
      <c r="BD12" s="706"/>
      <c r="BE12" s="706"/>
      <c r="BF12" s="706"/>
      <c r="BG12" s="706"/>
    </row>
    <row r="13" spans="2:64" s="37" customFormat="1" ht="16.149999999999999" customHeight="1" x14ac:dyDescent="0.2">
      <c r="B13" s="1055" t="str">
        <f>ListAVS!$B$293</f>
        <v>Obliczenie wagi</v>
      </c>
      <c r="C13" s="1055"/>
      <c r="D13" s="1053" t="str">
        <f>ListAVS!$B$81&amp;" TS [mm] "</f>
        <v xml:space="preserve">Grubość górnego frontu TS [mm] </v>
      </c>
      <c r="E13" s="1053"/>
      <c r="F13" s="1053"/>
      <c r="G13" s="1054"/>
      <c r="H13" s="258"/>
      <c r="I13" s="256" t="str">
        <f>IF(OR(H17=0, $T14="ne")," ",IF(AND(H12=0, H13=0)," ● "&amp;ListAVS!$B$129," "))</f>
        <v xml:space="preserve"> </v>
      </c>
      <c r="J13" s="227"/>
      <c r="K13" s="227"/>
      <c r="L13" s="227"/>
      <c r="O13" s="118"/>
      <c r="Q13" s="118"/>
      <c r="U13" s="118"/>
      <c r="W13" s="118"/>
      <c r="X13" s="108"/>
      <c r="Y13" s="898" t="str">
        <f>CenAVS!A15</f>
        <v xml:space="preserve">zestaw ramion teleskop. HF Top 480-610mm     </v>
      </c>
      <c r="Z13" s="898" t="str">
        <f>CenAVS!B15</f>
        <v>22F3200</v>
      </c>
      <c r="AA13" s="883" t="str">
        <f>CenAVS!C15</f>
        <v>NI</v>
      </c>
      <c r="AB13" s="665">
        <f t="shared" si="0"/>
        <v>0</v>
      </c>
      <c r="AC13" s="899">
        <f>CenAVS!F15</f>
        <v>85.664479999999998</v>
      </c>
      <c r="AD13" s="900">
        <f t="shared" si="3"/>
        <v>0</v>
      </c>
      <c r="AE13" s="901">
        <f>ROUNDUP($M$17*Q10,0)</f>
        <v>0</v>
      </c>
      <c r="AF13" s="902">
        <f t="shared" si="1"/>
        <v>0</v>
      </c>
      <c r="AG13" s="901">
        <f>ROUNDUP($M$28*Q21,0)</f>
        <v>0</v>
      </c>
      <c r="AH13" s="902">
        <f t="shared" si="2"/>
        <v>0</v>
      </c>
      <c r="AI13" s="170"/>
      <c r="AJ13" s="170"/>
      <c r="AK13" s="108"/>
      <c r="AL13" s="108"/>
      <c r="AM13" s="137"/>
      <c r="AN13" s="1043"/>
      <c r="AO13" s="1043"/>
      <c r="AP13" s="1043"/>
      <c r="AQ13" s="1043"/>
      <c r="BD13" s="706"/>
      <c r="BE13" s="706"/>
      <c r="BF13" s="706"/>
      <c r="BG13" s="706"/>
    </row>
    <row r="14" spans="2:64" s="37" customFormat="1" ht="16.149999999999999" customHeight="1" x14ac:dyDescent="0.2">
      <c r="B14" s="1055"/>
      <c r="C14" s="1055"/>
      <c r="D14" s="1053" t="str">
        <f>ListAVS!$B$83&amp;" [kg] "</f>
        <v xml:space="preserve">Waga uchwytu [kg] </v>
      </c>
      <c r="E14" s="1053"/>
      <c r="F14" s="1053"/>
      <c r="G14" s="1054"/>
      <c r="H14" s="258"/>
      <c r="I14" s="227" t="str">
        <f>IF(H17=0, " ", IF(AND(H12=0, S9=1, H14=0), " ● "&amp;ListAVS!$B$130," "))</f>
        <v xml:space="preserve"> </v>
      </c>
      <c r="J14" s="227"/>
      <c r="K14" s="227"/>
      <c r="L14" s="227"/>
      <c r="O14" s="118"/>
      <c r="Q14" s="118"/>
      <c r="S14" s="717" t="s">
        <v>79</v>
      </c>
      <c r="T14" s="928" t="str">
        <f>IF(AND(220&lt;=H10, H10&lt;=1800, 480&lt;=P16, P16&lt;=1200),"ano","ne")</f>
        <v>ne</v>
      </c>
      <c r="U14" s="118"/>
      <c r="W14" s="118"/>
      <c r="X14" s="108"/>
      <c r="Y14" s="898" t="str">
        <f>CenAVS!A16</f>
        <v xml:space="preserve">zestaw ramion teleskop. HF Top 600-910mm     </v>
      </c>
      <c r="Z14" s="898" t="str">
        <f>CenAVS!B16</f>
        <v>22F3500</v>
      </c>
      <c r="AA14" s="883" t="str">
        <f>CenAVS!C16</f>
        <v>NI</v>
      </c>
      <c r="AB14" s="665">
        <f t="shared" si="0"/>
        <v>0</v>
      </c>
      <c r="AC14" s="899">
        <f>CenAVS!F16</f>
        <v>105.22162</v>
      </c>
      <c r="AD14" s="900">
        <f t="shared" si="3"/>
        <v>0</v>
      </c>
      <c r="AE14" s="901">
        <f>ROUNDUP($M$17*Q11,0)</f>
        <v>0</v>
      </c>
      <c r="AF14" s="902">
        <f t="shared" si="1"/>
        <v>0</v>
      </c>
      <c r="AG14" s="901">
        <f>ROUNDUP($M$28*Q22,0)</f>
        <v>0</v>
      </c>
      <c r="AH14" s="902">
        <f t="shared" si="2"/>
        <v>0</v>
      </c>
      <c r="AI14" s="170"/>
      <c r="AJ14" s="170"/>
      <c r="AK14" s="108"/>
      <c r="AL14" s="108"/>
      <c r="AM14" s="137"/>
      <c r="AN14" s="1044"/>
      <c r="AO14" s="1044"/>
      <c r="AP14" s="1044"/>
      <c r="AQ14" s="1044"/>
      <c r="BD14" s="706"/>
      <c r="BE14" s="706"/>
      <c r="BF14" s="706"/>
      <c r="BG14" s="706"/>
    </row>
    <row r="15" spans="2:64" s="37" customFormat="1" ht="16.149999999999999" customHeight="1" x14ac:dyDescent="0.2">
      <c r="B15" s="1055"/>
      <c r="C15" s="1055"/>
      <c r="D15" s="1053" t="str">
        <f>ListAVS!$B$79&amp;" [kg] "</f>
        <v xml:space="preserve">Obliczona waga frontu [kg] </v>
      </c>
      <c r="E15" s="1053"/>
      <c r="F15" s="1053"/>
      <c r="G15" s="1054"/>
      <c r="H15" s="259">
        <f>$T$81</f>
        <v>0</v>
      </c>
      <c r="I15" s="227" t="str">
        <f>IF($H17&gt;0,IF($H15&gt;0,IF($H12=0,$N$41," ")," ")," ")&amp;IF(AND(H17&gt;0, H12=0, Z78=3, $J$4=0), $N$39, " ")</f>
        <v xml:space="preserve">  </v>
      </c>
      <c r="J15" s="227"/>
      <c r="K15" s="227"/>
      <c r="L15" s="227"/>
      <c r="O15" s="118"/>
      <c r="S15" s="717" t="s">
        <v>732</v>
      </c>
      <c r="T15" s="928" t="str">
        <f>IF(AND(H16&gt;=$AB$50, H16&lt;=$AC$51), "ano", "ne")</f>
        <v>ne</v>
      </c>
      <c r="X15" s="108"/>
      <c r="Y15" s="898" t="str">
        <f>CenAVS!A17</f>
        <v xml:space="preserve">zestaw ramion teleskop. HF Top 840-1200mm     </v>
      </c>
      <c r="Z15" s="898" t="str">
        <f>CenAVS!B17</f>
        <v>22F3900</v>
      </c>
      <c r="AA15" s="883" t="str">
        <f>CenAVS!C17</f>
        <v>NI</v>
      </c>
      <c r="AB15" s="665">
        <f t="shared" si="0"/>
        <v>0</v>
      </c>
      <c r="AC15" s="899">
        <f>CenAVS!F17</f>
        <v>124.77875</v>
      </c>
      <c r="AD15" s="900">
        <f t="shared" si="3"/>
        <v>0</v>
      </c>
      <c r="AE15" s="901">
        <f>ROUNDUP($M$17*Q12,0)</f>
        <v>0</v>
      </c>
      <c r="AF15" s="902">
        <f t="shared" si="1"/>
        <v>0</v>
      </c>
      <c r="AG15" s="901">
        <f>ROUNDUP($M$28*Q23,0)</f>
        <v>0</v>
      </c>
      <c r="AH15" s="902">
        <f t="shared" si="2"/>
        <v>0</v>
      </c>
      <c r="AI15" s="170"/>
      <c r="AJ15" s="170"/>
      <c r="AK15" s="108"/>
      <c r="AL15" s="108"/>
      <c r="AM15" s="137"/>
      <c r="AN15" s="1044"/>
      <c r="AO15" s="1044"/>
      <c r="AP15" s="1044"/>
      <c r="AQ15" s="1044"/>
      <c r="BD15" s="706"/>
      <c r="BE15" s="706"/>
      <c r="BF15" s="706"/>
      <c r="BG15" s="706"/>
    </row>
    <row r="16" spans="2:64" s="37" customFormat="1" ht="16.149999999999999" customHeight="1" thickBot="1" x14ac:dyDescent="0.25">
      <c r="B16" s="1011" t="str">
        <f>ListAVS!$B$86&amp;" LF "</f>
        <v xml:space="preserve">Współczynnik mocy LF </v>
      </c>
      <c r="C16" s="1012"/>
      <c r="D16" s="1012"/>
      <c r="E16" s="1012"/>
      <c r="F16" s="1012"/>
      <c r="G16" s="1013"/>
      <c r="H16" s="400">
        <f>IF(H11&lt;1041,IF(H11&gt;479,IF(H12&gt;0,H11*H12,H11*H15),0),0)</f>
        <v>0</v>
      </c>
      <c r="I16" s="256" t="str">
        <f>IF(AND(H16&gt;0, H16&lt;$AB$50), $T$44, IF($H16&gt;$AC$51, $N$44, "  "))</f>
        <v xml:space="preserve">  </v>
      </c>
      <c r="J16" s="227"/>
      <c r="K16" s="227"/>
      <c r="L16" s="227"/>
      <c r="O16" s="153" t="s">
        <v>49</v>
      </c>
      <c r="P16" s="165">
        <f>IF(F11&gt;0,IF(F11&gt;=H11,F11,0),H11)</f>
        <v>0</v>
      </c>
      <c r="X16" s="108"/>
      <c r="Y16" s="898" t="str">
        <f>CenAVS!A47</f>
        <v xml:space="preserve">Zaślepki HF/HL/HS - Top bez SD jasnoszare HGR   </v>
      </c>
      <c r="Z16" s="898" t="str">
        <f>CenAVS!B47</f>
        <v>22.8000</v>
      </c>
      <c r="AA16" s="883" t="str">
        <f>CenAVS!C47</f>
        <v>HGR</v>
      </c>
      <c r="AB16" s="665">
        <f>SUM(AE16,AG16)</f>
        <v>0</v>
      </c>
      <c r="AC16" s="899">
        <f>CenAVS!F47</f>
        <v>27.586120000000001</v>
      </c>
      <c r="AD16" s="900">
        <f t="shared" si="3"/>
        <v>0</v>
      </c>
      <c r="AE16" s="903">
        <f>IF(AND($S$9=1, $T$48=1), SUM($AE$9:$AE$12), 0)</f>
        <v>0</v>
      </c>
      <c r="AF16" s="902">
        <f t="shared" si="1"/>
        <v>0</v>
      </c>
      <c r="AG16" s="903">
        <f>IF(AND($S$20=1, $T$48=1), SUM($AG$9:$AG$12), 0)</f>
        <v>0</v>
      </c>
      <c r="AH16" s="902">
        <f t="shared" si="2"/>
        <v>0</v>
      </c>
      <c r="AI16" s="170"/>
      <c r="AJ16" s="170"/>
      <c r="AK16" s="108"/>
      <c r="AL16" s="255"/>
      <c r="AM16" s="137"/>
      <c r="AN16" s="137"/>
      <c r="AO16" s="137"/>
    </row>
    <row r="17" spans="1:56" s="37" customFormat="1" ht="16.149999999999999" customHeight="1" thickBot="1" x14ac:dyDescent="0.25">
      <c r="B17" s="1011" t="str">
        <f>ListAVS!$B$71&amp;" "</f>
        <v xml:space="preserve">Ilość szafek </v>
      </c>
      <c r="C17" s="1012"/>
      <c r="D17" s="1012"/>
      <c r="E17" s="1012"/>
      <c r="F17" s="1012"/>
      <c r="G17" s="1012"/>
      <c r="H17" s="410"/>
      <c r="I17" s="256"/>
      <c r="J17" s="227"/>
      <c r="K17" s="227"/>
      <c r="L17" s="227"/>
      <c r="M17" s="315">
        <f>IF($H10*$P16=0,0,IF(SUM($H12,$H15)=0,0,IF($P16&gt;$AC$57,0,IF(P16&lt;$AB$54,0,IF(OR(T14="ne", T15="ne"),0,$H17)))))</f>
        <v>0</v>
      </c>
      <c r="N17" s="37" t="s">
        <v>50</v>
      </c>
      <c r="S17" s="690" t="s">
        <v>51</v>
      </c>
      <c r="T17" s="691">
        <f>IF(H12&gt;0,H12,H15)</f>
        <v>0</v>
      </c>
      <c r="U17" s="37">
        <f>IF(SUM(H12,H15)=0,0,IF(H12&gt;0,1,2))</f>
        <v>0</v>
      </c>
      <c r="V17" s="571" t="s">
        <v>52</v>
      </c>
      <c r="X17" s="108"/>
      <c r="Y17" s="898" t="str">
        <f>CenAVS!A48</f>
        <v xml:space="preserve">zaślepki HF/HL/HS - Top bez SD ciemnoszare TGR   </v>
      </c>
      <c r="Z17" s="898" t="str">
        <f>CenAVS!B48</f>
        <v>22.8000</v>
      </c>
      <c r="AA17" s="883" t="str">
        <f>CenAVS!C48</f>
        <v>TGR</v>
      </c>
      <c r="AB17" s="665">
        <f t="shared" ref="AB17:AB37" si="4">SUM(AE17,AG17)</f>
        <v>0</v>
      </c>
      <c r="AC17" s="899">
        <f>CenAVS!F48</f>
        <v>30.106369999999998</v>
      </c>
      <c r="AD17" s="900">
        <f t="shared" si="3"/>
        <v>0</v>
      </c>
      <c r="AE17" s="903">
        <f>IF(AND($S$9=1, $T$48=2), SUM($AE$9:$AE$12), 0)</f>
        <v>0</v>
      </c>
      <c r="AF17" s="902">
        <f t="shared" si="1"/>
        <v>0</v>
      </c>
      <c r="AG17" s="903">
        <f>IF(AND($S$20=1, $T$48=2), SUM($AG$9:$AG$12), 0)</f>
        <v>0</v>
      </c>
      <c r="AH17" s="902">
        <f t="shared" si="2"/>
        <v>0</v>
      </c>
      <c r="AI17" s="170"/>
      <c r="AJ17" s="170"/>
      <c r="AK17" s="108"/>
      <c r="AM17" s="137"/>
      <c r="AN17" s="545" t="s">
        <v>771</v>
      </c>
      <c r="AO17" s="137"/>
      <c r="BD17" s="707"/>
    </row>
    <row r="18" spans="1:56" s="37" customFormat="1" ht="16.149999999999999" customHeight="1" x14ac:dyDescent="0.2">
      <c r="B18" s="227" t="str">
        <f>IF(H17&gt;0,IF(U17=0," ",IF(U17=1,$N$53,$N$54))," ")&amp;IF(H17&gt;0,IF(U17=0," ",IF(U17=1,$N$55,$N$56))," ")</f>
        <v xml:space="preserve">  </v>
      </c>
      <c r="C18" s="227"/>
      <c r="D18" s="227"/>
      <c r="E18" s="227"/>
      <c r="F18" s="262"/>
      <c r="G18" s="262"/>
      <c r="H18" s="227"/>
      <c r="I18" s="227"/>
      <c r="J18" s="227"/>
      <c r="K18" s="227"/>
      <c r="L18" s="227"/>
      <c r="X18" s="108"/>
      <c r="Y18" s="898" t="str">
        <f>CenAVS!A49</f>
        <v xml:space="preserve">Zaślepki HF/HL/HS - Top bez SD białe SW   </v>
      </c>
      <c r="Z18" s="898" t="str">
        <f>CenAVS!B49</f>
        <v>22.8000</v>
      </c>
      <c r="AA18" s="883" t="str">
        <f>CenAVS!C49</f>
        <v>SW</v>
      </c>
      <c r="AB18" s="665">
        <f t="shared" si="4"/>
        <v>0</v>
      </c>
      <c r="AC18" s="899">
        <f>CenAVS!F49</f>
        <v>30.106369999999998</v>
      </c>
      <c r="AD18" s="900">
        <f t="shared" si="3"/>
        <v>0</v>
      </c>
      <c r="AE18" s="903">
        <f>IF(AND($S$9=1, $T$48=3), SUM($AE$9:$AE$12), 0)</f>
        <v>0</v>
      </c>
      <c r="AF18" s="902">
        <f t="shared" si="1"/>
        <v>0</v>
      </c>
      <c r="AG18" s="903">
        <f>IF(AND($S$20=1, $T$48=3), SUM($AG$9:$AG$12), 0)</f>
        <v>0</v>
      </c>
      <c r="AH18" s="902">
        <f t="shared" si="2"/>
        <v>0</v>
      </c>
      <c r="AI18" s="170"/>
      <c r="AJ18" s="170"/>
      <c r="AK18" s="108"/>
      <c r="AL18" s="255"/>
      <c r="AM18" s="137"/>
      <c r="AN18" s="545" t="s">
        <v>772</v>
      </c>
      <c r="AO18" s="137"/>
    </row>
    <row r="19" spans="1:56" s="37" customFormat="1" ht="25.15" customHeight="1" thickBot="1" x14ac:dyDescent="0.25">
      <c r="B19" s="586" t="str">
        <f>IF(F11=0," ",IF(F11&gt;1200,"TKH = max. 1200!",IF(F11&lt;480,"TKH = min. 480!",IF(F11&lt;H11,$N$59,IF(H17&gt;0,IF(F11=0," ",IF(AND(F11&gt;0,M17=1), $N$58," "))," ")))))</f>
        <v xml:space="preserve"> </v>
      </c>
      <c r="C19" s="227"/>
      <c r="D19" s="227"/>
      <c r="E19" s="227"/>
      <c r="F19" s="262"/>
      <c r="G19" s="262"/>
      <c r="H19" s="227"/>
      <c r="I19" s="227"/>
      <c r="J19" s="227"/>
      <c r="K19" s="227"/>
      <c r="L19" s="227"/>
      <c r="X19" s="108"/>
      <c r="Y19" s="898" t="str">
        <f>CenAVS!A50</f>
        <v xml:space="preserve">zaślepki HF/HL/HS - Top do SD jasnoszare HGR   </v>
      </c>
      <c r="Z19" s="898" t="str">
        <f>CenAVS!B50</f>
        <v>23.8000</v>
      </c>
      <c r="AA19" s="883" t="str">
        <f>CenAVS!C50</f>
        <v>HGR</v>
      </c>
      <c r="AB19" s="665">
        <f t="shared" si="4"/>
        <v>0</v>
      </c>
      <c r="AC19" s="899">
        <f>CenAVS!F50</f>
        <v>284.41748999999999</v>
      </c>
      <c r="AD19" s="900">
        <f t="shared" si="3"/>
        <v>0</v>
      </c>
      <c r="AE19" s="903">
        <f>IF(AND($S$9=2, $T$48=1), $AE$45, 0)</f>
        <v>0</v>
      </c>
      <c r="AF19" s="902">
        <f t="shared" si="1"/>
        <v>0</v>
      </c>
      <c r="AG19" s="903">
        <f>IF(AND($S$20=2, $T$48=1), $AG$45, 0)</f>
        <v>0</v>
      </c>
      <c r="AH19" s="902">
        <f t="shared" si="2"/>
        <v>0</v>
      </c>
      <c r="AI19" s="170"/>
      <c r="AJ19" s="170"/>
      <c r="AK19" s="108"/>
      <c r="AL19" s="708" t="str">
        <f>" "&amp;ListAVS!$B$195</f>
        <v xml:space="preserve"> Obliczanie frontów asymetrycznych</v>
      </c>
      <c r="AM19" s="137"/>
      <c r="AN19" s="137"/>
      <c r="AO19" s="137"/>
    </row>
    <row r="20" spans="1:56" s="37" customFormat="1" ht="16.149999999999999" customHeight="1" thickBot="1" x14ac:dyDescent="0.25">
      <c r="B20" s="1051" t="str">
        <f>"▼ "&amp;ListAVS!$B$318</f>
        <v>▼ Sposób otwierania</v>
      </c>
      <c r="C20" s="1052"/>
      <c r="D20" s="406" t="str">
        <f>IF($M$28&gt;0, ListAVS!$B$37&amp;": ", " ")</f>
        <v xml:space="preserve"> </v>
      </c>
      <c r="E20" s="688" t="str">
        <f>IF(SUM($AG$9:$AG$10)&gt;0,25,IF(SUM($AG$11:$AG$12)&gt;0,28," "))</f>
        <v xml:space="preserve"> </v>
      </c>
      <c r="F20" s="1056" t="str">
        <f>ListAVS!$B$64&amp;" B"</f>
        <v>Korpus B</v>
      </c>
      <c r="G20" s="1057"/>
      <c r="H20" s="1058"/>
      <c r="I20" s="227"/>
      <c r="J20" s="227"/>
      <c r="K20" s="227"/>
      <c r="L20" s="227"/>
      <c r="N20" s="39" t="s">
        <v>53</v>
      </c>
      <c r="O20" s="39"/>
      <c r="P20" s="39" t="s">
        <v>33</v>
      </c>
      <c r="Q20" s="39"/>
      <c r="S20" s="138">
        <v>1</v>
      </c>
      <c r="T20" s="1063" t="b">
        <v>0</v>
      </c>
      <c r="U20" s="1064"/>
      <c r="V20" s="139" t="s">
        <v>34</v>
      </c>
      <c r="W20" s="140"/>
      <c r="X20" s="108"/>
      <c r="Y20" s="898" t="str">
        <f>CenAVS!A51</f>
        <v xml:space="preserve">Zaślepki HF/HL/HS - Top do SD ciemnoszare TGR   </v>
      </c>
      <c r="Z20" s="898" t="str">
        <f>CenAVS!B51</f>
        <v>23.8000</v>
      </c>
      <c r="AA20" s="883" t="str">
        <f>CenAVS!C51</f>
        <v>TGR</v>
      </c>
      <c r="AB20" s="665">
        <f t="shared" si="4"/>
        <v>0</v>
      </c>
      <c r="AC20" s="899">
        <f>CenAVS!F51</f>
        <v>295.60313000000002</v>
      </c>
      <c r="AD20" s="900">
        <f t="shared" si="3"/>
        <v>0</v>
      </c>
      <c r="AE20" s="903">
        <f>IF(AND($S$9=2, $T$48=2), $AE$45, 0)</f>
        <v>0</v>
      </c>
      <c r="AF20" s="902">
        <f t="shared" si="1"/>
        <v>0</v>
      </c>
      <c r="AG20" s="903">
        <f>IF(AND($S$20=2, $T$48=2), $AG$45, 0)</f>
        <v>0</v>
      </c>
      <c r="AH20" s="902">
        <f t="shared" si="2"/>
        <v>0</v>
      </c>
      <c r="AI20" s="170"/>
      <c r="AJ20" s="170"/>
      <c r="AK20" s="108"/>
      <c r="AM20" s="137"/>
      <c r="AN20" s="137"/>
      <c r="AO20" s="137"/>
      <c r="AP20" s="137"/>
    </row>
    <row r="21" spans="1:56" s="37" customFormat="1" ht="16.149999999999999" customHeight="1" x14ac:dyDescent="0.2">
      <c r="B21" s="1011" t="str">
        <f>ListAVS!$B$74&amp;" KB [mm] "</f>
        <v xml:space="preserve">Szerokość korpusu KB [mm] </v>
      </c>
      <c r="C21" s="1012"/>
      <c r="D21" s="1012"/>
      <c r="E21" s="1012"/>
      <c r="F21" s="1012"/>
      <c r="G21" s="1013"/>
      <c r="H21" s="260"/>
      <c r="I21" s="256" t="str">
        <f>IF(H21=0," ",IF($H21&lt;220," min. 220mm",IF($H21&gt;1800," max. 1 800mm"," ")))&amp;IF(H28&gt;0,IF(H21=0,"● "&amp;ListAVS!$B$129," ")," ")</f>
        <v xml:space="preserve">  </v>
      </c>
      <c r="J21" s="227"/>
      <c r="K21" s="227"/>
      <c r="L21" s="227"/>
      <c r="N21" s="894"/>
      <c r="O21" s="895"/>
      <c r="P21" s="37" t="s">
        <v>35</v>
      </c>
      <c r="Q21" s="118">
        <f>IF(AND($P$27&gt;=$AB$54,$P$27&lt;=$AC$54),SUM($O$22:$O$23),0)</f>
        <v>0</v>
      </c>
      <c r="T21" s="203" t="s">
        <v>54</v>
      </c>
      <c r="U21" s="39"/>
      <c r="V21" s="203" t="s">
        <v>55</v>
      </c>
      <c r="W21" s="39"/>
      <c r="X21" s="108"/>
      <c r="Y21" s="898" t="str">
        <f>CenAVS!A52</f>
        <v xml:space="preserve">Zaślepki HF/HL/HS - Top do SD białe SW   </v>
      </c>
      <c r="Z21" s="898" t="str">
        <f>CenAVS!B52</f>
        <v>23.8000</v>
      </c>
      <c r="AA21" s="883" t="str">
        <f>CenAVS!C52</f>
        <v>SW</v>
      </c>
      <c r="AB21" s="665">
        <f t="shared" si="4"/>
        <v>0</v>
      </c>
      <c r="AC21" s="899">
        <f>CenAVS!F52</f>
        <v>295.60313000000002</v>
      </c>
      <c r="AD21" s="900">
        <f t="shared" si="3"/>
        <v>0</v>
      </c>
      <c r="AE21" s="903">
        <f>IF(AND($S$9=2, $T$48=3), $AE$45, 0)</f>
        <v>0</v>
      </c>
      <c r="AF21" s="902">
        <f t="shared" si="1"/>
        <v>0</v>
      </c>
      <c r="AG21" s="903">
        <f>IF(AND($S$20=2, $T$48=3), $AG$45, 0)</f>
        <v>0</v>
      </c>
      <c r="AH21" s="902">
        <f t="shared" si="2"/>
        <v>0</v>
      </c>
      <c r="AI21" s="170"/>
      <c r="AJ21" s="170"/>
      <c r="AK21" s="108"/>
      <c r="AL21" s="692"/>
      <c r="AM21" s="137"/>
      <c r="AN21" s="137"/>
      <c r="AO21" s="137"/>
      <c r="AP21" s="137"/>
    </row>
    <row r="22" spans="1:56" s="37" customFormat="1" ht="16.149999999999999" customHeight="1" x14ac:dyDescent="0.2">
      <c r="B22" s="1011" t="str">
        <f>ListAVS!$B$75&amp;" [mm]"</f>
        <v>Wysokość korpusu [mm]</v>
      </c>
      <c r="C22" s="1012"/>
      <c r="D22" s="1012"/>
      <c r="E22" s="297" t="s">
        <v>38</v>
      </c>
      <c r="F22" s="260"/>
      <c r="G22" s="295" t="s">
        <v>39</v>
      </c>
      <c r="H22" s="260"/>
      <c r="I22" s="256" t="str">
        <f>IF(H22=0," ",IF($H22&lt;480," min. 480mm",IF($H22&gt;1200," max. 1 200mm"," ")))&amp;IF(H28&gt;0,IF(H22=0,"● "&amp;ListAVS!$B$129," ")," ")</f>
        <v xml:space="preserve">  </v>
      </c>
      <c r="J22" s="227"/>
      <c r="K22" s="227"/>
      <c r="L22" s="227"/>
      <c r="N22" s="37" t="s">
        <v>40</v>
      </c>
      <c r="O22" s="118">
        <f>IF($H27&lt;$AB$50,0,IF($H27&lt;=$AC$50,1,0))</f>
        <v>0</v>
      </c>
      <c r="P22" s="37" t="s">
        <v>41</v>
      </c>
      <c r="Q22" s="118">
        <f>IF(AND($P$27&gt;=$AB$55,$P$27&lt;=$AC$55),SUM($O$22:$O$23),0)</f>
        <v>0</v>
      </c>
      <c r="T22" s="37" t="s">
        <v>42</v>
      </c>
      <c r="U22" s="118">
        <f>IF($N$48=1, IF(OR($H$21&gt;=1200, $T$28&gt;=12), 3, 2))+IF($N$48=1,IF(OR($H$21=1800, $T$28&gt;=20), 1, 0))</f>
        <v>2</v>
      </c>
      <c r="V22" s="37" t="s">
        <v>43</v>
      </c>
      <c r="W22" s="895">
        <f>IF($P$48=1, IF(OR($H$21&gt;=1200, $T$28&gt;=12), 3, 2))+IF($P$48=1,IF(OR($H$21=1800, $T$28&gt;=20), 1, 0))</f>
        <v>0</v>
      </c>
      <c r="X22" s="108"/>
      <c r="Y22" s="898" t="str">
        <f>CenAVS!A18</f>
        <v xml:space="preserve">nakładany Tip-on wkręt 120°       </v>
      </c>
      <c r="Z22" s="898" t="str">
        <f>CenAVS!B18</f>
        <v>70T5550.TL</v>
      </c>
      <c r="AA22" s="883" t="str">
        <f>CenAVS!C18</f>
        <v>NI</v>
      </c>
      <c r="AB22" s="665">
        <f t="shared" si="4"/>
        <v>0</v>
      </c>
      <c r="AC22" s="899">
        <f>CenAVS!F18</f>
        <v>5.5152999999999999</v>
      </c>
      <c r="AD22" s="900">
        <f t="shared" si="3"/>
        <v>0</v>
      </c>
      <c r="AE22" s="903">
        <f>$U$12*$M$17</f>
        <v>0</v>
      </c>
      <c r="AF22" s="902">
        <f t="shared" si="1"/>
        <v>0</v>
      </c>
      <c r="AG22" s="903">
        <f>$U$23*$M$28</f>
        <v>0</v>
      </c>
      <c r="AH22" s="902">
        <f t="shared" si="2"/>
        <v>0</v>
      </c>
      <c r="AI22" s="170"/>
      <c r="AJ22" s="170"/>
      <c r="AK22" s="108"/>
      <c r="AL22" s="255"/>
      <c r="AM22" s="137"/>
      <c r="AN22" s="137"/>
      <c r="AO22" s="137"/>
      <c r="AP22" s="137"/>
    </row>
    <row r="23" spans="1:56" s="37" customFormat="1" ht="16.149999999999999" customHeight="1" x14ac:dyDescent="0.2">
      <c r="B23" s="1011" t="str">
        <f>ListAVS!$B$77&amp;" [kg] ** "</f>
        <v xml:space="preserve">Waga frontu wraz z uchwytem [kg] ** </v>
      </c>
      <c r="C23" s="1012"/>
      <c r="D23" s="1012"/>
      <c r="E23" s="1012"/>
      <c r="F23" s="1012"/>
      <c r="G23" s="1013"/>
      <c r="H23" s="258"/>
      <c r="I23" s="227" t="str">
        <f>IF($H28=0," ",IF(SUM($H23,$H26)=0,$N$37," "))&amp;IF($H28&gt;0,IF($H23&gt;0,$N$41," ")," ")</f>
        <v xml:space="preserve">  </v>
      </c>
      <c r="J23" s="227"/>
      <c r="K23" s="227"/>
      <c r="L23" s="227"/>
      <c r="N23" s="37" t="s">
        <v>44</v>
      </c>
      <c r="O23" s="118">
        <f>IF($H27&lt;$AB$51,0,IF($H27&lt;=$AC$51,1,IF($H27&gt;$AB$52,1.5,0)))</f>
        <v>0</v>
      </c>
      <c r="P23" s="37" t="s">
        <v>48</v>
      </c>
      <c r="Q23" s="118">
        <f>IF(AND($P$27&gt;=$AB$56,$P$27&lt;=$AC$56),SUM($O$22:$O$23),0)</f>
        <v>0</v>
      </c>
      <c r="T23" s="37" t="s">
        <v>46</v>
      </c>
      <c r="U23" s="118">
        <f>IF($N$48=2, IF(OR($H$21&gt;=1200, $T$28&gt;=12), 3, 2))+IF($N$48=2,IF(OR($H$21=1800, $T$28&gt;=20), 1, 0))</f>
        <v>0</v>
      </c>
      <c r="V23" s="37" t="s">
        <v>733</v>
      </c>
      <c r="W23" s="118">
        <f>IF($P$48=2, IF(OR($H$21&gt;=1200, $T$28&gt;=12), 3, 2))+IF($P$48=2,IF(OR($H$21=1800, $T$28&gt;=20), 1, 0))</f>
        <v>2</v>
      </c>
      <c r="X23" s="108"/>
      <c r="Y23" s="898" t="str">
        <f>CenAVS!A19</f>
        <v xml:space="preserve">zawias nakładany Tip-on Expando 120°      </v>
      </c>
      <c r="Z23" s="898" t="str">
        <f>CenAVS!B19</f>
        <v>70T558E</v>
      </c>
      <c r="AA23" s="883" t="str">
        <f>CenAVS!C19</f>
        <v>NI</v>
      </c>
      <c r="AB23" s="665">
        <f t="shared" si="4"/>
        <v>0</v>
      </c>
      <c r="AC23" s="899">
        <f>CenAVS!F19</f>
        <v>5.8604399999999996</v>
      </c>
      <c r="AD23" s="900">
        <f t="shared" si="3"/>
        <v>0</v>
      </c>
      <c r="AE23" s="903">
        <f>$U$11*$M$17</f>
        <v>0</v>
      </c>
      <c r="AF23" s="902">
        <f t="shared" si="1"/>
        <v>0</v>
      </c>
      <c r="AG23" s="903">
        <f>$U$22*$M$28</f>
        <v>0</v>
      </c>
      <c r="AH23" s="902">
        <f t="shared" si="2"/>
        <v>0</v>
      </c>
      <c r="AI23" s="170"/>
      <c r="AJ23" s="170"/>
      <c r="AK23" s="108"/>
      <c r="AL23" s="255"/>
      <c r="AM23" s="137"/>
      <c r="AN23" s="137"/>
      <c r="AO23" s="137"/>
      <c r="AP23" s="137"/>
    </row>
    <row r="24" spans="1:56" s="37" customFormat="1" ht="16.149999999999999" customHeight="1" x14ac:dyDescent="0.2">
      <c r="B24" s="1055" t="str">
        <f>ListAVS!$B$293</f>
        <v>Obliczenie wagi</v>
      </c>
      <c r="C24" s="1055"/>
      <c r="D24" s="1053" t="str">
        <f>ListAVS!$B$81&amp;" TS [mm] "</f>
        <v xml:space="preserve">Grubość górnego frontu TS [mm] </v>
      </c>
      <c r="E24" s="1053"/>
      <c r="F24" s="1053"/>
      <c r="G24" s="1054"/>
      <c r="H24" s="258"/>
      <c r="I24" s="256" t="str">
        <f>IF(H28=0," ",IF(AND(H23=0, H24=0)," ● "&amp;ListAVS!$B$129," "))</f>
        <v xml:space="preserve"> </v>
      </c>
      <c r="J24" s="227"/>
      <c r="K24" s="227"/>
      <c r="L24" s="227"/>
      <c r="O24" s="118"/>
      <c r="Q24" s="118"/>
      <c r="U24" s="118"/>
      <c r="W24" s="118"/>
      <c r="X24" s="108"/>
      <c r="Y24" s="898" t="str">
        <f>CenAVS!A20</f>
        <v xml:space="preserve">zawias środkowy wkręt        </v>
      </c>
      <c r="Z24" s="898" t="str">
        <f>CenAVS!B20</f>
        <v>78Z5500T</v>
      </c>
      <c r="AA24" s="883" t="str">
        <f>CenAVS!C20</f>
        <v>NI</v>
      </c>
      <c r="AB24" s="665">
        <f t="shared" si="4"/>
        <v>0</v>
      </c>
      <c r="AC24" s="899">
        <f>CenAVS!F20</f>
        <v>10.1708</v>
      </c>
      <c r="AD24" s="900">
        <f t="shared" si="3"/>
        <v>0</v>
      </c>
      <c r="AE24" s="901"/>
      <c r="AF24" s="902">
        <f t="shared" si="1"/>
        <v>0</v>
      </c>
      <c r="AG24" s="901"/>
      <c r="AH24" s="902">
        <f t="shared" si="2"/>
        <v>0</v>
      </c>
      <c r="AI24" s="170"/>
      <c r="AJ24" s="170"/>
      <c r="AK24" s="108"/>
      <c r="AL24" s="255"/>
      <c r="AM24" s="137"/>
      <c r="AN24" s="137"/>
      <c r="AO24" s="137"/>
      <c r="AP24" s="137"/>
    </row>
    <row r="25" spans="1:56" s="37" customFormat="1" ht="16.149999999999999" customHeight="1" x14ac:dyDescent="0.2">
      <c r="B25" s="1055"/>
      <c r="C25" s="1055"/>
      <c r="D25" s="1053" t="str">
        <f>ListAVS!$B$83&amp;" [kg] "</f>
        <v xml:space="preserve">Waga uchwytu [kg] </v>
      </c>
      <c r="E25" s="1053"/>
      <c r="F25" s="1053"/>
      <c r="G25" s="1054"/>
      <c r="H25" s="258"/>
      <c r="I25" s="227" t="str">
        <f>IF(H28=0, " ", IF(AND(H23=0, S20=1, H25=0), " ● "&amp;ListAVS!$B$130," "))</f>
        <v xml:space="preserve"> </v>
      </c>
      <c r="J25" s="227"/>
      <c r="K25" s="227"/>
      <c r="L25" s="227"/>
      <c r="O25" s="118"/>
      <c r="Q25" s="118"/>
      <c r="S25" s="717" t="s">
        <v>79</v>
      </c>
      <c r="T25" s="928" t="str">
        <f>IF(AND(220&lt;=H21, H21&lt;=1800, 480&lt;=P27, P27&lt;=1200),"ano","ne")</f>
        <v>ne</v>
      </c>
      <c r="U25" s="118"/>
      <c r="W25" s="118"/>
      <c r="X25" s="108"/>
      <c r="Y25" s="898" t="str">
        <f>CenAVS!A21</f>
        <v xml:space="preserve">zawias środkowy Expando        </v>
      </c>
      <c r="Z25" s="898" t="str">
        <f>CenAVS!B21</f>
        <v>78Z553ET</v>
      </c>
      <c r="AA25" s="883" t="str">
        <f>CenAVS!C21</f>
        <v>NI</v>
      </c>
      <c r="AB25" s="665">
        <f t="shared" si="4"/>
        <v>0</v>
      </c>
      <c r="AC25" s="899">
        <f>CenAVS!F21</f>
        <v>10.498419999999999</v>
      </c>
      <c r="AD25" s="900">
        <f t="shared" si="3"/>
        <v>0</v>
      </c>
      <c r="AE25" s="901"/>
      <c r="AF25" s="902">
        <f t="shared" si="1"/>
        <v>0</v>
      </c>
      <c r="AG25" s="901"/>
      <c r="AH25" s="902">
        <f t="shared" si="2"/>
        <v>0</v>
      </c>
      <c r="AI25" s="170"/>
      <c r="AJ25" s="170"/>
      <c r="AK25" s="108"/>
      <c r="AL25" s="255"/>
      <c r="AM25" s="137"/>
      <c r="AN25" s="137"/>
      <c r="AO25" s="137"/>
      <c r="AP25" s="137"/>
    </row>
    <row r="26" spans="1:56" s="37" customFormat="1" ht="16.149999999999999" customHeight="1" x14ac:dyDescent="0.2">
      <c r="B26" s="1055"/>
      <c r="C26" s="1055"/>
      <c r="D26" s="1053" t="str">
        <f>ListAVS!$B$79&amp;" [kg] "</f>
        <v xml:space="preserve">Obliczona waga frontu [kg] </v>
      </c>
      <c r="E26" s="1053"/>
      <c r="F26" s="1053"/>
      <c r="G26" s="1054"/>
      <c r="H26" s="259">
        <f>$T$90</f>
        <v>0</v>
      </c>
      <c r="I26" s="227" t="str">
        <f>IF($H28&gt;0,IF($H26&gt;0,IF($H23=0,$N$41," ")," ")," ")&amp;IF(AND(H28&gt;0, H23=0, Z87=3, $J$4=0), $N$39, " ")</f>
        <v xml:space="preserve">  </v>
      </c>
      <c r="J26" s="227"/>
      <c r="K26" s="227"/>
      <c r="L26" s="227"/>
      <c r="O26" s="118"/>
      <c r="Q26" s="118"/>
      <c r="S26" s="717" t="s">
        <v>732</v>
      </c>
      <c r="T26" s="928" t="str">
        <f>IF(AND(H27&gt;=$AB$50, H27&lt;=$AC$51), "ano", "ne")</f>
        <v>ne</v>
      </c>
      <c r="X26" s="108"/>
      <c r="Y26" s="898" t="str">
        <f>CenAVS!A22</f>
        <v xml:space="preserve">alu nakładany Tip-on 120° Aventos HF     </v>
      </c>
      <c r="Z26" s="898" t="str">
        <f>CenAVS!B22</f>
        <v>72T550A.TL</v>
      </c>
      <c r="AA26" s="883" t="str">
        <f>CenAVS!C22</f>
        <v>NI</v>
      </c>
      <c r="AB26" s="665">
        <f t="shared" si="4"/>
        <v>0</v>
      </c>
      <c r="AC26" s="899">
        <f>CenAVS!F22</f>
        <v>8.4674200000000006</v>
      </c>
      <c r="AD26" s="900">
        <f t="shared" si="3"/>
        <v>0</v>
      </c>
      <c r="AE26" s="901"/>
      <c r="AF26" s="902">
        <f t="shared" si="1"/>
        <v>0</v>
      </c>
      <c r="AG26" s="901"/>
      <c r="AH26" s="902">
        <f t="shared" si="2"/>
        <v>0</v>
      </c>
      <c r="AI26" s="170"/>
      <c r="AJ26" s="170"/>
      <c r="AK26" s="108"/>
      <c r="AL26" s="255"/>
      <c r="AM26" s="137"/>
    </row>
    <row r="27" spans="1:56" s="37" customFormat="1" ht="16.149999999999999" customHeight="1" thickBot="1" x14ac:dyDescent="0.25">
      <c r="B27" s="1011" t="str">
        <f>ListAVS!$B$86&amp;" LF "</f>
        <v xml:space="preserve">Współczynnik mocy LF </v>
      </c>
      <c r="C27" s="1012"/>
      <c r="D27" s="1012"/>
      <c r="E27" s="1012"/>
      <c r="F27" s="1012"/>
      <c r="G27" s="1013"/>
      <c r="H27" s="400">
        <f>IF(H22&lt;1041,IF(H22&gt;479,IF(H23&gt;0,H22*H23,H22*H26),0),0)</f>
        <v>0</v>
      </c>
      <c r="I27" s="256" t="str">
        <f>IF(AND(H27&gt;0, H27&lt;$AB$50), $T$44, IF($H27&gt;$AC$51, $N$44, "  "))</f>
        <v xml:space="preserve">  </v>
      </c>
      <c r="J27" s="227"/>
      <c r="K27" s="268"/>
      <c r="L27" s="227"/>
      <c r="O27" s="153" t="s">
        <v>49</v>
      </c>
      <c r="P27" s="165">
        <f>IF(F22&gt;0,IF(F22&gt;=H22,F22,0),H22)</f>
        <v>0</v>
      </c>
      <c r="Q27" s="118"/>
      <c r="X27" s="108"/>
      <c r="Y27" s="898" t="str">
        <f>CenAVS!A23</f>
        <v xml:space="preserve">alu zawias środkowy        </v>
      </c>
      <c r="Z27" s="898" t="str">
        <f>CenAVS!B23</f>
        <v>78Z550AT</v>
      </c>
      <c r="AA27" s="883" t="str">
        <f>CenAVS!C23</f>
        <v>NI</v>
      </c>
      <c r="AB27" s="665">
        <f t="shared" si="4"/>
        <v>0</v>
      </c>
      <c r="AC27" s="899">
        <f>CenAVS!F23</f>
        <v>11.149290000000001</v>
      </c>
      <c r="AD27" s="900">
        <f t="shared" si="3"/>
        <v>0</v>
      </c>
      <c r="AE27" s="901">
        <f>$W$12*$M$17</f>
        <v>0</v>
      </c>
      <c r="AF27" s="902">
        <f t="shared" si="1"/>
        <v>0</v>
      </c>
      <c r="AG27" s="901">
        <f>$W$23*$M$28</f>
        <v>0</v>
      </c>
      <c r="AH27" s="902">
        <f t="shared" si="2"/>
        <v>0</v>
      </c>
      <c r="AI27" s="170"/>
      <c r="AJ27" s="170"/>
      <c r="AK27" s="108"/>
      <c r="AL27" s="255"/>
      <c r="AM27" s="137"/>
      <c r="AN27" s="137"/>
      <c r="AO27" s="137"/>
      <c r="AP27" s="137"/>
      <c r="AQ27" s="137"/>
    </row>
    <row r="28" spans="1:56" ht="16.149999999999999" customHeight="1" thickBot="1" x14ac:dyDescent="0.25">
      <c r="B28" s="1011" t="str">
        <f>ListAVS!$B$71&amp;" "</f>
        <v xml:space="preserve">Ilość szafek </v>
      </c>
      <c r="C28" s="1012"/>
      <c r="D28" s="1012"/>
      <c r="E28" s="1012"/>
      <c r="F28" s="1012"/>
      <c r="G28" s="1012"/>
      <c r="H28" s="410"/>
      <c r="I28" s="256"/>
      <c r="J28" s="270"/>
      <c r="K28" s="401"/>
      <c r="L28" s="402"/>
      <c r="M28" s="315">
        <f>IF($H21*$P27=0,0,IF(SUM($H23,$H26)=0,0,IF($P27&gt;$AC$57,0,IF(P27&lt;$AB$54,0,IF(OR(T25="ne", T26="ne"),0,$H28)))))</f>
        <v>0</v>
      </c>
      <c r="N28" s="37" t="s">
        <v>50</v>
      </c>
      <c r="O28" s="39"/>
      <c r="P28" s="39"/>
      <c r="Q28" s="39"/>
      <c r="R28" s="137"/>
      <c r="S28" s="690" t="s">
        <v>51</v>
      </c>
      <c r="T28" s="691">
        <f>IF(H23&gt;0,H23,H26)</f>
        <v>0</v>
      </c>
      <c r="U28" s="37">
        <f>IF(SUM(H23,H26)=0,0,IF(H23&gt;0,1,2))</f>
        <v>0</v>
      </c>
      <c r="V28" s="571" t="s">
        <v>52</v>
      </c>
      <c r="W28" s="118"/>
      <c r="Y28" s="898" t="str">
        <f>CenAVS!A24</f>
        <v xml:space="preserve">adapter alu do ramion teleskop. P     </v>
      </c>
      <c r="Z28" s="898" t="str">
        <f>CenAVS!B24</f>
        <v>175H5B00   R</v>
      </c>
      <c r="AA28" s="883" t="str">
        <f>CenAVS!C24</f>
        <v>NI</v>
      </c>
      <c r="AB28" s="665">
        <f t="shared" si="4"/>
        <v>0</v>
      </c>
      <c r="AC28" s="899">
        <f>CenAVS!F24</f>
        <v>9.9110600000000009</v>
      </c>
      <c r="AD28" s="900">
        <f t="shared" si="3"/>
        <v>0</v>
      </c>
      <c r="AE28" s="901">
        <f>SUM($Q$10:$Q$12)*$M$17</f>
        <v>0</v>
      </c>
      <c r="AF28" s="902">
        <f t="shared" si="1"/>
        <v>0</v>
      </c>
      <c r="AG28" s="901">
        <f>SUM($Q$21:$Q$23)*$M$28</f>
        <v>0</v>
      </c>
      <c r="AH28" s="902">
        <f t="shared" si="2"/>
        <v>0</v>
      </c>
      <c r="AI28" s="170"/>
      <c r="AJ28" s="170"/>
      <c r="AL28" s="255"/>
      <c r="AM28" s="37"/>
    </row>
    <row r="29" spans="1:56" ht="16.149999999999999" customHeight="1" x14ac:dyDescent="0.2">
      <c r="A29" s="137"/>
      <c r="B29" s="227" t="str">
        <f>IF(H28&gt;0,IF(U28=0," ",IF(U28=1,$N$53,$N$54))," ")&amp;IF(H28&gt;0,IF(U28=0," ",IF(U28=1,$N$55,$N$56))," ")</f>
        <v xml:space="preserve">  </v>
      </c>
      <c r="C29" s="227"/>
      <c r="D29" s="227"/>
      <c r="E29" s="227"/>
      <c r="F29" s="227"/>
      <c r="G29" s="227"/>
      <c r="H29" s="403"/>
      <c r="I29" s="256"/>
      <c r="J29" s="404"/>
      <c r="K29" s="404"/>
      <c r="L29" s="404"/>
      <c r="N29" s="137"/>
      <c r="O29" s="137"/>
      <c r="P29" s="137"/>
      <c r="Q29" s="137"/>
      <c r="Y29" s="898" t="str">
        <f>CenAVS!A25</f>
        <v xml:space="preserve">adapter alu do ramion teleskop. L     </v>
      </c>
      <c r="Z29" s="898" t="str">
        <f>CenAVS!B25</f>
        <v>175H5B00   L</v>
      </c>
      <c r="AA29" s="883" t="str">
        <f>CenAVS!C25</f>
        <v>NI</v>
      </c>
      <c r="AB29" s="665">
        <f t="shared" si="4"/>
        <v>0</v>
      </c>
      <c r="AC29" s="899">
        <f>CenAVS!F25</f>
        <v>9.9110600000000009</v>
      </c>
      <c r="AD29" s="900">
        <f t="shared" si="3"/>
        <v>0</v>
      </c>
      <c r="AE29" s="901">
        <f>SUM($Q$10:$Q$12)*$M$17</f>
        <v>0</v>
      </c>
      <c r="AF29" s="902">
        <f t="shared" si="1"/>
        <v>0</v>
      </c>
      <c r="AG29" s="901">
        <f>SUM($Q$21:$Q$23)*$M$28</f>
        <v>0</v>
      </c>
      <c r="AH29" s="902">
        <f t="shared" si="2"/>
        <v>0</v>
      </c>
      <c r="AI29" s="170"/>
      <c r="AJ29" s="170"/>
      <c r="AL29" s="255"/>
    </row>
    <row r="30" spans="1:56" ht="18.75" customHeight="1" x14ac:dyDescent="0.2">
      <c r="B30" s="586" t="str">
        <f>IF(F22=0," ",IF(F22&gt;1200,"TKH = max. 1200!",IF(F22&lt;480,"TKH = min. 480!",IF(F22&lt;H22,$N$59,IF(H28&gt;0,IF(F22=0," ",IF(AND(F22&gt;0,M28=1), $N$58," "))," ")))))</f>
        <v xml:space="preserve"> </v>
      </c>
      <c r="C30" s="248"/>
      <c r="D30" s="396"/>
      <c r="E30" s="396"/>
      <c r="F30" s="274"/>
      <c r="G30" s="274"/>
      <c r="H30" s="396"/>
      <c r="I30" s="264"/>
      <c r="J30" s="264"/>
      <c r="K30" s="396"/>
      <c r="L30" s="265"/>
      <c r="N30" s="137"/>
      <c r="O30" s="137"/>
      <c r="P30" s="137"/>
      <c r="Q30" s="137"/>
      <c r="Y30" s="898" t="str">
        <f>CenAVS!A26</f>
        <v xml:space="preserve">adapter alu do zawiasu środkowego      </v>
      </c>
      <c r="Z30" s="898" t="str">
        <f>CenAVS!B26</f>
        <v>175H5A00</v>
      </c>
      <c r="AA30" s="883" t="str">
        <f>CenAVS!C26</f>
        <v>NI</v>
      </c>
      <c r="AB30" s="665">
        <f t="shared" si="4"/>
        <v>0</v>
      </c>
      <c r="AC30" s="899">
        <f>CenAVS!F26</f>
        <v>9.9110600000000009</v>
      </c>
      <c r="AD30" s="900">
        <f t="shared" si="3"/>
        <v>0</v>
      </c>
      <c r="AE30" s="901"/>
      <c r="AF30" s="902">
        <f t="shared" si="1"/>
        <v>0</v>
      </c>
      <c r="AG30" s="901"/>
      <c r="AH30" s="902">
        <f t="shared" si="2"/>
        <v>0</v>
      </c>
      <c r="AI30" s="170"/>
      <c r="AJ30" s="170"/>
    </row>
    <row r="31" spans="1:56" ht="13.5" customHeight="1" x14ac:dyDescent="0.2">
      <c r="B31" s="1109" t="str">
        <f>IF(OR(AND($S$9=2, $M$17&gt;0), AND($S$20=2, $M$28&gt;0)), ListAVS!$B$176, " ")</f>
        <v xml:space="preserve"> </v>
      </c>
      <c r="C31" s="1109"/>
      <c r="D31" s="1109"/>
      <c r="E31" s="1109"/>
      <c r="F31" s="1109"/>
      <c r="G31" s="1109"/>
      <c r="H31" s="1109"/>
      <c r="I31" s="1109"/>
      <c r="J31" s="1109"/>
      <c r="K31" s="397"/>
      <c r="L31" s="397"/>
      <c r="O31" s="37"/>
      <c r="Q31" s="37"/>
      <c r="S31" s="337">
        <f>IF($T$31=FALSE,2,1)</f>
        <v>1</v>
      </c>
      <c r="T31" s="1063" t="b">
        <v>1</v>
      </c>
      <c r="U31" s="1064"/>
      <c r="V31" s="139" t="s">
        <v>56</v>
      </c>
      <c r="W31" s="173"/>
      <c r="Y31" s="898"/>
      <c r="Z31" s="898"/>
      <c r="AA31" s="883"/>
      <c r="AB31" s="665"/>
      <c r="AC31" s="899"/>
      <c r="AD31" s="900"/>
      <c r="AE31" s="901"/>
      <c r="AF31" s="902"/>
      <c r="AG31" s="901"/>
      <c r="AH31" s="902"/>
      <c r="AI31" s="170"/>
      <c r="AJ31" s="170"/>
      <c r="AL31" s="693"/>
    </row>
    <row r="32" spans="1:56" ht="13.5" customHeight="1" x14ac:dyDescent="0.2">
      <c r="B32" s="1109"/>
      <c r="C32" s="1109"/>
      <c r="D32" s="1109"/>
      <c r="E32" s="1109"/>
      <c r="F32" s="1109"/>
      <c r="G32" s="1109"/>
      <c r="H32" s="1109"/>
      <c r="I32" s="1109"/>
      <c r="J32" s="1109"/>
      <c r="K32" s="397"/>
      <c r="L32" s="397"/>
      <c r="O32" s="37"/>
      <c r="Q32" s="37"/>
      <c r="Y32" s="898"/>
      <c r="Z32" s="898"/>
      <c r="AA32" s="883"/>
      <c r="AB32" s="665"/>
      <c r="AC32" s="899"/>
      <c r="AD32" s="900"/>
      <c r="AE32" s="901"/>
      <c r="AF32" s="902"/>
      <c r="AG32" s="901"/>
      <c r="AH32" s="902"/>
      <c r="AI32" s="170"/>
      <c r="AJ32" s="170"/>
      <c r="AL32" s="693"/>
    </row>
    <row r="33" spans="2:43" ht="12.75" x14ac:dyDescent="0.2">
      <c r="B33" s="1109"/>
      <c r="C33" s="1109"/>
      <c r="D33" s="1109"/>
      <c r="E33" s="1109"/>
      <c r="F33" s="1109"/>
      <c r="G33" s="1109"/>
      <c r="H33" s="1109"/>
      <c r="I33" s="1109"/>
      <c r="J33" s="1109"/>
      <c r="K33" s="266"/>
      <c r="L33" s="255"/>
      <c r="Y33" s="898" t="str">
        <f>CenAVS!A27</f>
        <v xml:space="preserve">          </v>
      </c>
      <c r="Z33" s="898">
        <f>CenAVS!B27</f>
        <v>0</v>
      </c>
      <c r="AA33" s="883">
        <f>CenAVS!C27</f>
        <v>0</v>
      </c>
      <c r="AB33" s="665"/>
      <c r="AC33" s="899">
        <f>CenAVS!F27</f>
        <v>0</v>
      </c>
      <c r="AD33" s="900">
        <f t="shared" si="3"/>
        <v>0</v>
      </c>
      <c r="AE33" s="901"/>
      <c r="AF33" s="902">
        <f t="shared" si="1"/>
        <v>0</v>
      </c>
      <c r="AG33" s="901"/>
      <c r="AH33" s="902">
        <f t="shared" si="2"/>
        <v>0</v>
      </c>
      <c r="AI33" s="170"/>
      <c r="AJ33" s="170"/>
      <c r="AL33" s="693"/>
    </row>
    <row r="34" spans="2:43" ht="12.75" x14ac:dyDescent="0.2">
      <c r="B34" s="272"/>
      <c r="C34" s="255"/>
      <c r="D34" s="266"/>
      <c r="E34" s="266"/>
      <c r="F34" s="266"/>
      <c r="G34" s="266"/>
      <c r="H34" s="266"/>
      <c r="I34" s="255"/>
      <c r="J34" s="266"/>
      <c r="K34" s="266"/>
      <c r="L34" s="255"/>
      <c r="Y34" s="898"/>
      <c r="Z34" s="898"/>
      <c r="AA34" s="883"/>
      <c r="AB34" s="665"/>
      <c r="AC34" s="899"/>
      <c r="AD34" s="900">
        <f t="shared" si="3"/>
        <v>0</v>
      </c>
      <c r="AE34" s="901"/>
      <c r="AF34" s="902">
        <f t="shared" si="1"/>
        <v>0</v>
      </c>
      <c r="AG34" s="901"/>
      <c r="AH34" s="902">
        <f t="shared" si="2"/>
        <v>0</v>
      </c>
      <c r="AI34" s="170"/>
      <c r="AJ34" s="170"/>
    </row>
    <row r="35" spans="2:43" ht="12.75" x14ac:dyDescent="0.2">
      <c r="B35" s="272"/>
      <c r="C35" s="273"/>
      <c r="D35" s="266"/>
      <c r="E35" s="266"/>
      <c r="F35" s="266"/>
      <c r="G35" s="266"/>
      <c r="H35" s="266"/>
      <c r="I35" s="255"/>
      <c r="J35" s="266"/>
      <c r="K35" s="266"/>
      <c r="L35" s="255"/>
      <c r="N35" s="37" t="str">
        <f>ListAVS!B177</f>
        <v>Cena bez zasilacza!</v>
      </c>
      <c r="Y35" s="898"/>
      <c r="Z35" s="898"/>
      <c r="AA35" s="883"/>
      <c r="AB35" s="665"/>
      <c r="AC35" s="899"/>
      <c r="AD35" s="900">
        <f t="shared" si="3"/>
        <v>0</v>
      </c>
      <c r="AE35" s="903"/>
      <c r="AF35" s="902">
        <f t="shared" si="1"/>
        <v>0</v>
      </c>
      <c r="AG35" s="903"/>
      <c r="AH35" s="902">
        <f t="shared" si="2"/>
        <v>0</v>
      </c>
      <c r="AI35" s="170"/>
      <c r="AJ35" s="170"/>
    </row>
    <row r="36" spans="2:43" ht="12.75" x14ac:dyDescent="0.2">
      <c r="B36" s="272"/>
      <c r="C36" s="255"/>
      <c r="D36" s="266"/>
      <c r="E36" s="266"/>
      <c r="F36" s="266"/>
      <c r="G36" s="266"/>
      <c r="H36" s="266"/>
      <c r="I36" s="255"/>
      <c r="J36" s="266"/>
      <c r="K36" s="266"/>
      <c r="L36" s="255"/>
      <c r="Y36" s="898" t="str">
        <f>CenAVS!A162</f>
        <v xml:space="preserve">prowadnik krzyżakowy mimośród wkręt 8 5mm     </v>
      </c>
      <c r="Z36" s="898" t="str">
        <f>CenAVS!B162</f>
        <v>173H7100</v>
      </c>
      <c r="AA36" s="883" t="str">
        <f>CenAVS!C162</f>
        <v>NI</v>
      </c>
      <c r="AB36" s="665">
        <f t="shared" si="4"/>
        <v>0</v>
      </c>
      <c r="AC36" s="899">
        <f>CenAVS!F162</f>
        <v>1.7393000000000001</v>
      </c>
      <c r="AD36" s="900">
        <f t="shared" si="3"/>
        <v>0</v>
      </c>
      <c r="AE36" s="903"/>
      <c r="AF36" s="902">
        <f t="shared" si="1"/>
        <v>0</v>
      </c>
      <c r="AG36" s="903"/>
      <c r="AH36" s="902">
        <f t="shared" si="2"/>
        <v>0</v>
      </c>
      <c r="AI36" s="170"/>
      <c r="AJ36" s="170"/>
    </row>
    <row r="37" spans="2:43" ht="12.75" x14ac:dyDescent="0.2">
      <c r="B37" s="272"/>
      <c r="C37" s="255" t="str">
        <f>"*  "&amp;ListAVS!$B$184</f>
        <v>*  Jedynie do frontów asymetrycznych: wpisz teoretyczną wysokość TKH</v>
      </c>
      <c r="D37" s="266"/>
      <c r="E37" s="266"/>
      <c r="F37" s="266"/>
      <c r="G37" s="266"/>
      <c r="H37" s="266"/>
      <c r="I37" s="255"/>
      <c r="J37" s="266"/>
      <c r="K37" s="266"/>
      <c r="L37" s="255"/>
      <c r="N37" s="37" t="str">
        <f>" "&amp;ListAVS!$B$116</f>
        <v xml:space="preserve"> Wprowadź wagę lub wypełnij wszystkie komórki</v>
      </c>
      <c r="Y37" s="898" t="str">
        <f>CenAVS!A163</f>
        <v xml:space="preserve">prowadnik krzyżakowy mimośród Expando 8 5mm     </v>
      </c>
      <c r="Z37" s="898" t="str">
        <f>CenAVS!B163</f>
        <v>174H7100E </v>
      </c>
      <c r="AA37" s="883" t="str">
        <f>CenAVS!C163</f>
        <v>NI</v>
      </c>
      <c r="AB37" s="665">
        <f t="shared" si="4"/>
        <v>0</v>
      </c>
      <c r="AC37" s="899">
        <f>CenAVS!F163</f>
        <v>2.1260500000000002</v>
      </c>
      <c r="AD37" s="900">
        <f t="shared" si="3"/>
        <v>0</v>
      </c>
      <c r="AE37" s="903"/>
      <c r="AF37" s="902">
        <f t="shared" si="1"/>
        <v>0</v>
      </c>
      <c r="AG37" s="903"/>
      <c r="AH37" s="902">
        <f t="shared" si="2"/>
        <v>0</v>
      </c>
      <c r="AI37" s="170"/>
      <c r="AJ37" s="170"/>
      <c r="AL37" s="710"/>
    </row>
    <row r="38" spans="2:43" ht="12.75" x14ac:dyDescent="0.2">
      <c r="B38" s="255"/>
      <c r="C38" s="255" t="str">
        <f>" ( "&amp;ListAVS!$B$185&amp;")"</f>
        <v xml:space="preserve"> ( TKH = Wysokość frontu górnego (mm) x 2 + szczeliny)</v>
      </c>
      <c r="D38" s="255"/>
      <c r="E38" s="255"/>
      <c r="F38" s="255"/>
      <c r="G38" s="255"/>
      <c r="H38" s="255"/>
      <c r="I38" s="255"/>
      <c r="J38" s="255"/>
      <c r="K38" s="255"/>
      <c r="L38" s="255"/>
      <c r="N38" s="137"/>
      <c r="Y38" s="898"/>
      <c r="Z38" s="898"/>
      <c r="AA38" s="883"/>
      <c r="AB38" s="665"/>
      <c r="AC38" s="899"/>
      <c r="AD38" s="900"/>
      <c r="AE38" s="903"/>
      <c r="AF38" s="902">
        <f t="shared" si="1"/>
        <v>0</v>
      </c>
      <c r="AG38" s="903"/>
      <c r="AH38" s="902">
        <f t="shared" si="2"/>
        <v>0</v>
      </c>
      <c r="AI38" s="170"/>
      <c r="AJ38" s="170"/>
    </row>
    <row r="39" spans="2:43" ht="12.75" x14ac:dyDescent="0.2">
      <c r="B39" s="255"/>
      <c r="C39" s="255" t="str">
        <f>" "&amp;ListAVS!$B$328&amp;" '"&amp;ListAVS!$B$195&amp;"' "</f>
        <v xml:space="preserve"> Do obliczenia TKH użyj 'Obliczanie frontów asymetrycznych' </v>
      </c>
      <c r="D39" s="255"/>
      <c r="E39" s="255"/>
      <c r="F39" s="255"/>
      <c r="G39" s="255"/>
      <c r="H39" s="255"/>
      <c r="I39" s="255"/>
      <c r="J39" s="255"/>
      <c r="K39" s="255"/>
      <c r="L39" s="255"/>
      <c r="N39" s="37" t="str">
        <f>" "&amp;ListAVS!$B$118</f>
        <v xml:space="preserve"> Wprowadź na górze masę objętościową </v>
      </c>
      <c r="Y39" s="898"/>
      <c r="Z39" s="898"/>
      <c r="AA39" s="883"/>
      <c r="AB39" s="665"/>
      <c r="AC39" s="899"/>
      <c r="AD39" s="900"/>
      <c r="AE39" s="903"/>
      <c r="AF39" s="902"/>
      <c r="AG39" s="903"/>
      <c r="AH39" s="902"/>
      <c r="AI39" s="170"/>
      <c r="AJ39" s="170"/>
    </row>
    <row r="40" spans="2:43" ht="12.75" x14ac:dyDescent="0.2">
      <c r="B40" s="255"/>
      <c r="C40" s="255"/>
      <c r="D40" s="255"/>
      <c r="E40" s="255"/>
      <c r="F40" s="255"/>
      <c r="G40" s="255"/>
      <c r="H40" s="255"/>
      <c r="I40" s="255"/>
      <c r="J40" s="255"/>
      <c r="K40" s="255"/>
      <c r="L40" s="255"/>
      <c r="Y40" s="898"/>
      <c r="Z40" s="898"/>
      <c r="AA40" s="883"/>
      <c r="AB40" s="665"/>
      <c r="AC40" s="899"/>
      <c r="AD40" s="900"/>
      <c r="AE40" s="903"/>
      <c r="AF40" s="902"/>
      <c r="AG40" s="903"/>
      <c r="AH40" s="902"/>
      <c r="AI40" s="170"/>
      <c r="AJ40" s="170"/>
    </row>
    <row r="41" spans="2:43" ht="12.75" x14ac:dyDescent="0.2">
      <c r="B41" s="255"/>
      <c r="C41" s="255" t="str">
        <f>"** "&amp;ListAVS!$B$187</f>
        <v>** Jeżeli znasz wagę i nie chcesz skorzystać z "obliczenie wagi"</v>
      </c>
      <c r="D41" s="255"/>
      <c r="E41" s="255"/>
      <c r="F41" s="255"/>
      <c r="G41" s="255"/>
      <c r="H41" s="255"/>
      <c r="I41" s="255"/>
      <c r="J41" s="255"/>
      <c r="K41" s="255"/>
      <c r="L41" s="255"/>
      <c r="N41" s="37" t="str">
        <f>"◄ "&amp;ListAVS!$B$112</f>
        <v>◄ wartość będzie wykorzystana do obliczenia LF</v>
      </c>
      <c r="Y41" s="898"/>
      <c r="Z41" s="898"/>
      <c r="AA41" s="883"/>
      <c r="AB41" s="665"/>
      <c r="AC41" s="899"/>
      <c r="AD41" s="900"/>
      <c r="AE41" s="903"/>
      <c r="AF41" s="902"/>
      <c r="AG41" s="903"/>
      <c r="AH41" s="902"/>
      <c r="AI41" s="170"/>
      <c r="AJ41" s="170"/>
    </row>
    <row r="42" spans="2:43" ht="12.75" x14ac:dyDescent="0.2">
      <c r="B42" s="266"/>
      <c r="C42" s="273" t="str">
        <f>"*** "&amp;ListAVS!$B$403</f>
        <v>*** Wybierz rodzaj ramki aluminiowej!</v>
      </c>
      <c r="D42" s="255"/>
      <c r="E42" s="255"/>
      <c r="F42" s="255"/>
      <c r="G42" s="255"/>
      <c r="H42" s="255"/>
      <c r="I42" s="255"/>
      <c r="J42" s="255"/>
      <c r="K42" s="255"/>
      <c r="L42" s="255"/>
      <c r="N42" s="37" t="str">
        <f>" * "&amp;ListAVS!$B$128</f>
        <v xml:space="preserve"> * Wypełnij wartości</v>
      </c>
      <c r="Y42" s="898" t="str">
        <f>CenAVS!A166</f>
        <v xml:space="preserve">prowadnik prosty wkręt 8 5mm stal     </v>
      </c>
      <c r="Z42" s="898" t="str">
        <f>CenAVS!B166</f>
        <v>175H3100</v>
      </c>
      <c r="AA42" s="883" t="str">
        <f>CenAVS!C166</f>
        <v>NI</v>
      </c>
      <c r="AB42" s="665">
        <f>SUM(AE42,AG42)</f>
        <v>0</v>
      </c>
      <c r="AC42" s="899">
        <f>CenAVS!F166</f>
        <v>1.65564</v>
      </c>
      <c r="AD42" s="900">
        <f t="shared" si="3"/>
        <v>0</v>
      </c>
      <c r="AE42" s="903">
        <f>IF($R$48=2, SUM($U$11:$U$12, $W$12)*$M$17, 0)</f>
        <v>0</v>
      </c>
      <c r="AF42" s="902">
        <f>$AC42*AE42</f>
        <v>0</v>
      </c>
      <c r="AG42" s="903">
        <f>IF($R$48=2, SUM($U$22:$U$23, $W$23)*$M$17, 0)</f>
        <v>0</v>
      </c>
      <c r="AH42" s="902">
        <f>$AC42*AG42</f>
        <v>0</v>
      </c>
      <c r="AI42" s="170"/>
      <c r="AJ42" s="170"/>
    </row>
    <row r="43" spans="2:43" ht="12.75" x14ac:dyDescent="0.2">
      <c r="B43" s="255"/>
      <c r="C43" s="670" t="str">
        <f>"      "&amp;ListAVS!$B$404</f>
        <v xml:space="preserve">      Więcej informacji o wyborze ramki aluminiowej w Pomocy</v>
      </c>
      <c r="D43" s="399"/>
      <c r="E43" s="399"/>
      <c r="F43" s="399"/>
      <c r="G43" s="399"/>
      <c r="H43" s="255"/>
      <c r="I43" s="255"/>
      <c r="J43" s="255"/>
      <c r="K43" s="255"/>
      <c r="L43" s="255"/>
      <c r="Y43" s="898" t="str">
        <f>CenAVS!A167</f>
        <v xml:space="preserve">prowadnik prosty Expando 8 5mm stal     </v>
      </c>
      <c r="Z43" s="898" t="str">
        <f>CenAVS!B167</f>
        <v>177H3100E </v>
      </c>
      <c r="AA43" s="883" t="str">
        <f>CenAVS!C167</f>
        <v>NI</v>
      </c>
      <c r="AB43" s="665">
        <f>SUM(AE43,AG43)</f>
        <v>0</v>
      </c>
      <c r="AC43" s="899">
        <f>CenAVS!F167</f>
        <v>1.8724499999999999</v>
      </c>
      <c r="AD43" s="900">
        <f t="shared" si="3"/>
        <v>0</v>
      </c>
      <c r="AE43" s="903">
        <f>IF($R$48=1, SUM($U$11:$U$12, $W$12)*$M$17, 0)</f>
        <v>0</v>
      </c>
      <c r="AF43" s="902">
        <f>$AC43*AE45</f>
        <v>0</v>
      </c>
      <c r="AG43" s="903">
        <f>IF($R$48=1, SUM($U$22:$U$23, $W$23)*$M$17, 0)</f>
        <v>0</v>
      </c>
      <c r="AH43" s="902">
        <f>$AC43*AG43</f>
        <v>0</v>
      </c>
      <c r="AI43" s="170"/>
      <c r="AJ43" s="170"/>
      <c r="AN43" s="37"/>
      <c r="AO43" s="37"/>
      <c r="AP43" s="37"/>
      <c r="AQ43" s="37"/>
    </row>
    <row r="44" spans="2:43" s="37" customFormat="1" ht="12.75" x14ac:dyDescent="0.2">
      <c r="B44" s="274"/>
      <c r="C44" s="255"/>
      <c r="D44" s="255"/>
      <c r="E44" s="255"/>
      <c r="F44" s="255"/>
      <c r="G44" s="255"/>
      <c r="H44" s="255"/>
      <c r="I44" s="255"/>
      <c r="J44" s="398"/>
      <c r="K44" s="398"/>
      <c r="L44" s="255"/>
      <c r="N44" s="37" t="str">
        <f>" max. 19.300! "&amp;ListAVS!$B$122</f>
        <v xml:space="preserve"> max. 19.300! Popraw wagę albo wysokość</v>
      </c>
      <c r="T44" s="37" t="str">
        <f>" min. "&amp;$AB$50&amp;"! "&amp;ListAVS!$B$122</f>
        <v xml:space="preserve"> min. 2700! Popraw wagę albo wysokość</v>
      </c>
      <c r="X44" s="108"/>
      <c r="Y44" s="898">
        <f>CenAVS!A169</f>
        <v>0</v>
      </c>
      <c r="Z44" s="898">
        <f>CenAVS!B169</f>
        <v>0</v>
      </c>
      <c r="AA44" s="883">
        <f>CenAVS!C169</f>
        <v>0</v>
      </c>
      <c r="AB44" s="665"/>
      <c r="AC44" s="899">
        <f>CenAVS!F169</f>
        <v>0</v>
      </c>
      <c r="AD44" s="900">
        <f t="shared" si="3"/>
        <v>0</v>
      </c>
      <c r="AE44" s="903"/>
      <c r="AF44" s="902">
        <f>$AC44*AE44</f>
        <v>0</v>
      </c>
      <c r="AG44" s="903"/>
      <c r="AH44" s="902">
        <f>$AC44*AG44</f>
        <v>0</v>
      </c>
      <c r="AI44" s="170"/>
      <c r="AJ44" s="170"/>
      <c r="AK44" s="108"/>
      <c r="AL44" s="108"/>
      <c r="AM44" s="137"/>
    </row>
    <row r="45" spans="2:43" s="37" customFormat="1" x14ac:dyDescent="0.2">
      <c r="N45" s="37" t="str">
        <f>" "&amp;ListAVS!$B$120</f>
        <v xml:space="preserve"> Dodatkowy trzeci siłownik</v>
      </c>
      <c r="O45" s="118"/>
      <c r="Q45" s="118"/>
      <c r="U45" s="37" t="str">
        <f>" "&amp;ListAVS!B127</f>
        <v xml:space="preserve"> Użyj tylko jeden podnośnik</v>
      </c>
      <c r="X45" s="108"/>
      <c r="Y45" s="898" t="str">
        <f>CenAVS!A171</f>
        <v xml:space="preserve">Aventos HF/HL/HS - Top Servo-Drive      </v>
      </c>
      <c r="Z45" s="898" t="str">
        <f>CenAVS!B171</f>
        <v>23.A000</v>
      </c>
      <c r="AA45" s="883" t="str">
        <f>CenAVS!C171</f>
        <v>R7037</v>
      </c>
      <c r="AB45" s="665">
        <f>SUM(AE45,AG45)</f>
        <v>0</v>
      </c>
      <c r="AC45" s="899">
        <f>CenAVS!F171</f>
        <v>905.30219999999997</v>
      </c>
      <c r="AD45" s="900">
        <f t="shared" si="3"/>
        <v>0</v>
      </c>
      <c r="AE45" s="903">
        <f>IF($S$9=1, 0, $M$17)+IF(AND($S$9=2, $H$16&gt;$AB$52), $M$17, 0)</f>
        <v>0</v>
      </c>
      <c r="AF45" s="902">
        <f>$AC45*AE45</f>
        <v>0</v>
      </c>
      <c r="AG45" s="903">
        <f>IF($S$20=1, 0, $M$28)+IF(AND($S$20=2, $H$27&gt;$AB$52), $M$28, 0)</f>
        <v>0</v>
      </c>
      <c r="AH45" s="902">
        <f>$AC45*AG45</f>
        <v>0</v>
      </c>
      <c r="AI45" s="170"/>
      <c r="AJ45" s="170"/>
      <c r="AK45" s="108"/>
      <c r="AL45" s="108"/>
    </row>
    <row r="46" spans="2:43" s="37" customFormat="1" x14ac:dyDescent="0.2">
      <c r="N46" s="37" t="str">
        <f>ListAVS!$B$182</f>
        <v>Dodatkowy trzeci siłownik można zastosować jedynie z pełnym frontem dolnym!</v>
      </c>
      <c r="O46" s="118"/>
      <c r="Q46" s="118"/>
      <c r="X46" s="108"/>
      <c r="AG46" s="118"/>
      <c r="AI46" s="170"/>
      <c r="AJ46" s="170"/>
      <c r="AK46" s="108"/>
      <c r="AL46" s="108"/>
      <c r="AN46" s="137"/>
      <c r="AO46" s="137"/>
      <c r="AP46" s="137"/>
      <c r="AQ46" s="137"/>
    </row>
    <row r="47" spans="2:43" x14ac:dyDescent="0.2">
      <c r="B47" s="144"/>
      <c r="Y47" s="37"/>
      <c r="Z47" s="37"/>
      <c r="AA47" s="37"/>
      <c r="AB47" s="37"/>
      <c r="AC47" s="144" t="str">
        <f>ListAVS!$B$61&amp;" "</f>
        <v xml:space="preserve">Cena całkowita bez VAT </v>
      </c>
      <c r="AD47" s="171">
        <f>SUM(AD9:AD45)</f>
        <v>0</v>
      </c>
      <c r="AE47" s="37"/>
      <c r="AF47" s="37">
        <f>SUM(AF9:AF46)</f>
        <v>0</v>
      </c>
      <c r="AG47" s="37"/>
      <c r="AH47" s="37">
        <f>SUM(AH9:AH46)</f>
        <v>0</v>
      </c>
      <c r="AI47" s="170"/>
      <c r="AJ47" s="170"/>
      <c r="AM47" s="37"/>
    </row>
    <row r="48" spans="2:43" x14ac:dyDescent="0.2">
      <c r="N48" s="138">
        <f>HF!$L$33</f>
        <v>1</v>
      </c>
      <c r="O48" s="298">
        <v>2</v>
      </c>
      <c r="P48" s="939">
        <v>2</v>
      </c>
      <c r="Q48" s="298">
        <v>2</v>
      </c>
      <c r="R48" s="117">
        <f>HF!$P$33</f>
        <v>1</v>
      </c>
      <c r="S48" s="194"/>
      <c r="T48" s="117">
        <f>MenuAVS!$P$28</f>
        <v>1</v>
      </c>
      <c r="Y48" s="897">
        <f>HF!$R$33</f>
        <v>1</v>
      </c>
      <c r="Z48" s="108" t="str">
        <f>Param!M10</f>
        <v>Parametry HF</v>
      </c>
      <c r="AI48" s="170"/>
      <c r="AJ48" s="170"/>
    </row>
    <row r="49" spans="2:43" x14ac:dyDescent="0.2">
      <c r="B49" s="316"/>
      <c r="C49" s="317"/>
      <c r="D49" s="317"/>
      <c r="E49" s="317"/>
      <c r="F49" s="317"/>
      <c r="G49" s="317"/>
      <c r="I49" s="317"/>
      <c r="J49" s="317"/>
      <c r="N49" s="153" t="s">
        <v>7</v>
      </c>
      <c r="O49" s="39" t="s">
        <v>67</v>
      </c>
      <c r="P49" s="153" t="s">
        <v>8</v>
      </c>
      <c r="Q49" s="39" t="s">
        <v>67</v>
      </c>
      <c r="R49" s="153" t="s">
        <v>9</v>
      </c>
      <c r="T49" s="153" t="s">
        <v>6</v>
      </c>
      <c r="W49" s="154" t="s">
        <v>57</v>
      </c>
      <c r="Y49" s="896" t="s">
        <v>676</v>
      </c>
      <c r="Z49" s="108" t="str">
        <f>Param!M11</f>
        <v>Zdvihač</v>
      </c>
      <c r="AA49" s="108" t="str">
        <f>Param!N11</f>
        <v>ks</v>
      </c>
      <c r="AB49" s="108" t="str">
        <f>Param!O11</f>
        <v>min</v>
      </c>
      <c r="AC49" s="108" t="str">
        <f>Param!P11</f>
        <v>max</v>
      </c>
      <c r="AD49" s="108" t="str">
        <f>Param!Q11</f>
        <v>alu max.</v>
      </c>
      <c r="AI49" s="37"/>
      <c r="AJ49" s="37"/>
    </row>
    <row r="50" spans="2:43" x14ac:dyDescent="0.2">
      <c r="B50" s="317"/>
      <c r="C50" s="317"/>
      <c r="D50" s="317"/>
      <c r="E50" s="317"/>
      <c r="F50" s="317"/>
      <c r="G50" s="317"/>
      <c r="I50" s="317"/>
      <c r="J50" s="317"/>
      <c r="N50" s="37" t="str">
        <f>ListAVS!$B$134</f>
        <v>Expando</v>
      </c>
      <c r="P50" s="37" t="str">
        <f>ListAVS!$B$134</f>
        <v>Expando</v>
      </c>
      <c r="R50" s="37" t="str">
        <f>ListAVS!$B$134</f>
        <v>Expando</v>
      </c>
      <c r="T50" s="37" t="str">
        <f>ListAVS!$B$146</f>
        <v>Jasnoszary (HGR)</v>
      </c>
      <c r="W50" s="149" t="s">
        <v>58</v>
      </c>
      <c r="Y50" s="108" t="s">
        <v>105</v>
      </c>
      <c r="Z50" s="108" t="str">
        <f>Param!M12</f>
        <v>22F2500</v>
      </c>
      <c r="AA50" s="108">
        <f>Param!N12</f>
        <v>1</v>
      </c>
      <c r="AB50" s="108">
        <f>Param!O12</f>
        <v>2700</v>
      </c>
      <c r="AC50" s="108">
        <f>Param!P12</f>
        <v>11500</v>
      </c>
      <c r="AI50" s="201"/>
      <c r="AJ50" s="201"/>
    </row>
    <row r="51" spans="2:43" x14ac:dyDescent="0.2">
      <c r="B51" s="316"/>
      <c r="C51" s="317"/>
      <c r="D51" s="317"/>
      <c r="E51" s="317"/>
      <c r="F51" s="317"/>
      <c r="G51" s="317"/>
      <c r="I51" s="317"/>
      <c r="J51" s="317"/>
      <c r="N51" s="37" t="str">
        <f>ListAVS!$B$135</f>
        <v>na wkręty</v>
      </c>
      <c r="P51" s="37" t="str">
        <f>ListAVS!$B$135</f>
        <v>na wkręty</v>
      </c>
      <c r="R51" s="37" t="str">
        <f>ListAVS!$B$135</f>
        <v>na wkręty</v>
      </c>
      <c r="T51" s="37" t="str">
        <f>ListAVS!$B$147</f>
        <v>Ciemnoszary (TGR)</v>
      </c>
      <c r="W51" s="149" t="s">
        <v>59</v>
      </c>
      <c r="Y51" s="108" t="s">
        <v>678</v>
      </c>
      <c r="Z51" s="108" t="str">
        <f>Param!M13</f>
        <v>22F2800</v>
      </c>
      <c r="AA51" s="108">
        <f>Param!N13</f>
        <v>1</v>
      </c>
      <c r="AB51" s="108">
        <f>Param!O13</f>
        <v>11500</v>
      </c>
      <c r="AC51" s="108">
        <f>Param!P13</f>
        <v>19300</v>
      </c>
      <c r="AD51" s="108">
        <f>Param!Q13</f>
        <v>19300</v>
      </c>
      <c r="AI51" s="37"/>
      <c r="AJ51" s="37"/>
    </row>
    <row r="52" spans="2:43" x14ac:dyDescent="0.2">
      <c r="B52" s="144"/>
      <c r="C52" s="317"/>
      <c r="T52" s="37" t="str">
        <f>ListAVS!$B$148</f>
        <v>Jedwabiście biały (SW)</v>
      </c>
      <c r="Z52" s="108" t="str">
        <f>Param!M14</f>
        <v>22F2800</v>
      </c>
      <c r="AA52" s="108">
        <f>Param!N14</f>
        <v>1.5</v>
      </c>
      <c r="AB52" s="108">
        <f>Param!O14</f>
        <v>19300</v>
      </c>
      <c r="AC52" s="108">
        <f>Param!P14</f>
        <v>28950</v>
      </c>
      <c r="AD52" s="108">
        <f>Param!Q14</f>
        <v>0</v>
      </c>
    </row>
    <row r="53" spans="2:43" x14ac:dyDescent="0.2">
      <c r="B53" s="144"/>
      <c r="N53" s="37" t="str">
        <f>ListAVS!B188</f>
        <v>W celu określenia rodzaju siłownika będzie wykorzystana podana waga</v>
      </c>
      <c r="Z53" s="108" t="str">
        <f>Param!M17</f>
        <v>Teleskop</v>
      </c>
      <c r="AB53" s="108" t="str">
        <f>Param!O17</f>
        <v>min</v>
      </c>
      <c r="AC53" s="108" t="str">
        <f>Param!P17</f>
        <v>max</v>
      </c>
      <c r="AD53" s="108">
        <f>Param!Q17</f>
        <v>0</v>
      </c>
    </row>
    <row r="54" spans="2:43" x14ac:dyDescent="0.2">
      <c r="B54" s="155"/>
      <c r="D54" s="155"/>
      <c r="E54" s="155"/>
      <c r="F54" s="155"/>
      <c r="G54" s="155"/>
      <c r="I54" s="155"/>
      <c r="J54" s="155"/>
      <c r="N54" s="37" t="str">
        <f>ListAVS!B189</f>
        <v>W celu określenia rodzaju siłownika będzie wykorzystana obliczona waga</v>
      </c>
      <c r="Z54" s="108" t="str">
        <f>Param!M18</f>
        <v>20F3200</v>
      </c>
      <c r="AA54" s="108">
        <f>Param!N18</f>
        <v>0</v>
      </c>
      <c r="AB54" s="108">
        <f>Param!O18</f>
        <v>480</v>
      </c>
      <c r="AC54" s="108">
        <f>Param!P18</f>
        <v>605</v>
      </c>
      <c r="AD54" s="108">
        <f>Param!Q18</f>
        <v>0</v>
      </c>
    </row>
    <row r="55" spans="2:43" x14ac:dyDescent="0.2">
      <c r="N55" s="37" t="str">
        <f>". "&amp;ListAVS!$B$190</f>
        <v>. Jeżeli chcesz wykorzystać obliczoną wagę, zmaż podaną wartość</v>
      </c>
      <c r="Z55" s="108" t="str">
        <f>Param!M19</f>
        <v>20F3500</v>
      </c>
      <c r="AA55" s="108">
        <f>Param!N19</f>
        <v>0</v>
      </c>
      <c r="AB55" s="108">
        <f>Param!O19</f>
        <v>605</v>
      </c>
      <c r="AC55" s="108">
        <f>Param!P19</f>
        <v>890</v>
      </c>
      <c r="AD55" s="108">
        <f>Param!Q19</f>
        <v>0</v>
      </c>
      <c r="AQ55" s="37"/>
    </row>
    <row r="56" spans="2:43" s="37" customFormat="1" x14ac:dyDescent="0.2">
      <c r="N56" s="37" t="str">
        <f>". "&amp;ListAVS!$B$191</f>
        <v>. Jeżeli chcesz wykorzystać podaną wagą, wpisz ją w pole</v>
      </c>
      <c r="X56" s="108"/>
      <c r="Y56" s="108"/>
      <c r="Z56" s="108" t="str">
        <f>Param!M20</f>
        <v>20F3900</v>
      </c>
      <c r="AA56" s="108">
        <f>Param!N20</f>
        <v>0</v>
      </c>
      <c r="AB56" s="108">
        <f>Param!O20</f>
        <v>890</v>
      </c>
      <c r="AC56" s="108">
        <f>Param!P20</f>
        <v>1200</v>
      </c>
      <c r="AD56" s="108">
        <f>Param!Q20</f>
        <v>0</v>
      </c>
      <c r="AE56" s="108"/>
      <c r="AF56" s="108"/>
      <c r="AG56" s="108"/>
      <c r="AH56" s="108"/>
      <c r="AI56" s="108"/>
      <c r="AJ56" s="108"/>
      <c r="AK56" s="108"/>
      <c r="AL56" s="108"/>
      <c r="AM56" s="137"/>
      <c r="AN56" s="137"/>
      <c r="AO56" s="137"/>
      <c r="AP56" s="137"/>
    </row>
    <row r="57" spans="2:43" s="37" customFormat="1" x14ac:dyDescent="0.2">
      <c r="N57" s="37">
        <f>ListAVS!B192</f>
        <v>0</v>
      </c>
      <c r="X57" s="108"/>
      <c r="Y57" s="108"/>
      <c r="Z57" s="108"/>
      <c r="AA57" s="108"/>
      <c r="AB57" s="108" t="str">
        <f>Param!O21</f>
        <v>max.</v>
      </c>
      <c r="AC57" s="108">
        <f>Param!P21</f>
        <v>1200</v>
      </c>
      <c r="AD57" s="108">
        <f>Param!Q21</f>
        <v>0</v>
      </c>
      <c r="AE57" s="108"/>
      <c r="AF57" s="108"/>
      <c r="AG57" s="108"/>
      <c r="AH57" s="108"/>
      <c r="AI57" s="108"/>
      <c r="AJ57" s="108"/>
      <c r="AK57" s="108"/>
      <c r="AL57" s="108"/>
      <c r="AM57" s="137"/>
      <c r="AN57" s="137"/>
      <c r="AO57" s="137"/>
      <c r="AP57" s="137"/>
      <c r="AQ57" s="137"/>
    </row>
    <row r="58" spans="2:43" x14ac:dyDescent="0.2">
      <c r="N58" s="37" t="str">
        <f>ListAVS!B193</f>
        <v>Do wyboru podnośnika teleskopowego zostanie wykorzystana teoretyczna wysokość TKH</v>
      </c>
    </row>
    <row r="59" spans="2:43" x14ac:dyDescent="0.2">
      <c r="N59" s="37" t="str">
        <f>ListAVS!B194</f>
        <v xml:space="preserve">Wysokość teoretyczna TKH nie może być mniejsza niż KH </v>
      </c>
    </row>
    <row r="62" spans="2:43" x14ac:dyDescent="0.2">
      <c r="Y62" s="36"/>
      <c r="Z62" s="36"/>
      <c r="AA62" s="36"/>
      <c r="AB62" s="36"/>
      <c r="AC62" s="36"/>
      <c r="AD62" s="36"/>
      <c r="AE62" s="36"/>
      <c r="AF62" s="36"/>
      <c r="AG62" s="36"/>
      <c r="AH62" s="36"/>
    </row>
    <row r="63" spans="2:43" x14ac:dyDescent="0.2">
      <c r="Y63" s="36"/>
      <c r="Z63" s="36"/>
      <c r="AA63" s="36"/>
      <c r="AB63" s="36"/>
      <c r="AC63" s="36"/>
      <c r="AD63" s="36"/>
      <c r="AE63" s="36"/>
      <c r="AF63" s="36"/>
      <c r="AG63" s="36"/>
      <c r="AH63" s="36"/>
    </row>
    <row r="65" spans="1:43" x14ac:dyDescent="0.2">
      <c r="P65" s="149"/>
    </row>
    <row r="70" spans="1:43" x14ac:dyDescent="0.2">
      <c r="N70" s="172" t="str">
        <f>ListAVS!$B$73</f>
        <v>Obliczanie wagi frontów</v>
      </c>
      <c r="O70" s="173"/>
      <c r="P70" s="173"/>
      <c r="Q70" s="173"/>
      <c r="R70" s="173"/>
      <c r="X70" s="37"/>
      <c r="Y70" s="37"/>
      <c r="Z70" s="118"/>
      <c r="AA70" s="37"/>
      <c r="AB70" s="118"/>
      <c r="AC70" s="37"/>
      <c r="AD70" s="37"/>
      <c r="AE70" s="37"/>
      <c r="AF70" s="37"/>
      <c r="AG70" s="37"/>
      <c r="AH70" s="37"/>
    </row>
    <row r="71" spans="1:43" ht="15.75" customHeight="1" x14ac:dyDescent="0.2">
      <c r="O71" s="174" t="str">
        <f>ListAVS!$B$35&amp;"  "</f>
        <v xml:space="preserve">front górny  </v>
      </c>
      <c r="P71" s="119"/>
      <c r="Q71" s="119"/>
      <c r="R71" s="119"/>
      <c r="S71" s="119"/>
      <c r="T71" s="594">
        <f>J4</f>
        <v>0</v>
      </c>
      <c r="U71" s="175" t="str">
        <f>IF(Z78=3,IF(T71=0,Y74," "),IF(T71&gt;0,Y75," "))</f>
        <v xml:space="preserve"> </v>
      </c>
      <c r="X71" s="37"/>
      <c r="Y71" s="149" t="str">
        <f>IF($Z$78=1,$Z$79,IF($Z$78=2,$Z$80,$Z$81&amp;" "&amp;$Y$81&amp;"kg/m3"))&amp;" A~"&amp;$T$79&amp;"/ B~"&amp;$T$88&amp;"mm"</f>
        <v>MDF (760 kg/m3) A~0/ B~0mm</v>
      </c>
      <c r="Z71" s="118"/>
      <c r="AA71" s="37"/>
      <c r="AB71" s="118"/>
      <c r="AC71" s="37"/>
      <c r="AD71" s="209">
        <f>MenuAVS!$Q$81</f>
        <v>2500</v>
      </c>
      <c r="AE71" s="37"/>
      <c r="AF71" s="37"/>
      <c r="AG71" s="37"/>
      <c r="AH71" s="37"/>
    </row>
    <row r="72" spans="1:43" ht="13.5" customHeight="1" x14ac:dyDescent="0.2">
      <c r="O72" s="174"/>
      <c r="P72" s="1134" t="str">
        <f>IF($Z$78&lt;&gt;3,$Y$73," ")&amp;"      "</f>
        <v xml:space="preserve"> Możesz zmienić wartości we Wstępie do planowania      </v>
      </c>
      <c r="Q72" s="1134"/>
      <c r="R72" s="1134"/>
      <c r="S72" s="1134"/>
      <c r="T72" s="1134"/>
      <c r="U72" s="175"/>
      <c r="X72" s="37"/>
      <c r="Y72" s="175" t="str">
        <f>IF($AF$77=1,$AF$94,IF($AF$77=2,$AF$95,$AF$96&amp;" -  "&amp;$T$73&amp;"mm"))</f>
        <v>Ramki aluminiowe z 4mm szkłem</v>
      </c>
      <c r="Z72" s="118"/>
      <c r="AA72" s="37"/>
      <c r="AB72" s="118"/>
      <c r="AC72" s="37"/>
      <c r="AD72" s="37"/>
      <c r="AE72" s="37"/>
      <c r="AF72" s="37"/>
      <c r="AG72" s="37"/>
      <c r="AH72" s="37"/>
    </row>
    <row r="73" spans="1:43" ht="15.75" customHeight="1" x14ac:dyDescent="0.2">
      <c r="O73" s="174" t="str">
        <f>ListAVS!$B$36&amp;"  "</f>
        <v xml:space="preserve">front dolny  </v>
      </c>
      <c r="P73" s="119"/>
      <c r="Q73" s="119"/>
      <c r="R73" s="119"/>
      <c r="S73" s="119"/>
      <c r="T73" s="594">
        <f>J5</f>
        <v>0</v>
      </c>
      <c r="U73" s="175" t="str">
        <f>IF(AF77=3,IF(T73=0,AE74," "),IF(T73&gt;0,AE75," "))</f>
        <v xml:space="preserve"> </v>
      </c>
      <c r="X73" s="37"/>
      <c r="Y73" s="37" t="str">
        <f>" "&amp;ListAVS!$B$410</f>
        <v xml:space="preserve"> Możesz zmienić wartości we Wstępie do planowania</v>
      </c>
      <c r="Z73" s="118"/>
      <c r="AA73" s="37"/>
      <c r="AB73" s="118"/>
      <c r="AC73" s="37"/>
      <c r="AD73" s="37"/>
      <c r="AE73" s="37"/>
      <c r="AF73" s="37"/>
      <c r="AG73" s="37"/>
      <c r="AH73" s="37"/>
    </row>
    <row r="74" spans="1:43" x14ac:dyDescent="0.2">
      <c r="N74" s="137"/>
      <c r="O74" s="37"/>
      <c r="Q74" s="37"/>
      <c r="X74" s="37"/>
      <c r="Y74" s="37" t="str">
        <f>" "&amp;ListAVS!$B$245&amp;" [kg/m3]"</f>
        <v xml:space="preserve"> Podaj masę objętościową [kg/m3]</v>
      </c>
      <c r="Z74" s="118"/>
      <c r="AA74" s="37"/>
      <c r="AB74" s="118"/>
      <c r="AC74" s="37"/>
      <c r="AD74" s="37"/>
      <c r="AE74" s="37" t="str">
        <f>" "&amp;ListAVS!$B$246&amp;" [mm]"</f>
        <v xml:space="preserve"> Podaj grubość szkła [mm]</v>
      </c>
      <c r="AF74" s="37"/>
      <c r="AG74" s="37"/>
      <c r="AH74" s="37"/>
    </row>
    <row r="75" spans="1:43" x14ac:dyDescent="0.2">
      <c r="O75" s="37"/>
      <c r="Q75" s="37"/>
      <c r="X75" s="37"/>
      <c r="Y75" s="37" t="str">
        <f>" "&amp;ListAVS!$B$241&amp;" '"&amp;ListAVS!$B$92&amp;"'"</f>
        <v xml:space="preserve"> Wartość obowiązuje tylko dla opcji 'Inne – wybrana gęstość materiału'</v>
      </c>
      <c r="Z75" s="118"/>
      <c r="AA75" s="37"/>
      <c r="AB75" s="118"/>
      <c r="AC75" s="37"/>
      <c r="AD75" s="37"/>
      <c r="AE75" s="37" t="str">
        <f>" "&amp;ListAVS!$B$241&amp;" '"&amp;ListAVS!$B$95&amp;"'"</f>
        <v xml:space="preserve"> Wartość obowiązuje tylko dla opcji 'Ramki aluminiowe z innym szkłem'</v>
      </c>
      <c r="AF75" s="37"/>
      <c r="AG75" s="37"/>
      <c r="AH75" s="37"/>
    </row>
    <row r="76" spans="1:43" ht="15.75" customHeight="1" x14ac:dyDescent="0.2">
      <c r="N76" s="1099"/>
      <c r="O76" s="1099"/>
      <c r="P76" s="1099"/>
      <c r="Q76" s="1100"/>
      <c r="R76" s="1082" t="str">
        <f>D9</f>
        <v xml:space="preserve"> </v>
      </c>
      <c r="S76" s="1083"/>
      <c r="T76" s="1084"/>
      <c r="X76" s="37"/>
      <c r="Y76" s="37"/>
      <c r="Z76" s="118"/>
      <c r="AA76" s="37"/>
      <c r="AB76" s="118"/>
      <c r="AC76" s="37"/>
      <c r="AD76" s="209"/>
      <c r="AE76" s="601" t="s">
        <v>68</v>
      </c>
      <c r="AF76" s="601" t="s">
        <v>69</v>
      </c>
      <c r="AG76" s="601" t="s">
        <v>70</v>
      </c>
      <c r="AH76" s="37"/>
      <c r="AQ76" s="118"/>
    </row>
    <row r="77" spans="1:43" s="118" customFormat="1" ht="13.5" customHeight="1" x14ac:dyDescent="0.2">
      <c r="A77" s="37"/>
      <c r="N77" s="1125" t="str">
        <f>ListAVS!$B$74&amp;" KB [mm]       "</f>
        <v xml:space="preserve">Szerokość korpusu KB [mm]       </v>
      </c>
      <c r="O77" s="1126"/>
      <c r="P77" s="1126"/>
      <c r="Q77" s="1126"/>
      <c r="R77" s="1126"/>
      <c r="S77" s="1127"/>
      <c r="T77" s="300">
        <f>H10</f>
        <v>0</v>
      </c>
      <c r="U77" s="108"/>
      <c r="W77" s="37"/>
      <c r="X77" s="37"/>
      <c r="Y77" s="37">
        <f>T77*T78*T79/2</f>
        <v>0</v>
      </c>
      <c r="Z77" s="37"/>
      <c r="AA77" s="37"/>
      <c r="AC77" s="37"/>
      <c r="AD77" s="325">
        <f>IF($AG$77=1,$X$94,$X$95)</f>
        <v>0.31</v>
      </c>
      <c r="AE77" s="339">
        <f>$X$96</f>
        <v>0.46</v>
      </c>
      <c r="AF77" s="327">
        <v>1</v>
      </c>
      <c r="AG77" s="328">
        <f>$O$4</f>
        <v>1</v>
      </c>
      <c r="AH77" s="37"/>
      <c r="AJ77" s="108"/>
      <c r="AK77" s="108"/>
      <c r="AL77" s="108"/>
      <c r="AM77" s="137"/>
      <c r="AN77" s="137"/>
      <c r="AO77" s="137"/>
      <c r="AP77" s="137"/>
    </row>
    <row r="78" spans="1:43" s="118" customFormat="1" ht="13.5" customHeight="1" x14ac:dyDescent="0.2">
      <c r="A78" s="37"/>
      <c r="N78" s="1125" t="str">
        <f>ListAVS!$B$75&amp;" KH [mm]       "</f>
        <v xml:space="preserve">Wysokość korpusu KH [mm]       </v>
      </c>
      <c r="O78" s="1126"/>
      <c r="P78" s="1126"/>
      <c r="Q78" s="1126"/>
      <c r="R78" s="1126"/>
      <c r="S78" s="1127"/>
      <c r="T78" s="300">
        <f>H11</f>
        <v>0</v>
      </c>
      <c r="U78" s="108"/>
      <c r="W78" s="37"/>
      <c r="X78" s="37"/>
      <c r="Y78" s="37">
        <f>Y77/1000000000</f>
        <v>0</v>
      </c>
      <c r="Z78" s="117">
        <f>AF77</f>
        <v>1</v>
      </c>
      <c r="AC78" s="37"/>
      <c r="AD78" s="153" t="s">
        <v>71</v>
      </c>
      <c r="AE78" s="329">
        <f>SUM(T77*2,(T78/2-40)*2)*AD77/1000</f>
        <v>-2.4799999999999999E-2</v>
      </c>
      <c r="AF78" s="601" t="s">
        <v>72</v>
      </c>
      <c r="AG78" s="601"/>
      <c r="AH78" s="37"/>
      <c r="AJ78" s="108"/>
      <c r="AK78" s="108"/>
      <c r="AL78" s="108"/>
      <c r="AM78" s="137"/>
      <c r="AN78" s="137"/>
      <c r="AO78" s="137"/>
      <c r="AP78" s="137"/>
    </row>
    <row r="79" spans="1:43" s="118" customFormat="1" ht="13.5" customHeight="1" x14ac:dyDescent="0.2">
      <c r="A79" s="37"/>
      <c r="N79" s="1122" t="str">
        <f>ListAVS!$B$80&amp;" TS [mm] "</f>
        <v xml:space="preserve">Grubość frontu TS [mm] </v>
      </c>
      <c r="O79" s="1123"/>
      <c r="P79" s="1123"/>
      <c r="Q79" s="1123"/>
      <c r="R79" s="1123"/>
      <c r="S79" s="1124"/>
      <c r="T79" s="300">
        <f>H13</f>
        <v>0</v>
      </c>
      <c r="U79" s="130" t="str">
        <f>IF(SUM(T77,T78)=0," ",IF(T79=0," ● "&amp;ListAVS!$B$129," "))</f>
        <v xml:space="preserve"> </v>
      </c>
      <c r="W79" s="37"/>
      <c r="X79" s="37"/>
      <c r="Y79" s="319">
        <f>MenuAVS!$C$31</f>
        <v>760</v>
      </c>
      <c r="Z79" s="175" t="str">
        <f>ListAVS!$B$90&amp;" ("&amp;Y79&amp;" kg/m3)"</f>
        <v>MDF (760 kg/m3)</v>
      </c>
      <c r="AC79" s="37"/>
      <c r="AD79" s="209">
        <f>$AD$71*4/1000</f>
        <v>10</v>
      </c>
      <c r="AE79" s="330">
        <f>IF($AG$77=1,AF79*AD79,AG79*AD79)</f>
        <v>8.9999999999999993E-3</v>
      </c>
      <c r="AF79" s="329">
        <f>SUM(($T$77-30)*($T$78/2-30)/1000000)</f>
        <v>8.9999999999999998E-4</v>
      </c>
      <c r="AG79" s="331">
        <f>SUM(($T$77-6)*($T$78/2-6)/1000000)</f>
        <v>3.6000000000000001E-5</v>
      </c>
      <c r="AH79" s="208" t="s">
        <v>73</v>
      </c>
      <c r="AJ79" s="108"/>
      <c r="AK79" s="108"/>
      <c r="AL79" s="108"/>
      <c r="AM79" s="137"/>
      <c r="AN79" s="137"/>
      <c r="AO79" s="137"/>
      <c r="AP79" s="137"/>
    </row>
    <row r="80" spans="1:43" s="118" customFormat="1" ht="13.5" customHeight="1" x14ac:dyDescent="0.2">
      <c r="A80" s="37"/>
      <c r="N80" s="1079" t="str">
        <f>ListAVS!$B$83&amp;" [kg] "</f>
        <v xml:space="preserve">Waga uchwytu [kg] </v>
      </c>
      <c r="O80" s="1080"/>
      <c r="P80" s="1080"/>
      <c r="Q80" s="1080"/>
      <c r="R80" s="1080"/>
      <c r="S80" s="1081"/>
      <c r="T80" s="300">
        <f>H14</f>
        <v>0</v>
      </c>
      <c r="U80" s="130" t="str">
        <f>IF(SUM(T77,T78)=0," ",IF(T80=0," ● "&amp;ListAVS!$B$130," "))</f>
        <v xml:space="preserve"> </v>
      </c>
      <c r="W80" s="37"/>
      <c r="X80" s="37"/>
      <c r="Y80" s="319">
        <f>MenuAVS!$C$32</f>
        <v>680</v>
      </c>
      <c r="Z80" s="175" t="str">
        <f>ListAVS!$B$91&amp;" ("&amp;Y80&amp;" kg/m3)"</f>
        <v>Płyta wiórowa (680 kg/m3)</v>
      </c>
      <c r="AC80" s="37"/>
      <c r="AD80" s="209">
        <f>$AD$71*5/1000</f>
        <v>12.5</v>
      </c>
      <c r="AE80" s="330">
        <f>IF($AG$77=1,AF80*AD80,AG80*AD80)</f>
        <v>1.125E-2</v>
      </c>
      <c r="AF80" s="329">
        <f>SUM(($T$77-30)*($T$78/2-30)/1000000)</f>
        <v>8.9999999999999998E-4</v>
      </c>
      <c r="AG80" s="331">
        <f>SUM(($T$77-6)*($T$78/2-6)/1000000)</f>
        <v>3.6000000000000001E-5</v>
      </c>
      <c r="AH80" s="208" t="s">
        <v>74</v>
      </c>
      <c r="AJ80" s="108"/>
      <c r="AK80" s="108"/>
      <c r="AL80" s="108"/>
      <c r="AM80" s="137"/>
      <c r="AN80" s="137"/>
      <c r="AO80" s="137"/>
      <c r="AP80" s="137"/>
    </row>
    <row r="81" spans="1:43" s="118" customFormat="1" ht="13.5" customHeight="1" x14ac:dyDescent="0.2">
      <c r="A81" s="37"/>
      <c r="N81" s="1079" t="str">
        <f>ListAVS!$B$79&amp;" [kg] "</f>
        <v xml:space="preserve">Obliczona waga frontu [kg] </v>
      </c>
      <c r="O81" s="1080"/>
      <c r="P81" s="1080"/>
      <c r="Q81" s="1080"/>
      <c r="R81" s="1080"/>
      <c r="S81" s="1081"/>
      <c r="T81" s="185">
        <f>IF(X81*AD82&lt;&gt;0,SUM(X81,AD82,T80),0)</f>
        <v>0</v>
      </c>
      <c r="U81" s="119"/>
      <c r="W81" s="37"/>
      <c r="X81" s="186">
        <f>IF(T77*T78*T79=0,0,IF(Z78=1,Y78*Y79,IF(Z78=2,Y78*Y80,Y78*Y81)))</f>
        <v>0</v>
      </c>
      <c r="Y81" s="319">
        <f>$T$71</f>
        <v>0</v>
      </c>
      <c r="Z81" s="175" t="str">
        <f>ListAVS!$B$92</f>
        <v>Inne – wybrana gęstość materiału</v>
      </c>
      <c r="AC81" s="37"/>
      <c r="AD81" s="209">
        <f>$AD$71*$T$73/1000</f>
        <v>0</v>
      </c>
      <c r="AE81" s="330">
        <f>IF($AG$77=1,AF81*AD81,AG81*AD81)</f>
        <v>0</v>
      </c>
      <c r="AF81" s="329">
        <f>SUM(($T$77-30)*($T$78/2-30)/1000000)</f>
        <v>8.9999999999999998E-4</v>
      </c>
      <c r="AG81" s="331">
        <f>SUM(($T$77-6)*($T$78/2-6)/1000000)</f>
        <v>3.6000000000000001E-5</v>
      </c>
      <c r="AH81" s="208" t="s">
        <v>75</v>
      </c>
      <c r="AJ81" s="108"/>
      <c r="AK81" s="108"/>
      <c r="AL81" s="108"/>
      <c r="AM81" s="137"/>
      <c r="AN81" s="137"/>
      <c r="AO81" s="137"/>
      <c r="AP81" s="137"/>
      <c r="AQ81" s="137"/>
    </row>
    <row r="82" spans="1:43" ht="13.5" customHeight="1" x14ac:dyDescent="0.2">
      <c r="O82" s="142" t="str">
        <f>IF(T81&gt;0,IF(T80=0,$Z$94," ")," ")</f>
        <v xml:space="preserve"> </v>
      </c>
      <c r="Q82" s="37"/>
      <c r="U82" s="130"/>
      <c r="X82" s="37"/>
      <c r="Y82" s="37"/>
      <c r="Z82" s="118"/>
      <c r="AA82" s="37"/>
      <c r="AB82" s="118"/>
      <c r="AC82" s="37"/>
      <c r="AD82" s="332">
        <f>IF(OR(AND(AF77=3, $T$73=0), T77*T78=0), 0, SUM(IF(AF77=1,AE79,IF(AF77=2,AE80,AE81)),AE78,AE77))</f>
        <v>0</v>
      </c>
      <c r="AE82" s="37"/>
      <c r="AF82" s="37"/>
      <c r="AG82" s="37"/>
      <c r="AH82" s="37"/>
    </row>
    <row r="83" spans="1:43" x14ac:dyDescent="0.2">
      <c r="O83" s="37"/>
      <c r="Q83" s="37"/>
      <c r="X83" s="37"/>
      <c r="Y83" s="37"/>
      <c r="Z83" s="118"/>
      <c r="AA83" s="37"/>
      <c r="AB83" s="118"/>
      <c r="AC83" s="37"/>
      <c r="AD83" s="37"/>
      <c r="AE83" s="37"/>
      <c r="AF83" s="37"/>
      <c r="AG83" s="37"/>
      <c r="AH83" s="37"/>
      <c r="AQ83" s="118"/>
    </row>
    <row r="84" spans="1:43" s="118" customFormat="1" x14ac:dyDescent="0.2">
      <c r="A84" s="37"/>
      <c r="N84" s="37"/>
      <c r="O84" s="37"/>
      <c r="P84" s="37"/>
      <c r="Q84" s="37"/>
      <c r="R84" s="37"/>
      <c r="S84" s="37"/>
      <c r="T84" s="37"/>
      <c r="U84" s="37"/>
      <c r="V84" s="37"/>
      <c r="W84" s="37"/>
      <c r="X84" s="37"/>
      <c r="Y84" s="37"/>
      <c r="AA84" s="37"/>
      <c r="AC84" s="37"/>
      <c r="AD84" s="37"/>
      <c r="AE84" s="37"/>
      <c r="AF84" s="37"/>
      <c r="AG84" s="37"/>
      <c r="AH84" s="37"/>
      <c r="AJ84" s="108"/>
      <c r="AK84" s="108"/>
      <c r="AL84" s="108"/>
      <c r="AM84" s="137"/>
      <c r="AN84" s="137"/>
      <c r="AO84" s="137"/>
      <c r="AP84" s="137"/>
    </row>
    <row r="85" spans="1:43" s="118" customFormat="1" ht="15.75" customHeight="1" x14ac:dyDescent="0.2">
      <c r="A85" s="37"/>
      <c r="Q85" s="37"/>
      <c r="R85" s="1082" t="str">
        <f>D20</f>
        <v xml:space="preserve"> </v>
      </c>
      <c r="S85" s="1083"/>
      <c r="T85" s="1084"/>
      <c r="U85" s="37"/>
      <c r="V85" s="37"/>
      <c r="W85" s="37"/>
      <c r="X85" s="37"/>
      <c r="AA85" s="37"/>
      <c r="AC85" s="37"/>
      <c r="AD85" s="209"/>
      <c r="AE85" s="601" t="s">
        <v>68</v>
      </c>
      <c r="AF85" s="601" t="s">
        <v>69</v>
      </c>
      <c r="AG85" s="601" t="s">
        <v>70</v>
      </c>
      <c r="AH85" s="37"/>
      <c r="AJ85" s="108"/>
      <c r="AK85" s="108"/>
      <c r="AL85" s="108"/>
      <c r="AM85" s="137"/>
      <c r="AN85" s="137"/>
      <c r="AO85" s="137"/>
      <c r="AP85" s="137"/>
    </row>
    <row r="86" spans="1:43" s="118" customFormat="1" ht="13.5" customHeight="1" x14ac:dyDescent="0.2">
      <c r="A86" s="37"/>
      <c r="N86" s="1125" t="str">
        <f>ListAVS!$B$74&amp;" KB [mm]       "</f>
        <v xml:space="preserve">Szerokość korpusu KB [mm]       </v>
      </c>
      <c r="O86" s="1126"/>
      <c r="P86" s="1126"/>
      <c r="Q86" s="1126"/>
      <c r="R86" s="1126"/>
      <c r="S86" s="1127"/>
      <c r="T86" s="300">
        <f>H21</f>
        <v>0</v>
      </c>
      <c r="U86" s="108"/>
      <c r="V86" s="37"/>
      <c r="W86" s="37"/>
      <c r="X86" s="37"/>
      <c r="Y86" s="37">
        <f>T86*T87*T88</f>
        <v>0</v>
      </c>
      <c r="Z86" s="37"/>
      <c r="AA86" s="37"/>
      <c r="AC86" s="37"/>
      <c r="AD86" s="325">
        <f>IF($AG$77=1,$X$94,$X$95)</f>
        <v>0.31</v>
      </c>
      <c r="AE86" s="339">
        <f>$X$96</f>
        <v>0.46</v>
      </c>
      <c r="AF86" s="333">
        <f>$AF$77</f>
        <v>1</v>
      </c>
      <c r="AG86" s="328">
        <f>$AG$77</f>
        <v>1</v>
      </c>
      <c r="AH86" s="37"/>
      <c r="AJ86" s="108"/>
      <c r="AK86" s="108"/>
      <c r="AL86" s="108"/>
      <c r="AM86" s="137"/>
      <c r="AN86" s="137"/>
      <c r="AO86" s="137"/>
      <c r="AP86" s="137"/>
    </row>
    <row r="87" spans="1:43" s="118" customFormat="1" ht="13.5" customHeight="1" x14ac:dyDescent="0.2">
      <c r="A87" s="37"/>
      <c r="N87" s="1125" t="str">
        <f>ListAVS!$B$75&amp;" KH [mm]       "</f>
        <v xml:space="preserve">Wysokość korpusu KH [mm]       </v>
      </c>
      <c r="O87" s="1126"/>
      <c r="P87" s="1126"/>
      <c r="Q87" s="1126"/>
      <c r="R87" s="1126"/>
      <c r="S87" s="1127"/>
      <c r="T87" s="300">
        <f>H22</f>
        <v>0</v>
      </c>
      <c r="U87" s="108"/>
      <c r="V87" s="37"/>
      <c r="W87" s="37"/>
      <c r="X87" s="37"/>
      <c r="Y87" s="37">
        <f>Y86/1000000000/2</f>
        <v>0</v>
      </c>
      <c r="Z87" s="182">
        <f>Z78</f>
        <v>1</v>
      </c>
      <c r="AC87" s="37"/>
      <c r="AD87" s="144" t="s">
        <v>71</v>
      </c>
      <c r="AE87" s="329">
        <f>SUM(T86*2,(T87/2-40)*2)*AD86/1000</f>
        <v>-2.4799999999999999E-2</v>
      </c>
      <c r="AF87" s="601" t="s">
        <v>72</v>
      </c>
      <c r="AG87" s="601"/>
      <c r="AH87" s="37"/>
      <c r="AJ87" s="108"/>
      <c r="AK87" s="108"/>
      <c r="AL87" s="108"/>
      <c r="AM87" s="137"/>
      <c r="AN87" s="137"/>
      <c r="AO87" s="137"/>
      <c r="AP87" s="137"/>
    </row>
    <row r="88" spans="1:43" s="118" customFormat="1" ht="13.5" customHeight="1" x14ac:dyDescent="0.2">
      <c r="A88" s="37"/>
      <c r="N88" s="1122" t="str">
        <f>ListAVS!$B$80&amp;" TS [mm] "</f>
        <v xml:space="preserve">Grubość frontu TS [mm] </v>
      </c>
      <c r="O88" s="1123"/>
      <c r="P88" s="1123"/>
      <c r="Q88" s="1123"/>
      <c r="R88" s="1123"/>
      <c r="S88" s="1124"/>
      <c r="T88" s="300">
        <f>H24</f>
        <v>0</v>
      </c>
      <c r="U88" s="130" t="str">
        <f>IF(SUM(T86,T87)=0," ",IF(T88=0," ● "&amp;ListAVS!$B$129," "))</f>
        <v xml:space="preserve"> </v>
      </c>
      <c r="X88" s="37"/>
      <c r="Y88" s="319">
        <f>$Y$79</f>
        <v>760</v>
      </c>
      <c r="Z88" s="37" t="str">
        <f>$Z$79</f>
        <v>MDF (760 kg/m3)</v>
      </c>
      <c r="AC88" s="37"/>
      <c r="AD88" s="37">
        <f>AD79</f>
        <v>10</v>
      </c>
      <c r="AE88" s="330">
        <f>IF($AG$77=1,AF88*AD88,AG88*AD88)</f>
        <v>8.9999999999999993E-3</v>
      </c>
      <c r="AF88" s="329">
        <f>SUM(($T$86-30)*($T$87/2-30)/1000000)</f>
        <v>8.9999999999999998E-4</v>
      </c>
      <c r="AG88" s="331">
        <f>SUM(($T$86-6)*($T$87/2-6)/1000000)</f>
        <v>3.6000000000000001E-5</v>
      </c>
      <c r="AH88" s="208" t="s">
        <v>73</v>
      </c>
      <c r="AJ88" s="108"/>
      <c r="AK88" s="108"/>
      <c r="AL88" s="108"/>
      <c r="AM88" s="137"/>
      <c r="AN88" s="137"/>
      <c r="AO88" s="137"/>
      <c r="AP88" s="137"/>
    </row>
    <row r="89" spans="1:43" s="118" customFormat="1" ht="13.5" customHeight="1" x14ac:dyDescent="0.2">
      <c r="A89" s="37"/>
      <c r="N89" s="1079" t="str">
        <f>ListAVS!$B$83&amp;" [kg] "</f>
        <v xml:space="preserve">Waga uchwytu [kg] </v>
      </c>
      <c r="O89" s="1080"/>
      <c r="P89" s="1080"/>
      <c r="Q89" s="1080"/>
      <c r="R89" s="1080"/>
      <c r="S89" s="1081"/>
      <c r="T89" s="300">
        <f>H25</f>
        <v>0</v>
      </c>
      <c r="U89" s="130" t="str">
        <f>IF(SUM(T86,T87)=0," ",IF(T89=0," ● "&amp;ListAVS!$B$130," "))</f>
        <v xml:space="preserve"> </v>
      </c>
      <c r="X89" s="37"/>
      <c r="Y89" s="319">
        <f>$Y$80</f>
        <v>680</v>
      </c>
      <c r="Z89" s="37" t="str">
        <f>$Z$80</f>
        <v>Płyta wiórowa (680 kg/m3)</v>
      </c>
      <c r="AC89" s="37"/>
      <c r="AD89" s="37">
        <f>AD80</f>
        <v>12.5</v>
      </c>
      <c r="AE89" s="330">
        <f>IF($AG$77=1,AF89*AD89,AG89*AD89)</f>
        <v>1.125E-2</v>
      </c>
      <c r="AF89" s="329">
        <f>SUM(($T$86-30)*($T$87/2-30)/1000000)</f>
        <v>8.9999999999999998E-4</v>
      </c>
      <c r="AG89" s="331">
        <f>SUM(($T$86-6)*($T$87/2-6)/1000000)</f>
        <v>3.6000000000000001E-5</v>
      </c>
      <c r="AH89" s="208" t="s">
        <v>74</v>
      </c>
      <c r="AJ89" s="108"/>
      <c r="AK89" s="108"/>
      <c r="AL89" s="108"/>
      <c r="AM89" s="137"/>
      <c r="AN89" s="137"/>
      <c r="AO89" s="137"/>
      <c r="AP89" s="137"/>
    </row>
    <row r="90" spans="1:43" s="118" customFormat="1" ht="13.5" customHeight="1" x14ac:dyDescent="0.2">
      <c r="A90" s="37"/>
      <c r="N90" s="1079" t="str">
        <f>ListAVS!$B$79&amp;" [kg] "</f>
        <v xml:space="preserve">Obliczona waga frontu [kg] </v>
      </c>
      <c r="O90" s="1080"/>
      <c r="P90" s="1080"/>
      <c r="Q90" s="1080"/>
      <c r="R90" s="1080"/>
      <c r="S90" s="1081"/>
      <c r="T90" s="185">
        <f>IF(X90*AD91&lt;&gt;0,SUM(X90,AD91,T89),0)</f>
        <v>0</v>
      </c>
      <c r="U90" s="119"/>
      <c r="X90" s="186">
        <f>IF(T86*T87*T88=0,0,IF(Z87=1,Y87*Y88,IF(Z87=2,Y87*Y89,Y87*Y90)))</f>
        <v>0</v>
      </c>
      <c r="Y90" s="37">
        <f>$Y$81</f>
        <v>0</v>
      </c>
      <c r="Z90" s="37" t="str">
        <f>$Z$81</f>
        <v>Inne – wybrana gęstość materiału</v>
      </c>
      <c r="AC90" s="37"/>
      <c r="AD90" s="340">
        <f>AD81</f>
        <v>0</v>
      </c>
      <c r="AE90" s="330">
        <f>IF($AG$77=1,AF90*AD90,AG90*AD90)</f>
        <v>0</v>
      </c>
      <c r="AF90" s="329">
        <f>SUM(($T$86-30)*($T$87/2-30)/1000000)</f>
        <v>8.9999999999999998E-4</v>
      </c>
      <c r="AG90" s="331">
        <f>SUM(($T$86-6)*($T$87/2-6)/1000000)</f>
        <v>3.6000000000000001E-5</v>
      </c>
      <c r="AH90" s="208" t="s">
        <v>75</v>
      </c>
      <c r="AJ90" s="108"/>
      <c r="AK90" s="108"/>
      <c r="AL90" s="108"/>
      <c r="AM90" s="137"/>
      <c r="AN90" s="137"/>
      <c r="AO90" s="137"/>
      <c r="AP90" s="137"/>
    </row>
    <row r="91" spans="1:43" s="118" customFormat="1" x14ac:dyDescent="0.2">
      <c r="A91" s="37"/>
      <c r="N91" s="37"/>
      <c r="O91" s="142" t="str">
        <f>IF(T90&gt;0,IF(T89=0,$Z$94," ")," ")</f>
        <v xml:space="preserve"> </v>
      </c>
      <c r="P91" s="37"/>
      <c r="Q91" s="37"/>
      <c r="R91" s="37"/>
      <c r="S91" s="37"/>
      <c r="T91" s="37"/>
      <c r="U91" s="37"/>
      <c r="V91" s="37"/>
      <c r="W91" s="37"/>
      <c r="X91" s="37"/>
      <c r="Y91" s="37"/>
      <c r="AA91" s="37"/>
      <c r="AC91" s="37"/>
      <c r="AD91" s="332">
        <f>IF(T86*T87=0,0,SUM(IF(AF86=1,AE88,IF(AF86=2,AE89,AE90)),AE87,AE86))</f>
        <v>0</v>
      </c>
      <c r="AE91" s="37"/>
      <c r="AF91" s="37"/>
      <c r="AG91" s="37"/>
      <c r="AH91" s="37"/>
      <c r="AJ91" s="108"/>
      <c r="AK91" s="108"/>
      <c r="AL91" s="108"/>
      <c r="AM91" s="137"/>
      <c r="AN91" s="137"/>
      <c r="AO91" s="137"/>
      <c r="AP91" s="137"/>
    </row>
    <row r="92" spans="1:43" s="118" customFormat="1" x14ac:dyDescent="0.2">
      <c r="A92" s="37"/>
      <c r="N92" s="37"/>
      <c r="O92" s="37"/>
      <c r="P92" s="37"/>
      <c r="Q92" s="37"/>
      <c r="R92" s="37"/>
      <c r="S92" s="37"/>
      <c r="T92" s="37"/>
      <c r="U92" s="37"/>
      <c r="V92" s="37"/>
      <c r="W92" s="37"/>
      <c r="X92" s="37"/>
      <c r="Y92" s="37"/>
      <c r="AA92" s="37"/>
      <c r="AC92" s="37"/>
      <c r="AD92" s="37"/>
      <c r="AE92" s="37"/>
      <c r="AF92" s="37"/>
      <c r="AG92" s="37"/>
      <c r="AH92" s="37"/>
      <c r="AJ92" s="108"/>
      <c r="AK92" s="108"/>
      <c r="AL92" s="108"/>
      <c r="AM92" s="137"/>
      <c r="AN92" s="137"/>
      <c r="AO92" s="137"/>
      <c r="AP92" s="137"/>
    </row>
    <row r="93" spans="1:43" s="118" customFormat="1" x14ac:dyDescent="0.2">
      <c r="A93" s="37"/>
      <c r="N93" s="37"/>
      <c r="O93" s="37"/>
      <c r="P93" s="37"/>
      <c r="Q93" s="37"/>
      <c r="R93" s="37"/>
      <c r="U93" s="37"/>
      <c r="V93" s="37"/>
      <c r="W93" s="37"/>
      <c r="X93" s="37"/>
      <c r="Y93" s="37"/>
      <c r="AA93" s="37"/>
      <c r="AC93" s="37"/>
      <c r="AD93" s="37"/>
      <c r="AE93" s="37"/>
      <c r="AF93" s="37"/>
      <c r="AG93" s="37"/>
      <c r="AH93" s="37"/>
      <c r="AJ93" s="108"/>
      <c r="AK93" s="108"/>
      <c r="AL93" s="108"/>
      <c r="AM93" s="137"/>
      <c r="AN93" s="137"/>
      <c r="AO93" s="137"/>
      <c r="AP93" s="137"/>
    </row>
    <row r="94" spans="1:43" s="118" customFormat="1" ht="12" customHeight="1" x14ac:dyDescent="0.2">
      <c r="A94" s="37"/>
      <c r="N94" s="37"/>
      <c r="O94" s="148"/>
      <c r="P94" s="148"/>
      <c r="Q94" s="148"/>
      <c r="R94" s="148"/>
      <c r="S94" s="148"/>
      <c r="T94" s="148"/>
      <c r="U94" s="148"/>
      <c r="V94" s="148"/>
      <c r="W94" s="632" t="str">
        <f>ListAVS!$B$424&amp;"  "</f>
        <v xml:space="preserve">z wpuszczanym szkłem  </v>
      </c>
      <c r="X94" s="711">
        <f>MenuAVS!$I$91</f>
        <v>0.31</v>
      </c>
      <c r="Z94" s="37" t="str">
        <f>ListAVS!$B$103&amp;"!"</f>
        <v>Bez wagi uchwytu!</v>
      </c>
      <c r="AA94" s="37"/>
      <c r="AC94" s="37"/>
      <c r="AD94" s="37"/>
      <c r="AE94" s="37"/>
      <c r="AF94" s="149" t="str">
        <f>ListAVS!$B$93</f>
        <v>Ramki aluminiowe z 4mm szkłem</v>
      </c>
      <c r="AG94" s="37"/>
      <c r="AH94" s="37"/>
      <c r="AJ94" s="108"/>
      <c r="AK94" s="108"/>
      <c r="AL94" s="108"/>
      <c r="AM94" s="137"/>
      <c r="AN94" s="137"/>
      <c r="AO94" s="137"/>
      <c r="AP94" s="137"/>
    </row>
    <row r="95" spans="1:43" s="118" customFormat="1" x14ac:dyDescent="0.2">
      <c r="A95" s="37"/>
      <c r="N95" s="37"/>
      <c r="O95" s="148"/>
      <c r="P95" s="148"/>
      <c r="Q95" s="148"/>
      <c r="R95" s="148"/>
      <c r="S95" s="148"/>
      <c r="T95" s="148"/>
      <c r="U95" s="148"/>
      <c r="V95" s="148"/>
      <c r="W95" s="632" t="str">
        <f>ListAVS!$B$425&amp;"  "</f>
        <v xml:space="preserve">ze szkłem nakładanym lub przyklejanym  </v>
      </c>
      <c r="X95" s="711">
        <f>MenuAVS!$I$92</f>
        <v>0.32</v>
      </c>
      <c r="Y95" s="37"/>
      <c r="AA95" s="37"/>
      <c r="AC95" s="37"/>
      <c r="AD95" s="37"/>
      <c r="AE95" s="37"/>
      <c r="AF95" s="149" t="str">
        <f>ListAVS!$B$94</f>
        <v>Ramki aluminiowe z 5mm szkłem</v>
      </c>
      <c r="AG95" s="37"/>
      <c r="AH95" s="37"/>
      <c r="AJ95" s="108"/>
      <c r="AK95" s="108"/>
      <c r="AL95" s="108"/>
      <c r="AM95" s="137"/>
      <c r="AN95" s="137"/>
      <c r="AO95" s="137"/>
      <c r="AP95" s="137"/>
      <c r="AQ95" s="37"/>
    </row>
    <row r="96" spans="1:43" s="37" customFormat="1" x14ac:dyDescent="0.2">
      <c r="O96" s="148"/>
      <c r="P96" s="148"/>
      <c r="Q96" s="148"/>
      <c r="R96" s="148"/>
      <c r="S96" s="148"/>
      <c r="T96" s="148"/>
      <c r="U96" s="148"/>
      <c r="V96" s="148"/>
      <c r="W96" s="632" t="str">
        <f>ListAVS!$B$405&amp;" [kg/set] *  "</f>
        <v xml:space="preserve">Waga materiału łączącego  [kg/set] *  </v>
      </c>
      <c r="X96" s="711">
        <f>MenuAVS!$I$93</f>
        <v>0.46</v>
      </c>
      <c r="Z96" s="118"/>
      <c r="AB96" s="118"/>
      <c r="AF96" s="149" t="str">
        <f>ListAVS!$B$95</f>
        <v>Ramki aluminiowe z innym szkłem</v>
      </c>
      <c r="AJ96" s="108"/>
      <c r="AK96" s="108"/>
      <c r="AL96" s="108"/>
      <c r="AM96" s="137"/>
      <c r="AN96" s="137"/>
      <c r="AO96" s="137"/>
      <c r="AP96" s="137"/>
    </row>
    <row r="97" spans="1:43" s="37" customFormat="1" x14ac:dyDescent="0.2">
      <c r="Z97" s="118"/>
      <c r="AB97" s="118"/>
      <c r="AJ97" s="108"/>
      <c r="AK97" s="108"/>
      <c r="AL97" s="108"/>
      <c r="AM97" s="137"/>
      <c r="AN97" s="137"/>
      <c r="AO97" s="137"/>
      <c r="AP97" s="137"/>
    </row>
    <row r="98" spans="1:43" s="37" customFormat="1" ht="12.75" x14ac:dyDescent="0.2">
      <c r="AA98" s="118"/>
      <c r="AC98" s="118"/>
      <c r="AJ98" s="108"/>
      <c r="AK98" s="108"/>
      <c r="AL98" s="108"/>
      <c r="AM98" s="137"/>
      <c r="AN98" s="266"/>
      <c r="AO98" s="266"/>
      <c r="AP98" s="266"/>
      <c r="AQ98" s="255"/>
    </row>
    <row r="99" spans="1:43" s="255" customFormat="1" ht="15" customHeight="1" x14ac:dyDescent="0.2">
      <c r="A99" s="1045"/>
      <c r="O99" s="248"/>
      <c r="Q99" s="248"/>
      <c r="X99" s="670"/>
      <c r="Y99" s="670"/>
      <c r="Z99" s="670"/>
      <c r="AA99" s="670"/>
      <c r="AB99" s="670"/>
      <c r="AC99" s="670"/>
      <c r="AD99" s="670"/>
      <c r="AE99" s="670"/>
      <c r="AF99" s="670"/>
      <c r="AG99" s="670"/>
      <c r="AH99" s="670"/>
      <c r="AI99" s="670"/>
      <c r="AJ99" s="670"/>
      <c r="AK99" s="670"/>
      <c r="AL99" s="670"/>
      <c r="AM99" s="266"/>
      <c r="AN99" s="266"/>
      <c r="AO99" s="266"/>
      <c r="AP99" s="266"/>
    </row>
    <row r="100" spans="1:43" s="255" customFormat="1" ht="15" customHeight="1" x14ac:dyDescent="0.2">
      <c r="A100" s="1045"/>
      <c r="B100" s="604" t="str">
        <f>ListAVS!$B$195</f>
        <v>Obliczanie frontów asymetrycznych</v>
      </c>
      <c r="O100" s="248"/>
      <c r="Q100" s="248"/>
      <c r="X100" s="670"/>
      <c r="Y100" s="670"/>
      <c r="Z100" s="670"/>
      <c r="AA100" s="670"/>
      <c r="AB100" s="670"/>
      <c r="AC100" s="670"/>
      <c r="AD100" s="670"/>
      <c r="AE100" s="670"/>
      <c r="AF100" s="670"/>
      <c r="AG100" s="670"/>
      <c r="AH100" s="670"/>
      <c r="AI100" s="670"/>
      <c r="AJ100" s="670"/>
      <c r="AK100" s="670"/>
      <c r="AL100" s="670"/>
      <c r="AM100" s="266"/>
      <c r="AN100" s="266"/>
      <c r="AO100" s="266"/>
      <c r="AP100" s="266"/>
    </row>
    <row r="101" spans="1:43" s="255" customFormat="1" ht="15" customHeight="1" x14ac:dyDescent="0.2">
      <c r="A101" s="1045"/>
      <c r="O101" s="248"/>
      <c r="Q101" s="248"/>
      <c r="X101" s="670"/>
      <c r="Y101" s="670"/>
      <c r="Z101" s="670"/>
      <c r="AA101" s="670"/>
      <c r="AB101" s="670"/>
      <c r="AC101" s="670"/>
      <c r="AD101" s="670"/>
      <c r="AE101" s="670"/>
      <c r="AF101" s="670"/>
      <c r="AG101" s="670"/>
      <c r="AH101" s="670"/>
      <c r="AI101" s="670"/>
      <c r="AJ101" s="670"/>
      <c r="AK101" s="670"/>
      <c r="AL101" s="670"/>
      <c r="AM101" s="266"/>
      <c r="AN101" s="266"/>
      <c r="AO101" s="266"/>
      <c r="AP101" s="266"/>
    </row>
    <row r="102" spans="1:43" s="255" customFormat="1" ht="15" customHeight="1" x14ac:dyDescent="0.2">
      <c r="A102" s="1045"/>
      <c r="B102" s="1075" t="str">
        <f>"   "&amp;ListAVS!$B$198</f>
        <v xml:space="preserve">   Parametry korpusu</v>
      </c>
      <c r="C102" s="1076"/>
      <c r="D102" s="1076"/>
      <c r="E102" s="1076"/>
      <c r="F102" s="1076"/>
      <c r="G102" s="1076"/>
      <c r="H102" s="1076"/>
      <c r="I102" s="1077"/>
      <c r="J102" s="1078"/>
      <c r="K102" s="545"/>
      <c r="L102" s="545"/>
      <c r="M102" s="545"/>
      <c r="N102" s="545"/>
      <c r="O102" s="546"/>
      <c r="P102" s="545"/>
      <c r="Q102" s="546"/>
      <c r="R102" s="545"/>
      <c r="S102" s="545"/>
      <c r="T102" s="545"/>
      <c r="U102" s="545"/>
      <c r="V102" s="545"/>
      <c r="W102" s="545"/>
      <c r="X102" s="108"/>
      <c r="Y102" s="670"/>
      <c r="Z102" s="670"/>
      <c r="AA102" s="670"/>
      <c r="AB102" s="670"/>
      <c r="AC102" s="670"/>
      <c r="AD102" s="670"/>
      <c r="AE102" s="670"/>
      <c r="AF102" s="670"/>
      <c r="AG102" s="670"/>
      <c r="AH102" s="670"/>
      <c r="AI102" s="670"/>
      <c r="AJ102" s="670"/>
      <c r="AK102" s="670"/>
      <c r="AL102" s="670"/>
      <c r="AM102" s="266"/>
      <c r="AN102" s="266"/>
      <c r="AO102" s="266"/>
      <c r="AP102" s="266"/>
    </row>
    <row r="103" spans="1:43" s="255" customFormat="1" ht="15" customHeight="1" x14ac:dyDescent="0.2">
      <c r="A103" s="1045"/>
      <c r="B103" s="1070" t="str">
        <f>ListAVS!$B$75&amp;" KH [mm] "</f>
        <v xml:space="preserve">Wysokość korpusu KH [mm] </v>
      </c>
      <c r="C103" s="1071"/>
      <c r="D103" s="1071"/>
      <c r="E103" s="1071"/>
      <c r="F103" s="1071"/>
      <c r="G103" s="1071"/>
      <c r="H103" s="1072"/>
      <c r="I103" s="1073"/>
      <c r="J103" s="1073"/>
      <c r="K103" s="547" t="str">
        <f>IF(I103&lt;480, " min. 480", IF(I103&gt;1200, " max. 1200", " "))</f>
        <v xml:space="preserve"> min. 480</v>
      </c>
      <c r="L103" s="545"/>
      <c r="M103" s="545"/>
      <c r="N103" s="1089" t="s">
        <v>755</v>
      </c>
      <c r="O103" s="1089" t="s">
        <v>756</v>
      </c>
      <c r="P103" s="545"/>
      <c r="Q103" s="545"/>
      <c r="R103" s="545"/>
      <c r="S103" s="545"/>
      <c r="T103" s="545"/>
      <c r="U103" s="545"/>
      <c r="V103" s="545"/>
      <c r="W103" s="545"/>
      <c r="X103" s="108"/>
      <c r="Y103" s="670"/>
      <c r="Z103" s="670"/>
      <c r="AA103" s="670"/>
      <c r="AB103" s="670"/>
      <c r="AC103" s="670"/>
      <c r="AD103" s="670"/>
      <c r="AE103" s="670"/>
      <c r="AF103" s="670"/>
      <c r="AG103" s="670"/>
      <c r="AH103" s="670"/>
      <c r="AI103" s="670"/>
      <c r="AJ103" s="670"/>
      <c r="AK103" s="670"/>
      <c r="AL103" s="670"/>
      <c r="AM103" s="266"/>
      <c r="AN103" s="266"/>
      <c r="AO103" s="266"/>
      <c r="AP103" s="266"/>
    </row>
    <row r="104" spans="1:43" s="255" customFormat="1" ht="15" customHeight="1" x14ac:dyDescent="0.2">
      <c r="A104" s="1045"/>
      <c r="B104" s="1070" t="str">
        <f>ListAVS!$B$201&amp;" F1 [mm] "</f>
        <v xml:space="preserve">Szczelina na górze F1 [mm] </v>
      </c>
      <c r="C104" s="1071"/>
      <c r="D104" s="1071"/>
      <c r="E104" s="1071"/>
      <c r="F104" s="1071"/>
      <c r="G104" s="1071"/>
      <c r="H104" s="1072"/>
      <c r="I104" s="1073"/>
      <c r="J104" s="1073"/>
      <c r="K104" s="548"/>
      <c r="L104" s="545"/>
      <c r="M104" s="549"/>
      <c r="N104" s="1089"/>
      <c r="O104" s="1089"/>
      <c r="P104" s="545"/>
      <c r="Q104" s="545"/>
      <c r="R104" s="545"/>
      <c r="S104" s="545"/>
      <c r="T104" s="545"/>
      <c r="U104" s="545"/>
      <c r="V104" s="545"/>
      <c r="W104" s="545"/>
      <c r="X104" s="108"/>
      <c r="Y104" s="670"/>
      <c r="Z104" s="670"/>
      <c r="AA104" s="670"/>
      <c r="AB104" s="670"/>
      <c r="AC104" s="670"/>
      <c r="AD104" s="670"/>
      <c r="AE104" s="670"/>
      <c r="AF104" s="670"/>
      <c r="AG104" s="670"/>
      <c r="AH104" s="670"/>
      <c r="AI104" s="670"/>
      <c r="AJ104" s="670"/>
      <c r="AK104" s="670"/>
      <c r="AL104" s="670"/>
      <c r="AM104" s="266"/>
      <c r="AN104" s="266"/>
      <c r="AO104" s="266"/>
      <c r="AP104" s="266"/>
      <c r="AQ104" s="266"/>
    </row>
    <row r="105" spans="1:43" s="266" customFormat="1" ht="15" customHeight="1" x14ac:dyDescent="0.2">
      <c r="A105" s="1045"/>
      <c r="B105" s="1070" t="str">
        <f>ListAVS!$B$202&amp;" F2 [mm] "</f>
        <v xml:space="preserve">Szczelina pomiędzy frontami F2 [mm] </v>
      </c>
      <c r="C105" s="1071"/>
      <c r="D105" s="1071"/>
      <c r="E105" s="1071"/>
      <c r="F105" s="1071"/>
      <c r="G105" s="1071"/>
      <c r="H105" s="1072"/>
      <c r="I105" s="1086"/>
      <c r="J105" s="1087"/>
      <c r="K105" s="547" t="str">
        <f>IF($I$103=0," ",IF($I$105&lt;1.5," min. 1,5 mm!"," "))</f>
        <v xml:space="preserve"> </v>
      </c>
      <c r="L105" s="545"/>
      <c r="M105" s="545"/>
      <c r="N105" s="1089"/>
      <c r="O105" s="1089"/>
      <c r="P105" s="545"/>
      <c r="Q105" s="545"/>
      <c r="R105" s="545"/>
      <c r="S105" s="545"/>
      <c r="T105" s="545"/>
      <c r="U105" s="545"/>
      <c r="V105" s="545"/>
      <c r="W105" s="545"/>
      <c r="X105" s="108"/>
      <c r="Y105" s="670"/>
      <c r="Z105" s="670"/>
      <c r="AA105" s="670"/>
      <c r="AB105" s="670"/>
      <c r="AC105" s="670"/>
      <c r="AD105" s="670"/>
      <c r="AE105" s="670"/>
      <c r="AF105" s="670"/>
      <c r="AG105" s="670"/>
      <c r="AH105" s="670"/>
      <c r="AI105" s="670"/>
      <c r="AJ105" s="670"/>
      <c r="AK105" s="670"/>
      <c r="AL105" s="670"/>
      <c r="AM105" s="255"/>
    </row>
    <row r="106" spans="1:43" s="266" customFormat="1" ht="15" customHeight="1" x14ac:dyDescent="0.2">
      <c r="A106" s="1045"/>
      <c r="B106" s="1070" t="str">
        <f>ListAVS!$B$203&amp;" F3 [mm] "</f>
        <v xml:space="preserve">Szczelina na dole F3 [mm] </v>
      </c>
      <c r="C106" s="1071"/>
      <c r="D106" s="1071"/>
      <c r="E106" s="1071"/>
      <c r="F106" s="1071"/>
      <c r="G106" s="1071"/>
      <c r="H106" s="1072"/>
      <c r="I106" s="1073"/>
      <c r="J106" s="1073"/>
      <c r="K106" s="545"/>
      <c r="L106" s="545"/>
      <c r="M106" s="553" t="s">
        <v>757</v>
      </c>
      <c r="N106" s="118">
        <v>170</v>
      </c>
      <c r="O106" s="118">
        <v>189</v>
      </c>
      <c r="P106" s="545"/>
      <c r="Q106" s="545"/>
      <c r="R106" s="545"/>
      <c r="S106" s="545"/>
      <c r="T106" s="545"/>
      <c r="U106" s="545"/>
      <c r="V106" s="545"/>
      <c r="W106" s="545"/>
      <c r="X106" s="108"/>
      <c r="Y106" s="670"/>
      <c r="Z106" s="670"/>
      <c r="AA106" s="670"/>
      <c r="AB106" s="670"/>
      <c r="AC106" s="670"/>
      <c r="AD106" s="670"/>
      <c r="AE106" s="670"/>
      <c r="AF106" s="670"/>
      <c r="AG106" s="670"/>
      <c r="AH106" s="670"/>
      <c r="AI106" s="670"/>
      <c r="AJ106" s="670"/>
      <c r="AK106" s="670"/>
      <c r="AL106" s="670"/>
      <c r="AM106" s="255"/>
    </row>
    <row r="107" spans="1:43" s="266" customFormat="1" ht="15" customHeight="1" x14ac:dyDescent="0.2">
      <c r="A107" s="1045"/>
      <c r="B107" s="1070" t="str">
        <f>ListAVS!$B$204&amp;" [mm] "</f>
        <v xml:space="preserve">Grubość dna korpusu [mm] </v>
      </c>
      <c r="C107" s="1071"/>
      <c r="D107" s="1071"/>
      <c r="E107" s="1071"/>
      <c r="F107" s="1071"/>
      <c r="G107" s="1071"/>
      <c r="H107" s="1072"/>
      <c r="I107" s="1073"/>
      <c r="J107" s="1073"/>
      <c r="K107" s="545"/>
      <c r="L107" s="545"/>
      <c r="M107" s="553" t="s">
        <v>768</v>
      </c>
      <c r="N107" s="248">
        <v>93</v>
      </c>
      <c r="O107" s="248">
        <v>116</v>
      </c>
      <c r="P107" s="545"/>
      <c r="Q107" s="545"/>
      <c r="R107" s="545"/>
      <c r="S107" s="545"/>
      <c r="T107" s="545"/>
      <c r="U107" s="545"/>
      <c r="V107" s="545"/>
      <c r="W107" s="545"/>
      <c r="X107" s="108"/>
      <c r="Y107" s="670"/>
      <c r="Z107" s="670"/>
      <c r="AA107" s="670"/>
      <c r="AB107" s="670"/>
      <c r="AC107" s="670"/>
      <c r="AD107" s="670"/>
      <c r="AE107" s="670"/>
      <c r="AF107" s="670"/>
      <c r="AG107" s="670"/>
      <c r="AH107" s="670"/>
      <c r="AI107" s="670"/>
      <c r="AJ107" s="670"/>
      <c r="AK107" s="670"/>
      <c r="AL107" s="670"/>
      <c r="AM107" s="255"/>
    </row>
    <row r="108" spans="1:43" s="266" customFormat="1" ht="15" customHeight="1" x14ac:dyDescent="0.2">
      <c r="A108" s="1045"/>
      <c r="B108" s="545"/>
      <c r="C108" s="545"/>
      <c r="D108" s="545"/>
      <c r="E108" s="545"/>
      <c r="F108" s="545"/>
      <c r="G108" s="545"/>
      <c r="H108" s="545"/>
      <c r="I108" s="545"/>
      <c r="J108" s="550"/>
      <c r="K108" s="545"/>
      <c r="L108" s="545"/>
      <c r="M108" s="553"/>
      <c r="N108" s="37"/>
      <c r="O108" s="118"/>
      <c r="P108" s="545"/>
      <c r="Q108" s="545"/>
      <c r="R108" s="545"/>
      <c r="S108" s="545"/>
      <c r="T108" s="545"/>
      <c r="U108" s="545"/>
      <c r="V108" s="545"/>
      <c r="W108" s="545"/>
      <c r="X108" s="108"/>
      <c r="Y108" s="670"/>
      <c r="Z108" s="670"/>
      <c r="AA108" s="670"/>
      <c r="AB108" s="670"/>
      <c r="AC108" s="670"/>
      <c r="AD108" s="670"/>
      <c r="AE108" s="670"/>
      <c r="AF108" s="670"/>
      <c r="AG108" s="670"/>
      <c r="AH108" s="670"/>
      <c r="AI108" s="670"/>
      <c r="AJ108" s="670"/>
      <c r="AK108" s="670"/>
      <c r="AL108" s="670"/>
      <c r="AM108" s="255"/>
    </row>
    <row r="109" spans="1:43" s="266" customFormat="1" ht="15" customHeight="1" x14ac:dyDescent="0.2">
      <c r="A109" s="1045"/>
      <c r="B109" s="1091" t="str">
        <f>"   "&amp;ListAVS!$B$206</f>
        <v xml:space="preserve">   Wyniki planowania</v>
      </c>
      <c r="C109" s="1092"/>
      <c r="D109" s="1092"/>
      <c r="E109" s="1092"/>
      <c r="F109" s="1092"/>
      <c r="G109" s="1092"/>
      <c r="H109" s="1092"/>
      <c r="I109" s="1092"/>
      <c r="J109" s="1093"/>
      <c r="K109" s="545"/>
      <c r="L109" s="545"/>
      <c r="M109" s="545"/>
      <c r="N109" s="957" t="s">
        <v>762</v>
      </c>
      <c r="O109" s="958" t="s">
        <v>762</v>
      </c>
      <c r="P109" s="545"/>
      <c r="Q109" s="545"/>
      <c r="R109" s="545"/>
      <c r="S109" s="545"/>
      <c r="T109" s="545"/>
      <c r="U109" s="545"/>
      <c r="V109" s="545"/>
      <c r="W109" s="545"/>
      <c r="X109" s="108"/>
      <c r="Y109" s="670"/>
      <c r="Z109" s="670"/>
      <c r="AA109" s="670"/>
      <c r="AB109" s="670"/>
      <c r="AC109" s="670"/>
      <c r="AD109" s="670"/>
      <c r="AE109" s="670"/>
      <c r="AF109" s="670"/>
      <c r="AG109" s="670"/>
      <c r="AH109" s="670"/>
      <c r="AI109" s="670"/>
      <c r="AJ109" s="670"/>
      <c r="AK109" s="670"/>
      <c r="AL109" s="670"/>
      <c r="AM109" s="255"/>
    </row>
    <row r="110" spans="1:43" s="266" customFormat="1" ht="15" customHeight="1" x14ac:dyDescent="0.2">
      <c r="A110" s="1045"/>
      <c r="B110" s="1094"/>
      <c r="C110" s="1095"/>
      <c r="D110" s="1095"/>
      <c r="E110" s="1095"/>
      <c r="F110" s="1095"/>
      <c r="G110" s="1096" t="str">
        <f>ListAVS!$B$207&amp;" [mm] "</f>
        <v xml:space="preserve">Możliwe wysokości frontów [mm] </v>
      </c>
      <c r="H110" s="1096"/>
      <c r="I110" s="1096"/>
      <c r="J110" s="1097"/>
      <c r="K110" s="545"/>
      <c r="L110" s="545"/>
      <c r="M110" s="545"/>
      <c r="N110" s="545" t="s">
        <v>754</v>
      </c>
      <c r="O110" s="545" t="s">
        <v>754</v>
      </c>
      <c r="P110" s="545"/>
      <c r="Q110" s="545"/>
      <c r="R110" s="545"/>
      <c r="S110" s="545"/>
      <c r="T110" s="545"/>
      <c r="U110" s="545"/>
      <c r="V110" s="545"/>
      <c r="W110" s="545"/>
      <c r="X110" s="108"/>
      <c r="Y110" s="670"/>
      <c r="Z110" s="670"/>
      <c r="AA110" s="670"/>
      <c r="AB110" s="670"/>
      <c r="AC110" s="670"/>
      <c r="AD110" s="670"/>
      <c r="AE110" s="670"/>
      <c r="AF110" s="670"/>
      <c r="AG110" s="670"/>
      <c r="AH110" s="670"/>
      <c r="AI110" s="670"/>
      <c r="AJ110" s="670"/>
      <c r="AK110" s="670"/>
      <c r="AL110" s="670"/>
      <c r="AM110" s="255"/>
    </row>
    <row r="111" spans="1:43" s="266" customFormat="1" ht="15" customHeight="1" x14ac:dyDescent="0.2">
      <c r="A111" s="1045"/>
      <c r="B111" s="1069" t="str">
        <f>ListAVS!$B$208</f>
        <v>Front górny (FHo) w granicach</v>
      </c>
      <c r="C111" s="1069"/>
      <c r="D111" s="1069"/>
      <c r="E111" s="1069"/>
      <c r="F111" s="1069"/>
      <c r="G111" s="551" t="s">
        <v>60</v>
      </c>
      <c r="H111" s="552" t="str">
        <f>IF(AND($I$103&gt;=480, $I$103&lt;=519), $N$111, IF(AND($I$103&gt;=520, $I$103&lt;=1200), $O$111, $S$115))</f>
        <v>nie można</v>
      </c>
      <c r="I111" s="551" t="s">
        <v>61</v>
      </c>
      <c r="J111" s="552" t="str">
        <f>IF(AND($I$103&gt;=480, $I$103&lt;=519), $N$115, IF(AND($I$103&gt;=520, $I$103&lt;=1200), $O$115, $S$115))</f>
        <v>nie można</v>
      </c>
      <c r="K111" s="545"/>
      <c r="L111" s="545"/>
      <c r="M111" s="545"/>
      <c r="N111" s="546">
        <f>SUM(I103, -I104, -I105, -I106, -N120)</f>
        <v>0</v>
      </c>
      <c r="O111" s="546">
        <f>SUM(I103, -I104, -I105, -I106, -O120)</f>
        <v>0</v>
      </c>
      <c r="P111" s="545"/>
      <c r="Q111" s="545"/>
      <c r="R111" s="545"/>
      <c r="S111" s="545"/>
      <c r="T111" s="545"/>
      <c r="U111" s="545"/>
      <c r="V111" s="545"/>
      <c r="W111" s="545"/>
      <c r="X111" s="108"/>
      <c r="Y111" s="670"/>
      <c r="Z111" s="670"/>
      <c r="AA111" s="670"/>
      <c r="AB111" s="670"/>
      <c r="AC111" s="670"/>
      <c r="AD111" s="670"/>
      <c r="AE111" s="670"/>
      <c r="AF111" s="670"/>
      <c r="AG111" s="670"/>
      <c r="AH111" s="670"/>
      <c r="AI111" s="670"/>
      <c r="AJ111" s="670"/>
      <c r="AK111" s="670"/>
      <c r="AL111" s="670"/>
      <c r="AM111" s="255"/>
    </row>
    <row r="112" spans="1:43" s="266" customFormat="1" ht="15" customHeight="1" x14ac:dyDescent="0.2">
      <c r="A112" s="1045"/>
      <c r="B112" s="1069" t="str">
        <f>ListAVS!$B$209</f>
        <v>Front dolny (FHu) w granicach</v>
      </c>
      <c r="C112" s="1069"/>
      <c r="D112" s="1069"/>
      <c r="E112" s="1069"/>
      <c r="F112" s="1069"/>
      <c r="G112" s="551" t="s">
        <v>60</v>
      </c>
      <c r="H112" s="552" t="str">
        <f>IF(AND($I$103&gt;=480, $I$103&lt;=519), $N$118, IF(AND($I$103&gt;=520, $I$103&lt;=1200), $O$118, $S$115))</f>
        <v>nie można</v>
      </c>
      <c r="I112" s="551" t="s">
        <v>61</v>
      </c>
      <c r="J112" s="552" t="str">
        <f>IF(AND($I$103&gt;=480, $I$103&lt;=519), $N$120, IF(AND($I$103&gt;=520, $I$103&lt;=1200), $O$120, $S$115))</f>
        <v>nie można</v>
      </c>
      <c r="K112" s="545"/>
      <c r="L112" s="545"/>
      <c r="M112" s="545"/>
      <c r="N112" s="545" t="s">
        <v>758</v>
      </c>
      <c r="O112" s="545" t="s">
        <v>758</v>
      </c>
      <c r="P112" s="545"/>
      <c r="Q112" s="545"/>
      <c r="R112" s="545"/>
      <c r="S112" s="545"/>
      <c r="T112" s="545"/>
      <c r="U112" s="545"/>
      <c r="V112" s="545"/>
      <c r="W112" s="545"/>
      <c r="X112" s="108"/>
      <c r="Y112" s="670"/>
      <c r="Z112" s="670"/>
      <c r="AA112" s="670"/>
      <c r="AB112" s="670"/>
      <c r="AC112" s="670"/>
      <c r="AD112" s="670"/>
      <c r="AE112" s="670"/>
      <c r="AF112" s="670"/>
      <c r="AG112" s="670"/>
      <c r="AH112" s="670"/>
      <c r="AI112" s="670"/>
      <c r="AJ112" s="670"/>
      <c r="AK112" s="670"/>
      <c r="AL112" s="670"/>
      <c r="AM112" s="255"/>
    </row>
    <row r="113" spans="1:43" s="266" customFormat="1" ht="15" customHeight="1" x14ac:dyDescent="0.2">
      <c r="A113" s="1045"/>
      <c r="B113" s="694"/>
      <c r="C113" s="694"/>
      <c r="D113" s="694"/>
      <c r="E113" s="694"/>
      <c r="F113" s="694"/>
      <c r="G113" s="694"/>
      <c r="H113" s="694"/>
      <c r="I113" s="545"/>
      <c r="J113" s="545"/>
      <c r="K113" s="545"/>
      <c r="L113" s="545"/>
      <c r="M113" s="545"/>
      <c r="N113" s="546">
        <f>ROUNDUP(SUM(519, -$I$104, -$I$105, -$I$106)/2, 0)</f>
        <v>260</v>
      </c>
      <c r="O113" s="546">
        <f>ROUNDUP(SUM(1200, -$I$104, -$I$105, -$I$106)/2, 0)</f>
        <v>600</v>
      </c>
      <c r="P113" s="545" t="s">
        <v>759</v>
      </c>
      <c r="Q113" s="545"/>
      <c r="R113" s="545"/>
      <c r="S113" s="545"/>
      <c r="T113" s="545"/>
      <c r="U113" s="545"/>
      <c r="V113" s="545"/>
      <c r="W113" s="545"/>
      <c r="X113" s="108"/>
      <c r="Y113" s="670"/>
      <c r="Z113" s="670"/>
      <c r="AA113" s="670"/>
      <c r="AB113" s="670"/>
      <c r="AC113" s="670"/>
      <c r="AD113" s="670"/>
      <c r="AE113" s="670"/>
      <c r="AF113" s="670"/>
      <c r="AG113" s="670"/>
      <c r="AH113" s="670"/>
      <c r="AI113" s="670"/>
      <c r="AJ113" s="670"/>
      <c r="AK113" s="670"/>
      <c r="AL113" s="670"/>
      <c r="AM113" s="255"/>
    </row>
    <row r="114" spans="1:43" s="266" customFormat="1" ht="15" customHeight="1" x14ac:dyDescent="0.2">
      <c r="A114" s="1045"/>
      <c r="B114" s="1070" t="str">
        <f>ListAVS!$B$215&amp;" FHo [mm] "</f>
        <v xml:space="preserve">Wysokość frontu górnego FHo [mm] </v>
      </c>
      <c r="C114" s="1071"/>
      <c r="D114" s="1071"/>
      <c r="E114" s="1071"/>
      <c r="F114" s="1071"/>
      <c r="G114" s="1071"/>
      <c r="H114" s="1072"/>
      <c r="I114" s="1073"/>
      <c r="J114" s="1073"/>
      <c r="K114" s="547" t="str">
        <f>IF($I$103=0," ",IF($I$114&gt;$J$111,V114,IF($I$114&lt;$H$111,$S$114," ")))</f>
        <v xml:space="preserve"> </v>
      </c>
      <c r="L114" s="545"/>
      <c r="M114" s="545"/>
      <c r="N114" s="546">
        <f>SUM(I103, -I104, -I105, -I106, -N118)</f>
        <v>-219</v>
      </c>
      <c r="O114" s="248">
        <f>SUM(I103, -I104, -I105, -I106, -O118)</f>
        <v>-238</v>
      </c>
      <c r="P114" s="545" t="s">
        <v>760</v>
      </c>
      <c r="Q114" s="545"/>
      <c r="R114" s="545"/>
      <c r="S114" s="545" t="str">
        <f>" min. "&amp;TEXT($H$111,"#")&amp;" mm!"</f>
        <v xml:space="preserve"> min. nie można mm!</v>
      </c>
      <c r="T114" s="545"/>
      <c r="U114" s="545"/>
      <c r="V114" s="545" t="str">
        <f>" max. "&amp;TEXT($J$111,"#")&amp;" mm!"</f>
        <v xml:space="preserve"> max. nie można mm!</v>
      </c>
      <c r="W114" s="545"/>
      <c r="X114" s="108"/>
      <c r="Y114" s="670"/>
      <c r="Z114" s="670"/>
      <c r="AA114" s="670"/>
      <c r="AB114" s="670"/>
      <c r="AC114" s="670"/>
      <c r="AD114" s="670"/>
      <c r="AE114" s="670"/>
      <c r="AF114" s="670"/>
      <c r="AG114" s="670"/>
      <c r="AH114" s="670"/>
      <c r="AI114" s="670"/>
      <c r="AJ114" s="670"/>
      <c r="AK114" s="670"/>
      <c r="AL114" s="670"/>
      <c r="AM114" s="255"/>
    </row>
    <row r="115" spans="1:43" s="266" customFormat="1" ht="15" customHeight="1" x14ac:dyDescent="0.2">
      <c r="A115" s="1045"/>
      <c r="B115" s="1070" t="str">
        <f>ListAVS!$B$216&amp;" FHu [mm] "</f>
        <v xml:space="preserve">Wysokość frontu dolnego FHu [mm] </v>
      </c>
      <c r="C115" s="1071"/>
      <c r="D115" s="1071"/>
      <c r="E115" s="1071"/>
      <c r="F115" s="1071"/>
      <c r="G115" s="1071"/>
      <c r="H115" s="1072"/>
      <c r="I115" s="1074" t="str">
        <f>IF($I$114&lt;$H$111,$S$115,IF($I$114&gt;$J$111,$S$115,+$I$103-$I$104-$I$105-$I$106-$I$114))</f>
        <v>nie można</v>
      </c>
      <c r="J115" s="1074"/>
      <c r="K115" s="548"/>
      <c r="L115" s="545"/>
      <c r="M115" s="545"/>
      <c r="N115" s="959">
        <f>IF($N$114&gt;$N$113, $N$113, $N$114)</f>
        <v>-219</v>
      </c>
      <c r="O115" s="959">
        <f>IF($O$114&gt;$O$113, $O$113, $O$114)</f>
        <v>-238</v>
      </c>
      <c r="P115" s="545" t="s">
        <v>767</v>
      </c>
      <c r="Q115" s="118"/>
      <c r="R115" s="545"/>
      <c r="S115" s="545" t="str">
        <f>ListAVS!B212</f>
        <v>nie można</v>
      </c>
      <c r="T115" s="545"/>
      <c r="U115" s="545"/>
      <c r="V115" s="545"/>
      <c r="W115" s="545"/>
      <c r="X115" s="108"/>
      <c r="Y115" s="670"/>
      <c r="Z115" s="670"/>
      <c r="AA115" s="670"/>
      <c r="AB115" s="670"/>
      <c r="AC115" s="670"/>
      <c r="AD115" s="670"/>
      <c r="AE115" s="670"/>
      <c r="AF115" s="670"/>
      <c r="AG115" s="670"/>
      <c r="AH115" s="670"/>
      <c r="AI115" s="670"/>
      <c r="AJ115" s="670"/>
      <c r="AK115" s="670"/>
      <c r="AL115" s="670"/>
      <c r="AM115" s="255"/>
    </row>
    <row r="116" spans="1:43" s="266" customFormat="1" ht="15" customHeight="1" x14ac:dyDescent="0.2">
      <c r="A116" s="1045"/>
      <c r="B116" s="1070" t="str">
        <f>ListAVS!$B$217&amp;" H [mm] "</f>
        <v xml:space="preserve">Pozycja siłownika H [mm] </v>
      </c>
      <c r="C116" s="1071"/>
      <c r="D116" s="1071"/>
      <c r="E116" s="1071"/>
      <c r="F116" s="1071"/>
      <c r="G116" s="1071"/>
      <c r="H116" s="1072"/>
      <c r="I116" s="1074" t="str">
        <f>IF(AND($I$103&gt;=480, $I$103&lt;520), $N$107, IF(AND($I$103&gt;=520, $I$103&lt;=1200), $O$107, $S$115))</f>
        <v>nie można</v>
      </c>
      <c r="J116" s="1074"/>
      <c r="K116" s="545"/>
      <c r="L116" s="545"/>
      <c r="M116" s="545"/>
      <c r="N116" s="957" t="s">
        <v>761</v>
      </c>
      <c r="O116" s="958" t="s">
        <v>761</v>
      </c>
      <c r="P116" s="545"/>
      <c r="Q116" s="545"/>
      <c r="R116" s="545"/>
      <c r="S116" s="545"/>
      <c r="T116" s="545"/>
      <c r="U116" s="545"/>
      <c r="V116" s="545"/>
      <c r="W116" s="545"/>
      <c r="X116" s="108"/>
      <c r="Y116" s="670"/>
      <c r="Z116" s="670"/>
      <c r="AA116" s="670"/>
      <c r="AB116" s="670"/>
      <c r="AC116" s="670"/>
      <c r="AD116" s="670"/>
      <c r="AE116" s="670"/>
      <c r="AF116" s="670"/>
      <c r="AG116" s="670"/>
      <c r="AH116" s="670"/>
      <c r="AI116" s="670"/>
      <c r="AJ116" s="670"/>
      <c r="AK116" s="670"/>
      <c r="AL116" s="670"/>
      <c r="AM116" s="255"/>
    </row>
    <row r="117" spans="1:43" s="266" customFormat="1" ht="15" customHeight="1" x14ac:dyDescent="0.2">
      <c r="A117" s="1045"/>
      <c r="B117" s="1070" t="str">
        <f>ListAVS!$B$218&amp;" Z [mm] "</f>
        <v xml:space="preserve">Pozycja podkładki montażowej do podnośnika teleskopowego Z [mm] </v>
      </c>
      <c r="C117" s="1071"/>
      <c r="D117" s="1071"/>
      <c r="E117" s="1071"/>
      <c r="F117" s="1071"/>
      <c r="G117" s="1071"/>
      <c r="H117" s="1072"/>
      <c r="I117" s="1074" t="str">
        <f>IF(AND($I$103&gt;=480, $I$103&lt;520), $N$106, IF(AND($I$103&gt;=520, $I$103&lt;=1200), $O$106, $S$115))</f>
        <v>nie można</v>
      </c>
      <c r="J117" s="1074"/>
      <c r="K117" s="545"/>
      <c r="L117" s="545"/>
      <c r="M117" s="545"/>
      <c r="N117" s="545" t="s">
        <v>754</v>
      </c>
      <c r="O117" s="545" t="s">
        <v>754</v>
      </c>
      <c r="P117" s="545"/>
      <c r="Q117" s="545"/>
      <c r="R117" s="545"/>
      <c r="S117" s="545"/>
      <c r="T117" s="545"/>
      <c r="U117" s="545"/>
      <c r="V117" s="545"/>
      <c r="W117" s="545"/>
      <c r="X117" s="108"/>
      <c r="Y117" s="670"/>
      <c r="Z117" s="670"/>
      <c r="AA117" s="670"/>
      <c r="AB117" s="670"/>
      <c r="AC117" s="670"/>
      <c r="AD117" s="670"/>
      <c r="AE117" s="670"/>
      <c r="AF117" s="670"/>
      <c r="AG117" s="670"/>
      <c r="AH117" s="670"/>
      <c r="AI117" s="670"/>
      <c r="AJ117" s="670"/>
      <c r="AK117" s="670"/>
      <c r="AL117" s="670"/>
      <c r="AM117" s="255"/>
    </row>
    <row r="118" spans="1:43" s="266" customFormat="1" ht="15" customHeight="1" x14ac:dyDescent="0.2">
      <c r="A118" s="1045"/>
      <c r="B118" s="1070" t="str">
        <f>ListAVS!$B$219&amp;" TKH [mm] * "</f>
        <v xml:space="preserve">Teoretyczna wysokość korpusu TKH [mm] * </v>
      </c>
      <c r="C118" s="1071"/>
      <c r="D118" s="1071"/>
      <c r="E118" s="1071"/>
      <c r="F118" s="1071"/>
      <c r="G118" s="1071"/>
      <c r="H118" s="1072"/>
      <c r="I118" s="1090" t="str">
        <f>IF($I$115=$S$115, $S$115, IF($Q$118&gt;=480, IF($Q$118&lt;=1202, $Q$118, $S$115)," "))</f>
        <v>nie można</v>
      </c>
      <c r="J118" s="1090"/>
      <c r="K118" s="545"/>
      <c r="L118" s="545"/>
      <c r="M118" s="545"/>
      <c r="N118" s="546">
        <f>SUM(N106, 32, 17, $I$107, -$I$106)</f>
        <v>219</v>
      </c>
      <c r="O118" s="546">
        <f>SUM(O106, 32, 17, $I$107, -$I$106)</f>
        <v>238</v>
      </c>
      <c r="P118" s="545" t="s">
        <v>62</v>
      </c>
      <c r="Q118" s="545">
        <f>ROUND(SUM($I$114*2+$I$104+$I$105+$I$106), -1)</f>
        <v>0</v>
      </c>
      <c r="R118" s="545"/>
      <c r="S118" s="545"/>
      <c r="T118" s="545"/>
      <c r="U118" s="545"/>
      <c r="V118" s="545"/>
      <c r="W118" s="545"/>
      <c r="X118" s="108"/>
      <c r="Y118" s="670"/>
      <c r="Z118" s="670"/>
      <c r="AA118" s="670"/>
      <c r="AB118" s="670"/>
      <c r="AC118" s="670"/>
      <c r="AD118" s="670"/>
      <c r="AE118" s="670"/>
      <c r="AF118" s="670"/>
      <c r="AG118" s="670"/>
      <c r="AH118" s="670"/>
      <c r="AI118" s="670"/>
      <c r="AJ118" s="670"/>
      <c r="AK118" s="670"/>
      <c r="AL118" s="670"/>
      <c r="AM118" s="255"/>
    </row>
    <row r="119" spans="1:43" s="266" customFormat="1" ht="15" customHeight="1" x14ac:dyDescent="0.2">
      <c r="A119" s="1045"/>
      <c r="B119" s="545"/>
      <c r="C119" s="545"/>
      <c r="D119" s="545"/>
      <c r="E119" s="545"/>
      <c r="F119" s="545"/>
      <c r="G119" s="545"/>
      <c r="H119" s="545"/>
      <c r="I119" s="545"/>
      <c r="J119" s="545"/>
      <c r="K119" s="545"/>
      <c r="L119" s="545"/>
      <c r="M119" s="545"/>
      <c r="N119" s="545" t="s">
        <v>758</v>
      </c>
      <c r="O119" s="545" t="s">
        <v>758</v>
      </c>
      <c r="P119" s="545"/>
      <c r="Q119" s="546"/>
      <c r="R119" s="545"/>
      <c r="S119" s="545"/>
      <c r="T119" s="545"/>
      <c r="U119" s="545"/>
      <c r="V119" s="545"/>
      <c r="W119" s="545"/>
      <c r="X119" s="108"/>
      <c r="Y119" s="670"/>
      <c r="Z119" s="670"/>
      <c r="AA119" s="670"/>
      <c r="AB119" s="670"/>
      <c r="AC119" s="670"/>
      <c r="AD119" s="670"/>
      <c r="AE119" s="670"/>
      <c r="AF119" s="670"/>
      <c r="AG119" s="670"/>
      <c r="AH119" s="670"/>
      <c r="AI119" s="670"/>
      <c r="AJ119" s="670"/>
      <c r="AK119" s="670"/>
      <c r="AL119" s="670"/>
      <c r="AM119" s="255"/>
    </row>
    <row r="120" spans="1:43" s="266" customFormat="1" ht="15" customHeight="1" x14ac:dyDescent="0.2">
      <c r="A120" s="1045"/>
      <c r="B120" s="553" t="s">
        <v>63</v>
      </c>
      <c r="C120" s="545" t="str">
        <f>ListAVS!$B$221</f>
        <v xml:space="preserve">Wprowadź tę wysokość do tabelki służącej do planowania podnośników </v>
      </c>
      <c r="D120" s="545"/>
      <c r="E120" s="545"/>
      <c r="F120" s="545"/>
      <c r="G120" s="545"/>
      <c r="H120" s="545"/>
      <c r="I120" s="545"/>
      <c r="J120" s="545"/>
      <c r="K120" s="545"/>
      <c r="L120" s="545"/>
      <c r="M120" s="545"/>
      <c r="N120" s="546">
        <f>ROUNDDOWN(SUM(I103, -I104, -I105, -I106)/2, 0)</f>
        <v>0</v>
      </c>
      <c r="O120" s="546">
        <f>ROUNDDOWN(SUM(I103, -I104, -I105, -I106)/2, 0)</f>
        <v>0</v>
      </c>
      <c r="P120" s="545"/>
      <c r="Q120" s="546"/>
      <c r="R120" s="545"/>
      <c r="S120" s="545"/>
      <c r="T120" s="545"/>
      <c r="U120" s="545"/>
      <c r="V120" s="545"/>
      <c r="W120" s="545"/>
      <c r="X120" s="108"/>
      <c r="Y120" s="670"/>
      <c r="Z120" s="670"/>
      <c r="AA120" s="670"/>
      <c r="AB120" s="670"/>
      <c r="AC120" s="670"/>
      <c r="AD120" s="670"/>
      <c r="AE120" s="670"/>
      <c r="AF120" s="670"/>
      <c r="AG120" s="670"/>
      <c r="AH120" s="670"/>
      <c r="AI120" s="670"/>
      <c r="AJ120" s="670"/>
      <c r="AK120" s="670"/>
      <c r="AL120" s="670"/>
      <c r="AM120" s="255"/>
    </row>
    <row r="121" spans="1:43" s="266" customFormat="1" ht="15" customHeight="1" x14ac:dyDescent="0.2">
      <c r="A121" s="1045"/>
      <c r="B121" s="545"/>
      <c r="C121" s="545"/>
      <c r="D121" s="545"/>
      <c r="E121" s="545"/>
      <c r="F121" s="545"/>
      <c r="G121" s="545"/>
      <c r="H121" s="545"/>
      <c r="I121" s="545"/>
      <c r="J121" s="545"/>
      <c r="K121" s="545"/>
      <c r="L121" s="545"/>
      <c r="M121" s="545"/>
      <c r="N121" s="545"/>
      <c r="O121" s="546"/>
      <c r="P121" s="545"/>
      <c r="Q121" s="546"/>
      <c r="R121" s="545"/>
      <c r="S121" s="545"/>
      <c r="T121" s="545"/>
      <c r="U121" s="545"/>
      <c r="V121" s="545"/>
      <c r="W121" s="545"/>
      <c r="X121" s="108"/>
      <c r="Y121" s="670"/>
      <c r="Z121" s="670"/>
      <c r="AA121" s="670"/>
      <c r="AB121" s="670"/>
      <c r="AC121" s="670"/>
      <c r="AD121" s="670"/>
      <c r="AE121" s="670"/>
      <c r="AF121" s="670"/>
      <c r="AG121" s="670"/>
      <c r="AH121" s="670"/>
      <c r="AI121" s="670"/>
      <c r="AJ121" s="670"/>
      <c r="AK121" s="670"/>
      <c r="AL121" s="670"/>
    </row>
    <row r="122" spans="1:43" s="266" customFormat="1" ht="15" customHeight="1" x14ac:dyDescent="0.2">
      <c r="A122" s="1045"/>
      <c r="B122" s="255"/>
      <c r="C122" s="255"/>
      <c r="D122" s="255"/>
      <c r="E122" s="255"/>
      <c r="F122" s="255"/>
      <c r="G122" s="255"/>
      <c r="H122" s="255"/>
      <c r="I122" s="255"/>
      <c r="J122" s="255"/>
      <c r="K122" s="255"/>
      <c r="L122" s="255"/>
      <c r="M122" s="255"/>
      <c r="N122" s="255"/>
      <c r="O122" s="248"/>
      <c r="P122" s="255"/>
      <c r="Q122" s="248"/>
      <c r="R122" s="255"/>
      <c r="S122" s="255"/>
      <c r="T122" s="255"/>
      <c r="U122" s="255"/>
      <c r="V122" s="255"/>
      <c r="W122" s="255"/>
      <c r="X122" s="670"/>
      <c r="Y122" s="670"/>
      <c r="Z122" s="670"/>
      <c r="AA122" s="670"/>
      <c r="AB122" s="670"/>
      <c r="AC122" s="670"/>
      <c r="AD122" s="670"/>
      <c r="AE122" s="670"/>
      <c r="AF122" s="670"/>
      <c r="AG122" s="670"/>
      <c r="AH122" s="670"/>
      <c r="AI122" s="670"/>
      <c r="AJ122" s="670"/>
      <c r="AK122" s="670"/>
      <c r="AL122" s="670"/>
    </row>
    <row r="123" spans="1:43" s="266" customFormat="1" ht="15" customHeight="1" x14ac:dyDescent="0.2">
      <c r="A123" s="1045"/>
      <c r="B123" s="255"/>
      <c r="C123" s="255"/>
      <c r="D123" s="255"/>
      <c r="E123" s="255"/>
      <c r="F123" s="255"/>
      <c r="G123" s="255"/>
      <c r="H123" s="255"/>
      <c r="I123" s="255"/>
      <c r="J123" s="255"/>
      <c r="K123" s="255"/>
      <c r="L123" s="255"/>
      <c r="M123" s="255"/>
      <c r="N123" s="255"/>
      <c r="O123" s="248"/>
      <c r="P123" s="255"/>
      <c r="Q123" s="248"/>
      <c r="R123" s="255"/>
      <c r="S123" s="255"/>
      <c r="T123" s="255"/>
      <c r="U123" s="255"/>
      <c r="V123" s="255"/>
      <c r="W123" s="255"/>
      <c r="X123" s="670"/>
      <c r="Y123" s="670"/>
      <c r="Z123" s="670"/>
      <c r="AA123" s="670"/>
      <c r="AB123" s="670"/>
      <c r="AC123" s="670"/>
      <c r="AD123" s="670"/>
      <c r="AE123" s="670"/>
      <c r="AF123" s="670"/>
      <c r="AG123" s="670"/>
      <c r="AH123" s="670"/>
      <c r="AI123" s="670"/>
      <c r="AJ123" s="670"/>
      <c r="AK123" s="670"/>
      <c r="AL123" s="670"/>
    </row>
    <row r="124" spans="1:43" s="266" customFormat="1" ht="15" customHeight="1" x14ac:dyDescent="0.2">
      <c r="A124" s="1045"/>
      <c r="B124" s="255"/>
      <c r="C124" s="255"/>
      <c r="D124" s="255"/>
      <c r="E124" s="255"/>
      <c r="F124" s="255"/>
      <c r="G124" s="255"/>
      <c r="H124" s="255"/>
      <c r="I124" s="255"/>
      <c r="J124" s="255"/>
      <c r="K124" s="255"/>
      <c r="L124" s="255"/>
      <c r="M124" s="255"/>
      <c r="N124" s="255"/>
      <c r="O124" s="248"/>
      <c r="P124" s="255"/>
      <c r="Q124" s="248"/>
      <c r="R124" s="255"/>
      <c r="S124" s="255"/>
      <c r="T124" s="255"/>
      <c r="U124" s="255"/>
      <c r="V124" s="255"/>
      <c r="W124" s="255"/>
      <c r="X124" s="670"/>
      <c r="Y124" s="670"/>
      <c r="Z124" s="670"/>
      <c r="AA124" s="670"/>
      <c r="AB124" s="670"/>
      <c r="AC124" s="670"/>
      <c r="AD124" s="670"/>
      <c r="AE124" s="670"/>
      <c r="AF124" s="670"/>
      <c r="AG124" s="670"/>
      <c r="AH124" s="670"/>
      <c r="AI124" s="670"/>
      <c r="AJ124" s="670"/>
      <c r="AK124" s="670"/>
      <c r="AL124" s="670"/>
    </row>
    <row r="125" spans="1:43" s="266" customFormat="1" ht="15" customHeight="1" x14ac:dyDescent="0.2">
      <c r="A125" s="1045"/>
      <c r="B125" s="605"/>
      <c r="C125" s="605"/>
      <c r="D125" s="255"/>
      <c r="E125" s="255"/>
      <c r="F125" s="255"/>
      <c r="G125" s="255"/>
      <c r="H125" s="255"/>
      <c r="I125" s="1128" t="str">
        <f>ListAVS!$B$168</f>
        <v>Z powrotem</v>
      </c>
      <c r="J125" s="1128"/>
      <c r="K125" s="255"/>
      <c r="L125" s="255"/>
      <c r="M125" s="255"/>
      <c r="N125" s="255"/>
      <c r="O125" s="248"/>
      <c r="P125" s="255"/>
      <c r="Q125" s="248"/>
      <c r="R125" s="255"/>
      <c r="S125" s="255"/>
      <c r="T125" s="255"/>
      <c r="U125" s="255"/>
      <c r="V125" s="255"/>
      <c r="W125" s="255"/>
      <c r="X125" s="670"/>
      <c r="Y125" s="670"/>
      <c r="Z125" s="670"/>
      <c r="AA125" s="670"/>
      <c r="AB125" s="670"/>
      <c r="AC125" s="670"/>
      <c r="AD125" s="670"/>
      <c r="AE125" s="670"/>
      <c r="AF125" s="670"/>
      <c r="AG125" s="670"/>
      <c r="AH125" s="670"/>
      <c r="AI125" s="670"/>
      <c r="AJ125" s="670"/>
      <c r="AK125" s="670"/>
      <c r="AL125" s="670"/>
      <c r="AQ125" s="255"/>
    </row>
    <row r="126" spans="1:43" s="255" customFormat="1" ht="15" customHeight="1" x14ac:dyDescent="0.2">
      <c r="A126" s="1045"/>
      <c r="O126" s="248"/>
      <c r="Q126" s="248"/>
      <c r="X126" s="670"/>
      <c r="Y126" s="670"/>
      <c r="Z126" s="670"/>
      <c r="AA126" s="670"/>
      <c r="AB126" s="670"/>
      <c r="AC126" s="670"/>
      <c r="AD126" s="670"/>
      <c r="AE126" s="670"/>
      <c r="AF126" s="670"/>
      <c r="AG126" s="670"/>
      <c r="AH126" s="670"/>
      <c r="AI126" s="670"/>
      <c r="AJ126" s="670"/>
      <c r="AK126" s="670"/>
      <c r="AL126" s="670"/>
      <c r="AM126" s="266"/>
      <c r="AN126" s="137"/>
      <c r="AO126" s="137"/>
      <c r="AP126" s="137"/>
      <c r="AQ126" s="37"/>
    </row>
    <row r="127" spans="1:43" s="37" customFormat="1" x14ac:dyDescent="0.2">
      <c r="A127" s="1045"/>
      <c r="O127" s="118"/>
      <c r="Q127" s="118"/>
      <c r="X127" s="108"/>
      <c r="Y127" s="108"/>
      <c r="Z127" s="108"/>
      <c r="AA127" s="108"/>
      <c r="AB127" s="108"/>
      <c r="AC127" s="108"/>
      <c r="AD127" s="108"/>
      <c r="AE127" s="108"/>
      <c r="AF127" s="108"/>
      <c r="AG127" s="108"/>
      <c r="AH127" s="108"/>
      <c r="AI127" s="108"/>
      <c r="AJ127" s="108"/>
      <c r="AK127" s="108"/>
      <c r="AL127" s="108"/>
      <c r="AM127" s="137"/>
      <c r="AN127" s="137"/>
      <c r="AO127" s="137"/>
      <c r="AP127" s="137"/>
    </row>
    <row r="128" spans="1:43" s="37" customFormat="1" x14ac:dyDescent="0.2">
      <c r="A128" s="1045"/>
      <c r="O128" s="118"/>
      <c r="Q128" s="118"/>
      <c r="X128" s="108"/>
      <c r="Y128" s="108"/>
      <c r="Z128" s="108"/>
      <c r="AA128" s="108"/>
      <c r="AB128" s="108"/>
      <c r="AC128" s="108"/>
      <c r="AD128" s="108"/>
      <c r="AE128" s="108"/>
      <c r="AF128" s="108"/>
      <c r="AG128" s="108"/>
      <c r="AH128" s="108"/>
      <c r="AI128" s="108"/>
      <c r="AJ128" s="108"/>
      <c r="AK128" s="108"/>
      <c r="AL128" s="108"/>
      <c r="AM128" s="137"/>
      <c r="AN128" s="137"/>
      <c r="AO128" s="137"/>
      <c r="AP128" s="137"/>
    </row>
    <row r="129" spans="1:43" s="37" customFormat="1" x14ac:dyDescent="0.2">
      <c r="A129" s="1045"/>
      <c r="O129" s="118"/>
      <c r="Q129" s="118"/>
      <c r="X129" s="108"/>
      <c r="Y129" s="108"/>
      <c r="Z129" s="108"/>
      <c r="AA129" s="108"/>
      <c r="AB129" s="108"/>
      <c r="AC129" s="108"/>
      <c r="AD129" s="108"/>
      <c r="AE129" s="108"/>
      <c r="AF129" s="108"/>
      <c r="AG129" s="108"/>
      <c r="AH129" s="108"/>
      <c r="AI129" s="108"/>
      <c r="AJ129" s="108"/>
      <c r="AK129" s="108"/>
      <c r="AL129" s="108"/>
      <c r="AM129" s="137"/>
      <c r="AN129" s="137"/>
      <c r="AO129" s="137"/>
      <c r="AP129" s="137"/>
    </row>
    <row r="130" spans="1:43" s="37" customFormat="1" x14ac:dyDescent="0.2">
      <c r="A130" s="1045"/>
      <c r="O130" s="118"/>
      <c r="Q130" s="118"/>
      <c r="X130" s="108"/>
      <c r="Y130" s="108"/>
      <c r="Z130" s="108"/>
      <c r="AA130" s="108"/>
      <c r="AB130" s="108"/>
      <c r="AC130" s="108"/>
      <c r="AD130" s="108"/>
      <c r="AE130" s="108"/>
      <c r="AF130" s="108"/>
      <c r="AG130" s="108"/>
      <c r="AH130" s="108"/>
      <c r="AI130" s="108"/>
      <c r="AJ130" s="108"/>
      <c r="AK130" s="108"/>
      <c r="AL130" s="108"/>
      <c r="AM130" s="137"/>
      <c r="AN130" s="137"/>
      <c r="AO130" s="137"/>
      <c r="AP130" s="137"/>
    </row>
    <row r="131" spans="1:43" s="37" customFormat="1" x14ac:dyDescent="0.2">
      <c r="A131" s="1045"/>
      <c r="O131" s="118"/>
      <c r="Q131" s="118"/>
      <c r="X131" s="108"/>
      <c r="Y131" s="108"/>
      <c r="Z131" s="108"/>
      <c r="AA131" s="108"/>
      <c r="AB131" s="108"/>
      <c r="AC131" s="108"/>
      <c r="AD131" s="108"/>
      <c r="AE131" s="108"/>
      <c r="AF131" s="108"/>
      <c r="AG131" s="108"/>
      <c r="AH131" s="108"/>
      <c r="AI131" s="108"/>
      <c r="AJ131" s="108"/>
      <c r="AK131" s="108"/>
      <c r="AL131" s="108"/>
      <c r="AM131" s="137"/>
      <c r="AN131" s="137"/>
      <c r="AO131" s="137"/>
      <c r="AP131" s="137"/>
    </row>
    <row r="132" spans="1:43" s="37" customFormat="1" x14ac:dyDescent="0.2">
      <c r="A132" s="1045"/>
      <c r="O132" s="118"/>
      <c r="Q132" s="118"/>
      <c r="X132" s="108"/>
      <c r="Y132" s="108"/>
      <c r="Z132" s="108"/>
      <c r="AA132" s="108"/>
      <c r="AB132" s="108"/>
      <c r="AC132" s="108"/>
      <c r="AD132" s="108"/>
      <c r="AE132" s="108"/>
      <c r="AF132" s="108"/>
      <c r="AG132" s="108"/>
      <c r="AH132" s="108"/>
      <c r="AI132" s="108"/>
      <c r="AJ132" s="108"/>
      <c r="AK132" s="108"/>
      <c r="AL132" s="108"/>
      <c r="AM132" s="137"/>
      <c r="AN132" s="137"/>
      <c r="AO132" s="137"/>
      <c r="AP132" s="137"/>
    </row>
    <row r="133" spans="1:43" s="37" customFormat="1" x14ac:dyDescent="0.2">
      <c r="A133" s="1045"/>
      <c r="O133" s="118"/>
      <c r="Q133" s="118"/>
      <c r="X133" s="108"/>
      <c r="Y133" s="108"/>
      <c r="Z133" s="108"/>
      <c r="AA133" s="108"/>
      <c r="AB133" s="108"/>
      <c r="AC133" s="108"/>
      <c r="AD133" s="108"/>
      <c r="AE133" s="108"/>
      <c r="AF133" s="108"/>
      <c r="AG133" s="108"/>
      <c r="AH133" s="108"/>
      <c r="AI133" s="108"/>
      <c r="AJ133" s="108"/>
      <c r="AK133" s="108"/>
      <c r="AL133" s="108"/>
      <c r="AM133" s="137"/>
      <c r="AN133" s="137"/>
      <c r="AO133" s="137"/>
      <c r="AP133" s="137"/>
    </row>
    <row r="134" spans="1:43" s="37" customFormat="1" x14ac:dyDescent="0.2">
      <c r="A134" s="1045"/>
      <c r="O134" s="118"/>
      <c r="Q134" s="118"/>
      <c r="X134" s="108"/>
      <c r="Y134" s="108"/>
      <c r="Z134" s="108"/>
      <c r="AA134" s="108"/>
      <c r="AB134" s="108"/>
      <c r="AC134" s="108"/>
      <c r="AD134" s="108"/>
      <c r="AE134" s="108"/>
      <c r="AF134" s="108"/>
      <c r="AG134" s="108"/>
      <c r="AH134" s="108"/>
      <c r="AI134" s="108"/>
      <c r="AJ134" s="108"/>
      <c r="AK134" s="108"/>
      <c r="AL134" s="108"/>
      <c r="AM134" s="137"/>
      <c r="AN134" s="137"/>
      <c r="AO134" s="137"/>
      <c r="AP134" s="137"/>
    </row>
    <row r="135" spans="1:43" s="37" customFormat="1" x14ac:dyDescent="0.2">
      <c r="A135" s="1045"/>
      <c r="O135" s="118"/>
      <c r="Q135" s="118"/>
      <c r="X135" s="108"/>
      <c r="Y135" s="108"/>
      <c r="Z135" s="108"/>
      <c r="AA135" s="108"/>
      <c r="AB135" s="108"/>
      <c r="AC135" s="108"/>
      <c r="AD135" s="108"/>
      <c r="AE135" s="108"/>
      <c r="AF135" s="108"/>
      <c r="AG135" s="108"/>
      <c r="AH135" s="108"/>
      <c r="AI135" s="108"/>
      <c r="AJ135" s="108"/>
      <c r="AK135" s="108"/>
      <c r="AL135" s="108"/>
      <c r="AM135" s="137"/>
      <c r="AN135" s="137"/>
      <c r="AO135" s="137"/>
      <c r="AP135" s="137"/>
    </row>
    <row r="136" spans="1:43" s="37" customFormat="1" x14ac:dyDescent="0.2">
      <c r="A136" s="1045"/>
      <c r="O136" s="118"/>
      <c r="Q136" s="118"/>
      <c r="X136" s="108"/>
      <c r="Y136" s="108"/>
      <c r="Z136" s="108"/>
      <c r="AA136" s="108"/>
      <c r="AB136" s="108"/>
      <c r="AC136" s="108"/>
      <c r="AD136" s="108"/>
      <c r="AE136" s="108"/>
      <c r="AF136" s="108"/>
      <c r="AG136" s="108"/>
      <c r="AH136" s="108"/>
      <c r="AI136" s="108"/>
      <c r="AJ136" s="108"/>
      <c r="AK136" s="108"/>
      <c r="AL136" s="108"/>
      <c r="AM136" s="137"/>
      <c r="AN136" s="137"/>
      <c r="AO136" s="137"/>
      <c r="AP136" s="137"/>
    </row>
    <row r="137" spans="1:43" s="37" customFormat="1" x14ac:dyDescent="0.2">
      <c r="A137" s="1045"/>
      <c r="O137" s="118"/>
      <c r="Q137" s="118"/>
      <c r="X137" s="108"/>
      <c r="Y137" s="108"/>
      <c r="Z137" s="108"/>
      <c r="AA137" s="108"/>
      <c r="AB137" s="108"/>
      <c r="AC137" s="108"/>
      <c r="AD137" s="108"/>
      <c r="AE137" s="108"/>
      <c r="AF137" s="108"/>
      <c r="AG137" s="108"/>
      <c r="AH137" s="108"/>
      <c r="AI137" s="108"/>
      <c r="AJ137" s="108"/>
      <c r="AK137" s="108"/>
      <c r="AL137" s="108"/>
      <c r="AM137" s="137"/>
      <c r="AN137" s="137"/>
      <c r="AO137" s="137"/>
      <c r="AP137" s="137"/>
    </row>
    <row r="138" spans="1:43" s="37" customFormat="1" x14ac:dyDescent="0.2">
      <c r="A138" s="1045"/>
      <c r="O138" s="118"/>
      <c r="Q138" s="118"/>
      <c r="X138" s="108"/>
      <c r="Y138" s="108"/>
      <c r="Z138" s="108"/>
      <c r="AA138" s="108"/>
      <c r="AB138" s="108"/>
      <c r="AC138" s="108"/>
      <c r="AD138" s="108"/>
      <c r="AE138" s="108"/>
      <c r="AF138" s="108"/>
      <c r="AG138" s="108"/>
      <c r="AH138" s="108"/>
      <c r="AI138" s="108"/>
      <c r="AJ138" s="108"/>
      <c r="AK138" s="108"/>
      <c r="AL138" s="108"/>
      <c r="AM138" s="137"/>
      <c r="AN138" s="137"/>
      <c r="AO138" s="137"/>
      <c r="AP138" s="137"/>
      <c r="AQ138" s="137"/>
    </row>
    <row r="139" spans="1:43" ht="18" x14ac:dyDescent="0.2">
      <c r="A139" s="1045"/>
      <c r="B139" s="308" t="s">
        <v>11</v>
      </c>
      <c r="C139" s="321"/>
      <c r="D139" s="308"/>
      <c r="E139" s="308"/>
      <c r="F139" s="308"/>
      <c r="G139" s="308"/>
      <c r="H139" s="308"/>
      <c r="I139" s="308"/>
      <c r="J139" s="308"/>
      <c r="K139" s="308"/>
      <c r="L139" s="308"/>
    </row>
    <row r="140" spans="1:43" x14ac:dyDescent="0.2">
      <c r="A140" s="1045"/>
    </row>
    <row r="141" spans="1:43" ht="12.75" x14ac:dyDescent="0.2">
      <c r="A141" s="1045"/>
      <c r="B141" s="255" t="str">
        <f>ListAVS!$B$303</f>
        <v>Odpowiedni siłownik będzie określony za pomocą współczynnika mocy</v>
      </c>
      <c r="C141" s="255"/>
      <c r="D141" s="255"/>
      <c r="E141" s="255"/>
      <c r="F141" s="255"/>
      <c r="G141" s="255"/>
      <c r="H141" s="255"/>
      <c r="I141" s="255"/>
      <c r="J141" s="255"/>
      <c r="K141" s="255"/>
      <c r="L141" s="255"/>
    </row>
    <row r="142" spans="1:43" ht="12.75" x14ac:dyDescent="0.2">
      <c r="A142" s="1045"/>
      <c r="B142" s="255" t="str">
        <f>ListAVS!$B$304</f>
        <v>Współczynnik mocy zależy od wagi dolnego i górnego frontu oraz od wysokości korpusu</v>
      </c>
      <c r="C142" s="255"/>
      <c r="D142" s="255"/>
      <c r="E142" s="255"/>
      <c r="F142" s="255"/>
      <c r="G142" s="255"/>
      <c r="H142" s="255"/>
      <c r="I142" s="255"/>
      <c r="J142" s="255"/>
      <c r="K142" s="255"/>
      <c r="L142" s="255"/>
    </row>
    <row r="143" spans="1:43" ht="12.75" x14ac:dyDescent="0.2">
      <c r="A143" s="1045"/>
      <c r="B143" s="255"/>
      <c r="C143" s="695"/>
      <c r="D143" s="695"/>
      <c r="E143" s="695"/>
      <c r="F143" s="695"/>
      <c r="G143" s="695"/>
      <c r="H143" s="695"/>
      <c r="I143" s="695"/>
      <c r="J143" s="695"/>
      <c r="K143" s="695"/>
      <c r="L143" s="695"/>
    </row>
    <row r="144" spans="1:43" ht="15" customHeight="1" x14ac:dyDescent="0.2">
      <c r="A144" s="1045"/>
      <c r="B144" s="696"/>
      <c r="C144" s="696"/>
      <c r="D144" s="696"/>
      <c r="E144" s="696"/>
      <c r="F144" s="696"/>
      <c r="G144" s="696"/>
      <c r="H144" s="696"/>
      <c r="I144" s="696"/>
      <c r="J144" s="696"/>
      <c r="K144" s="696"/>
      <c r="L144" s="696"/>
    </row>
    <row r="145" spans="1:12" ht="18" customHeight="1" x14ac:dyDescent="0.2">
      <c r="A145" s="1045"/>
      <c r="B145" s="697"/>
      <c r="C145" s="697"/>
      <c r="D145" s="698" t="str">
        <f>ListAVS!$B$86&amp;" = "</f>
        <v xml:space="preserve">Współczynnik mocy = </v>
      </c>
      <c r="E145" s="1068" t="str">
        <f>ListAVS!$B$320&amp;" [kg]"</f>
        <v>wysokość korpusu (KH) [mm] x waga obu frontów wraz z uchwytem [kg]</v>
      </c>
      <c r="F145" s="1068"/>
      <c r="G145" s="1068"/>
      <c r="H145" s="1068"/>
      <c r="I145" s="1068"/>
      <c r="J145" s="1068"/>
      <c r="K145" s="1068"/>
      <c r="L145" s="1068"/>
    </row>
    <row r="146" spans="1:12" ht="12.75" x14ac:dyDescent="0.2">
      <c r="A146" s="1045"/>
      <c r="B146" s="255"/>
      <c r="C146" s="255"/>
      <c r="D146" s="255"/>
      <c r="E146" s="255"/>
      <c r="F146" s="255"/>
      <c r="G146" s="255"/>
      <c r="H146" s="255"/>
      <c r="I146" s="255"/>
      <c r="J146" s="255"/>
      <c r="K146" s="255"/>
      <c r="L146" s="255"/>
    </row>
    <row r="147" spans="1:12" ht="12.75" x14ac:dyDescent="0.2">
      <c r="A147" s="1045"/>
      <c r="B147" s="255"/>
      <c r="C147" s="255"/>
      <c r="D147" s="255"/>
      <c r="E147" s="255"/>
      <c r="F147" s="255"/>
      <c r="G147" s="255"/>
      <c r="H147" s="255"/>
      <c r="I147" s="255"/>
      <c r="J147" s="255"/>
      <c r="K147" s="255"/>
      <c r="L147" s="255"/>
    </row>
    <row r="148" spans="1:12" ht="12.75" x14ac:dyDescent="0.2">
      <c r="A148" s="1045"/>
      <c r="B148" s="255"/>
      <c r="C148" s="255"/>
      <c r="D148" s="255"/>
      <c r="E148" s="255"/>
      <c r="F148" s="255"/>
      <c r="G148" s="255"/>
      <c r="H148" s="255"/>
      <c r="I148" s="255"/>
      <c r="J148" s="255"/>
      <c r="K148" s="255"/>
      <c r="L148" s="255"/>
    </row>
    <row r="149" spans="1:12" ht="12.75" x14ac:dyDescent="0.2">
      <c r="A149" s="1045"/>
      <c r="B149" s="273"/>
      <c r="C149" s="255"/>
      <c r="D149" s="255"/>
      <c r="E149" s="255"/>
      <c r="F149" s="255"/>
      <c r="G149" s="255"/>
      <c r="H149" s="255"/>
      <c r="I149" s="255"/>
      <c r="J149" s="255"/>
      <c r="K149" s="255"/>
      <c r="L149" s="255"/>
    </row>
    <row r="150" spans="1:12" ht="12.75" x14ac:dyDescent="0.2">
      <c r="A150" s="1045"/>
      <c r="B150" s="255"/>
      <c r="C150" s="255"/>
      <c r="D150" s="255"/>
      <c r="E150" s="255"/>
      <c r="F150" s="255"/>
      <c r="G150" s="255"/>
      <c r="H150" s="255"/>
      <c r="I150" s="255"/>
      <c r="J150" s="255"/>
      <c r="K150" s="255"/>
      <c r="L150" s="255"/>
    </row>
    <row r="151" spans="1:12" ht="12.75" x14ac:dyDescent="0.2">
      <c r="A151" s="1045"/>
      <c r="B151" s="255" t="str">
        <f>ListAVS!$B$312</f>
        <v>Jeśli znasz wagę frontu, możesz ją wprowadzić, w przeciwnym razie skorzystaj z „Obliczenia wagi”.</v>
      </c>
      <c r="C151" s="255"/>
      <c r="D151" s="255"/>
      <c r="E151" s="255"/>
      <c r="F151" s="255"/>
      <c r="G151" s="255"/>
      <c r="H151" s="255"/>
      <c r="I151" s="255"/>
      <c r="J151" s="255"/>
      <c r="K151" s="255"/>
      <c r="L151" s="255"/>
    </row>
    <row r="152" spans="1:12" ht="12.75" x14ac:dyDescent="0.2">
      <c r="A152" s="1045"/>
      <c r="B152" s="255" t="str">
        <f>ListAVS!$B$313</f>
        <v>W tabeli wprowadzona wartość ma pierwszeństwo aby skorzystać z wagi obliczeniowej, należy usunąć wprowadzoną wartość.</v>
      </c>
      <c r="C152" s="255"/>
      <c r="D152" s="255"/>
      <c r="E152" s="255"/>
      <c r="F152" s="255"/>
      <c r="G152" s="255"/>
      <c r="H152" s="255"/>
      <c r="I152" s="255"/>
      <c r="J152" s="255"/>
      <c r="K152" s="255"/>
      <c r="L152" s="255"/>
    </row>
    <row r="153" spans="1:12" ht="12.75" x14ac:dyDescent="0.2">
      <c r="A153" s="1045"/>
      <c r="B153" s="255"/>
      <c r="C153" s="255"/>
      <c r="D153" s="255"/>
      <c r="E153" s="255"/>
      <c r="F153" s="255"/>
      <c r="G153" s="255"/>
      <c r="H153" s="255"/>
      <c r="I153" s="255"/>
      <c r="J153" s="255"/>
      <c r="K153" s="255"/>
      <c r="L153" s="255"/>
    </row>
    <row r="154" spans="1:12" ht="12.75" x14ac:dyDescent="0.2">
      <c r="A154" s="1045"/>
      <c r="B154" s="255" t="str">
        <f>ListAVS!$B$323&amp;". "&amp;ListAVS!$B$324&amp;"."</f>
        <v>Długość podnośnika teleskopowego zależy od wysokości korpusu KH. W przypadku frontów asymetrycznych wykorzystuje się wysokość teoretyczną TKH.</v>
      </c>
      <c r="C154" s="255"/>
      <c r="D154" s="255"/>
      <c r="E154" s="255"/>
      <c r="F154" s="255"/>
      <c r="G154" s="255"/>
      <c r="H154" s="255"/>
      <c r="I154" s="255"/>
      <c r="J154" s="255"/>
      <c r="K154" s="255"/>
      <c r="L154" s="255"/>
    </row>
    <row r="155" spans="1:12" ht="12.75" x14ac:dyDescent="0.2">
      <c r="A155" s="1045"/>
      <c r="B155" s="255"/>
      <c r="C155" s="255"/>
      <c r="D155" s="255"/>
      <c r="E155" s="255"/>
      <c r="F155" s="255"/>
      <c r="G155" s="255"/>
      <c r="H155" s="255"/>
      <c r="I155" s="255"/>
      <c r="J155" s="255"/>
      <c r="K155" s="255"/>
      <c r="L155" s="255"/>
    </row>
    <row r="156" spans="1:12" ht="15" customHeight="1" x14ac:dyDescent="0.2">
      <c r="A156" s="1045"/>
      <c r="B156" s="699" t="str">
        <f>" "&amp;ListAVS!$B$163&amp;":"</f>
        <v xml:space="preserve"> Fronty asymetryczne:</v>
      </c>
      <c r="C156" s="700"/>
      <c r="D156" s="700"/>
      <c r="E156" s="700"/>
      <c r="F156" s="700"/>
      <c r="G156" s="700"/>
      <c r="H156" s="700"/>
      <c r="I156" s="700"/>
      <c r="J156" s="700"/>
      <c r="K156" s="700"/>
      <c r="L156" s="700"/>
    </row>
    <row r="157" spans="1:12" ht="18" customHeight="1" x14ac:dyDescent="0.2">
      <c r="A157" s="1045"/>
      <c r="B157" s="701" t="str">
        <f>" "&amp;ListAVS!$B$321</f>
        <v xml:space="preserve"> Teoretyczna wysokość korpusu (TKH) = wysokość frontu górnego (FHo) x 2 + szczeliny</v>
      </c>
      <c r="C157" s="700"/>
      <c r="D157" s="700"/>
      <c r="E157" s="700"/>
      <c r="F157" s="700"/>
      <c r="G157" s="700"/>
      <c r="H157" s="700"/>
      <c r="I157" s="700"/>
      <c r="J157" s="700"/>
      <c r="K157" s="700"/>
      <c r="L157" s="700"/>
    </row>
    <row r="158" spans="1:12" ht="12.75" x14ac:dyDescent="0.2">
      <c r="A158" s="1045"/>
      <c r="B158" s="255"/>
      <c r="C158" s="255"/>
      <c r="D158" s="255"/>
      <c r="E158" s="255"/>
      <c r="F158" s="255"/>
      <c r="G158" s="255"/>
      <c r="H158" s="255"/>
      <c r="I158" s="255"/>
      <c r="J158" s="255"/>
      <c r="K158" s="255"/>
      <c r="L158" s="255"/>
    </row>
    <row r="159" spans="1:12" ht="12.75" x14ac:dyDescent="0.2">
      <c r="A159" s="1045"/>
      <c r="B159" s="255" t="str">
        <f>ListAVS!$B$316</f>
        <v>W przypadku frontów asymetrycznych, większy front musi być na górze!</v>
      </c>
      <c r="C159" s="255"/>
      <c r="D159" s="255"/>
      <c r="E159" s="255"/>
      <c r="F159" s="255"/>
      <c r="G159" s="255"/>
      <c r="H159" s="255"/>
      <c r="I159" s="255"/>
      <c r="J159" s="255"/>
      <c r="K159" s="255"/>
      <c r="L159" s="255"/>
    </row>
    <row r="160" spans="1:12" ht="12.75" x14ac:dyDescent="0.2">
      <c r="A160" s="1045"/>
      <c r="B160" s="255"/>
      <c r="C160" s="255"/>
      <c r="D160" s="255"/>
      <c r="E160" s="255"/>
      <c r="F160" s="255"/>
      <c r="G160" s="255"/>
      <c r="H160" s="255"/>
      <c r="I160" s="255"/>
      <c r="J160" s="255"/>
      <c r="K160" s="255"/>
      <c r="L160" s="255"/>
    </row>
    <row r="161" spans="1:12" ht="12.75" x14ac:dyDescent="0.2">
      <c r="A161" s="1045"/>
      <c r="B161" s="255" t="str">
        <f>ListAVS!$B$326</f>
        <v>Jeżeli podasz wartość TKH, będzie ona wykorzystana do określenia długości podnośnika teleskopowego</v>
      </c>
      <c r="C161" s="255"/>
      <c r="D161" s="255"/>
      <c r="E161" s="255"/>
      <c r="F161" s="255"/>
      <c r="G161" s="255"/>
      <c r="H161" s="255"/>
      <c r="I161" s="255"/>
      <c r="J161" s="255"/>
      <c r="K161" s="255"/>
      <c r="L161" s="255"/>
    </row>
    <row r="162" spans="1:12" ht="12.75" x14ac:dyDescent="0.2">
      <c r="A162" s="1045"/>
      <c r="B162" s="255" t="str">
        <f>ListAVS!$B$327</f>
        <v>Jeśli nie masz asymetrycznych frontów, zostaw pole puste</v>
      </c>
      <c r="C162" s="255"/>
      <c r="D162" s="255"/>
      <c r="E162" s="255"/>
      <c r="F162" s="255"/>
      <c r="G162" s="255"/>
      <c r="H162" s="255"/>
      <c r="I162" s="255"/>
      <c r="J162" s="255"/>
      <c r="K162" s="255"/>
      <c r="L162" s="255"/>
    </row>
    <row r="163" spans="1:12" ht="12.75" x14ac:dyDescent="0.2">
      <c r="A163" s="1045"/>
      <c r="B163" s="255" t="str">
        <f>ListAVS!$B$328&amp;" ' "&amp;ListAVS!$B$195&amp;"' "</f>
        <v xml:space="preserve">Do obliczenia TKH użyj ' Obliczanie frontów asymetrycznych' </v>
      </c>
      <c r="C163" s="255"/>
      <c r="D163" s="255"/>
      <c r="E163" s="255"/>
      <c r="F163" s="255"/>
      <c r="G163" s="255"/>
      <c r="H163" s="255"/>
      <c r="I163" s="255"/>
      <c r="J163" s="255"/>
      <c r="K163" s="255"/>
      <c r="L163" s="255"/>
    </row>
    <row r="164" spans="1:12" ht="12.75" x14ac:dyDescent="0.2">
      <c r="A164" s="1045"/>
      <c r="B164" s="255"/>
      <c r="C164" s="255"/>
      <c r="D164" s="255"/>
      <c r="E164" s="255"/>
      <c r="F164" s="255"/>
      <c r="G164" s="255"/>
      <c r="H164" s="255"/>
      <c r="I164" s="255"/>
      <c r="J164" s="255"/>
      <c r="K164" s="255"/>
      <c r="L164" s="255"/>
    </row>
    <row r="165" spans="1:12" ht="12.75" x14ac:dyDescent="0.2">
      <c r="A165" s="1045"/>
      <c r="B165" s="255"/>
      <c r="C165" s="255"/>
      <c r="D165" s="255"/>
      <c r="E165" s="255"/>
      <c r="F165" s="255"/>
      <c r="G165" s="255"/>
      <c r="H165" s="255"/>
      <c r="I165" s="255"/>
      <c r="J165" s="255"/>
      <c r="K165" s="255"/>
      <c r="L165" s="255"/>
    </row>
    <row r="166" spans="1:12" ht="12.75" x14ac:dyDescent="0.2">
      <c r="A166" s="1045"/>
      <c r="B166" s="255" t="str">
        <f>ListAVS!$B$306</f>
        <v>Aby zmienić kolor zaślepek przejdź do „Wprowadzenie do planowania”</v>
      </c>
      <c r="C166" s="255"/>
      <c r="D166" s="255"/>
      <c r="E166" s="255"/>
      <c r="F166" s="255"/>
      <c r="G166" s="255"/>
      <c r="H166" s="255"/>
      <c r="I166" s="255"/>
      <c r="J166" s="255"/>
      <c r="K166" s="255"/>
      <c r="L166" s="255"/>
    </row>
    <row r="167" spans="1:12" ht="12.75" x14ac:dyDescent="0.2">
      <c r="A167" s="1045"/>
      <c r="B167" s="255"/>
      <c r="C167" s="255"/>
      <c r="D167" s="255"/>
      <c r="E167" s="255"/>
      <c r="F167" s="255"/>
      <c r="G167" s="255"/>
      <c r="H167" s="255"/>
      <c r="I167" s="255"/>
      <c r="J167" s="255"/>
      <c r="K167" s="255"/>
      <c r="L167" s="255"/>
    </row>
    <row r="168" spans="1:12" ht="12.75" x14ac:dyDescent="0.2">
      <c r="A168" s="1045"/>
      <c r="B168" s="255" t="str">
        <f>ListAVS!$B$411</f>
        <v>Zwróć uwagę na wybór ramek aluminiowych</v>
      </c>
      <c r="C168" s="255"/>
      <c r="D168" s="255"/>
      <c r="E168" s="255"/>
      <c r="F168" s="255"/>
      <c r="G168" s="255"/>
      <c r="H168" s="255"/>
      <c r="I168" s="255"/>
      <c r="J168" s="255"/>
      <c r="K168" s="255"/>
      <c r="L168" s="255"/>
    </row>
    <row r="169" spans="1:12" ht="12.75" x14ac:dyDescent="0.2">
      <c r="A169" s="1045"/>
      <c r="B169" s="255" t="str">
        <f>ListAVS!$B$412</f>
        <v>Wybierz, rodzaj, który lepiej pasuje do kształtu zastosowanej ramki aluminiowej.</v>
      </c>
      <c r="C169" s="255"/>
      <c r="D169" s="255"/>
      <c r="E169" s="255"/>
      <c r="F169" s="255"/>
      <c r="G169" s="255"/>
      <c r="H169" s="255"/>
      <c r="I169" s="255"/>
      <c r="J169" s="255"/>
      <c r="K169" s="255"/>
      <c r="L169" s="255"/>
    </row>
    <row r="170" spans="1:12" ht="12.75" x14ac:dyDescent="0.2">
      <c r="A170" s="1045"/>
      <c r="B170" s="255" t="str">
        <f>ListAVS!$B$413</f>
        <v>Sposób mocowania szkła w ramkę znacząco wpływa na powierzchnię szkła, a co za tym idzie na jego wagę!</v>
      </c>
      <c r="C170" s="255"/>
      <c r="D170" s="255"/>
      <c r="E170" s="255"/>
      <c r="F170" s="255"/>
      <c r="G170" s="255"/>
      <c r="H170" s="255"/>
      <c r="I170" s="255"/>
      <c r="J170" s="255"/>
      <c r="K170" s="255"/>
      <c r="L170" s="266"/>
    </row>
    <row r="171" spans="1:12" ht="12.75" x14ac:dyDescent="0.2">
      <c r="A171" s="1045"/>
      <c r="B171" s="255"/>
      <c r="C171" s="255"/>
      <c r="D171" s="255"/>
      <c r="E171" s="255"/>
      <c r="F171" s="255"/>
      <c r="G171" s="255"/>
      <c r="H171" s="255"/>
      <c r="I171" s="255"/>
      <c r="J171" s="255"/>
      <c r="K171" s="255"/>
      <c r="L171" s="255"/>
    </row>
    <row r="172" spans="1:12" ht="12.75" x14ac:dyDescent="0.2">
      <c r="A172" s="1045"/>
      <c r="B172" s="255"/>
      <c r="C172" s="796" t="str">
        <f>"  "&amp;ListAVS!$B$424&amp;"  "</f>
        <v xml:space="preserve">  z wpuszczanym szkłem  </v>
      </c>
      <c r="D172" s="255"/>
      <c r="E172" s="255"/>
      <c r="F172" s="255"/>
      <c r="G172" s="255"/>
      <c r="H172" s="255"/>
      <c r="I172" s="255"/>
      <c r="J172" s="255"/>
      <c r="K172" s="255"/>
      <c r="L172" s="255"/>
    </row>
    <row r="173" spans="1:12" ht="12.75" x14ac:dyDescent="0.2">
      <c r="A173" s="1045"/>
      <c r="B173" s="255"/>
      <c r="C173" s="266"/>
      <c r="D173" s="255"/>
      <c r="E173" s="255"/>
      <c r="F173" s="255"/>
      <c r="G173" s="255"/>
      <c r="H173" s="255"/>
      <c r="I173" s="255"/>
      <c r="J173" s="255"/>
      <c r="K173" s="255"/>
      <c r="L173" s="255"/>
    </row>
    <row r="174" spans="1:12" ht="12.75" x14ac:dyDescent="0.2">
      <c r="A174" s="1045"/>
      <c r="B174" s="255"/>
      <c r="C174" s="796" t="str">
        <f>"  "&amp;ListAVS!$B$425&amp;"  "</f>
        <v xml:space="preserve">  ze szkłem nakładanym lub przyklejanym  </v>
      </c>
      <c r="D174" s="255"/>
      <c r="E174" s="255"/>
      <c r="F174" s="255"/>
      <c r="G174" s="255"/>
      <c r="H174" s="255"/>
      <c r="I174" s="255"/>
      <c r="J174" s="255"/>
      <c r="K174" s="255"/>
      <c r="L174" s="255"/>
    </row>
    <row r="175" spans="1:12" ht="12.75" x14ac:dyDescent="0.2">
      <c r="A175" s="1045"/>
      <c r="B175" s="255"/>
      <c r="C175" s="255"/>
      <c r="D175" s="255"/>
      <c r="E175" s="255"/>
      <c r="F175" s="255"/>
      <c r="G175" s="255"/>
      <c r="H175" s="255"/>
      <c r="I175" s="255"/>
      <c r="J175" s="255"/>
      <c r="K175" s="255"/>
      <c r="L175" s="255"/>
    </row>
    <row r="176" spans="1:12" ht="12.75" x14ac:dyDescent="0.2">
      <c r="A176" s="1045"/>
      <c r="B176" s="255"/>
      <c r="C176" s="255"/>
      <c r="D176" s="255"/>
      <c r="E176" s="255"/>
      <c r="F176" s="255"/>
      <c r="G176" s="255"/>
      <c r="H176" s="255"/>
      <c r="I176" s="255"/>
      <c r="J176" s="255"/>
      <c r="K176" s="255"/>
      <c r="L176" s="702" t="str">
        <f>ListAVS!$B$168</f>
        <v>Z powrotem</v>
      </c>
    </row>
    <row r="177" spans="1:12" ht="12.75" x14ac:dyDescent="0.2">
      <c r="A177" s="1045"/>
      <c r="B177" s="255"/>
      <c r="C177" s="255"/>
      <c r="D177" s="255"/>
      <c r="E177" s="255"/>
      <c r="F177" s="255"/>
      <c r="G177" s="255"/>
      <c r="H177" s="255"/>
      <c r="I177" s="255"/>
      <c r="J177" s="255"/>
      <c r="K177" s="255"/>
      <c r="L177" s="255"/>
    </row>
    <row r="178" spans="1:12" x14ac:dyDescent="0.2">
      <c r="A178" s="1045"/>
    </row>
  </sheetData>
  <sheetProtection algorithmName="SHA-512" hashValue="LGVLQQdat9Ty5ZAireOl+xwhOpErekRWr9WYSjjRuwz/VY1jCcDv+PZzydjgrrA1Bj0xzW6jjd+fS7y0jCpYbA==" saltValue="ATOtNrGD99F31KehoQ39Bw==" spinCount="100000" sheet="1" objects="1" scenarios="1"/>
  <mergeCells count="81">
    <mergeCell ref="B115:H115"/>
    <mergeCell ref="B114:H114"/>
    <mergeCell ref="D25:G25"/>
    <mergeCell ref="D26:G26"/>
    <mergeCell ref="P72:T72"/>
    <mergeCell ref="I104:J104"/>
    <mergeCell ref="N77:S77"/>
    <mergeCell ref="N78:S78"/>
    <mergeCell ref="B104:H104"/>
    <mergeCell ref="I115:J115"/>
    <mergeCell ref="G110:J110"/>
    <mergeCell ref="B111:F111"/>
    <mergeCell ref="B105:H105"/>
    <mergeCell ref="B109:J109"/>
    <mergeCell ref="B107:H107"/>
    <mergeCell ref="I107:J107"/>
    <mergeCell ref="I125:J125"/>
    <mergeCell ref="A139:A178"/>
    <mergeCell ref="E145:L145"/>
    <mergeCell ref="B116:H116"/>
    <mergeCell ref="I116:J116"/>
    <mergeCell ref="B117:H117"/>
    <mergeCell ref="I117:J117"/>
    <mergeCell ref="B118:H118"/>
    <mergeCell ref="I118:J118"/>
    <mergeCell ref="A99:A138"/>
    <mergeCell ref="B102:J102"/>
    <mergeCell ref="B103:H103"/>
    <mergeCell ref="I103:J103"/>
    <mergeCell ref="I105:J105"/>
    <mergeCell ref="B106:H106"/>
    <mergeCell ref="I106:J106"/>
    <mergeCell ref="AN12:AQ13"/>
    <mergeCell ref="AN14:AQ15"/>
    <mergeCell ref="N88:S88"/>
    <mergeCell ref="N89:S89"/>
    <mergeCell ref="N90:S90"/>
    <mergeCell ref="N79:S79"/>
    <mergeCell ref="N80:S80"/>
    <mergeCell ref="N81:S81"/>
    <mergeCell ref="R85:T85"/>
    <mergeCell ref="N87:S87"/>
    <mergeCell ref="N86:S86"/>
    <mergeCell ref="B112:F112"/>
    <mergeCell ref="I114:J114"/>
    <mergeCell ref="B110:F110"/>
    <mergeCell ref="N76:Q76"/>
    <mergeCell ref="R76:T76"/>
    <mergeCell ref="N103:N105"/>
    <mergeCell ref="O103:O105"/>
    <mergeCell ref="AN10:AO10"/>
    <mergeCell ref="T31:U31"/>
    <mergeCell ref="B16:G16"/>
    <mergeCell ref="B17:G17"/>
    <mergeCell ref="T20:U20"/>
    <mergeCell ref="B21:G21"/>
    <mergeCell ref="B22:D22"/>
    <mergeCell ref="B20:C20"/>
    <mergeCell ref="F20:H20"/>
    <mergeCell ref="B23:G23"/>
    <mergeCell ref="B27:G27"/>
    <mergeCell ref="B28:G28"/>
    <mergeCell ref="B31:J33"/>
    <mergeCell ref="B24:C26"/>
    <mergeCell ref="D24:G24"/>
    <mergeCell ref="B10:G10"/>
    <mergeCell ref="B11:D11"/>
    <mergeCell ref="B12:G12"/>
    <mergeCell ref="B13:C15"/>
    <mergeCell ref="D13:G13"/>
    <mergeCell ref="D14:G14"/>
    <mergeCell ref="D15:G15"/>
    <mergeCell ref="BD1:BL1"/>
    <mergeCell ref="B2:C2"/>
    <mergeCell ref="B7:C7"/>
    <mergeCell ref="G7:H7"/>
    <mergeCell ref="T9:U9"/>
    <mergeCell ref="B9:C9"/>
    <mergeCell ref="F9:H9"/>
    <mergeCell ref="AN8:AO8"/>
    <mergeCell ref="AN9:AO9"/>
  </mergeCells>
  <conditionalFormatting sqref="E9">
    <cfRule type="expression" dxfId="295" priority="18">
      <formula>$M$17&gt;0</formula>
    </cfRule>
    <cfRule type="expression" dxfId="294" priority="19">
      <formula>$M$17&gt;0</formula>
    </cfRule>
  </conditionalFormatting>
  <conditionalFormatting sqref="E20">
    <cfRule type="expression" dxfId="293" priority="17">
      <formula>$M$28&gt;0</formula>
    </cfRule>
  </conditionalFormatting>
  <conditionalFormatting sqref="I15">
    <cfRule type="expression" dxfId="292" priority="11">
      <formula>$M$17=0</formula>
    </cfRule>
    <cfRule type="containsText" dxfId="291" priority="12" operator="containsText" text="Doplňte">
      <formula>NOT(ISERROR(SEARCH("Doplňte",I15)))</formula>
    </cfRule>
  </conditionalFormatting>
  <conditionalFormatting sqref="I26">
    <cfRule type="containsText" dxfId="290" priority="10" operator="containsText" text="Doplňte">
      <formula>NOT(ISERROR(SEARCH("Doplňte",I26)))</formula>
    </cfRule>
  </conditionalFormatting>
  <conditionalFormatting sqref="I26">
    <cfRule type="expression" dxfId="289" priority="9">
      <formula>$M$28=0</formula>
    </cfRule>
  </conditionalFormatting>
  <conditionalFormatting sqref="B19">
    <cfRule type="expression" dxfId="288" priority="7">
      <formula>$M$17=0</formula>
    </cfRule>
    <cfRule type="containsText" dxfId="287" priority="8" operator="containsText" text="Doplňte">
      <formula>NOT(ISERROR(SEARCH("Doplňte",B19)))</formula>
    </cfRule>
  </conditionalFormatting>
  <conditionalFormatting sqref="B30">
    <cfRule type="containsText" dxfId="286" priority="6" operator="containsText" text="Doplňte">
      <formula>NOT(ISERROR(SEARCH("Doplňte",B30)))</formula>
    </cfRule>
  </conditionalFormatting>
  <conditionalFormatting sqref="B30">
    <cfRule type="expression" dxfId="285" priority="5">
      <formula>$M$28=0</formula>
    </cfRule>
  </conditionalFormatting>
  <conditionalFormatting sqref="I12">
    <cfRule type="expression" dxfId="284" priority="3">
      <formula>$M$17=0</formula>
    </cfRule>
    <cfRule type="containsText" dxfId="283" priority="4" operator="containsText" text="Doplňte">
      <formula>NOT(ISERROR(SEARCH("Doplňte",I12)))</formula>
    </cfRule>
  </conditionalFormatting>
  <conditionalFormatting sqref="I23">
    <cfRule type="containsText" dxfId="282" priority="2" operator="containsText" text="Doplňte">
      <formula>NOT(ISERROR(SEARCH("Doplňte",I23)))</formula>
    </cfRule>
  </conditionalFormatting>
  <conditionalFormatting sqref="I23">
    <cfRule type="expression" dxfId="281" priority="1">
      <formula>$M$28=0</formula>
    </cfRule>
  </conditionalFormatting>
  <hyperlinks>
    <hyperlink ref="I125:J125" location="HFw_na!A1" tooltip=" " display="HFw_na!A1" xr:uid="{CA765C79-29D4-4CE4-B0B5-2C9878B5EB95}"/>
    <hyperlink ref="N86:S86" location="HFw_na!H19" tooltip=" " display="HFw_na!H19" xr:uid="{1CA71AA5-6EF1-4DD6-A618-742C2A5BF0EE}"/>
    <hyperlink ref="N87:S87" location="HFw_na!H20" tooltip=" " display="HFw_na!H20" xr:uid="{C59B3504-B08F-4A6A-86A4-7906F77C614F}"/>
    <hyperlink ref="N78:S78" location="HFw_na!H11" tooltip=" " display="HFw_na!H11" xr:uid="{6E3EACB3-B644-4AE5-9600-E43E48DB9A77}"/>
    <hyperlink ref="N77:S77" location="HFw_na!H10" tooltip=" " display="HFw_na!H10" xr:uid="{AC7E4A33-007E-496D-BA1F-5FB1EBB54D00}"/>
    <hyperlink ref="AL19" location="HFw_na!A100" tooltip=" " display="HFw_na!A100" xr:uid="{E6241936-C562-4461-8C74-5B5A5763F1E9}"/>
    <hyperlink ref="AL5" location="HFw_na!A140" tooltip=" " display="HFw_na!A140" xr:uid="{A9E84698-6772-4049-8CCA-02B36AC36F16}"/>
    <hyperlink ref="L176" location="HFw_na!A1" tooltip=" " display="HFw_na!A1" xr:uid="{757F43D7-FF23-4433-A130-D69C02A9D694}"/>
    <hyperlink ref="AL9" location="SumAVS!A1" tooltip=" " display="SumAVS!A1" xr:uid="{E6C95BAC-F18C-4060-A4DD-7D3BC01F22F8}"/>
    <hyperlink ref="AL10" location="OrdAVS!A1" tooltip=" " display="OrdAVS!A1" xr:uid="{3D09B4F6-4E15-4C3D-8DD5-4A02901DA3C2}"/>
    <hyperlink ref="AL7" location="AcsAVS!A1" tooltip=" " display="AcsAVS!A1" xr:uid="{AB9883D4-1550-4162-B0AE-9BFA0B9DFC29}"/>
    <hyperlink ref="AL4" location="MenuAVS!A1" tooltip=" " display="MenuAVS!A1" xr:uid="{A18E69C5-75CC-4EFD-9722-5801F6680C62}"/>
    <hyperlink ref="B2" location="HF!A1" tooltip=" " display=" AVENTOS HF" xr:uid="{0D37DBFE-4779-4AED-98AC-C585BED048D8}"/>
  </hyperlinks>
  <pageMargins left="0.62992125984251968" right="0.23622047244094488" top="0.74803149606299213" bottom="0.74803149606299213" header="0.31496062992125984" footer="0.31496062992125984"/>
  <pageSetup paperSize="9" orientation="portrait" horizontalDpi="4294967293"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60771" r:id="rId4" name="Drop Down 3">
              <controlPr defaultSize="0" autoLine="0" autoPict="0">
                <anchor moveWithCells="1">
                  <from>
                    <xdr:col>3</xdr:col>
                    <xdr:colOff>19050</xdr:colOff>
                    <xdr:row>6</xdr:row>
                    <xdr:rowOff>0</xdr:rowOff>
                  </from>
                  <to>
                    <xdr:col>5</xdr:col>
                    <xdr:colOff>571500</xdr:colOff>
                    <xdr:row>7</xdr:row>
                    <xdr:rowOff>0</xdr:rowOff>
                  </to>
                </anchor>
              </controlPr>
            </control>
          </mc:Choice>
        </mc:AlternateContent>
        <mc:AlternateContent xmlns:mc="http://schemas.openxmlformats.org/markup-compatibility/2006">
          <mc:Choice Requires="x14">
            <control shapeId="160774" r:id="rId5" name="Option Button 6">
              <controlPr defaultSize="0" autoFill="0" autoLine="0" autoPict="0">
                <anchor moveWithCells="1">
                  <from>
                    <xdr:col>1</xdr:col>
                    <xdr:colOff>466725</xdr:colOff>
                    <xdr:row>5</xdr:row>
                    <xdr:rowOff>28575</xdr:rowOff>
                  </from>
                  <to>
                    <xdr:col>2</xdr:col>
                    <xdr:colOff>152400</xdr:colOff>
                    <xdr:row>5</xdr:row>
                    <xdr:rowOff>247650</xdr:rowOff>
                  </to>
                </anchor>
              </controlPr>
            </control>
          </mc:Choice>
        </mc:AlternateContent>
        <mc:AlternateContent xmlns:mc="http://schemas.openxmlformats.org/markup-compatibility/2006">
          <mc:Choice Requires="x14">
            <control shapeId="160775" r:id="rId6" name="Option Button 7">
              <controlPr defaultSize="0" autoFill="0" autoLine="0" autoPict="0">
                <anchor moveWithCells="1">
                  <from>
                    <xdr:col>3</xdr:col>
                    <xdr:colOff>466725</xdr:colOff>
                    <xdr:row>5</xdr:row>
                    <xdr:rowOff>38100</xdr:rowOff>
                  </from>
                  <to>
                    <xdr:col>4</xdr:col>
                    <xdr:colOff>152400</xdr:colOff>
                    <xdr:row>5</xdr:row>
                    <xdr:rowOff>247650</xdr:rowOff>
                  </to>
                </anchor>
              </controlPr>
            </control>
          </mc:Choice>
        </mc:AlternateContent>
        <mc:AlternateContent xmlns:mc="http://schemas.openxmlformats.org/markup-compatibility/2006">
          <mc:Choice Requires="x14">
            <control shapeId="160776" r:id="rId7" name="Drop Down 8">
              <controlPr defaultSize="0" autoLine="0" autoPict="0">
                <anchor moveWithCells="1">
                  <from>
                    <xdr:col>1</xdr:col>
                    <xdr:colOff>9525</xdr:colOff>
                    <xdr:row>9</xdr:row>
                    <xdr:rowOff>9525</xdr:rowOff>
                  </from>
                  <to>
                    <xdr:col>3</xdr:col>
                    <xdr:colOff>9525</xdr:colOff>
                    <xdr:row>9</xdr:row>
                    <xdr:rowOff>200025</xdr:rowOff>
                  </to>
                </anchor>
              </controlPr>
            </control>
          </mc:Choice>
        </mc:AlternateContent>
        <mc:AlternateContent xmlns:mc="http://schemas.openxmlformats.org/markup-compatibility/2006">
          <mc:Choice Requires="x14">
            <control shapeId="160777" r:id="rId8" name="Drop Down 9">
              <controlPr defaultSize="0" autoLine="0" autoPict="0">
                <anchor moveWithCells="1">
                  <from>
                    <xdr:col>1</xdr:col>
                    <xdr:colOff>9525</xdr:colOff>
                    <xdr:row>20</xdr:row>
                    <xdr:rowOff>9525</xdr:rowOff>
                  </from>
                  <to>
                    <xdr:col>2</xdr:col>
                    <xdr:colOff>571500</xdr:colOff>
                    <xdr:row>20</xdr:row>
                    <xdr:rowOff>200025</xdr:rowOff>
                  </to>
                </anchor>
              </controlPr>
            </control>
          </mc:Choice>
        </mc:AlternateContent>
        <mc:AlternateContent xmlns:mc="http://schemas.openxmlformats.org/markup-compatibility/2006">
          <mc:Choice Requires="x14">
            <control shapeId="160778" r:id="rId9" name="Drop Down 10">
              <controlPr defaultSize="0" autoLine="0" autoPict="0">
                <anchor moveWithCells="1">
                  <from>
                    <xdr:col>6</xdr:col>
                    <xdr:colOff>0</xdr:colOff>
                    <xdr:row>3</xdr:row>
                    <xdr:rowOff>0</xdr:rowOff>
                  </from>
                  <to>
                    <xdr:col>8</xdr:col>
                    <xdr:colOff>571500</xdr:colOff>
                    <xdr:row>4</xdr:row>
                    <xdr:rowOff>0</xdr:rowOff>
                  </to>
                </anchor>
              </controlPr>
            </control>
          </mc:Choice>
        </mc:AlternateContent>
        <mc:AlternateContent xmlns:mc="http://schemas.openxmlformats.org/markup-compatibility/2006">
          <mc:Choice Requires="x14">
            <control shapeId="160779" r:id="rId10" name="Drop Down 11">
              <controlPr defaultSize="0" autoLine="0" autoPict="0">
                <anchor moveWithCells="1">
                  <from>
                    <xdr:col>6</xdr:col>
                    <xdr:colOff>0</xdr:colOff>
                    <xdr:row>4</xdr:row>
                    <xdr:rowOff>0</xdr:rowOff>
                  </from>
                  <to>
                    <xdr:col>8</xdr:col>
                    <xdr:colOff>571500</xdr:colOff>
                    <xdr:row>5</xdr:row>
                    <xdr:rowOff>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81343-2947-40C7-87FC-D8ED2A36F3AC}">
  <sheetPr codeName="Sheet32">
    <tabColor theme="9" tint="0.59999389629810485"/>
  </sheetPr>
  <dimension ref="A1:BL179"/>
  <sheetViews>
    <sheetView showGridLines="0" showRowColHeaders="0" workbookViewId="0">
      <selection activeCell="AL4" sqref="AL4"/>
    </sheetView>
  </sheetViews>
  <sheetFormatPr defaultColWidth="8.28515625" defaultRowHeight="12" x14ac:dyDescent="0.2"/>
  <cols>
    <col min="1" max="1" width="1.28515625" style="37" customWidth="1"/>
    <col min="2" max="9" width="8.5703125" style="37" customWidth="1"/>
    <col min="10" max="10" width="6.7109375" style="37" customWidth="1"/>
    <col min="11" max="11" width="10.42578125" style="37" customWidth="1"/>
    <col min="12" max="12" width="17.28515625" style="37" customWidth="1"/>
    <col min="13" max="14" width="6.42578125" style="37" hidden="1" customWidth="1"/>
    <col min="15" max="15" width="6.42578125" style="118" hidden="1" customWidth="1"/>
    <col min="16" max="16" width="6.42578125" style="37" hidden="1" customWidth="1"/>
    <col min="17" max="17" width="6" style="118" hidden="1" customWidth="1"/>
    <col min="18" max="18" width="6.42578125" style="37" hidden="1" customWidth="1"/>
    <col min="19" max="19" width="7.7109375" style="37" hidden="1" customWidth="1"/>
    <col min="20" max="23" width="6.42578125" style="37" hidden="1" customWidth="1"/>
    <col min="24" max="24" width="10" style="108" hidden="1" customWidth="1"/>
    <col min="25" max="25" width="37.28515625" style="108" hidden="1" customWidth="1"/>
    <col min="26" max="26" width="13.5703125" style="108" hidden="1" customWidth="1"/>
    <col min="27" max="29" width="6.7109375" style="108" hidden="1" customWidth="1"/>
    <col min="30" max="30" width="9.42578125" style="108" hidden="1" customWidth="1"/>
    <col min="31" max="36" width="6.7109375" style="108" hidden="1" customWidth="1"/>
    <col min="37" max="37" width="5.28515625" style="108" customWidth="1"/>
    <col min="38" max="38" width="25" style="108" customWidth="1"/>
    <col min="39" max="39" width="8.28515625" style="137"/>
    <col min="40" max="41" width="13.28515625" style="137" customWidth="1"/>
    <col min="42" max="43" width="19.7109375" style="137" customWidth="1"/>
    <col min="44" max="55" width="8.28515625" style="137"/>
    <col min="56" max="57" width="16.28515625" style="137" customWidth="1"/>
    <col min="58" max="58" width="18.7109375" style="137" customWidth="1"/>
    <col min="59" max="59" width="23" style="137" customWidth="1"/>
    <col min="60" max="16384" width="8.28515625" style="137"/>
  </cols>
  <sheetData>
    <row r="1" spans="2:64" ht="4.5" customHeight="1" thickBot="1" x14ac:dyDescent="0.25">
      <c r="L1" s="137"/>
      <c r="BD1" s="1121"/>
      <c r="BE1" s="1121"/>
      <c r="BF1" s="1121"/>
      <c r="BG1" s="1121"/>
      <c r="BH1" s="1121"/>
      <c r="BI1" s="1121"/>
      <c r="BJ1" s="1121"/>
      <c r="BK1" s="1121"/>
      <c r="BL1" s="1121"/>
    </row>
    <row r="2" spans="2:64" s="108" customFormat="1" ht="19.5" customHeight="1" thickBot="1" x14ac:dyDescent="0.25">
      <c r="B2" s="1048" t="s">
        <v>671</v>
      </c>
      <c r="C2" s="1048"/>
      <c r="D2" s="884"/>
      <c r="E2" s="884"/>
      <c r="F2" s="884"/>
      <c r="G2" s="884"/>
      <c r="H2" s="884"/>
      <c r="I2" s="884"/>
      <c r="J2" s="884"/>
      <c r="K2" s="884"/>
      <c r="L2" s="884"/>
      <c r="O2" s="108" t="s">
        <v>64</v>
      </c>
      <c r="S2" s="117">
        <v>3</v>
      </c>
      <c r="AL2" s="226" t="str">
        <f>ListAVS!$B$153</f>
        <v>Przejdź do</v>
      </c>
    </row>
    <row r="3" spans="2:64" ht="3.75" customHeight="1" x14ac:dyDescent="0.2">
      <c r="B3" s="312"/>
      <c r="C3" s="306"/>
      <c r="D3" s="306"/>
      <c r="E3" s="306"/>
      <c r="F3" s="306"/>
      <c r="G3" s="306"/>
      <c r="H3" s="306"/>
      <c r="I3" s="306"/>
      <c r="J3" s="306"/>
      <c r="K3" s="306"/>
      <c r="L3" s="137"/>
      <c r="X3" s="137"/>
      <c r="Y3" s="137"/>
      <c r="Z3" s="137"/>
      <c r="AA3" s="137"/>
      <c r="AB3" s="137"/>
      <c r="AC3" s="137"/>
      <c r="AD3" s="137"/>
      <c r="AE3" s="137"/>
      <c r="AF3" s="137"/>
      <c r="AG3" s="137"/>
      <c r="AH3" s="137"/>
      <c r="AI3" s="137"/>
      <c r="AJ3" s="137"/>
    </row>
    <row r="4" spans="2:64" ht="16.149999999999999" customHeight="1" thickBot="1" x14ac:dyDescent="0.25">
      <c r="B4" s="313" t="str">
        <f>ListAVS!$B$21&amp;" ***"</f>
        <v>Wąskie ramki aluminiowe ***</v>
      </c>
      <c r="C4" s="306"/>
      <c r="E4" s="306"/>
      <c r="F4" s="269" t="str">
        <f>ListAVS!$B$35&amp;"  "</f>
        <v xml:space="preserve">front górny  </v>
      </c>
      <c r="G4" s="703"/>
      <c r="H4" s="703"/>
      <c r="I4" s="703"/>
      <c r="J4" s="257"/>
      <c r="K4" s="592" t="str">
        <f>U71</f>
        <v xml:space="preserve"> </v>
      </c>
      <c r="L4" s="137"/>
      <c r="O4" s="117">
        <v>1</v>
      </c>
      <c r="S4" s="37" t="str">
        <f>" "&amp;ListAVS!$B$41&amp;" A "</f>
        <v xml:space="preserve"> Cena za korpus A </v>
      </c>
      <c r="X4" s="137" t="s">
        <v>28</v>
      </c>
      <c r="Y4" s="137"/>
      <c r="Z4" s="137"/>
      <c r="AA4" s="137"/>
      <c r="AB4" s="137"/>
      <c r="AC4" s="137"/>
      <c r="AD4" s="137"/>
      <c r="AE4" s="137"/>
      <c r="AF4" s="137"/>
      <c r="AG4" s="137"/>
      <c r="AH4" s="137"/>
      <c r="AI4" s="137"/>
      <c r="AJ4" s="137"/>
      <c r="AL4" s="383" t="str">
        <f>" "&amp;ListAVS!$B$154</f>
        <v xml:space="preserve"> Wprowadzenie do planowania</v>
      </c>
    </row>
    <row r="5" spans="2:64" ht="16.149999999999999" customHeight="1" x14ac:dyDescent="0.2">
      <c r="B5" s="313" t="str">
        <f>ListAVS!$B$17</f>
        <v>Front drewniany</v>
      </c>
      <c r="C5" s="306"/>
      <c r="D5" s="306"/>
      <c r="E5" s="306"/>
      <c r="F5" s="269" t="str">
        <f>ListAVS!$B$36&amp;"  "</f>
        <v xml:space="preserve">front dolny  </v>
      </c>
      <c r="G5" s="703"/>
      <c r="H5" s="703"/>
      <c r="I5" s="703"/>
      <c r="J5" s="405"/>
      <c r="K5" s="592" t="str">
        <f>U72</f>
        <v xml:space="preserve"> </v>
      </c>
      <c r="L5" s="137"/>
      <c r="O5" s="118" t="s">
        <v>65</v>
      </c>
      <c r="S5" s="37" t="str">
        <f>" "&amp;ListAVS!$B$41&amp;" B "</f>
        <v xml:space="preserve"> Cena za korpus B </v>
      </c>
      <c r="X5" s="137"/>
      <c r="Y5" s="137"/>
      <c r="Z5" s="137"/>
      <c r="AA5" s="137"/>
      <c r="AB5" s="137"/>
      <c r="AC5" s="137"/>
      <c r="AD5" s="137"/>
      <c r="AE5" s="137"/>
      <c r="AF5" s="137"/>
      <c r="AG5" s="137"/>
      <c r="AH5" s="137"/>
      <c r="AI5" s="137"/>
      <c r="AJ5" s="137"/>
      <c r="AL5" s="634" t="str">
        <f>" "&amp;ListAVS!$B$155</f>
        <v xml:space="preserve"> Pomoc</v>
      </c>
    </row>
    <row r="6" spans="2:64" ht="22.5" customHeight="1" x14ac:dyDescent="0.2">
      <c r="B6" s="314"/>
      <c r="C6" s="306"/>
      <c r="D6" s="306"/>
      <c r="E6" s="306"/>
      <c r="F6" s="137"/>
      <c r="G6" s="704"/>
      <c r="H6" s="704"/>
      <c r="I6" s="704"/>
      <c r="J6" s="705" t="str">
        <f>IF($Z$78&lt;&gt;3,$Y$73," ")&amp;"      "</f>
        <v xml:space="preserve"> Możesz zmienić wartości we Wstępie do planowania      </v>
      </c>
      <c r="K6" s="704"/>
      <c r="L6" s="137"/>
      <c r="O6" s="323" t="s">
        <v>66</v>
      </c>
      <c r="S6" s="37" t="str">
        <f>" "&amp;ListAVS!$B$61</f>
        <v xml:space="preserve"> Cena całkowita bez VAT</v>
      </c>
      <c r="X6" s="137"/>
      <c r="Y6" s="137"/>
      <c r="Z6" s="137"/>
      <c r="AA6" s="137"/>
      <c r="AB6" s="137"/>
      <c r="AC6" s="137"/>
      <c r="AD6" s="137"/>
      <c r="AE6" s="137"/>
      <c r="AF6" s="137"/>
      <c r="AG6" s="137"/>
      <c r="AH6" s="137"/>
      <c r="AI6" s="137"/>
      <c r="AJ6" s="137"/>
      <c r="AL6" s="686"/>
      <c r="BD6" s="37"/>
      <c r="BE6" s="37"/>
      <c r="BF6" s="37"/>
      <c r="BG6" s="37"/>
    </row>
    <row r="7" spans="2:64" ht="16.149999999999999" customHeight="1" x14ac:dyDescent="0.2">
      <c r="B7" s="1059" t="str">
        <f>ListAVS!$B$51&amp;":   "</f>
        <v xml:space="preserve">Cena okucia:   </v>
      </c>
      <c r="C7" s="1060"/>
      <c r="D7" s="227"/>
      <c r="E7" s="404"/>
      <c r="F7" s="404"/>
      <c r="G7" s="1061">
        <f>IF(S2=1,$AF$47,IF($S$2=2,$AH$47,IF($S$2=3,$AD$47,0)))</f>
        <v>0</v>
      </c>
      <c r="H7" s="1062"/>
      <c r="I7" s="227"/>
      <c r="J7" s="227"/>
      <c r="K7" s="227"/>
      <c r="L7" s="227"/>
      <c r="Y7" s="938" t="str">
        <f>$B$2</f>
        <v xml:space="preserve"> AVENTOS HF top</v>
      </c>
      <c r="Z7" s="157"/>
      <c r="AA7" s="157"/>
      <c r="AB7" s="157"/>
      <c r="AC7" s="157"/>
      <c r="AD7" s="158"/>
      <c r="AE7" s="37"/>
      <c r="AF7" s="37"/>
      <c r="AG7" s="118"/>
      <c r="AH7" s="37"/>
      <c r="AI7" s="39"/>
      <c r="AJ7" s="39"/>
      <c r="AL7" s="675" t="str">
        <f>" "&amp;ListAVS!$B$160</f>
        <v xml:space="preserve"> Dodatki</v>
      </c>
      <c r="BD7" s="37"/>
      <c r="BE7" s="37"/>
      <c r="BF7" s="37"/>
      <c r="BG7" s="37"/>
    </row>
    <row r="8" spans="2:64" ht="25.15" customHeight="1" thickBot="1" x14ac:dyDescent="0.25">
      <c r="B8" s="227"/>
      <c r="C8" s="227"/>
      <c r="D8" s="227"/>
      <c r="E8" s="227"/>
      <c r="F8" s="227"/>
      <c r="G8" s="227"/>
      <c r="H8" s="579" t="str">
        <f>IF(AND(OR($S$9=2, $S$20=2), $AD$47&gt;0), $N$35, " ")</f>
        <v xml:space="preserve"> </v>
      </c>
      <c r="I8" s="227"/>
      <c r="J8" s="227"/>
      <c r="K8" s="227"/>
      <c r="L8" s="227"/>
      <c r="Y8" s="159" t="str">
        <f>ListAVS!B52</f>
        <v>Nazwa</v>
      </c>
      <c r="Z8" s="160" t="str">
        <f>ListAVS!$B$53</f>
        <v>Kod asortymentu</v>
      </c>
      <c r="AA8" s="161" t="str">
        <f>ListAVS!B54</f>
        <v>Kolor</v>
      </c>
      <c r="AB8" s="161" t="str">
        <f>ListAVS!B56</f>
        <v>Sztuka</v>
      </c>
      <c r="AC8" s="162" t="str">
        <f>ListAVS!B58</f>
        <v>Cena za sztukę</v>
      </c>
      <c r="AD8" s="161" t="str">
        <f>ListAVS!B59</f>
        <v>W sumie</v>
      </c>
      <c r="AE8" s="204" t="s">
        <v>29</v>
      </c>
      <c r="AF8" s="163" t="s">
        <v>30</v>
      </c>
      <c r="AG8" s="163" t="s">
        <v>31</v>
      </c>
      <c r="AH8" s="163" t="s">
        <v>30</v>
      </c>
      <c r="AI8" s="170"/>
      <c r="AJ8" s="170"/>
      <c r="AL8" s="671"/>
      <c r="AN8" s="1046" t="str">
        <f>"  "&amp;ListAVS!$B$86&amp;" LF "</f>
        <v xml:space="preserve">  Współczynnik mocy LF </v>
      </c>
      <c r="AO8" s="1046"/>
      <c r="AP8" s="953" t="s">
        <v>769</v>
      </c>
      <c r="AQ8" s="953" t="s">
        <v>770</v>
      </c>
      <c r="BD8" s="37"/>
      <c r="BE8" s="37"/>
      <c r="BF8" s="118"/>
      <c r="BG8" s="37"/>
    </row>
    <row r="9" spans="2:64" ht="16.149999999999999" customHeight="1" thickBot="1" x14ac:dyDescent="0.25">
      <c r="B9" s="1051" t="str">
        <f>"▼ "&amp;ListAVS!$B$318</f>
        <v>▼ Sposób otwierania</v>
      </c>
      <c r="C9" s="1052"/>
      <c r="D9" s="406" t="str">
        <f>IF($M$17&gt;0, ListAVS!$B$37&amp;": ", " ")</f>
        <v xml:space="preserve"> </v>
      </c>
      <c r="E9" s="688" t="str">
        <f>IF(SUM($AE$9:$AE$10)&gt;0,25,IF(SUM($AE$11:$AE$12)&gt;0,28," "))</f>
        <v xml:space="preserve"> </v>
      </c>
      <c r="F9" s="1056" t="str">
        <f>ListAVS!$B$64&amp;" A"</f>
        <v>Korpus A</v>
      </c>
      <c r="G9" s="1057"/>
      <c r="H9" s="1058"/>
      <c r="I9" s="227"/>
      <c r="J9" s="227"/>
      <c r="K9" s="227"/>
      <c r="L9" s="227"/>
      <c r="N9" s="39" t="s">
        <v>32</v>
      </c>
      <c r="O9" s="39"/>
      <c r="P9" s="39" t="s">
        <v>33</v>
      </c>
      <c r="Q9" s="39"/>
      <c r="S9" s="138">
        <v>1</v>
      </c>
      <c r="T9" s="1063" t="b">
        <v>0</v>
      </c>
      <c r="U9" s="1064"/>
      <c r="V9" s="139" t="s">
        <v>34</v>
      </c>
      <c r="W9" s="140"/>
      <c r="Y9" s="898" t="str">
        <f>CenAVS!A11</f>
        <v xml:space="preserve">Aventos HF Top słaby, wkręty      </v>
      </c>
      <c r="Z9" s="898" t="str">
        <f>CenAVS!B11</f>
        <v>22F2500</v>
      </c>
      <c r="AA9" s="883" t="str">
        <f>CenAVS!C11</f>
        <v>ZN</v>
      </c>
      <c r="AB9" s="665">
        <f t="shared" ref="AB9:AB15" si="0">SUM(AE9,AG9)</f>
        <v>0</v>
      </c>
      <c r="AC9" s="899">
        <f>CenAVS!F11</f>
        <v>180.23612</v>
      </c>
      <c r="AD9" s="900">
        <f>AB9*AC9</f>
        <v>0</v>
      </c>
      <c r="AE9" s="901">
        <f>IF($Y$48=1,ROUNDUP($M$17*$O$11,0),0)</f>
        <v>0</v>
      </c>
      <c r="AF9" s="902">
        <f t="shared" ref="AF9:AF38" si="1">$AC9*AE9</f>
        <v>0</v>
      </c>
      <c r="AG9" s="901">
        <f>IF($Y$48=1,ROUNDUP($M$28*$O$22,0),0)</f>
        <v>0</v>
      </c>
      <c r="AH9" s="902">
        <f t="shared" ref="AH9:AH38" si="2">$AC9*AG9</f>
        <v>0</v>
      </c>
      <c r="AI9" s="170"/>
      <c r="AJ9" s="170"/>
      <c r="AL9" s="383" t="str">
        <f>" "&amp;ListAVS!$B$157</f>
        <v xml:space="preserve"> Rodzaje korpusów</v>
      </c>
      <c r="AN9" s="1049" t="s">
        <v>786</v>
      </c>
      <c r="AO9" s="1050"/>
      <c r="AP9" s="689" t="s">
        <v>680</v>
      </c>
      <c r="AQ9" s="689" t="s">
        <v>681</v>
      </c>
      <c r="BD9" s="37"/>
      <c r="BE9" s="37"/>
      <c r="BF9" s="118"/>
      <c r="BG9" s="37"/>
    </row>
    <row r="10" spans="2:64" s="37" customFormat="1" ht="16.149999999999999" customHeight="1" thickBot="1" x14ac:dyDescent="0.25">
      <c r="B10" s="1011" t="str">
        <f>ListAVS!$B$74&amp;" KB [mm] "</f>
        <v xml:space="preserve">Szerokość korpusu KB [mm] </v>
      </c>
      <c r="C10" s="1012"/>
      <c r="D10" s="1012"/>
      <c r="E10" s="1012"/>
      <c r="F10" s="1012"/>
      <c r="G10" s="1013"/>
      <c r="H10" s="260"/>
      <c r="I10" s="256" t="str">
        <f>IF(H10=0," ",IF($H10&lt;220," min. 220mm"," "))&amp;IF(H17&gt;0,IF(H10=0,"● "&amp;ListAVS!$B$129," ")," ")</f>
        <v xml:space="preserve">  </v>
      </c>
      <c r="J10" s="227"/>
      <c r="K10" s="404"/>
      <c r="L10" s="227"/>
      <c r="N10" s="894"/>
      <c r="O10" s="895"/>
      <c r="P10" s="37" t="s">
        <v>35</v>
      </c>
      <c r="Q10" s="118">
        <f>IF(AND($P$16&gt;=$AB$54,$P$16&lt;=$AC$54),SUM($O$11:$O$12),0)</f>
        <v>0</v>
      </c>
      <c r="S10" s="137"/>
      <c r="T10" s="203" t="s">
        <v>36</v>
      </c>
      <c r="U10" s="39"/>
      <c r="V10" s="203" t="s">
        <v>37</v>
      </c>
      <c r="W10" s="39"/>
      <c r="X10" s="108"/>
      <c r="Y10" s="898" t="str">
        <f>CenAVS!A12</f>
        <v xml:space="preserve">Aventos HF Top słaby, eurowkręty      </v>
      </c>
      <c r="Z10" s="898" t="str">
        <f>CenAVS!B12</f>
        <v>22F2510</v>
      </c>
      <c r="AA10" s="883" t="str">
        <f>CenAVS!C12</f>
        <v>ZN</v>
      </c>
      <c r="AB10" s="665">
        <f t="shared" si="0"/>
        <v>0</v>
      </c>
      <c r="AC10" s="899">
        <f>CenAVS!F12</f>
        <v>181.63767999999999</v>
      </c>
      <c r="AD10" s="900">
        <f t="shared" ref="AD10:AD45" si="3">AB10*AC10</f>
        <v>0</v>
      </c>
      <c r="AE10" s="901">
        <f>IF($Y$48=2,ROUNDUP($M$17*$O$11,0),0)</f>
        <v>0</v>
      </c>
      <c r="AF10" s="902">
        <f t="shared" si="1"/>
        <v>0</v>
      </c>
      <c r="AG10" s="901">
        <f>IF($Y$48=2,ROUNDUP($M$28*$O$22,0),0)</f>
        <v>0</v>
      </c>
      <c r="AH10" s="902">
        <f t="shared" si="2"/>
        <v>0</v>
      </c>
      <c r="AI10" s="170"/>
      <c r="AJ10" s="170"/>
      <c r="AK10" s="108"/>
      <c r="AL10" s="383" t="str">
        <f>" "&amp;ListAVS!$B$158</f>
        <v xml:space="preserve"> Zamówienie</v>
      </c>
      <c r="AM10" s="137"/>
      <c r="AN10" s="1049" t="s">
        <v>734</v>
      </c>
      <c r="AO10" s="1050"/>
      <c r="AP10" s="689" t="s">
        <v>682</v>
      </c>
      <c r="AQ10" s="689" t="s">
        <v>683</v>
      </c>
      <c r="BF10" s="118"/>
    </row>
    <row r="11" spans="2:64" s="37" customFormat="1" ht="16.149999999999999" customHeight="1" x14ac:dyDescent="0.2">
      <c r="B11" s="1011" t="str">
        <f>ListAVS!$B$75&amp;" [mm]"</f>
        <v>Wysokość korpusu [mm]</v>
      </c>
      <c r="C11" s="1012"/>
      <c r="D11" s="1012"/>
      <c r="E11" s="297" t="s">
        <v>38</v>
      </c>
      <c r="F11" s="260"/>
      <c r="G11" s="295" t="s">
        <v>39</v>
      </c>
      <c r="H11" s="260"/>
      <c r="I11" s="256" t="str">
        <f>IF(H11=0," ",IF($H11&lt;480," min. 480mm",IF($H11&gt;1200," max. 1 200mm"," ")))&amp;IF(H17&gt;0,IF(H11=0,"● "&amp;ListAVS!$B$129," ")," ")</f>
        <v xml:space="preserve">  </v>
      </c>
      <c r="J11" s="227"/>
      <c r="K11" s="227"/>
      <c r="L11" s="227"/>
      <c r="N11" s="37" t="s">
        <v>40</v>
      </c>
      <c r="O11" s="118">
        <f>IF($H16&lt;$AB$50,0,IF($H16&lt;=$AC$50,1,0))</f>
        <v>0</v>
      </c>
      <c r="P11" s="37" t="s">
        <v>41</v>
      </c>
      <c r="Q11" s="118">
        <f>IF(AND($P$16&gt;=$AB$55,$P$16&lt;=$AC$55),SUM($O$11:$O$12),0)</f>
        <v>0</v>
      </c>
      <c r="T11" s="37" t="s">
        <v>42</v>
      </c>
      <c r="U11" s="895">
        <f>IF($N$48=1, IF(OR($H$10&gt;=1200, $T$17&gt;=12), 3, 2))+IF($N$48=1,IF(OR($H$10=1800, $T$17&gt;=20), 1, 0))</f>
        <v>0</v>
      </c>
      <c r="V11" s="37" t="s">
        <v>43</v>
      </c>
      <c r="W11" s="118">
        <f>IF($P$48=1, IF(OR($H$10&gt;=1200, $T$17&gt;=12), 3, 2))+IF($P$48=1,IF(OR($H$10=1800, $T$17&gt;=20), 1, 0))</f>
        <v>2</v>
      </c>
      <c r="X11" s="108"/>
      <c r="Y11" s="898" t="str">
        <f>CenAVS!A13</f>
        <v xml:space="preserve">Aventos HF Top mocny, wkręty      </v>
      </c>
      <c r="Z11" s="898" t="str">
        <f>CenAVS!B13</f>
        <v>22F2800</v>
      </c>
      <c r="AA11" s="883" t="str">
        <f>CenAVS!C13</f>
        <v>ZN</v>
      </c>
      <c r="AB11" s="665">
        <f t="shared" si="0"/>
        <v>0</v>
      </c>
      <c r="AC11" s="899">
        <f>CenAVS!F13</f>
        <v>196.99925999999999</v>
      </c>
      <c r="AD11" s="900">
        <f t="shared" si="3"/>
        <v>0</v>
      </c>
      <c r="AE11" s="901">
        <f>IF($Y$48=1,ROUNDUP($M$17*$O$12,0),0)</f>
        <v>0</v>
      </c>
      <c r="AF11" s="902">
        <f t="shared" si="1"/>
        <v>0</v>
      </c>
      <c r="AG11" s="901">
        <f>IF($Y$48=1,ROUNDUP($M$28*$O$23,0),0)</f>
        <v>0</v>
      </c>
      <c r="AH11" s="902">
        <f t="shared" si="2"/>
        <v>0</v>
      </c>
      <c r="AI11" s="170"/>
      <c r="AJ11" s="170"/>
      <c r="AK11" s="108"/>
      <c r="AM11" s="137"/>
    </row>
    <row r="12" spans="2:64" s="37" customFormat="1" ht="16.149999999999999" customHeight="1" x14ac:dyDescent="0.2">
      <c r="B12" s="1011" t="str">
        <f>ListAVS!$B$77&amp;" [kg] ** "</f>
        <v xml:space="preserve">Waga frontu wraz z uchwytem [kg] ** </v>
      </c>
      <c r="C12" s="1012"/>
      <c r="D12" s="1012"/>
      <c r="E12" s="1012"/>
      <c r="F12" s="1012"/>
      <c r="G12" s="1013"/>
      <c r="H12" s="258"/>
      <c r="I12" s="227" t="str">
        <f>IF($T14="ne", " ", IF(AND($H12=0,$H15=0, $H17&gt;0),$N$37," "))&amp;IF(AND($H17&gt;0, $H12&gt;0, $M17&gt;0),$N$41," ")</f>
        <v xml:space="preserve">  </v>
      </c>
      <c r="J12" s="227"/>
      <c r="K12" s="227"/>
      <c r="L12" s="227"/>
      <c r="N12" s="37" t="s">
        <v>44</v>
      </c>
      <c r="O12" s="118">
        <f>IF($H16&lt;$AB$51,0,IF($H16&lt;=$AC$51,1,0))</f>
        <v>0</v>
      </c>
      <c r="P12" s="37" t="s">
        <v>48</v>
      </c>
      <c r="Q12" s="118">
        <f>IF(AND($P$16&gt;=$AB$56,$P$16&lt;=$AC$56),SUM($O$11:$O$12),0)</f>
        <v>0</v>
      </c>
      <c r="T12" s="37" t="s">
        <v>733</v>
      </c>
      <c r="U12" s="118">
        <f>IF($N$48=2, IF(OR($H$10&gt;=1200, $T$17&gt;=12), 3, 2))+IF($N$48=2,IF(OR($H$10=1800, $T$17&gt;=20), 1, 0))</f>
        <v>2</v>
      </c>
      <c r="V12" s="37" t="s">
        <v>47</v>
      </c>
      <c r="W12" s="118">
        <f>IF($P$48=2, IF(OR($H$10&gt;=1200, $T$17&gt;=12), 3, 2))+IF($P$48=2,IF(OR($H$10=1800, $T$17&gt;=20), 1, 0))</f>
        <v>0</v>
      </c>
      <c r="X12" s="108"/>
      <c r="Y12" s="898" t="str">
        <f>CenAVS!A14</f>
        <v xml:space="preserve">Aventos HF Top mocny, eurowkręty      </v>
      </c>
      <c r="Z12" s="898" t="str">
        <f>CenAVS!B14</f>
        <v>22F2810</v>
      </c>
      <c r="AA12" s="883" t="str">
        <f>CenAVS!C14</f>
        <v>ZN</v>
      </c>
      <c r="AB12" s="665">
        <f t="shared" si="0"/>
        <v>0</v>
      </c>
      <c r="AC12" s="899">
        <f>CenAVS!F14</f>
        <v>198.53095999999996</v>
      </c>
      <c r="AD12" s="900">
        <f t="shared" si="3"/>
        <v>0</v>
      </c>
      <c r="AE12" s="901">
        <f>IF($Y$48=2,ROUNDUP($M$17*$O$12,0),0)</f>
        <v>0</v>
      </c>
      <c r="AF12" s="902">
        <f t="shared" si="1"/>
        <v>0</v>
      </c>
      <c r="AG12" s="901">
        <f>IF($Y$48=2,ROUNDUP($M$28*$O$23,0),0)</f>
        <v>0</v>
      </c>
      <c r="AH12" s="902">
        <f t="shared" si="2"/>
        <v>0</v>
      </c>
      <c r="AI12" s="170"/>
      <c r="AJ12" s="170"/>
      <c r="AK12" s="108"/>
      <c r="AL12" s="108"/>
      <c r="AM12" s="137"/>
      <c r="AN12" s="1043" t="str">
        <f>ListAVS!$B$86&amp;" LF = "&amp;ListAVS!$B$320&amp;" [kg]"</f>
        <v>Współczynnik mocy LF = wysokość korpusu (KH) [mm] x waga obu frontów wraz z uchwytem [kg]</v>
      </c>
      <c r="AO12" s="1043"/>
      <c r="AP12" s="1043"/>
      <c r="AQ12" s="1043"/>
      <c r="BD12" s="706"/>
      <c r="BE12" s="706"/>
      <c r="BF12" s="706"/>
      <c r="BG12" s="706"/>
    </row>
    <row r="13" spans="2:64" s="37" customFormat="1" ht="16.149999999999999" customHeight="1" x14ac:dyDescent="0.2">
      <c r="B13" s="1055" t="str">
        <f>ListAVS!$B$293</f>
        <v>Obliczenie wagi</v>
      </c>
      <c r="C13" s="1055"/>
      <c r="D13" s="1053" t="str">
        <f>ListAVS!$B$82&amp;" TS [mm] "</f>
        <v xml:space="preserve">Grubość dolnego frontu TS [mm] </v>
      </c>
      <c r="E13" s="1053"/>
      <c r="F13" s="1053"/>
      <c r="G13" s="1054"/>
      <c r="H13" s="258"/>
      <c r="I13" s="256" t="str">
        <f>IF(OR(H17=0, $T14="ne")," ",IF(AND(H12=0, H13=0)," ● "&amp;ListAVS!$B$129," "))</f>
        <v xml:space="preserve"> </v>
      </c>
      <c r="J13" s="227"/>
      <c r="K13" s="227"/>
      <c r="L13" s="227"/>
      <c r="O13" s="118"/>
      <c r="Q13" s="118"/>
      <c r="U13" s="118"/>
      <c r="W13" s="118"/>
      <c r="X13" s="108"/>
      <c r="Y13" s="898" t="str">
        <f>CenAVS!A15</f>
        <v xml:space="preserve">zestaw ramion teleskop. HF Top 480-610mm     </v>
      </c>
      <c r="Z13" s="898" t="str">
        <f>CenAVS!B15</f>
        <v>22F3200</v>
      </c>
      <c r="AA13" s="883" t="str">
        <f>CenAVS!C15</f>
        <v>NI</v>
      </c>
      <c r="AB13" s="665">
        <f t="shared" si="0"/>
        <v>0</v>
      </c>
      <c r="AC13" s="899">
        <f>CenAVS!F15</f>
        <v>85.664479999999998</v>
      </c>
      <c r="AD13" s="900">
        <f t="shared" si="3"/>
        <v>0</v>
      </c>
      <c r="AE13" s="901">
        <f>ROUNDUP($M$17*Q10,0)</f>
        <v>0</v>
      </c>
      <c r="AF13" s="902">
        <f t="shared" si="1"/>
        <v>0</v>
      </c>
      <c r="AG13" s="901">
        <f>ROUNDUP($M$28*Q21,0)</f>
        <v>0</v>
      </c>
      <c r="AH13" s="902">
        <f t="shared" si="2"/>
        <v>0</v>
      </c>
      <c r="AI13" s="170"/>
      <c r="AJ13" s="170"/>
      <c r="AK13" s="108"/>
      <c r="AL13" s="108"/>
      <c r="AM13" s="137"/>
      <c r="AN13" s="1043"/>
      <c r="AO13" s="1043"/>
      <c r="AP13" s="1043"/>
      <c r="AQ13" s="1043"/>
      <c r="BD13" s="706"/>
      <c r="BE13" s="706"/>
      <c r="BF13" s="706"/>
      <c r="BG13" s="706"/>
    </row>
    <row r="14" spans="2:64" s="37" customFormat="1" ht="16.149999999999999" customHeight="1" x14ac:dyDescent="0.2">
      <c r="B14" s="1055"/>
      <c r="C14" s="1055"/>
      <c r="D14" s="1053" t="str">
        <f>ListAVS!$B$83&amp;" [kg] "</f>
        <v xml:space="preserve">Waga uchwytu [kg] </v>
      </c>
      <c r="E14" s="1053"/>
      <c r="F14" s="1053"/>
      <c r="G14" s="1054"/>
      <c r="H14" s="258"/>
      <c r="I14" s="227" t="str">
        <f>IF(H17=0, " ", IF(AND(H12=0, S9=1, H14=0), " ● "&amp;ListAVS!$B$130," "))</f>
        <v xml:space="preserve"> </v>
      </c>
      <c r="J14" s="227"/>
      <c r="K14" s="227"/>
      <c r="L14" s="227"/>
      <c r="O14" s="118"/>
      <c r="Q14" s="118"/>
      <c r="S14" s="717" t="s">
        <v>79</v>
      </c>
      <c r="T14" s="928" t="str">
        <f>IF(AND(220&lt;=H10, H10&lt;=1800, 480&lt;=P16, P16&lt;=1200),"ano","ne")</f>
        <v>ne</v>
      </c>
      <c r="U14" s="118"/>
      <c r="W14" s="118"/>
      <c r="X14" s="108"/>
      <c r="Y14" s="898" t="str">
        <f>CenAVS!A16</f>
        <v xml:space="preserve">zestaw ramion teleskop. HF Top 600-910mm     </v>
      </c>
      <c r="Z14" s="898" t="str">
        <f>CenAVS!B16</f>
        <v>22F3500</v>
      </c>
      <c r="AA14" s="883" t="str">
        <f>CenAVS!C16</f>
        <v>NI</v>
      </c>
      <c r="AB14" s="665">
        <f t="shared" si="0"/>
        <v>0</v>
      </c>
      <c r="AC14" s="899">
        <f>CenAVS!F16</f>
        <v>105.22162</v>
      </c>
      <c r="AD14" s="900">
        <f t="shared" si="3"/>
        <v>0</v>
      </c>
      <c r="AE14" s="901">
        <f>ROUNDUP($M$17*Q11,0)</f>
        <v>0</v>
      </c>
      <c r="AF14" s="902">
        <f t="shared" si="1"/>
        <v>0</v>
      </c>
      <c r="AG14" s="901">
        <f>ROUNDUP($M$28*Q22,0)</f>
        <v>0</v>
      </c>
      <c r="AH14" s="902">
        <f t="shared" si="2"/>
        <v>0</v>
      </c>
      <c r="AI14" s="170"/>
      <c r="AJ14" s="170"/>
      <c r="AK14" s="108"/>
      <c r="AL14" s="108"/>
      <c r="AM14" s="137"/>
      <c r="AN14" s="1044"/>
      <c r="AO14" s="1044"/>
      <c r="AP14" s="1044"/>
      <c r="AQ14" s="1044"/>
      <c r="BD14" s="706"/>
      <c r="BE14" s="706"/>
      <c r="BF14" s="706"/>
      <c r="BG14" s="706"/>
    </row>
    <row r="15" spans="2:64" s="37" customFormat="1" ht="16.149999999999999" customHeight="1" x14ac:dyDescent="0.2">
      <c r="B15" s="1055"/>
      <c r="C15" s="1055"/>
      <c r="D15" s="1053" t="str">
        <f>ListAVS!$B$79&amp;" [kg] "</f>
        <v xml:space="preserve">Obliczona waga frontu [kg] </v>
      </c>
      <c r="E15" s="1053"/>
      <c r="F15" s="1053"/>
      <c r="G15" s="1054"/>
      <c r="H15" s="259">
        <f>$T$81</f>
        <v>0</v>
      </c>
      <c r="I15" s="227" t="str">
        <f>IF($H17&gt;0,IF($H15&gt;0,IF($H12=0,$N$41," ")," ")," ")&amp;IF(AND(H17&gt;0, H12=0, Z78=3, $J$4=0), $N$39, " ")</f>
        <v xml:space="preserve">  </v>
      </c>
      <c r="J15" s="227"/>
      <c r="K15" s="227"/>
      <c r="L15" s="227"/>
      <c r="O15" s="118"/>
      <c r="S15" s="717" t="s">
        <v>732</v>
      </c>
      <c r="T15" s="928" t="str">
        <f>IF(AND(H16&gt;=$AB$50, H16&lt;=$AC$51), "ano", "ne")</f>
        <v>ne</v>
      </c>
      <c r="X15" s="108"/>
      <c r="Y15" s="898" t="str">
        <f>CenAVS!A17</f>
        <v xml:space="preserve">zestaw ramion teleskop. HF Top 840-1200mm     </v>
      </c>
      <c r="Z15" s="898" t="str">
        <f>CenAVS!B17</f>
        <v>22F3900</v>
      </c>
      <c r="AA15" s="883" t="str">
        <f>CenAVS!C17</f>
        <v>NI</v>
      </c>
      <c r="AB15" s="665">
        <f t="shared" si="0"/>
        <v>0</v>
      </c>
      <c r="AC15" s="899">
        <f>CenAVS!F17</f>
        <v>124.77875</v>
      </c>
      <c r="AD15" s="900">
        <f t="shared" si="3"/>
        <v>0</v>
      </c>
      <c r="AE15" s="901">
        <f>ROUNDUP($M$17*Q12,0)</f>
        <v>0</v>
      </c>
      <c r="AF15" s="902">
        <f t="shared" si="1"/>
        <v>0</v>
      </c>
      <c r="AG15" s="901">
        <f>ROUNDUP($M$28*Q23,0)</f>
        <v>0</v>
      </c>
      <c r="AH15" s="902">
        <f t="shared" si="2"/>
        <v>0</v>
      </c>
      <c r="AI15" s="170"/>
      <c r="AJ15" s="170"/>
      <c r="AK15" s="108"/>
      <c r="AL15" s="108"/>
      <c r="AM15" s="137"/>
      <c r="AN15" s="1044"/>
      <c r="AO15" s="1044"/>
      <c r="AP15" s="1044"/>
      <c r="AQ15" s="1044"/>
      <c r="BD15" s="706"/>
      <c r="BE15" s="706"/>
      <c r="BF15" s="706"/>
      <c r="BG15" s="706"/>
    </row>
    <row r="16" spans="2:64" s="37" customFormat="1" ht="16.149999999999999" customHeight="1" thickBot="1" x14ac:dyDescent="0.25">
      <c r="B16" s="1011" t="str">
        <f>ListAVS!$B$86&amp;" LF "</f>
        <v xml:space="preserve">Współczynnik mocy LF </v>
      </c>
      <c r="C16" s="1012"/>
      <c r="D16" s="1012"/>
      <c r="E16" s="1012"/>
      <c r="F16" s="1012"/>
      <c r="G16" s="1013"/>
      <c r="H16" s="400">
        <f>IF(H11&lt;1041,IF(H11&gt;479,IF(H12&gt;0,H11*H12,H11*H15),0),0)</f>
        <v>0</v>
      </c>
      <c r="I16" s="256" t="str">
        <f>IF(AND(H16&gt;0, H16&lt;$AB$50), $T$44, IF($H16&gt;$AC$51, $N$44, "  "))</f>
        <v xml:space="preserve">  </v>
      </c>
      <c r="J16" s="227"/>
      <c r="K16" s="227"/>
      <c r="L16" s="227"/>
      <c r="O16" s="153" t="s">
        <v>49</v>
      </c>
      <c r="P16" s="165">
        <f>IF(F11&gt;0,IF(F11&gt;=H11,F11,0),H11)</f>
        <v>0</v>
      </c>
      <c r="X16" s="108"/>
      <c r="Y16" s="898" t="str">
        <f>CenAVS!A47</f>
        <v xml:space="preserve">Zaślepki HF/HL/HS - Top bez SD jasnoszare HGR   </v>
      </c>
      <c r="Z16" s="898" t="str">
        <f>CenAVS!B47</f>
        <v>22.8000</v>
      </c>
      <c r="AA16" s="883" t="str">
        <f>CenAVS!C47</f>
        <v>HGR</v>
      </c>
      <c r="AB16" s="665">
        <f>SUM(AE16,AG16)</f>
        <v>0</v>
      </c>
      <c r="AC16" s="899">
        <f>CenAVS!F47</f>
        <v>27.586120000000001</v>
      </c>
      <c r="AD16" s="900">
        <f t="shared" si="3"/>
        <v>0</v>
      </c>
      <c r="AE16" s="903">
        <f>IF(AND($S$9=1, $T$48=1), SUM($AE$9:$AE$12), 0)</f>
        <v>0</v>
      </c>
      <c r="AF16" s="902">
        <f t="shared" si="1"/>
        <v>0</v>
      </c>
      <c r="AG16" s="903">
        <f>IF(AND($S$20=1, $T$48=1), SUM($AG$9:$AG$12), 0)</f>
        <v>0</v>
      </c>
      <c r="AH16" s="902">
        <f t="shared" si="2"/>
        <v>0</v>
      </c>
      <c r="AI16" s="170"/>
      <c r="AJ16" s="170"/>
      <c r="AK16" s="108"/>
      <c r="AL16" s="255"/>
      <c r="AM16" s="137"/>
      <c r="AN16" s="137"/>
      <c r="AO16" s="137"/>
    </row>
    <row r="17" spans="1:56" s="37" customFormat="1" ht="16.149999999999999" customHeight="1" thickBot="1" x14ac:dyDescent="0.25">
      <c r="B17" s="1011" t="str">
        <f>ListAVS!$B$71&amp;" "</f>
        <v xml:space="preserve">Ilość szafek </v>
      </c>
      <c r="C17" s="1012"/>
      <c r="D17" s="1012"/>
      <c r="E17" s="1012"/>
      <c r="F17" s="1012"/>
      <c r="G17" s="1012"/>
      <c r="H17" s="410"/>
      <c r="I17" s="256"/>
      <c r="J17" s="227"/>
      <c r="K17" s="227"/>
      <c r="L17" s="227"/>
      <c r="M17" s="315">
        <f>IF($H10*$P16=0,0,IF(SUM($H12,$H15)=0,0,IF($P16&gt;$AC$57,0,IF(P16&lt;$AB$54,0,IF(OR(T14="ne", T15="ne"),0,$H17)))))</f>
        <v>0</v>
      </c>
      <c r="N17" s="37" t="s">
        <v>50</v>
      </c>
      <c r="S17" s="690" t="s">
        <v>51</v>
      </c>
      <c r="T17" s="691">
        <f>IF(H12&gt;0,H12,H15)</f>
        <v>0</v>
      </c>
      <c r="U17" s="37">
        <f>IF(SUM(H12,H15)=0,0,IF(H12&gt;0,1,2))</f>
        <v>0</v>
      </c>
      <c r="V17" s="571" t="s">
        <v>52</v>
      </c>
      <c r="X17" s="108"/>
      <c r="Y17" s="898" t="str">
        <f>CenAVS!A48</f>
        <v xml:space="preserve">zaślepki HF/HL/HS - Top bez SD ciemnoszare TGR   </v>
      </c>
      <c r="Z17" s="898" t="str">
        <f>CenAVS!B48</f>
        <v>22.8000</v>
      </c>
      <c r="AA17" s="883" t="str">
        <f>CenAVS!C48</f>
        <v>TGR</v>
      </c>
      <c r="AB17" s="665">
        <f t="shared" ref="AB17:AB37" si="4">SUM(AE17,AG17)</f>
        <v>0</v>
      </c>
      <c r="AC17" s="899">
        <f>CenAVS!F48</f>
        <v>30.106369999999998</v>
      </c>
      <c r="AD17" s="900">
        <f t="shared" si="3"/>
        <v>0</v>
      </c>
      <c r="AE17" s="903">
        <f>IF(AND($S$9=1, $T$48=2), SUM($AE$9:$AE$12), 0)</f>
        <v>0</v>
      </c>
      <c r="AF17" s="902">
        <f t="shared" si="1"/>
        <v>0</v>
      </c>
      <c r="AG17" s="903">
        <f>IF(AND($S$20=1, $T$48=2), SUM($AG$9:$AG$12), 0)</f>
        <v>0</v>
      </c>
      <c r="AH17" s="902">
        <f t="shared" si="2"/>
        <v>0</v>
      </c>
      <c r="AI17" s="170"/>
      <c r="AJ17" s="170"/>
      <c r="AK17" s="108"/>
      <c r="AM17" s="137"/>
      <c r="AN17" s="545" t="s">
        <v>771</v>
      </c>
      <c r="AO17" s="137"/>
      <c r="BD17" s="707"/>
    </row>
    <row r="18" spans="1:56" s="37" customFormat="1" ht="16.149999999999999" customHeight="1" x14ac:dyDescent="0.2">
      <c r="B18" s="227" t="str">
        <f>IF(H17&gt;0,IF(U17=0," ",IF(U17=1,$N$53,$N$54))," ")&amp;IF(H17&gt;0,IF(U17=0," ",IF(U17=1,$N$55,$N$56))," ")</f>
        <v xml:space="preserve">  </v>
      </c>
      <c r="C18" s="227"/>
      <c r="D18" s="227"/>
      <c r="E18" s="227"/>
      <c r="F18" s="262"/>
      <c r="G18" s="262"/>
      <c r="H18" s="227"/>
      <c r="I18" s="227"/>
      <c r="J18" s="227"/>
      <c r="K18" s="227"/>
      <c r="L18" s="227"/>
      <c r="X18" s="108"/>
      <c r="Y18" s="898" t="str">
        <f>CenAVS!A49</f>
        <v xml:space="preserve">Zaślepki HF/HL/HS - Top bez SD białe SW   </v>
      </c>
      <c r="Z18" s="898" t="str">
        <f>CenAVS!B49</f>
        <v>22.8000</v>
      </c>
      <c r="AA18" s="883" t="str">
        <f>CenAVS!C49</f>
        <v>SW</v>
      </c>
      <c r="AB18" s="665">
        <f t="shared" si="4"/>
        <v>0</v>
      </c>
      <c r="AC18" s="899">
        <f>CenAVS!F49</f>
        <v>30.106369999999998</v>
      </c>
      <c r="AD18" s="900">
        <f t="shared" si="3"/>
        <v>0</v>
      </c>
      <c r="AE18" s="903">
        <f>IF(AND($S$9=1, $T$48=3), SUM($AE$9:$AE$12), 0)</f>
        <v>0</v>
      </c>
      <c r="AF18" s="902">
        <f t="shared" si="1"/>
        <v>0</v>
      </c>
      <c r="AG18" s="903">
        <f>IF(AND($S$20=1, $T$48=3), SUM($AG$9:$AG$12), 0)</f>
        <v>0</v>
      </c>
      <c r="AH18" s="902">
        <f t="shared" si="2"/>
        <v>0</v>
      </c>
      <c r="AI18" s="170"/>
      <c r="AJ18" s="170"/>
      <c r="AK18" s="108"/>
      <c r="AL18" s="255"/>
      <c r="AM18" s="137"/>
      <c r="AN18" s="545" t="s">
        <v>772</v>
      </c>
      <c r="AO18" s="137"/>
    </row>
    <row r="19" spans="1:56" s="37" customFormat="1" ht="25.15" customHeight="1" thickBot="1" x14ac:dyDescent="0.25">
      <c r="B19" s="586" t="str">
        <f>IF(F11=0," ",IF(F11&gt;1200,"TKH = max. 1200!",IF(F11&lt;480,"TKH = min. 480!",IF(F11&lt;H11,$N$59,IF(H17&gt;0,IF(F11=0," ",IF(AND(F11&gt;0,M17=1), $N$58," "))," ")))))</f>
        <v xml:space="preserve"> </v>
      </c>
      <c r="C19" s="227"/>
      <c r="D19" s="227"/>
      <c r="E19" s="227"/>
      <c r="F19" s="262"/>
      <c r="G19" s="262"/>
      <c r="H19" s="227"/>
      <c r="I19" s="227"/>
      <c r="J19" s="227"/>
      <c r="K19" s="227"/>
      <c r="L19" s="227"/>
      <c r="X19" s="108"/>
      <c r="Y19" s="898" t="str">
        <f>CenAVS!A50</f>
        <v xml:space="preserve">zaślepki HF/HL/HS - Top do SD jasnoszare HGR   </v>
      </c>
      <c r="Z19" s="898" t="str">
        <f>CenAVS!B50</f>
        <v>23.8000</v>
      </c>
      <c r="AA19" s="883" t="str">
        <f>CenAVS!C50</f>
        <v>HGR</v>
      </c>
      <c r="AB19" s="665">
        <f t="shared" si="4"/>
        <v>0</v>
      </c>
      <c r="AC19" s="899">
        <f>CenAVS!F50</f>
        <v>284.41748999999999</v>
      </c>
      <c r="AD19" s="900">
        <f t="shared" si="3"/>
        <v>0</v>
      </c>
      <c r="AE19" s="903">
        <f>IF(AND($S$9=2, $T$48=1), $AE$45, 0)</f>
        <v>0</v>
      </c>
      <c r="AF19" s="902">
        <f t="shared" si="1"/>
        <v>0</v>
      </c>
      <c r="AG19" s="903">
        <f>IF(AND($S$20=2, $T$48=1), $AG$45, 0)</f>
        <v>0</v>
      </c>
      <c r="AH19" s="902">
        <f t="shared" si="2"/>
        <v>0</v>
      </c>
      <c r="AI19" s="170"/>
      <c r="AJ19" s="170"/>
      <c r="AK19" s="108"/>
      <c r="AL19" s="708" t="str">
        <f>" "&amp;ListAVS!$B$195</f>
        <v xml:space="preserve"> Obliczanie frontów asymetrycznych</v>
      </c>
      <c r="AM19" s="137"/>
      <c r="AN19" s="137"/>
      <c r="AO19" s="137"/>
    </row>
    <row r="20" spans="1:56" s="37" customFormat="1" ht="16.149999999999999" customHeight="1" thickBot="1" x14ac:dyDescent="0.25">
      <c r="B20" s="1051" t="str">
        <f>"▼ "&amp;ListAVS!$B$318</f>
        <v>▼ Sposób otwierania</v>
      </c>
      <c r="C20" s="1052"/>
      <c r="D20" s="406" t="str">
        <f>IF($M$28&gt;0, ListAVS!$B$37&amp;": ", " ")</f>
        <v xml:space="preserve"> </v>
      </c>
      <c r="E20" s="688" t="str">
        <f>IF(SUM($AG$9:$AG$10)&gt;0,25,IF(SUM($AG$11:$AG$12)&gt;0,28," "))</f>
        <v xml:space="preserve"> </v>
      </c>
      <c r="F20" s="1056" t="str">
        <f>ListAVS!$B$64&amp;" B"</f>
        <v>Korpus B</v>
      </c>
      <c r="G20" s="1057"/>
      <c r="H20" s="1058"/>
      <c r="I20" s="227"/>
      <c r="J20" s="227"/>
      <c r="K20" s="227"/>
      <c r="L20" s="227"/>
      <c r="N20" s="39" t="s">
        <v>53</v>
      </c>
      <c r="O20" s="39"/>
      <c r="P20" s="39" t="s">
        <v>33</v>
      </c>
      <c r="Q20" s="39"/>
      <c r="S20" s="138">
        <v>1</v>
      </c>
      <c r="T20" s="1063" t="b">
        <v>0</v>
      </c>
      <c r="U20" s="1064"/>
      <c r="V20" s="139" t="s">
        <v>34</v>
      </c>
      <c r="W20" s="140"/>
      <c r="X20" s="108"/>
      <c r="Y20" s="898" t="str">
        <f>CenAVS!A51</f>
        <v xml:space="preserve">Zaślepki HF/HL/HS - Top do SD ciemnoszare TGR   </v>
      </c>
      <c r="Z20" s="898" t="str">
        <f>CenAVS!B51</f>
        <v>23.8000</v>
      </c>
      <c r="AA20" s="883" t="str">
        <f>CenAVS!C51</f>
        <v>TGR</v>
      </c>
      <c r="AB20" s="665">
        <f t="shared" si="4"/>
        <v>0</v>
      </c>
      <c r="AC20" s="899">
        <f>CenAVS!F51</f>
        <v>295.60313000000002</v>
      </c>
      <c r="AD20" s="900">
        <f t="shared" si="3"/>
        <v>0</v>
      </c>
      <c r="AE20" s="903">
        <f>IF(AND($S$9=2, $T$48=2), $AE$45, 0)</f>
        <v>0</v>
      </c>
      <c r="AF20" s="902">
        <f t="shared" si="1"/>
        <v>0</v>
      </c>
      <c r="AG20" s="903">
        <f>IF(AND($S$20=2, $T$48=2), $AG$45, 0)</f>
        <v>0</v>
      </c>
      <c r="AH20" s="902">
        <f t="shared" si="2"/>
        <v>0</v>
      </c>
      <c r="AI20" s="170"/>
      <c r="AJ20" s="170"/>
      <c r="AK20" s="108"/>
      <c r="AM20" s="137"/>
      <c r="AN20" s="137"/>
      <c r="AO20" s="137"/>
      <c r="AP20" s="137"/>
    </row>
    <row r="21" spans="1:56" s="37" customFormat="1" ht="16.149999999999999" customHeight="1" x14ac:dyDescent="0.2">
      <c r="B21" s="1011" t="str">
        <f>ListAVS!$B$74&amp;" KB [mm] "</f>
        <v xml:space="preserve">Szerokość korpusu KB [mm] </v>
      </c>
      <c r="C21" s="1012"/>
      <c r="D21" s="1012"/>
      <c r="E21" s="1012"/>
      <c r="F21" s="1012"/>
      <c r="G21" s="1013"/>
      <c r="H21" s="260"/>
      <c r="I21" s="256" t="str">
        <f>IF(H21=0," ",IF($H21&lt;220," min. 220mm",IF($H21&gt;1800," max. 1 800mm"," ")))&amp;IF(H28&gt;0,IF(H21=0,"● "&amp;ListAVS!$B$129," ")," ")</f>
        <v xml:space="preserve">  </v>
      </c>
      <c r="J21" s="227"/>
      <c r="K21" s="227"/>
      <c r="L21" s="227"/>
      <c r="N21" s="894"/>
      <c r="O21" s="895"/>
      <c r="P21" s="37" t="s">
        <v>35</v>
      </c>
      <c r="Q21" s="118">
        <f>IF(AND($P$27&gt;=$AB$54,$P$27&lt;=$AC$54),SUM($O$22:$O$23),0)</f>
        <v>0</v>
      </c>
      <c r="T21" s="203" t="s">
        <v>54</v>
      </c>
      <c r="U21" s="39"/>
      <c r="V21" s="203" t="s">
        <v>55</v>
      </c>
      <c r="W21" s="39"/>
      <c r="X21" s="108"/>
      <c r="Y21" s="898" t="str">
        <f>CenAVS!A52</f>
        <v xml:space="preserve">Zaślepki HF/HL/HS - Top do SD białe SW   </v>
      </c>
      <c r="Z21" s="898" t="str">
        <f>CenAVS!B52</f>
        <v>23.8000</v>
      </c>
      <c r="AA21" s="883" t="str">
        <f>CenAVS!C52</f>
        <v>SW</v>
      </c>
      <c r="AB21" s="665">
        <f t="shared" si="4"/>
        <v>0</v>
      </c>
      <c r="AC21" s="899">
        <f>CenAVS!F52</f>
        <v>295.60313000000002</v>
      </c>
      <c r="AD21" s="900">
        <f t="shared" si="3"/>
        <v>0</v>
      </c>
      <c r="AE21" s="903">
        <f>IF(AND($S$9=2, $T$48=3), $AE$45, 0)</f>
        <v>0</v>
      </c>
      <c r="AF21" s="902">
        <f t="shared" si="1"/>
        <v>0</v>
      </c>
      <c r="AG21" s="903">
        <f>IF(AND($S$20=2, $T$48=3), $AG$45, 0)</f>
        <v>0</v>
      </c>
      <c r="AH21" s="902">
        <f t="shared" si="2"/>
        <v>0</v>
      </c>
      <c r="AI21" s="170"/>
      <c r="AJ21" s="170"/>
      <c r="AK21" s="108"/>
      <c r="AL21" s="692"/>
      <c r="AM21" s="137"/>
      <c r="AN21" s="137"/>
      <c r="AO21" s="137"/>
      <c r="AP21" s="137"/>
    </row>
    <row r="22" spans="1:56" s="37" customFormat="1" ht="16.149999999999999" customHeight="1" x14ac:dyDescent="0.2">
      <c r="B22" s="1011" t="str">
        <f>ListAVS!$B$75&amp;" [mm]"</f>
        <v>Wysokość korpusu [mm]</v>
      </c>
      <c r="C22" s="1012"/>
      <c r="D22" s="1012"/>
      <c r="E22" s="297" t="s">
        <v>38</v>
      </c>
      <c r="F22" s="260"/>
      <c r="G22" s="295" t="s">
        <v>39</v>
      </c>
      <c r="H22" s="260"/>
      <c r="I22" s="256" t="str">
        <f>IF(H22=0," ",IF($H22&lt;480," min. 480mm",IF($H22&gt;1200," max. 1 200mm"," ")))&amp;IF(H28&gt;0,IF(H22=0,"● "&amp;ListAVS!$B$129," ")," ")</f>
        <v xml:space="preserve">  </v>
      </c>
      <c r="J22" s="227"/>
      <c r="K22" s="227"/>
      <c r="L22" s="227"/>
      <c r="N22" s="37" t="s">
        <v>40</v>
      </c>
      <c r="O22" s="118">
        <f>IF($H27&lt;$AB$50,0,IF($H27&lt;=$AC$50,1,0))</f>
        <v>0</v>
      </c>
      <c r="P22" s="37" t="s">
        <v>41</v>
      </c>
      <c r="Q22" s="118">
        <f>IF(AND($P$27&gt;=$AB$55,$P$27&lt;=$AC$55),SUM($O$22:$O$23),0)</f>
        <v>0</v>
      </c>
      <c r="T22" s="37" t="s">
        <v>42</v>
      </c>
      <c r="U22" s="895">
        <f>IF($N$48=1, IF(OR($H$21&gt;=1200, $T$28&gt;=12), 3, 2))+IF($N$48=1,IF(OR($H$21=1800, $T$28&gt;=20), 1, 0))</f>
        <v>0</v>
      </c>
      <c r="V22" s="37" t="s">
        <v>43</v>
      </c>
      <c r="W22" s="118">
        <f>IF($P$48=1, IF(OR($H$21&gt;=1200, $T$28&gt;=12), 3, 2))+IF($P$48=1,IF(OR($H$21=1800, $T$28&gt;=20), 1, 0))</f>
        <v>2</v>
      </c>
      <c r="X22" s="108"/>
      <c r="Y22" s="898" t="str">
        <f>CenAVS!A18</f>
        <v xml:space="preserve">nakładany Tip-on wkręt 120°       </v>
      </c>
      <c r="Z22" s="898" t="str">
        <f>CenAVS!B18</f>
        <v>70T5550.TL</v>
      </c>
      <c r="AA22" s="883" t="str">
        <f>CenAVS!C18</f>
        <v>NI</v>
      </c>
      <c r="AB22" s="665">
        <f t="shared" si="4"/>
        <v>0</v>
      </c>
      <c r="AC22" s="899">
        <f>CenAVS!F18</f>
        <v>5.5152999999999999</v>
      </c>
      <c r="AD22" s="900">
        <f t="shared" si="3"/>
        <v>0</v>
      </c>
      <c r="AE22" s="903"/>
      <c r="AF22" s="902">
        <f t="shared" si="1"/>
        <v>0</v>
      </c>
      <c r="AG22" s="903"/>
      <c r="AH22" s="902">
        <f t="shared" si="2"/>
        <v>0</v>
      </c>
      <c r="AI22" s="170"/>
      <c r="AJ22" s="170"/>
      <c r="AK22" s="108"/>
      <c r="AL22" s="255"/>
      <c r="AM22" s="137"/>
      <c r="AN22" s="137"/>
      <c r="AO22" s="137"/>
      <c r="AP22" s="137"/>
    </row>
    <row r="23" spans="1:56" s="37" customFormat="1" ht="16.149999999999999" customHeight="1" x14ac:dyDescent="0.2">
      <c r="B23" s="1011" t="str">
        <f>ListAVS!$B$77&amp;" [kg] ** "</f>
        <v xml:space="preserve">Waga frontu wraz z uchwytem [kg] ** </v>
      </c>
      <c r="C23" s="1012"/>
      <c r="D23" s="1012"/>
      <c r="E23" s="1012"/>
      <c r="F23" s="1012"/>
      <c r="G23" s="1013"/>
      <c r="H23" s="258"/>
      <c r="I23" s="227" t="str">
        <f>IF($H28=0," ",IF(SUM($H23,$H26)=0,$N$37," "))&amp;IF($H28&gt;0,IF($H23&gt;0,$N$41," ")," ")</f>
        <v xml:space="preserve">  </v>
      </c>
      <c r="J23" s="227"/>
      <c r="K23" s="227"/>
      <c r="L23" s="227"/>
      <c r="N23" s="37" t="s">
        <v>44</v>
      </c>
      <c r="O23" s="118">
        <f>IF($H27&lt;$AB$51,0,IF($H27&lt;=$AC$51,1,IF($H27&gt;$AB$52,1.5,0)))</f>
        <v>0</v>
      </c>
      <c r="P23" s="37" t="s">
        <v>48</v>
      </c>
      <c r="Q23" s="118">
        <f>IF(AND($P$27&gt;=$AB$56,$P$27&lt;=$AC$56),SUM($O$22:$O$23),0)</f>
        <v>0</v>
      </c>
      <c r="T23" s="37" t="s">
        <v>733</v>
      </c>
      <c r="U23" s="118">
        <f>IF($N$48=2, IF(OR($H$21&gt;=1200, $T$28&gt;=12), 3, 2))+IF($N$48=2,IF(OR($H$21=1800, $T$28&gt;=20), 1, 0))</f>
        <v>2</v>
      </c>
      <c r="V23" s="37" t="s">
        <v>47</v>
      </c>
      <c r="W23" s="118">
        <f>IF($P$48=2, IF(OR($H$21&gt;=1200, $T$28&gt;=12), 3, 2))+IF($P$48=2,IF(OR($H$21=1800, $T$28&gt;=20), 1, 0))</f>
        <v>0</v>
      </c>
      <c r="X23" s="108"/>
      <c r="Y23" s="898" t="str">
        <f>CenAVS!A19</f>
        <v xml:space="preserve">zawias nakładany Tip-on Expando 120°      </v>
      </c>
      <c r="Z23" s="898" t="str">
        <f>CenAVS!B19</f>
        <v>70T558E</v>
      </c>
      <c r="AA23" s="883" t="str">
        <f>CenAVS!C19</f>
        <v>NI</v>
      </c>
      <c r="AB23" s="665">
        <f t="shared" si="4"/>
        <v>0</v>
      </c>
      <c r="AC23" s="899">
        <f>CenAVS!F19</f>
        <v>5.8604399999999996</v>
      </c>
      <c r="AD23" s="900">
        <f t="shared" si="3"/>
        <v>0</v>
      </c>
      <c r="AE23" s="903"/>
      <c r="AF23" s="902">
        <f t="shared" si="1"/>
        <v>0</v>
      </c>
      <c r="AG23" s="903"/>
      <c r="AH23" s="902">
        <f t="shared" si="2"/>
        <v>0</v>
      </c>
      <c r="AI23" s="170"/>
      <c r="AJ23" s="170"/>
      <c r="AK23" s="108"/>
      <c r="AL23" s="255"/>
      <c r="AM23" s="137"/>
      <c r="AN23" s="137"/>
      <c r="AO23" s="137"/>
      <c r="AP23" s="137"/>
    </row>
    <row r="24" spans="1:56" s="37" customFormat="1" ht="16.149999999999999" customHeight="1" x14ac:dyDescent="0.2">
      <c r="B24" s="1055" t="str">
        <f>ListAVS!$B$293</f>
        <v>Obliczenie wagi</v>
      </c>
      <c r="C24" s="1055"/>
      <c r="D24" s="1053" t="str">
        <f>ListAVS!$B$82&amp;" TS [mm] "</f>
        <v xml:space="preserve">Grubość dolnego frontu TS [mm] </v>
      </c>
      <c r="E24" s="1053"/>
      <c r="F24" s="1053"/>
      <c r="G24" s="1054"/>
      <c r="H24" s="258"/>
      <c r="I24" s="256" t="str">
        <f>IF(H28=0," ",IF(AND(H23=0, H24=0)," ● "&amp;ListAVS!$B$129," "))</f>
        <v xml:space="preserve"> </v>
      </c>
      <c r="J24" s="227"/>
      <c r="K24" s="227"/>
      <c r="L24" s="227"/>
      <c r="O24" s="118"/>
      <c r="Q24" s="118"/>
      <c r="U24" s="118"/>
      <c r="W24" s="118"/>
      <c r="X24" s="108"/>
      <c r="Y24" s="898" t="str">
        <f>CenAVS!A20</f>
        <v xml:space="preserve">zawias środkowy wkręt        </v>
      </c>
      <c r="Z24" s="898" t="str">
        <f>CenAVS!B20</f>
        <v>78Z5500T</v>
      </c>
      <c r="AA24" s="883" t="str">
        <f>CenAVS!C20</f>
        <v>NI</v>
      </c>
      <c r="AB24" s="665">
        <f t="shared" si="4"/>
        <v>0</v>
      </c>
      <c r="AC24" s="899">
        <f>CenAVS!F20</f>
        <v>10.1708</v>
      </c>
      <c r="AD24" s="900">
        <f t="shared" si="3"/>
        <v>0</v>
      </c>
      <c r="AE24" s="903">
        <f>$W$12*$M$17</f>
        <v>0</v>
      </c>
      <c r="AF24" s="902">
        <f t="shared" si="1"/>
        <v>0</v>
      </c>
      <c r="AG24" s="903">
        <f>$W$23*$M$28</f>
        <v>0</v>
      </c>
      <c r="AH24" s="902">
        <f t="shared" si="2"/>
        <v>0</v>
      </c>
      <c r="AI24" s="170"/>
      <c r="AJ24" s="170"/>
      <c r="AK24" s="108"/>
      <c r="AL24" s="255"/>
      <c r="AM24" s="137"/>
      <c r="AN24" s="137"/>
      <c r="AO24" s="137"/>
      <c r="AP24" s="137"/>
    </row>
    <row r="25" spans="1:56" s="37" customFormat="1" ht="16.149999999999999" customHeight="1" x14ac:dyDescent="0.2">
      <c r="B25" s="1055"/>
      <c r="C25" s="1055"/>
      <c r="D25" s="1053" t="str">
        <f>ListAVS!$B$83&amp;" [kg] "</f>
        <v xml:space="preserve">Waga uchwytu [kg] </v>
      </c>
      <c r="E25" s="1053"/>
      <c r="F25" s="1053"/>
      <c r="G25" s="1054"/>
      <c r="H25" s="258"/>
      <c r="I25" s="227" t="str">
        <f>IF(H28=0, " ", IF(AND(H23=0, S20=1, H25=0), " ● "&amp;ListAVS!$B$130," "))</f>
        <v xml:space="preserve"> </v>
      </c>
      <c r="J25" s="227"/>
      <c r="K25" s="227"/>
      <c r="L25" s="227"/>
      <c r="O25" s="118"/>
      <c r="Q25" s="118"/>
      <c r="S25" s="717" t="s">
        <v>79</v>
      </c>
      <c r="T25" s="928" t="str">
        <f>IF(AND(220&lt;=H21, H21&lt;=1800, 480&lt;=P27, P27&lt;=1200),"ano","ne")</f>
        <v>ne</v>
      </c>
      <c r="U25" s="118"/>
      <c r="W25" s="118"/>
      <c r="X25" s="108"/>
      <c r="Y25" s="898" t="str">
        <f>CenAVS!A21</f>
        <v xml:space="preserve">zawias środkowy Expando        </v>
      </c>
      <c r="Z25" s="898" t="str">
        <f>CenAVS!B21</f>
        <v>78Z553ET</v>
      </c>
      <c r="AA25" s="883" t="str">
        <f>CenAVS!C21</f>
        <v>NI</v>
      </c>
      <c r="AB25" s="665">
        <f t="shared" si="4"/>
        <v>0</v>
      </c>
      <c r="AC25" s="899">
        <f>CenAVS!F21</f>
        <v>10.498419999999999</v>
      </c>
      <c r="AD25" s="900">
        <f t="shared" si="3"/>
        <v>0</v>
      </c>
      <c r="AE25" s="903">
        <f>$W$11*$M$17</f>
        <v>0</v>
      </c>
      <c r="AF25" s="902">
        <f t="shared" si="1"/>
        <v>0</v>
      </c>
      <c r="AG25" s="903">
        <f>$W$22*$M$28</f>
        <v>0</v>
      </c>
      <c r="AH25" s="902">
        <f t="shared" si="2"/>
        <v>0</v>
      </c>
      <c r="AI25" s="170"/>
      <c r="AJ25" s="170"/>
      <c r="AK25" s="108"/>
      <c r="AL25" s="255"/>
      <c r="AM25" s="137"/>
      <c r="AN25" s="137"/>
      <c r="AO25" s="137"/>
      <c r="AP25" s="137"/>
    </row>
    <row r="26" spans="1:56" s="37" customFormat="1" ht="16.149999999999999" customHeight="1" x14ac:dyDescent="0.2">
      <c r="B26" s="1055"/>
      <c r="C26" s="1055"/>
      <c r="D26" s="1053" t="str">
        <f>ListAVS!$B$79&amp;" [kg] "</f>
        <v xml:space="preserve">Obliczona waga frontu [kg] </v>
      </c>
      <c r="E26" s="1053"/>
      <c r="F26" s="1053"/>
      <c r="G26" s="1054"/>
      <c r="H26" s="259">
        <f>$T$90</f>
        <v>0</v>
      </c>
      <c r="I26" s="227" t="str">
        <f>IF($H28&gt;0,IF($H26&gt;0,IF($H23=0,$N$41," ")," ")," ")&amp;IF(AND(H28&gt;0, H23=0, Z87=3, $J$4=0), $N$39, " ")</f>
        <v xml:space="preserve">  </v>
      </c>
      <c r="J26" s="227"/>
      <c r="K26" s="227"/>
      <c r="L26" s="227"/>
      <c r="O26" s="118"/>
      <c r="Q26" s="118"/>
      <c r="S26" s="717" t="s">
        <v>732</v>
      </c>
      <c r="T26" s="928" t="str">
        <f>IF(AND(H27&gt;=$AB$50, H27&lt;=$AC$51), "ano", "ne")</f>
        <v>ne</v>
      </c>
      <c r="X26" s="108"/>
      <c r="Y26" s="898" t="str">
        <f>CenAVS!A22</f>
        <v xml:space="preserve">alu nakładany Tip-on 120° Aventos HF     </v>
      </c>
      <c r="Z26" s="898" t="str">
        <f>CenAVS!B22</f>
        <v>72T550A.TL</v>
      </c>
      <c r="AA26" s="883" t="str">
        <f>CenAVS!C22</f>
        <v>NI</v>
      </c>
      <c r="AB26" s="665">
        <f t="shared" si="4"/>
        <v>0</v>
      </c>
      <c r="AC26" s="899">
        <f>CenAVS!F22</f>
        <v>8.4674200000000006</v>
      </c>
      <c r="AD26" s="900">
        <f t="shared" si="3"/>
        <v>0</v>
      </c>
      <c r="AE26" s="901">
        <f>$U$12*$M$17</f>
        <v>0</v>
      </c>
      <c r="AF26" s="902">
        <f t="shared" si="1"/>
        <v>0</v>
      </c>
      <c r="AG26" s="901">
        <f>$U$23*$M$28</f>
        <v>0</v>
      </c>
      <c r="AH26" s="902">
        <f t="shared" si="2"/>
        <v>0</v>
      </c>
      <c r="AI26" s="170"/>
      <c r="AJ26" s="170"/>
      <c r="AK26" s="108"/>
      <c r="AL26" s="255"/>
      <c r="AM26" s="137"/>
    </row>
    <row r="27" spans="1:56" s="37" customFormat="1" ht="16.149999999999999" customHeight="1" thickBot="1" x14ac:dyDescent="0.25">
      <c r="B27" s="1011" t="str">
        <f>ListAVS!$B$86&amp;" LF "</f>
        <v xml:space="preserve">Współczynnik mocy LF </v>
      </c>
      <c r="C27" s="1012"/>
      <c r="D27" s="1012"/>
      <c r="E27" s="1012"/>
      <c r="F27" s="1012"/>
      <c r="G27" s="1013"/>
      <c r="H27" s="400">
        <f>IF(H22&lt;1041,IF(H22&gt;479,IF(H23&gt;0,H22*H23,H22*H26),0),0)</f>
        <v>0</v>
      </c>
      <c r="I27" s="256" t="str">
        <f>IF(AND(H27&gt;0, H27&lt;$AB$50), $T$44, IF($H27&gt;$AC$51, $N$44, "  "))</f>
        <v xml:space="preserve">  </v>
      </c>
      <c r="J27" s="227"/>
      <c r="K27" s="268"/>
      <c r="L27" s="227"/>
      <c r="O27" s="153" t="s">
        <v>49</v>
      </c>
      <c r="P27" s="165">
        <f>IF(F22&gt;0,IF(F22&gt;=H22,F22,0),H22)</f>
        <v>0</v>
      </c>
      <c r="Q27" s="118"/>
      <c r="X27" s="108"/>
      <c r="Y27" s="898" t="str">
        <f>CenAVS!A23</f>
        <v xml:space="preserve">alu zawias środkowy        </v>
      </c>
      <c r="Z27" s="898" t="str">
        <f>CenAVS!B23</f>
        <v>78Z550AT</v>
      </c>
      <c r="AA27" s="883" t="str">
        <f>CenAVS!C23</f>
        <v>NI</v>
      </c>
      <c r="AB27" s="665">
        <f t="shared" si="4"/>
        <v>0</v>
      </c>
      <c r="AC27" s="899">
        <f>CenAVS!F23</f>
        <v>11.149290000000001</v>
      </c>
      <c r="AD27" s="900">
        <f t="shared" si="3"/>
        <v>0</v>
      </c>
      <c r="AE27" s="901"/>
      <c r="AF27" s="902">
        <f t="shared" si="1"/>
        <v>0</v>
      </c>
      <c r="AG27" s="901"/>
      <c r="AH27" s="902">
        <f t="shared" si="2"/>
        <v>0</v>
      </c>
      <c r="AI27" s="170"/>
      <c r="AJ27" s="170"/>
      <c r="AK27" s="108"/>
      <c r="AL27" s="255"/>
      <c r="AM27" s="137"/>
      <c r="AN27" s="137"/>
      <c r="AO27" s="137"/>
      <c r="AP27" s="137"/>
      <c r="AQ27" s="137"/>
    </row>
    <row r="28" spans="1:56" ht="16.149999999999999" customHeight="1" thickBot="1" x14ac:dyDescent="0.25">
      <c r="B28" s="1011" t="str">
        <f>ListAVS!$B$71&amp;" "</f>
        <v xml:space="preserve">Ilość szafek </v>
      </c>
      <c r="C28" s="1012"/>
      <c r="D28" s="1012"/>
      <c r="E28" s="1012"/>
      <c r="F28" s="1012"/>
      <c r="G28" s="1012"/>
      <c r="H28" s="410"/>
      <c r="I28" s="256"/>
      <c r="J28" s="270"/>
      <c r="K28" s="401"/>
      <c r="L28" s="402"/>
      <c r="M28" s="315">
        <f>IF($H21*$P27=0,0,IF(SUM($H23,$H26)=0,0,IF($P27&gt;$AC$57,0,IF(P27&lt;$AB$54,0,IF(OR(T25="ne", T26="ne"),0,$H28)))))</f>
        <v>0</v>
      </c>
      <c r="N28" s="37" t="s">
        <v>50</v>
      </c>
      <c r="O28" s="39"/>
      <c r="P28" s="39"/>
      <c r="Q28" s="39"/>
      <c r="R28" s="137"/>
      <c r="S28" s="690" t="s">
        <v>51</v>
      </c>
      <c r="T28" s="691">
        <f>IF(H23&gt;0,H23,H26)</f>
        <v>0</v>
      </c>
      <c r="U28" s="37">
        <f>IF(SUM(H23,H26)=0,0,IF(H23&gt;0,1,2))</f>
        <v>0</v>
      </c>
      <c r="V28" s="571" t="s">
        <v>52</v>
      </c>
      <c r="W28" s="118"/>
      <c r="Y28" s="898" t="str">
        <f>CenAVS!A24</f>
        <v xml:space="preserve">adapter alu do ramion teleskop. P     </v>
      </c>
      <c r="Z28" s="898" t="str">
        <f>CenAVS!B24</f>
        <v>175H5B00   R</v>
      </c>
      <c r="AA28" s="883" t="str">
        <f>CenAVS!C24</f>
        <v>NI</v>
      </c>
      <c r="AB28" s="665">
        <f t="shared" si="4"/>
        <v>0</v>
      </c>
      <c r="AC28" s="899">
        <f>CenAVS!F24</f>
        <v>9.9110600000000009</v>
      </c>
      <c r="AD28" s="900">
        <f t="shared" si="3"/>
        <v>0</v>
      </c>
      <c r="AE28" s="901"/>
      <c r="AF28" s="902">
        <f t="shared" si="1"/>
        <v>0</v>
      </c>
      <c r="AG28" s="901"/>
      <c r="AH28" s="902">
        <f t="shared" si="2"/>
        <v>0</v>
      </c>
      <c r="AI28" s="170"/>
      <c r="AJ28" s="170"/>
      <c r="AL28" s="255"/>
      <c r="AM28" s="37"/>
    </row>
    <row r="29" spans="1:56" ht="16.149999999999999" customHeight="1" x14ac:dyDescent="0.2">
      <c r="A29" s="137"/>
      <c r="B29" s="227" t="str">
        <f>IF(H28&gt;0,IF(U28=0," ",IF(U28=1,$N$53,$N$54))," ")&amp;IF(H28&gt;0,IF(U28=0," ",IF(U28=1,$N$55,$N$56))," ")</f>
        <v xml:space="preserve">  </v>
      </c>
      <c r="C29" s="227"/>
      <c r="D29" s="227"/>
      <c r="E29" s="227"/>
      <c r="F29" s="227"/>
      <c r="G29" s="227"/>
      <c r="H29" s="403"/>
      <c r="I29" s="256"/>
      <c r="J29" s="404"/>
      <c r="K29" s="404"/>
      <c r="L29" s="404"/>
      <c r="N29" s="137"/>
      <c r="O29" s="137"/>
      <c r="P29" s="137"/>
      <c r="Q29" s="137"/>
      <c r="Y29" s="898" t="str">
        <f>CenAVS!A25</f>
        <v xml:space="preserve">adapter alu do ramion teleskop. L     </v>
      </c>
      <c r="Z29" s="898" t="str">
        <f>CenAVS!B25</f>
        <v>175H5B00   L</v>
      </c>
      <c r="AA29" s="883" t="str">
        <f>CenAVS!C25</f>
        <v>NI</v>
      </c>
      <c r="AB29" s="665">
        <f t="shared" si="4"/>
        <v>0</v>
      </c>
      <c r="AC29" s="899">
        <f>CenAVS!F25</f>
        <v>9.9110600000000009</v>
      </c>
      <c r="AD29" s="900">
        <f t="shared" si="3"/>
        <v>0</v>
      </c>
      <c r="AE29" s="901"/>
      <c r="AF29" s="902">
        <f t="shared" si="1"/>
        <v>0</v>
      </c>
      <c r="AG29" s="901"/>
      <c r="AH29" s="902">
        <f t="shared" si="2"/>
        <v>0</v>
      </c>
      <c r="AI29" s="170"/>
      <c r="AJ29" s="170"/>
      <c r="AL29" s="255"/>
    </row>
    <row r="30" spans="1:56" ht="18.75" customHeight="1" x14ac:dyDescent="0.2">
      <c r="B30" s="586" t="str">
        <f>IF(F22=0," ",IF(F22&gt;1200,"TKH = max. 1200!",IF(F22&lt;480,"TKH = min. 480!",IF(F22&lt;H22,$N$59,IF(H28&gt;0,IF(F22=0," ",IF(AND(F22&gt;0,M28=1), $N$58," "))," ")))))</f>
        <v xml:space="preserve"> </v>
      </c>
      <c r="C30" s="248"/>
      <c r="D30" s="396"/>
      <c r="E30" s="396"/>
      <c r="F30" s="274"/>
      <c r="G30" s="274"/>
      <c r="H30" s="396"/>
      <c r="I30" s="264"/>
      <c r="J30" s="264"/>
      <c r="K30" s="396"/>
      <c r="L30" s="265"/>
      <c r="N30" s="137"/>
      <c r="O30" s="137"/>
      <c r="P30" s="137"/>
      <c r="Q30" s="137"/>
      <c r="Y30" s="898" t="str">
        <f>CenAVS!A26</f>
        <v xml:space="preserve">adapter alu do zawiasu środkowego      </v>
      </c>
      <c r="Z30" s="898" t="str">
        <f>CenAVS!B26</f>
        <v>175H5A00</v>
      </c>
      <c r="AA30" s="883" t="str">
        <f>CenAVS!C26</f>
        <v>NI</v>
      </c>
      <c r="AB30" s="665">
        <f t="shared" si="4"/>
        <v>0</v>
      </c>
      <c r="AC30" s="899">
        <f>CenAVS!F26</f>
        <v>9.9110600000000009</v>
      </c>
      <c r="AD30" s="900">
        <f t="shared" si="3"/>
        <v>0</v>
      </c>
      <c r="AE30" s="901">
        <f>AE26</f>
        <v>0</v>
      </c>
      <c r="AF30" s="902">
        <f t="shared" si="1"/>
        <v>0</v>
      </c>
      <c r="AG30" s="901">
        <f>AG26</f>
        <v>0</v>
      </c>
      <c r="AH30" s="902">
        <f t="shared" si="2"/>
        <v>0</v>
      </c>
      <c r="AI30" s="170"/>
      <c r="AJ30" s="170"/>
      <c r="AL30" s="255"/>
    </row>
    <row r="31" spans="1:56" ht="13.5" customHeight="1" x14ac:dyDescent="0.2">
      <c r="B31" s="1109" t="str">
        <f>IF(OR(AND($S$9=2, $M$17&gt;0), AND($S$20=2, $M$28&gt;0)), ListAVS!$B$176, " ")</f>
        <v xml:space="preserve"> </v>
      </c>
      <c r="C31" s="1109"/>
      <c r="D31" s="1109"/>
      <c r="E31" s="1109"/>
      <c r="F31" s="1109"/>
      <c r="G31" s="1109"/>
      <c r="H31" s="1109"/>
      <c r="I31" s="1109"/>
      <c r="J31" s="1109"/>
      <c r="K31" s="397"/>
      <c r="L31" s="397"/>
      <c r="O31" s="37"/>
      <c r="Q31" s="37"/>
      <c r="S31" s="337">
        <f>IF($T$31=FALSE,2,1)</f>
        <v>1</v>
      </c>
      <c r="T31" s="1129" t="b">
        <v>1</v>
      </c>
      <c r="U31" s="1130"/>
      <c r="V31" s="139" t="s">
        <v>56</v>
      </c>
      <c r="W31" s="173"/>
      <c r="Y31" s="898"/>
      <c r="Z31" s="898"/>
      <c r="AA31" s="883"/>
      <c r="AB31" s="665"/>
      <c r="AC31" s="899"/>
      <c r="AD31" s="900"/>
      <c r="AE31" s="901"/>
      <c r="AF31" s="902"/>
      <c r="AG31" s="901"/>
      <c r="AH31" s="902"/>
      <c r="AI31" s="170"/>
      <c r="AJ31" s="170"/>
      <c r="AL31" s="255"/>
    </row>
    <row r="32" spans="1:56" ht="13.5" customHeight="1" x14ac:dyDescent="0.2">
      <c r="B32" s="1109"/>
      <c r="C32" s="1109"/>
      <c r="D32" s="1109"/>
      <c r="E32" s="1109"/>
      <c r="F32" s="1109"/>
      <c r="G32" s="1109"/>
      <c r="H32" s="1109"/>
      <c r="I32" s="1109"/>
      <c r="J32" s="1109"/>
      <c r="K32" s="397"/>
      <c r="L32" s="397"/>
      <c r="O32" s="37"/>
      <c r="Q32" s="37"/>
      <c r="Y32" s="898"/>
      <c r="Z32" s="898"/>
      <c r="AA32" s="883"/>
      <c r="AB32" s="665"/>
      <c r="AC32" s="899"/>
      <c r="AD32" s="900"/>
      <c r="AE32" s="901"/>
      <c r="AF32" s="902"/>
      <c r="AG32" s="901"/>
      <c r="AH32" s="902"/>
      <c r="AI32" s="170"/>
      <c r="AJ32" s="170"/>
      <c r="AL32" s="693"/>
    </row>
    <row r="33" spans="2:43" ht="12" customHeight="1" x14ac:dyDescent="0.2">
      <c r="B33" s="1109"/>
      <c r="C33" s="1109"/>
      <c r="D33" s="1109"/>
      <c r="E33" s="1109"/>
      <c r="F33" s="1109"/>
      <c r="G33" s="1109"/>
      <c r="H33" s="1109"/>
      <c r="I33" s="1109"/>
      <c r="J33" s="1109"/>
      <c r="K33" s="633"/>
      <c r="L33" s="633"/>
      <c r="Y33" s="898" t="str">
        <f>CenAVS!A27</f>
        <v xml:space="preserve">          </v>
      </c>
      <c r="Z33" s="898">
        <f>CenAVS!B27</f>
        <v>0</v>
      </c>
      <c r="AA33" s="883">
        <f>CenAVS!C27</f>
        <v>0</v>
      </c>
      <c r="AB33" s="665"/>
      <c r="AC33" s="899">
        <f>CenAVS!F27</f>
        <v>0</v>
      </c>
      <c r="AD33" s="900">
        <f t="shared" si="3"/>
        <v>0</v>
      </c>
      <c r="AE33" s="901"/>
      <c r="AF33" s="902">
        <f t="shared" si="1"/>
        <v>0</v>
      </c>
      <c r="AG33" s="901"/>
      <c r="AH33" s="902">
        <f t="shared" si="2"/>
        <v>0</v>
      </c>
      <c r="AI33" s="170"/>
      <c r="AJ33" s="170"/>
      <c r="AL33" s="693"/>
    </row>
    <row r="34" spans="2:43" ht="12.75" x14ac:dyDescent="0.2">
      <c r="B34" s="272"/>
      <c r="C34" s="255"/>
      <c r="D34" s="266"/>
      <c r="E34" s="266"/>
      <c r="F34" s="266"/>
      <c r="G34" s="633"/>
      <c r="H34" s="633"/>
      <c r="I34" s="633"/>
      <c r="J34" s="633"/>
      <c r="K34" s="633"/>
      <c r="L34" s="633"/>
      <c r="Y34" s="898"/>
      <c r="Z34" s="898"/>
      <c r="AA34" s="883"/>
      <c r="AB34" s="665"/>
      <c r="AC34" s="899"/>
      <c r="AD34" s="900">
        <f t="shared" si="3"/>
        <v>0</v>
      </c>
      <c r="AE34" s="901"/>
      <c r="AF34" s="902">
        <f t="shared" si="1"/>
        <v>0</v>
      </c>
      <c r="AG34" s="901"/>
      <c r="AH34" s="902">
        <f t="shared" si="2"/>
        <v>0</v>
      </c>
      <c r="AI34" s="170"/>
      <c r="AJ34" s="170"/>
    </row>
    <row r="35" spans="2:43" ht="12.75" x14ac:dyDescent="0.2">
      <c r="B35" s="272"/>
      <c r="C35" s="273" t="str">
        <f>IF($H16&gt;25900," ",IF($H16&gt;17250,$N$46,IF($H27&gt;25900," ",IF($H27&gt;17250,$N$46," "))))</f>
        <v xml:space="preserve"> </v>
      </c>
      <c r="D35" s="266"/>
      <c r="E35" s="266"/>
      <c r="F35" s="266"/>
      <c r="G35" s="266"/>
      <c r="H35" s="266"/>
      <c r="I35" s="255"/>
      <c r="J35" s="266"/>
      <c r="K35" s="266"/>
      <c r="L35" s="255"/>
      <c r="N35" s="37" t="str">
        <f>ListAVS!B177</f>
        <v>Cena bez zasilacza!</v>
      </c>
      <c r="Y35" s="898"/>
      <c r="Z35" s="898"/>
      <c r="AA35" s="883"/>
      <c r="AB35" s="665"/>
      <c r="AC35" s="899"/>
      <c r="AD35" s="900">
        <f t="shared" si="3"/>
        <v>0</v>
      </c>
      <c r="AE35" s="903"/>
      <c r="AF35" s="902">
        <f t="shared" si="1"/>
        <v>0</v>
      </c>
      <c r="AG35" s="903"/>
      <c r="AH35" s="902">
        <f t="shared" si="2"/>
        <v>0</v>
      </c>
      <c r="AI35" s="170"/>
      <c r="AJ35" s="170"/>
    </row>
    <row r="36" spans="2:43" ht="12.75" x14ac:dyDescent="0.2">
      <c r="B36" s="272"/>
      <c r="C36" s="255"/>
      <c r="D36" s="266"/>
      <c r="E36" s="266"/>
      <c r="F36" s="266"/>
      <c r="G36" s="266"/>
      <c r="H36" s="266"/>
      <c r="I36" s="255"/>
      <c r="J36" s="266"/>
      <c r="K36" s="266"/>
      <c r="L36" s="255"/>
      <c r="Y36" s="898" t="str">
        <f>CenAVS!A162</f>
        <v xml:space="preserve">prowadnik krzyżakowy mimośród wkręt 8 5mm     </v>
      </c>
      <c r="Z36" s="898" t="str">
        <f>CenAVS!B162</f>
        <v>173H7100</v>
      </c>
      <c r="AA36" s="883" t="str">
        <f>CenAVS!C162</f>
        <v>NI</v>
      </c>
      <c r="AB36" s="665">
        <f t="shared" si="4"/>
        <v>0</v>
      </c>
      <c r="AC36" s="899">
        <f>CenAVS!F162</f>
        <v>1.7393000000000001</v>
      </c>
      <c r="AD36" s="900">
        <f t="shared" si="3"/>
        <v>0</v>
      </c>
      <c r="AE36" s="903"/>
      <c r="AF36" s="902">
        <f t="shared" si="1"/>
        <v>0</v>
      </c>
      <c r="AG36" s="903"/>
      <c r="AH36" s="902">
        <f t="shared" si="2"/>
        <v>0</v>
      </c>
      <c r="AI36" s="170"/>
      <c r="AJ36" s="170"/>
    </row>
    <row r="37" spans="2:43" ht="12.75" x14ac:dyDescent="0.2">
      <c r="B37" s="272"/>
      <c r="C37" s="255" t="str">
        <f>"*  "&amp;ListAVS!$B$184</f>
        <v>*  Jedynie do frontów asymetrycznych: wpisz teoretyczną wysokość TKH</v>
      </c>
      <c r="D37" s="266"/>
      <c r="E37" s="266"/>
      <c r="F37" s="266"/>
      <c r="G37" s="266"/>
      <c r="H37" s="266"/>
      <c r="I37" s="255"/>
      <c r="J37" s="266"/>
      <c r="K37" s="266"/>
      <c r="L37" s="255"/>
      <c r="N37" s="37" t="str">
        <f>" "&amp;ListAVS!$B$116</f>
        <v xml:space="preserve"> Wprowadź wagę lub wypełnij wszystkie komórki</v>
      </c>
      <c r="Y37" s="898" t="str">
        <f>CenAVS!A163</f>
        <v xml:space="preserve">prowadnik krzyżakowy mimośród Expando 8 5mm     </v>
      </c>
      <c r="Z37" s="898" t="str">
        <f>CenAVS!B163</f>
        <v>174H7100E </v>
      </c>
      <c r="AA37" s="883" t="str">
        <f>CenAVS!C163</f>
        <v>NI</v>
      </c>
      <c r="AB37" s="665">
        <f t="shared" si="4"/>
        <v>0</v>
      </c>
      <c r="AC37" s="899">
        <f>CenAVS!F163</f>
        <v>2.1260500000000002</v>
      </c>
      <c r="AD37" s="900">
        <f t="shared" si="3"/>
        <v>0</v>
      </c>
      <c r="AE37" s="903"/>
      <c r="AF37" s="902">
        <f t="shared" si="1"/>
        <v>0</v>
      </c>
      <c r="AG37" s="903"/>
      <c r="AH37" s="902">
        <f t="shared" si="2"/>
        <v>0</v>
      </c>
      <c r="AI37" s="170"/>
      <c r="AJ37" s="170"/>
      <c r="AL37" s="710"/>
    </row>
    <row r="38" spans="2:43" ht="12.75" x14ac:dyDescent="0.2">
      <c r="B38" s="255"/>
      <c r="C38" s="255" t="str">
        <f>" ("&amp;ListAVS!$B$185&amp;")"</f>
        <v xml:space="preserve"> (TKH = Wysokość frontu górnego (mm) x 2 + szczeliny)</v>
      </c>
      <c r="D38" s="255"/>
      <c r="E38" s="255"/>
      <c r="F38" s="255"/>
      <c r="G38" s="255"/>
      <c r="H38" s="255"/>
      <c r="I38" s="255"/>
      <c r="J38" s="255"/>
      <c r="K38" s="255"/>
      <c r="L38" s="255"/>
      <c r="N38" s="137"/>
      <c r="Y38" s="898"/>
      <c r="Z38" s="898"/>
      <c r="AA38" s="883"/>
      <c r="AB38" s="665"/>
      <c r="AC38" s="899"/>
      <c r="AD38" s="900"/>
      <c r="AE38" s="903"/>
      <c r="AF38" s="902">
        <f t="shared" si="1"/>
        <v>0</v>
      </c>
      <c r="AG38" s="903"/>
      <c r="AH38" s="902">
        <f t="shared" si="2"/>
        <v>0</v>
      </c>
      <c r="AI38" s="170"/>
      <c r="AJ38" s="170"/>
    </row>
    <row r="39" spans="2:43" ht="12.75" x14ac:dyDescent="0.2">
      <c r="B39" s="255"/>
      <c r="C39" s="255" t="str">
        <f>" "&amp;ListAVS!$B$328&amp;" '"&amp;ListAVS!$B$195&amp;"' "</f>
        <v xml:space="preserve"> Do obliczenia TKH użyj 'Obliczanie frontów asymetrycznych' </v>
      </c>
      <c r="D39" s="255"/>
      <c r="E39" s="255"/>
      <c r="F39" s="255"/>
      <c r="G39" s="255"/>
      <c r="H39" s="255"/>
      <c r="I39" s="255"/>
      <c r="J39" s="255"/>
      <c r="K39" s="255"/>
      <c r="L39" s="255"/>
      <c r="N39" s="37" t="str">
        <f>" "&amp;ListAVS!$B$118</f>
        <v xml:space="preserve"> Wprowadź na górze masę objętościową </v>
      </c>
      <c r="Y39" s="898"/>
      <c r="Z39" s="898"/>
      <c r="AA39" s="883"/>
      <c r="AB39" s="665"/>
      <c r="AC39" s="899"/>
      <c r="AD39" s="900"/>
      <c r="AE39" s="903"/>
      <c r="AF39" s="902"/>
      <c r="AG39" s="903"/>
      <c r="AH39" s="902"/>
      <c r="AI39" s="170"/>
      <c r="AJ39" s="170"/>
    </row>
    <row r="40" spans="2:43" ht="12.75" x14ac:dyDescent="0.2">
      <c r="B40" s="255"/>
      <c r="C40" s="255"/>
      <c r="D40" s="255"/>
      <c r="E40" s="255"/>
      <c r="F40" s="255"/>
      <c r="G40" s="255"/>
      <c r="H40" s="255"/>
      <c r="I40" s="255"/>
      <c r="J40" s="255"/>
      <c r="K40" s="255"/>
      <c r="L40" s="255"/>
      <c r="Y40" s="898"/>
      <c r="Z40" s="898"/>
      <c r="AA40" s="883"/>
      <c r="AB40" s="665"/>
      <c r="AC40" s="899"/>
      <c r="AD40" s="900"/>
      <c r="AE40" s="903"/>
      <c r="AF40" s="902"/>
      <c r="AG40" s="903"/>
      <c r="AH40" s="902"/>
      <c r="AI40" s="170"/>
      <c r="AJ40" s="170"/>
    </row>
    <row r="41" spans="2:43" ht="12.75" x14ac:dyDescent="0.2">
      <c r="B41" s="255"/>
      <c r="C41" s="255" t="str">
        <f>"** "&amp;ListAVS!$B$187</f>
        <v>** Jeżeli znasz wagę i nie chcesz skorzystać z "obliczenie wagi"</v>
      </c>
      <c r="D41" s="255"/>
      <c r="E41" s="255"/>
      <c r="F41" s="255"/>
      <c r="G41" s="255"/>
      <c r="H41" s="255"/>
      <c r="I41" s="255"/>
      <c r="J41" s="255"/>
      <c r="K41" s="255"/>
      <c r="L41" s="255"/>
      <c r="N41" s="37" t="str">
        <f>"◄ "&amp;ListAVS!$B$112</f>
        <v>◄ wartość będzie wykorzystana do obliczenia LF</v>
      </c>
      <c r="Y41" s="898"/>
      <c r="Z41" s="898"/>
      <c r="AA41" s="883"/>
      <c r="AB41" s="665"/>
      <c r="AC41" s="899"/>
      <c r="AD41" s="900"/>
      <c r="AE41" s="903"/>
      <c r="AF41" s="902"/>
      <c r="AG41" s="903"/>
      <c r="AH41" s="902"/>
      <c r="AI41" s="170"/>
      <c r="AJ41" s="170"/>
    </row>
    <row r="42" spans="2:43" ht="12.75" x14ac:dyDescent="0.2">
      <c r="B42" s="266"/>
      <c r="C42" s="273" t="str">
        <f>"*** "&amp;ListAVS!$B$403</f>
        <v>*** Wybierz rodzaj ramki aluminiowej!</v>
      </c>
      <c r="D42" s="255"/>
      <c r="E42" s="255"/>
      <c r="F42" s="255"/>
      <c r="G42" s="255"/>
      <c r="H42" s="255"/>
      <c r="I42" s="255"/>
      <c r="J42" s="255"/>
      <c r="K42" s="255"/>
      <c r="L42" s="255"/>
      <c r="N42" s="37" t="str">
        <f>" * "&amp;ListAVS!$B$128</f>
        <v xml:space="preserve"> * Wypełnij wartości</v>
      </c>
      <c r="Y42" s="898" t="str">
        <f>CenAVS!A166</f>
        <v xml:space="preserve">prowadnik prosty wkręt 8 5mm stal     </v>
      </c>
      <c r="Z42" s="898" t="str">
        <f>CenAVS!B166</f>
        <v>175H3100</v>
      </c>
      <c r="AA42" s="883" t="str">
        <f>CenAVS!C166</f>
        <v>NI</v>
      </c>
      <c r="AB42" s="665">
        <f>SUM(AE42,AG42)</f>
        <v>0</v>
      </c>
      <c r="AC42" s="899">
        <f>CenAVS!F166</f>
        <v>1.65564</v>
      </c>
      <c r="AD42" s="900">
        <f t="shared" si="3"/>
        <v>0</v>
      </c>
      <c r="AE42" s="903">
        <f>IF($R$48=2, SUM($U$11, $U$12, $W$12, $Q$10*2, $Q$11*2, $Q$12*2)*$M$17, 0)</f>
        <v>0</v>
      </c>
      <c r="AF42" s="902">
        <f>$AC42*AE42</f>
        <v>0</v>
      </c>
      <c r="AG42" s="903">
        <f>IF($R$48=2, SUM($U$22, $U$23, $W$23, $Q$21*2, $Q$22*2, $Q$23*2)*$M$28, 0)</f>
        <v>0</v>
      </c>
      <c r="AH42" s="902">
        <f>$AC42*AG42</f>
        <v>0</v>
      </c>
      <c r="AI42" s="170"/>
      <c r="AJ42" s="170"/>
    </row>
    <row r="43" spans="2:43" ht="12.75" x14ac:dyDescent="0.2">
      <c r="B43" s="255"/>
      <c r="C43" s="670" t="str">
        <f>"      "&amp;ListAVS!$B$404</f>
        <v xml:space="preserve">      Więcej informacji o wyborze ramki aluminiowej w Pomocy</v>
      </c>
      <c r="D43" s="399"/>
      <c r="E43" s="399"/>
      <c r="F43" s="399"/>
      <c r="G43" s="399"/>
      <c r="H43" s="255"/>
      <c r="I43" s="255"/>
      <c r="J43" s="255"/>
      <c r="K43" s="255"/>
      <c r="L43" s="255"/>
      <c r="Y43" s="898" t="str">
        <f>CenAVS!A167</f>
        <v xml:space="preserve">prowadnik prosty Expando 8 5mm stal     </v>
      </c>
      <c r="Z43" s="898" t="str">
        <f>CenAVS!B167</f>
        <v>177H3100E </v>
      </c>
      <c r="AA43" s="883" t="str">
        <f>CenAVS!C167</f>
        <v>NI</v>
      </c>
      <c r="AB43" s="665">
        <f>SUM(AE43,AG43)</f>
        <v>0</v>
      </c>
      <c r="AC43" s="899">
        <f>CenAVS!F167</f>
        <v>1.8724499999999999</v>
      </c>
      <c r="AD43" s="900">
        <f t="shared" si="3"/>
        <v>0</v>
      </c>
      <c r="AE43" s="903">
        <f>IF($R$48=1, SUM($U$11, $U$12, $W$12, $Q$10*2, $Q$11*2, $Q$12*2)*$M$17, 0)</f>
        <v>0</v>
      </c>
      <c r="AF43" s="902">
        <f>$AC43*AE45</f>
        <v>0</v>
      </c>
      <c r="AG43" s="903">
        <f>IF($R$48=1, SUM($U$22, $U$23, $W$23, $Q$21*2, $Q$22*2, $Q$23*2)*$M$28, 0)</f>
        <v>0</v>
      </c>
      <c r="AH43" s="902">
        <f>$AC43*AG43</f>
        <v>0</v>
      </c>
      <c r="AI43" s="170"/>
      <c r="AJ43" s="170"/>
      <c r="AN43" s="37"/>
      <c r="AO43" s="37"/>
      <c r="AP43" s="37"/>
      <c r="AQ43" s="37"/>
    </row>
    <row r="44" spans="2:43" s="37" customFormat="1" ht="12.75" x14ac:dyDescent="0.2">
      <c r="B44" s="274"/>
      <c r="C44" s="255"/>
      <c r="D44" s="255"/>
      <c r="E44" s="255"/>
      <c r="F44" s="255"/>
      <c r="G44" s="255"/>
      <c r="H44" s="255"/>
      <c r="I44" s="255"/>
      <c r="J44" s="398"/>
      <c r="K44" s="398"/>
      <c r="L44" s="255"/>
      <c r="N44" s="37" t="str">
        <f>" max. 19.300! "&amp;ListAVS!$B$122</f>
        <v xml:space="preserve"> max. 19.300! Popraw wagę albo wysokość</v>
      </c>
      <c r="T44" s="37" t="str">
        <f>" min. "&amp;$AB$50&amp;"! "&amp;ListAVS!$B$122</f>
        <v xml:space="preserve"> min. 2700! Popraw wagę albo wysokość</v>
      </c>
      <c r="X44" s="108"/>
      <c r="Y44" s="898">
        <f>CenAVS!A169</f>
        <v>0</v>
      </c>
      <c r="Z44" s="898">
        <f>CenAVS!B169</f>
        <v>0</v>
      </c>
      <c r="AA44" s="883">
        <f>CenAVS!C169</f>
        <v>0</v>
      </c>
      <c r="AB44" s="665"/>
      <c r="AC44" s="899">
        <f>CenAVS!F169</f>
        <v>0</v>
      </c>
      <c r="AD44" s="900">
        <f t="shared" si="3"/>
        <v>0</v>
      </c>
      <c r="AE44" s="903"/>
      <c r="AF44" s="902">
        <f>$AC44*AE44</f>
        <v>0</v>
      </c>
      <c r="AG44" s="903"/>
      <c r="AH44" s="902">
        <f>$AC44*AG44</f>
        <v>0</v>
      </c>
      <c r="AI44" s="170"/>
      <c r="AJ44" s="170"/>
      <c r="AK44" s="108"/>
      <c r="AL44" s="108"/>
      <c r="AM44" s="137"/>
    </row>
    <row r="45" spans="2:43" s="37" customFormat="1" x14ac:dyDescent="0.2">
      <c r="N45" s="37" t="str">
        <f>" "&amp;ListAVS!$B$120&amp;"!"</f>
        <v xml:space="preserve"> Dodatkowy trzeci siłownik!</v>
      </c>
      <c r="O45" s="118"/>
      <c r="Q45" s="149" t="str">
        <f>" "&amp;ListAVS!$B$126&amp;"!"</f>
        <v xml:space="preserve"> Druga jednostka napędu!</v>
      </c>
      <c r="U45" s="37" t="str">
        <f>" "&amp;ListAVS!B127</f>
        <v xml:space="preserve"> Użyj tylko jeden podnośnik</v>
      </c>
      <c r="X45" s="108"/>
      <c r="Y45" s="898" t="str">
        <f>CenAVS!A171</f>
        <v xml:space="preserve">Aventos HF/HL/HS - Top Servo-Drive      </v>
      </c>
      <c r="Z45" s="898" t="str">
        <f>CenAVS!B171</f>
        <v>23.A000</v>
      </c>
      <c r="AA45" s="883" t="str">
        <f>CenAVS!C171</f>
        <v>R7037</v>
      </c>
      <c r="AB45" s="665">
        <f>SUM(AE45,AG45)</f>
        <v>0</v>
      </c>
      <c r="AC45" s="899">
        <f>CenAVS!F171</f>
        <v>905.30219999999997</v>
      </c>
      <c r="AD45" s="900">
        <f t="shared" si="3"/>
        <v>0</v>
      </c>
      <c r="AE45" s="903">
        <f>IF($S$9=1, 0, $M$17)+IF(AND($S$9=2, $H$16&gt;$AB$52), $M$17, 0)</f>
        <v>0</v>
      </c>
      <c r="AF45" s="902">
        <f>$AC45*AE45</f>
        <v>0</v>
      </c>
      <c r="AG45" s="903">
        <f>IF($S$20=1, 0, $M$28)+IF(AND($S$20=2, $H$27&gt;$AB$52), $M$28, 0)</f>
        <v>0</v>
      </c>
      <c r="AH45" s="902">
        <f>$AC45*AG45</f>
        <v>0</v>
      </c>
      <c r="AI45" s="170"/>
      <c r="AJ45" s="170"/>
      <c r="AK45" s="108"/>
      <c r="AL45" s="108"/>
    </row>
    <row r="46" spans="2:43" s="37" customFormat="1" x14ac:dyDescent="0.2">
      <c r="N46" s="37" t="str">
        <f>ListAVS!$B$182</f>
        <v>Dodatkowy trzeci siłownik można zastosować jedynie z pełnym frontem dolnym!</v>
      </c>
      <c r="O46" s="118"/>
      <c r="Q46" s="118"/>
      <c r="X46" s="108"/>
      <c r="AG46" s="118"/>
      <c r="AI46" s="170"/>
      <c r="AJ46" s="170"/>
      <c r="AK46" s="108"/>
      <c r="AL46" s="108"/>
      <c r="AN46" s="137"/>
      <c r="AO46" s="137"/>
      <c r="AP46" s="137"/>
      <c r="AQ46" s="137"/>
    </row>
    <row r="47" spans="2:43" x14ac:dyDescent="0.2">
      <c r="B47" s="144"/>
      <c r="Y47" s="37"/>
      <c r="Z47" s="37"/>
      <c r="AA47" s="37"/>
      <c r="AB47" s="37"/>
      <c r="AC47" s="144" t="str">
        <f>ListAVS!$B$61&amp;" "</f>
        <v xml:space="preserve">Cena całkowita bez VAT </v>
      </c>
      <c r="AD47" s="171">
        <f>SUM(AD9:AD45)</f>
        <v>0</v>
      </c>
      <c r="AE47" s="37"/>
      <c r="AF47" s="37">
        <f>SUM(AF9:AF46)</f>
        <v>0</v>
      </c>
      <c r="AG47" s="37"/>
      <c r="AH47" s="37">
        <f>SUM(AH9:AH46)</f>
        <v>0</v>
      </c>
      <c r="AI47" s="170"/>
      <c r="AJ47" s="170"/>
      <c r="AM47" s="37"/>
    </row>
    <row r="48" spans="2:43" x14ac:dyDescent="0.2">
      <c r="N48" s="939">
        <v>2</v>
      </c>
      <c r="O48" s="298">
        <v>2</v>
      </c>
      <c r="P48" s="138">
        <f>HF!$N$33</f>
        <v>1</v>
      </c>
      <c r="Q48" s="298">
        <v>2</v>
      </c>
      <c r="R48" s="117">
        <f>HF!$P$33</f>
        <v>1</v>
      </c>
      <c r="S48" s="194"/>
      <c r="T48" s="117">
        <f>MenuAVS!$P$28</f>
        <v>1</v>
      </c>
      <c r="Y48" s="897">
        <f>HF!$R$33</f>
        <v>1</v>
      </c>
      <c r="Z48" s="108" t="str">
        <f>Param!M10</f>
        <v>Parametry HF</v>
      </c>
      <c r="AI48" s="170"/>
      <c r="AJ48" s="170"/>
    </row>
    <row r="49" spans="2:43" x14ac:dyDescent="0.2">
      <c r="B49" s="316"/>
      <c r="C49" s="317"/>
      <c r="D49" s="317"/>
      <c r="E49" s="317"/>
      <c r="F49" s="317"/>
      <c r="G49" s="317"/>
      <c r="I49" s="317"/>
      <c r="J49" s="317"/>
      <c r="N49" s="153" t="s">
        <v>7</v>
      </c>
      <c r="O49" s="39" t="s">
        <v>67</v>
      </c>
      <c r="P49" s="153" t="s">
        <v>8</v>
      </c>
      <c r="Q49" s="39" t="s">
        <v>67</v>
      </c>
      <c r="R49" s="153" t="s">
        <v>9</v>
      </c>
      <c r="T49" s="153" t="s">
        <v>6</v>
      </c>
      <c r="W49" s="154" t="s">
        <v>57</v>
      </c>
      <c r="Y49" s="896" t="s">
        <v>676</v>
      </c>
      <c r="Z49" s="108" t="str">
        <f>Param!M11</f>
        <v>Zdvihač</v>
      </c>
      <c r="AA49" s="108" t="str">
        <f>Param!N11</f>
        <v>ks</v>
      </c>
      <c r="AB49" s="108" t="str">
        <f>Param!O11</f>
        <v>min</v>
      </c>
      <c r="AC49" s="108" t="str">
        <f>Param!P11</f>
        <v>max</v>
      </c>
      <c r="AD49" s="108" t="str">
        <f>Param!Q11</f>
        <v>alu max.</v>
      </c>
      <c r="AI49" s="37"/>
      <c r="AJ49" s="37"/>
    </row>
    <row r="50" spans="2:43" x14ac:dyDescent="0.2">
      <c r="B50" s="317"/>
      <c r="C50" s="317"/>
      <c r="D50" s="317"/>
      <c r="E50" s="317"/>
      <c r="F50" s="317"/>
      <c r="G50" s="317"/>
      <c r="I50" s="317"/>
      <c r="J50" s="317"/>
      <c r="N50" s="37" t="str">
        <f>ListAVS!$B$134</f>
        <v>Expando</v>
      </c>
      <c r="P50" s="37" t="str">
        <f>ListAVS!$B$134</f>
        <v>Expando</v>
      </c>
      <c r="R50" s="37" t="str">
        <f>ListAVS!$B$134</f>
        <v>Expando</v>
      </c>
      <c r="T50" s="37" t="str">
        <f>ListAVS!$B$146</f>
        <v>Jasnoszary (HGR)</v>
      </c>
      <c r="W50" s="149" t="s">
        <v>58</v>
      </c>
      <c r="Y50" s="108" t="s">
        <v>105</v>
      </c>
      <c r="Z50" s="108" t="str">
        <f>Param!M12</f>
        <v>22F2500</v>
      </c>
      <c r="AA50" s="108">
        <f>Param!N12</f>
        <v>1</v>
      </c>
      <c r="AB50" s="108">
        <f>Param!O12</f>
        <v>2700</v>
      </c>
      <c r="AC50" s="108">
        <f>Param!P12</f>
        <v>11500</v>
      </c>
      <c r="AI50" s="201"/>
      <c r="AJ50" s="201"/>
    </row>
    <row r="51" spans="2:43" x14ac:dyDescent="0.2">
      <c r="B51" s="316"/>
      <c r="C51" s="317"/>
      <c r="D51" s="317"/>
      <c r="E51" s="317"/>
      <c r="F51" s="317"/>
      <c r="G51" s="317"/>
      <c r="I51" s="317"/>
      <c r="J51" s="317"/>
      <c r="N51" s="37" t="str">
        <f>ListAVS!$B$135</f>
        <v>na wkręty</v>
      </c>
      <c r="P51" s="37" t="str">
        <f>ListAVS!$B$135</f>
        <v>na wkręty</v>
      </c>
      <c r="R51" s="37" t="str">
        <f>ListAVS!$B$135</f>
        <v>na wkręty</v>
      </c>
      <c r="T51" s="37" t="str">
        <f>ListAVS!$B$147</f>
        <v>Ciemnoszary (TGR)</v>
      </c>
      <c r="W51" s="149" t="s">
        <v>59</v>
      </c>
      <c r="Y51" s="108" t="s">
        <v>678</v>
      </c>
      <c r="Z51" s="108" t="str">
        <f>Param!M13</f>
        <v>22F2800</v>
      </c>
      <c r="AA51" s="108">
        <f>Param!N13</f>
        <v>1</v>
      </c>
      <c r="AB51" s="108">
        <f>Param!O13</f>
        <v>11500</v>
      </c>
      <c r="AC51" s="108">
        <f>Param!P13</f>
        <v>19300</v>
      </c>
      <c r="AD51" s="108">
        <f>Param!Q13</f>
        <v>19300</v>
      </c>
      <c r="AI51" s="37"/>
      <c r="AJ51" s="37"/>
    </row>
    <row r="52" spans="2:43" x14ac:dyDescent="0.2">
      <c r="B52" s="144"/>
      <c r="C52" s="317"/>
      <c r="T52" s="37" t="str">
        <f>ListAVS!$B$148</f>
        <v>Jedwabiście biały (SW)</v>
      </c>
      <c r="Z52" s="108" t="str">
        <f>Param!M14</f>
        <v>22F2800</v>
      </c>
      <c r="AA52" s="108">
        <f>Param!N14</f>
        <v>1.5</v>
      </c>
      <c r="AB52" s="108">
        <f>Param!O14</f>
        <v>19300</v>
      </c>
      <c r="AC52" s="108">
        <f>Param!P14</f>
        <v>28950</v>
      </c>
      <c r="AD52" s="108">
        <f>Param!Q14</f>
        <v>0</v>
      </c>
    </row>
    <row r="53" spans="2:43" x14ac:dyDescent="0.2">
      <c r="B53" s="144"/>
      <c r="N53" s="37" t="str">
        <f>ListAVS!B188</f>
        <v>W celu określenia rodzaju siłownika będzie wykorzystana podana waga</v>
      </c>
      <c r="Z53" s="108" t="str">
        <f>Param!M17</f>
        <v>Teleskop</v>
      </c>
      <c r="AB53" s="108" t="str">
        <f>Param!O17</f>
        <v>min</v>
      </c>
      <c r="AC53" s="108" t="str">
        <f>Param!P17</f>
        <v>max</v>
      </c>
      <c r="AD53" s="108">
        <f>Param!Q17</f>
        <v>0</v>
      </c>
    </row>
    <row r="54" spans="2:43" x14ac:dyDescent="0.2">
      <c r="B54" s="155"/>
      <c r="D54" s="155"/>
      <c r="E54" s="155"/>
      <c r="F54" s="155"/>
      <c r="G54" s="155"/>
      <c r="I54" s="155"/>
      <c r="J54" s="155"/>
      <c r="N54" s="37" t="str">
        <f>ListAVS!B189</f>
        <v>W celu określenia rodzaju siłownika będzie wykorzystana obliczona waga</v>
      </c>
      <c r="Z54" s="108" t="str">
        <f>Param!M18</f>
        <v>20F3200</v>
      </c>
      <c r="AA54" s="108">
        <f>Param!N18</f>
        <v>0</v>
      </c>
      <c r="AB54" s="108">
        <f>Param!O18</f>
        <v>480</v>
      </c>
      <c r="AC54" s="108">
        <f>Param!P18</f>
        <v>605</v>
      </c>
      <c r="AD54" s="108">
        <f>Param!Q18</f>
        <v>0</v>
      </c>
    </row>
    <row r="55" spans="2:43" x14ac:dyDescent="0.2">
      <c r="N55" s="37" t="str">
        <f>". "&amp;ListAVS!$B$190</f>
        <v>. Jeżeli chcesz wykorzystać obliczoną wagę, zmaż podaną wartość</v>
      </c>
      <c r="Z55" s="108" t="str">
        <f>Param!M19</f>
        <v>20F3500</v>
      </c>
      <c r="AA55" s="108">
        <f>Param!N19</f>
        <v>0</v>
      </c>
      <c r="AB55" s="108">
        <f>Param!O19</f>
        <v>605</v>
      </c>
      <c r="AC55" s="108">
        <f>Param!P19</f>
        <v>890</v>
      </c>
      <c r="AD55" s="108">
        <f>Param!Q19</f>
        <v>0</v>
      </c>
      <c r="AQ55" s="37"/>
    </row>
    <row r="56" spans="2:43" s="37" customFormat="1" x14ac:dyDescent="0.2">
      <c r="N56" s="37" t="str">
        <f>". "&amp;ListAVS!$B$191</f>
        <v>. Jeżeli chcesz wykorzystać podaną wagą, wpisz ją w pole</v>
      </c>
      <c r="X56" s="108"/>
      <c r="Y56" s="108"/>
      <c r="Z56" s="108" t="str">
        <f>Param!M20</f>
        <v>20F3900</v>
      </c>
      <c r="AA56" s="108">
        <f>Param!N20</f>
        <v>0</v>
      </c>
      <c r="AB56" s="108">
        <f>Param!O20</f>
        <v>890</v>
      </c>
      <c r="AC56" s="108">
        <f>Param!P20</f>
        <v>1200</v>
      </c>
      <c r="AD56" s="108">
        <f>Param!Q20</f>
        <v>0</v>
      </c>
      <c r="AE56" s="108"/>
      <c r="AF56" s="108"/>
      <c r="AG56" s="108"/>
      <c r="AH56" s="108"/>
      <c r="AI56" s="108"/>
      <c r="AJ56" s="108"/>
      <c r="AK56" s="108"/>
      <c r="AL56" s="108"/>
      <c r="AM56" s="137"/>
      <c r="AN56" s="137"/>
      <c r="AO56" s="137"/>
      <c r="AP56" s="137"/>
    </row>
    <row r="57" spans="2:43" s="37" customFormat="1" x14ac:dyDescent="0.2">
      <c r="N57" s="37">
        <f>ListAVS!B192</f>
        <v>0</v>
      </c>
      <c r="X57" s="108"/>
      <c r="Y57" s="108"/>
      <c r="Z57" s="108"/>
      <c r="AA57" s="108"/>
      <c r="AB57" s="108" t="str">
        <f>Param!O21</f>
        <v>max.</v>
      </c>
      <c r="AC57" s="108">
        <f>Param!P21</f>
        <v>1200</v>
      </c>
      <c r="AD57" s="108">
        <f>Param!Q21</f>
        <v>0</v>
      </c>
      <c r="AE57" s="108"/>
      <c r="AF57" s="108"/>
      <c r="AG57" s="108"/>
      <c r="AH57" s="108"/>
      <c r="AI57" s="108"/>
      <c r="AJ57" s="108"/>
      <c r="AK57" s="108"/>
      <c r="AL57" s="108"/>
      <c r="AM57" s="137"/>
      <c r="AN57" s="137"/>
      <c r="AO57" s="137"/>
      <c r="AP57" s="137"/>
      <c r="AQ57" s="137"/>
    </row>
    <row r="58" spans="2:43" x14ac:dyDescent="0.2">
      <c r="N58" s="37" t="str">
        <f>ListAVS!B193</f>
        <v>Do wyboru podnośnika teleskopowego zostanie wykorzystana teoretyczna wysokość TKH</v>
      </c>
    </row>
    <row r="59" spans="2:43" x14ac:dyDescent="0.2">
      <c r="N59" s="37" t="str">
        <f>ListAVS!B194</f>
        <v xml:space="preserve">Wysokość teoretyczna TKH nie może być mniejsza niż KH </v>
      </c>
    </row>
    <row r="62" spans="2:43" x14ac:dyDescent="0.2">
      <c r="Y62" s="36"/>
      <c r="Z62" s="36"/>
      <c r="AA62" s="36"/>
      <c r="AB62" s="36"/>
      <c r="AC62" s="36"/>
      <c r="AD62" s="36"/>
      <c r="AE62" s="36"/>
      <c r="AF62" s="36"/>
      <c r="AG62" s="36"/>
      <c r="AH62" s="36"/>
    </row>
    <row r="63" spans="2:43" x14ac:dyDescent="0.2">
      <c r="Y63" s="36"/>
      <c r="Z63" s="36"/>
      <c r="AA63" s="36"/>
      <c r="AB63" s="36"/>
      <c r="AC63" s="36"/>
      <c r="AD63" s="36"/>
      <c r="AE63" s="36"/>
      <c r="AF63" s="36"/>
      <c r="AG63" s="36"/>
      <c r="AH63" s="36"/>
    </row>
    <row r="65" spans="1:43" x14ac:dyDescent="0.2">
      <c r="P65" s="149"/>
    </row>
    <row r="70" spans="1:43" x14ac:dyDescent="0.2">
      <c r="N70" s="172" t="str">
        <f>ListAVS!$B$73</f>
        <v>Obliczanie wagi frontów</v>
      </c>
      <c r="O70" s="173"/>
      <c r="P70" s="173"/>
      <c r="Q70" s="173"/>
      <c r="R70" s="173"/>
      <c r="X70" s="37"/>
      <c r="Y70" s="37"/>
      <c r="Z70" s="118"/>
      <c r="AA70" s="37"/>
      <c r="AB70" s="118"/>
      <c r="AC70" s="37"/>
      <c r="AD70" s="37"/>
      <c r="AE70" s="37"/>
      <c r="AF70" s="37"/>
      <c r="AG70" s="37"/>
      <c r="AH70" s="37"/>
    </row>
    <row r="71" spans="1:43" ht="15.75" customHeight="1" x14ac:dyDescent="0.2">
      <c r="O71" s="174" t="str">
        <f>ListAVS!$B$35&amp;"  "</f>
        <v xml:space="preserve">front górny  </v>
      </c>
      <c r="Q71" s="37"/>
      <c r="T71" s="251">
        <f>J4</f>
        <v>0</v>
      </c>
      <c r="U71" s="175" t="str">
        <f>IF(AF77=3,IF(T71=0,AE74," "),IF(T71&gt;0,AE75," "))</f>
        <v xml:space="preserve"> </v>
      </c>
      <c r="X71" s="37"/>
      <c r="Y71" s="149" t="str">
        <f>IF($AF$77=1,$AF$94,IF($AF$77=2,$AF$95,$AF$96&amp;" -  "&amp;$T$71&amp;"mm"))</f>
        <v>Ramki aluminiowe z 4mm szkłem</v>
      </c>
      <c r="Z71" s="118"/>
      <c r="AA71" s="37"/>
      <c r="AB71" s="118"/>
      <c r="AC71" s="37"/>
      <c r="AD71" s="209">
        <f>MenuAVS!$Q$81</f>
        <v>2500</v>
      </c>
      <c r="AE71" s="37"/>
      <c r="AF71" s="37"/>
      <c r="AG71" s="37"/>
      <c r="AH71" s="37"/>
    </row>
    <row r="72" spans="1:43" ht="15.75" customHeight="1" x14ac:dyDescent="0.2">
      <c r="O72" s="174" t="str">
        <f>ListAVS!$B$36&amp;"  "</f>
        <v xml:space="preserve">front dolny  </v>
      </c>
      <c r="Q72" s="37"/>
      <c r="T72" s="251">
        <f>J5</f>
        <v>0</v>
      </c>
      <c r="U72" s="175" t="str">
        <f>IF(Z78=3,IF(T72=0,Y74," "),IF(T72&gt;0,Y75," "))</f>
        <v xml:space="preserve"> </v>
      </c>
      <c r="X72" s="37"/>
      <c r="Y72" s="712" t="str">
        <f>IF($Z$78=1,$Z$79,IF($Z$78=2,$Z$80,$Z$81&amp;" "&amp;$Y$81&amp;"kg/m3"))&amp;" A~"&amp;$T$79&amp;"/ B~"&amp;$T$88&amp;"mm"</f>
        <v>MDF (760 kg/m3) A~0/ B~0mm</v>
      </c>
      <c r="Z72" s="118"/>
      <c r="AA72" s="37"/>
      <c r="AB72" s="118"/>
      <c r="AC72" s="37"/>
      <c r="AD72" s="37"/>
      <c r="AE72" s="37"/>
      <c r="AF72" s="37"/>
      <c r="AG72" s="37"/>
      <c r="AH72" s="37"/>
    </row>
    <row r="73" spans="1:43" ht="13.5" customHeight="1" x14ac:dyDescent="0.2">
      <c r="N73" s="137"/>
      <c r="O73" s="37"/>
      <c r="P73" s="1135" t="str">
        <f>IF($Z$78&lt;&gt;3,$Y$73," ")&amp;"      "</f>
        <v xml:space="preserve"> Możesz zmienić wartości we Wstępie do planowania      </v>
      </c>
      <c r="Q73" s="1135"/>
      <c r="R73" s="1135"/>
      <c r="S73" s="1135"/>
      <c r="T73" s="1135"/>
      <c r="X73" s="37"/>
      <c r="Y73" s="37" t="str">
        <f>" "&amp;ListAVS!$B$410</f>
        <v xml:space="preserve"> Możesz zmienić wartości we Wstępie do planowania</v>
      </c>
      <c r="Z73" s="118"/>
      <c r="AA73" s="37"/>
      <c r="AB73" s="118"/>
      <c r="AC73" s="37"/>
      <c r="AD73" s="37"/>
      <c r="AE73" s="37"/>
      <c r="AF73" s="37"/>
      <c r="AG73" s="37"/>
      <c r="AH73" s="37"/>
    </row>
    <row r="74" spans="1:43" x14ac:dyDescent="0.2">
      <c r="N74" s="137"/>
      <c r="O74" s="37"/>
      <c r="P74" s="341"/>
      <c r="Q74" s="341"/>
      <c r="R74" s="341"/>
      <c r="S74" s="341"/>
      <c r="T74" s="341"/>
      <c r="X74" s="37"/>
      <c r="Y74" s="37" t="str">
        <f>" "&amp;ListAVS!$B$245&amp;" [kg/m3]"</f>
        <v xml:space="preserve"> Podaj masę objętościową [kg/m3]</v>
      </c>
      <c r="Z74" s="118"/>
      <c r="AA74" s="37"/>
      <c r="AB74" s="118"/>
      <c r="AC74" s="37"/>
      <c r="AD74" s="37"/>
      <c r="AE74" s="37" t="str">
        <f>" "&amp;ListAVS!$B$246&amp;" [mm]"</f>
        <v xml:space="preserve"> Podaj grubość szkła [mm]</v>
      </c>
      <c r="AF74" s="37"/>
      <c r="AG74" s="37"/>
      <c r="AH74" s="37"/>
    </row>
    <row r="75" spans="1:43" x14ac:dyDescent="0.2">
      <c r="O75" s="37"/>
      <c r="Q75" s="37"/>
      <c r="X75" s="37"/>
      <c r="Y75" s="37" t="str">
        <f>" "&amp;ListAVS!$B$241&amp;" '"&amp;ListAVS!$B$92&amp;"'"</f>
        <v xml:space="preserve"> Wartość obowiązuje tylko dla opcji 'Inne – wybrana gęstość materiału'</v>
      </c>
      <c r="Z75" s="118"/>
      <c r="AA75" s="37"/>
      <c r="AB75" s="118"/>
      <c r="AC75" s="37"/>
      <c r="AD75" s="37"/>
      <c r="AE75" s="37" t="str">
        <f>" "&amp;ListAVS!$B$241&amp;" '"&amp;ListAVS!$B$95&amp;"'"</f>
        <v xml:space="preserve"> Wartość obowiązuje tylko dla opcji 'Ramki aluminiowe z innym szkłem'</v>
      </c>
      <c r="AF75" s="37"/>
      <c r="AG75" s="37"/>
      <c r="AH75" s="37"/>
    </row>
    <row r="76" spans="1:43" ht="15.75" customHeight="1" x14ac:dyDescent="0.2">
      <c r="N76" s="1099"/>
      <c r="O76" s="1099"/>
      <c r="P76" s="1099"/>
      <c r="Q76" s="1100"/>
      <c r="R76" s="1082" t="str">
        <f>D9</f>
        <v xml:space="preserve"> </v>
      </c>
      <c r="S76" s="1083"/>
      <c r="T76" s="1084"/>
      <c r="X76" s="37"/>
      <c r="Y76" s="37"/>
      <c r="Z76" s="118"/>
      <c r="AA76" s="37"/>
      <c r="AB76" s="118"/>
      <c r="AC76" s="37"/>
      <c r="AD76" s="209"/>
      <c r="AE76" s="601" t="s">
        <v>68</v>
      </c>
      <c r="AF76" s="601" t="s">
        <v>69</v>
      </c>
      <c r="AG76" s="601" t="s">
        <v>70</v>
      </c>
      <c r="AH76" s="37"/>
      <c r="AQ76" s="118"/>
    </row>
    <row r="77" spans="1:43" s="118" customFormat="1" ht="13.5" customHeight="1" x14ac:dyDescent="0.2">
      <c r="A77" s="37"/>
      <c r="N77" s="1125" t="str">
        <f>ListAVS!$B$74&amp;" KB [mm]       "</f>
        <v xml:space="preserve">Szerokość korpusu KB [mm]       </v>
      </c>
      <c r="O77" s="1126"/>
      <c r="P77" s="1126"/>
      <c r="Q77" s="1126"/>
      <c r="R77" s="1126"/>
      <c r="S77" s="1127"/>
      <c r="T77" s="300">
        <f>H10</f>
        <v>0</v>
      </c>
      <c r="U77" s="108"/>
      <c r="W77" s="37"/>
      <c r="X77" s="37"/>
      <c r="Y77" s="37">
        <f>T77*T78*T79/2</f>
        <v>0</v>
      </c>
      <c r="Z77" s="37"/>
      <c r="AA77" s="37"/>
      <c r="AC77" s="37"/>
      <c r="AD77" s="325">
        <f>IF($AG$77=1,$X$94,$X$95)</f>
        <v>0.31</v>
      </c>
      <c r="AE77" s="339">
        <f>$X$96</f>
        <v>0.46</v>
      </c>
      <c r="AF77" s="327">
        <v>1</v>
      </c>
      <c r="AG77" s="328">
        <f>$O$4</f>
        <v>1</v>
      </c>
      <c r="AH77" s="37"/>
      <c r="AJ77" s="108"/>
      <c r="AK77" s="108"/>
      <c r="AL77" s="108"/>
      <c r="AM77" s="137"/>
      <c r="AN77" s="137"/>
      <c r="AO77" s="137"/>
      <c r="AP77" s="137"/>
    </row>
    <row r="78" spans="1:43" s="118" customFormat="1" ht="13.5" customHeight="1" x14ac:dyDescent="0.2">
      <c r="A78" s="37"/>
      <c r="N78" s="1125" t="str">
        <f>ListAVS!$B$75&amp;" KH [mm]       "</f>
        <v xml:space="preserve">Wysokość korpusu KH [mm]       </v>
      </c>
      <c r="O78" s="1126"/>
      <c r="P78" s="1126"/>
      <c r="Q78" s="1126"/>
      <c r="R78" s="1126"/>
      <c r="S78" s="1127"/>
      <c r="T78" s="300">
        <f>H11</f>
        <v>0</v>
      </c>
      <c r="U78" s="108"/>
      <c r="W78" s="37"/>
      <c r="X78" s="37"/>
      <c r="Y78" s="37">
        <f>Y77/1000000000</f>
        <v>0</v>
      </c>
      <c r="Z78" s="117">
        <f>AF77</f>
        <v>1</v>
      </c>
      <c r="AC78" s="37"/>
      <c r="AD78" s="153" t="s">
        <v>71</v>
      </c>
      <c r="AE78" s="329">
        <f>SUM(T77*2,(T78/2-40)*2)*AD77/1000</f>
        <v>-2.4799999999999999E-2</v>
      </c>
      <c r="AF78" s="601" t="s">
        <v>72</v>
      </c>
      <c r="AG78" s="601"/>
      <c r="AH78" s="37"/>
      <c r="AJ78" s="108"/>
      <c r="AK78" s="108"/>
      <c r="AL78" s="108"/>
      <c r="AM78" s="137"/>
      <c r="AN78" s="137"/>
      <c r="AO78" s="137"/>
      <c r="AP78" s="137"/>
    </row>
    <row r="79" spans="1:43" s="118" customFormat="1" ht="13.5" customHeight="1" x14ac:dyDescent="0.2">
      <c r="A79" s="37"/>
      <c r="N79" s="1122" t="str">
        <f>ListAVS!$B$80&amp;" TS [mm] "</f>
        <v xml:space="preserve">Grubość frontu TS [mm] </v>
      </c>
      <c r="O79" s="1123"/>
      <c r="P79" s="1123"/>
      <c r="Q79" s="1123"/>
      <c r="R79" s="1123"/>
      <c r="S79" s="1124"/>
      <c r="T79" s="578">
        <f>H13</f>
        <v>0</v>
      </c>
      <c r="U79" s="130" t="str">
        <f>IF(SUM(T77,T78)=0," ",IF(T79=0," ● "&amp;ListAVS!$B$129," "))</f>
        <v xml:space="preserve"> </v>
      </c>
      <c r="W79" s="37"/>
      <c r="X79" s="37"/>
      <c r="Y79" s="319">
        <f>MenuAVS!$C$31</f>
        <v>760</v>
      </c>
      <c r="Z79" s="175" t="str">
        <f>ListAVS!$B$90&amp;" ("&amp;Y79&amp;" kg/m3)"</f>
        <v>MDF (760 kg/m3)</v>
      </c>
      <c r="AC79" s="37"/>
      <c r="AD79" s="209">
        <f>$AD$71*4/1000</f>
        <v>10</v>
      </c>
      <c r="AE79" s="330">
        <f>IF($AG$77=1,AF79*AD79,AG79*AD79)</f>
        <v>8.9999999999999993E-3</v>
      </c>
      <c r="AF79" s="329">
        <f>SUM(($T$77-30)*($T$78/2-30)/1000000)</f>
        <v>8.9999999999999998E-4</v>
      </c>
      <c r="AG79" s="331">
        <f>SUM(($T$77-6)*($T$78/2-6)/1000000)</f>
        <v>3.6000000000000001E-5</v>
      </c>
      <c r="AH79" s="208" t="s">
        <v>73</v>
      </c>
      <c r="AJ79" s="108"/>
      <c r="AK79" s="108"/>
      <c r="AL79" s="108"/>
      <c r="AM79" s="137"/>
      <c r="AN79" s="137"/>
      <c r="AO79" s="137"/>
      <c r="AP79" s="137"/>
    </row>
    <row r="80" spans="1:43" s="118" customFormat="1" ht="13.5" customHeight="1" x14ac:dyDescent="0.2">
      <c r="A80" s="37"/>
      <c r="N80" s="1079" t="str">
        <f>ListAVS!$B$83&amp;" [kg] "</f>
        <v xml:space="preserve">Waga uchwytu [kg] </v>
      </c>
      <c r="O80" s="1080"/>
      <c r="P80" s="1080"/>
      <c r="Q80" s="1080"/>
      <c r="R80" s="1080"/>
      <c r="S80" s="1081"/>
      <c r="T80" s="578">
        <f>H14</f>
        <v>0</v>
      </c>
      <c r="U80" s="130" t="str">
        <f>IF(SUM(T77,T78)=0," ",IF(T80=0," ● "&amp;ListAVS!$B$130," "))</f>
        <v xml:space="preserve"> </v>
      </c>
      <c r="W80" s="37"/>
      <c r="X80" s="37"/>
      <c r="Y80" s="319">
        <f>MenuAVS!$C$32</f>
        <v>680</v>
      </c>
      <c r="Z80" s="175" t="str">
        <f>ListAVS!$B$91&amp;" ("&amp;Y80&amp;" kg/m3)"</f>
        <v>Płyta wiórowa (680 kg/m3)</v>
      </c>
      <c r="AC80" s="37"/>
      <c r="AD80" s="209">
        <f>$AD$71*5/1000</f>
        <v>12.5</v>
      </c>
      <c r="AE80" s="330">
        <f>IF($AG$77=1,AF80*AD80,AG80*AD80)</f>
        <v>1.125E-2</v>
      </c>
      <c r="AF80" s="329">
        <f>SUM(($T$77-30)*($T$78/2-30)/1000000)</f>
        <v>8.9999999999999998E-4</v>
      </c>
      <c r="AG80" s="331">
        <f>SUM(($T$77-6)*($T$78/2-6)/1000000)</f>
        <v>3.6000000000000001E-5</v>
      </c>
      <c r="AH80" s="208" t="s">
        <v>74</v>
      </c>
      <c r="AJ80" s="108"/>
      <c r="AK80" s="108"/>
      <c r="AL80" s="108"/>
      <c r="AM80" s="137"/>
      <c r="AN80" s="137"/>
      <c r="AO80" s="137"/>
      <c r="AP80" s="137"/>
    </row>
    <row r="81" spans="1:43" s="118" customFormat="1" ht="13.5" customHeight="1" x14ac:dyDescent="0.2">
      <c r="A81" s="37"/>
      <c r="N81" s="1079" t="str">
        <f>ListAVS!$B$79&amp;" [kg] "</f>
        <v xml:space="preserve">Obliczona waga frontu [kg] </v>
      </c>
      <c r="O81" s="1080"/>
      <c r="P81" s="1080"/>
      <c r="Q81" s="1080"/>
      <c r="R81" s="1080"/>
      <c r="S81" s="1081"/>
      <c r="T81" s="185">
        <f>IF(X81*AD82&lt;&gt;0,SUM(X81,AD82,T80),0)</f>
        <v>0</v>
      </c>
      <c r="U81" s="119"/>
      <c r="W81" s="37"/>
      <c r="X81" s="186">
        <f>IF(T77*T78*T79=0,0,IF(Z78=1,Y78*Y79,IF(Z78=2,Y78*Y80,Y78*Y81)))</f>
        <v>0</v>
      </c>
      <c r="Y81" s="319">
        <f>$T$72</f>
        <v>0</v>
      </c>
      <c r="Z81" s="175" t="str">
        <f>ListAVS!$B$92</f>
        <v>Inne – wybrana gęstość materiału</v>
      </c>
      <c r="AC81" s="37"/>
      <c r="AD81" s="209">
        <f>$AD$71*$T$71/1000</f>
        <v>0</v>
      </c>
      <c r="AE81" s="330">
        <f>IF($AG$77=1,AF81*AD81,AG81*AD81)</f>
        <v>0</v>
      </c>
      <c r="AF81" s="329">
        <f>SUM(($T$77-30)*($T$78/2-30)/1000000)</f>
        <v>8.9999999999999998E-4</v>
      </c>
      <c r="AG81" s="331">
        <f>SUM(($T$77-6)*($T$78/2-6)/1000000)</f>
        <v>3.6000000000000001E-5</v>
      </c>
      <c r="AH81" s="208" t="s">
        <v>75</v>
      </c>
      <c r="AJ81" s="108"/>
      <c r="AK81" s="108"/>
      <c r="AL81" s="108"/>
      <c r="AM81" s="137"/>
      <c r="AN81" s="137"/>
      <c r="AO81" s="137"/>
      <c r="AP81" s="137"/>
      <c r="AQ81" s="137"/>
    </row>
    <row r="82" spans="1:43" ht="13.5" customHeight="1" x14ac:dyDescent="0.2">
      <c r="O82" s="142" t="str">
        <f>IF(T81&gt;0,IF(T80=0,$Z$94," ")," ")</f>
        <v xml:space="preserve"> </v>
      </c>
      <c r="Q82" s="37"/>
      <c r="U82" s="130"/>
      <c r="X82" s="37"/>
      <c r="Y82" s="37"/>
      <c r="Z82" s="118"/>
      <c r="AA82" s="37"/>
      <c r="AB82" s="118"/>
      <c r="AC82" s="37"/>
      <c r="AD82" s="332">
        <f>IF(OR(AND(AF77=3, $T$71=0), T77*T78=0), 0, SUM(IF(AF77=1,AE79,IF(AF77=2,AE80,AE81)),AE78,AE77))</f>
        <v>0</v>
      </c>
      <c r="AE82" s="37"/>
      <c r="AF82" s="37"/>
      <c r="AG82" s="37"/>
      <c r="AH82" s="37"/>
    </row>
    <row r="83" spans="1:43" x14ac:dyDescent="0.2">
      <c r="O83" s="37"/>
      <c r="Q83" s="37"/>
      <c r="X83" s="37"/>
      <c r="Y83" s="37"/>
      <c r="Z83" s="118"/>
      <c r="AA83" s="37"/>
      <c r="AB83" s="118"/>
      <c r="AC83" s="37"/>
      <c r="AD83" s="37"/>
      <c r="AE83" s="37"/>
      <c r="AF83" s="37"/>
      <c r="AG83" s="37"/>
      <c r="AH83" s="37"/>
      <c r="AQ83" s="118"/>
    </row>
    <row r="84" spans="1:43" s="118" customFormat="1" x14ac:dyDescent="0.2">
      <c r="A84" s="37"/>
      <c r="N84" s="37"/>
      <c r="O84" s="37"/>
      <c r="P84" s="37"/>
      <c r="Q84" s="37"/>
      <c r="R84" s="37"/>
      <c r="S84" s="37"/>
      <c r="T84" s="37"/>
      <c r="U84" s="37"/>
      <c r="V84" s="37"/>
      <c r="W84" s="37"/>
      <c r="X84" s="37"/>
      <c r="Y84" s="37"/>
      <c r="AA84" s="37"/>
      <c r="AC84" s="37"/>
      <c r="AD84" s="37"/>
      <c r="AE84" s="37"/>
      <c r="AF84" s="37"/>
      <c r="AG84" s="37"/>
      <c r="AH84" s="37"/>
      <c r="AJ84" s="108"/>
      <c r="AK84" s="108"/>
      <c r="AL84" s="108"/>
      <c r="AM84" s="137"/>
      <c r="AN84" s="137"/>
      <c r="AO84" s="137"/>
      <c r="AP84" s="137"/>
    </row>
    <row r="85" spans="1:43" s="118" customFormat="1" ht="15.75" customHeight="1" x14ac:dyDescent="0.2">
      <c r="A85" s="37"/>
      <c r="Q85" s="37"/>
      <c r="R85" s="1082" t="str">
        <f>D20</f>
        <v xml:space="preserve"> </v>
      </c>
      <c r="S85" s="1083"/>
      <c r="T85" s="1084"/>
      <c r="U85" s="37"/>
      <c r="V85" s="37"/>
      <c r="W85" s="37"/>
      <c r="X85" s="37"/>
      <c r="AA85" s="37"/>
      <c r="AC85" s="37"/>
      <c r="AD85" s="209"/>
      <c r="AE85" s="601" t="s">
        <v>68</v>
      </c>
      <c r="AF85" s="601" t="s">
        <v>69</v>
      </c>
      <c r="AG85" s="601" t="s">
        <v>70</v>
      </c>
      <c r="AH85" s="37"/>
      <c r="AJ85" s="108"/>
      <c r="AK85" s="108"/>
      <c r="AL85" s="108"/>
      <c r="AM85" s="137"/>
      <c r="AN85" s="137"/>
      <c r="AO85" s="137"/>
      <c r="AP85" s="137"/>
    </row>
    <row r="86" spans="1:43" s="118" customFormat="1" ht="13.5" customHeight="1" x14ac:dyDescent="0.2">
      <c r="A86" s="37"/>
      <c r="N86" s="1125" t="str">
        <f>ListAVS!$B$74&amp;" KB [mm]       "</f>
        <v xml:space="preserve">Szerokość korpusu KB [mm]       </v>
      </c>
      <c r="O86" s="1126"/>
      <c r="P86" s="1126"/>
      <c r="Q86" s="1126"/>
      <c r="R86" s="1126"/>
      <c r="S86" s="1127"/>
      <c r="T86" s="300">
        <f>H21</f>
        <v>0</v>
      </c>
      <c r="U86" s="108"/>
      <c r="V86" s="37"/>
      <c r="W86" s="37"/>
      <c r="X86" s="37"/>
      <c r="Y86" s="37">
        <f>T86*T87*T88</f>
        <v>0</v>
      </c>
      <c r="Z86" s="37"/>
      <c r="AA86" s="37"/>
      <c r="AC86" s="37"/>
      <c r="AD86" s="325">
        <f>IF($AG$77=1,$X$94,$X$95)</f>
        <v>0.31</v>
      </c>
      <c r="AE86" s="339">
        <f>$X$96</f>
        <v>0.46</v>
      </c>
      <c r="AF86" s="333">
        <f>$AF$77</f>
        <v>1</v>
      </c>
      <c r="AG86" s="328">
        <f>$AG$77</f>
        <v>1</v>
      </c>
      <c r="AH86" s="37"/>
      <c r="AJ86" s="108"/>
      <c r="AK86" s="108"/>
      <c r="AL86" s="108"/>
      <c r="AM86" s="137"/>
      <c r="AN86" s="137"/>
      <c r="AO86" s="137"/>
      <c r="AP86" s="137"/>
    </row>
    <row r="87" spans="1:43" s="118" customFormat="1" ht="13.5" customHeight="1" x14ac:dyDescent="0.2">
      <c r="A87" s="37"/>
      <c r="N87" s="1125" t="str">
        <f>ListAVS!$B$75&amp;" KH [mm]       "</f>
        <v xml:space="preserve">Wysokość korpusu KH [mm]       </v>
      </c>
      <c r="O87" s="1126"/>
      <c r="P87" s="1126"/>
      <c r="Q87" s="1126"/>
      <c r="R87" s="1126"/>
      <c r="S87" s="1127"/>
      <c r="T87" s="300">
        <f>H22</f>
        <v>0</v>
      </c>
      <c r="U87" s="108"/>
      <c r="V87" s="37"/>
      <c r="W87" s="37"/>
      <c r="X87" s="37"/>
      <c r="Y87" s="37">
        <f>Y86/1000000000/2</f>
        <v>0</v>
      </c>
      <c r="Z87" s="182">
        <f>Z78</f>
        <v>1</v>
      </c>
      <c r="AC87" s="37"/>
      <c r="AD87" s="144" t="s">
        <v>71</v>
      </c>
      <c r="AE87" s="329">
        <f>SUM(T86*2,(T87/2-40)*2)*AD86/1000</f>
        <v>-2.4799999999999999E-2</v>
      </c>
      <c r="AF87" s="601" t="s">
        <v>72</v>
      </c>
      <c r="AG87" s="601"/>
      <c r="AH87" s="37"/>
      <c r="AJ87" s="108"/>
      <c r="AK87" s="108"/>
      <c r="AL87" s="108"/>
      <c r="AM87" s="137"/>
      <c r="AN87" s="137"/>
      <c r="AO87" s="137"/>
      <c r="AP87" s="137"/>
    </row>
    <row r="88" spans="1:43" s="118" customFormat="1" ht="13.5" customHeight="1" x14ac:dyDescent="0.2">
      <c r="A88" s="37"/>
      <c r="N88" s="1122" t="str">
        <f>ListAVS!$B$80&amp;" TS [mm] "</f>
        <v xml:space="preserve">Grubość frontu TS [mm] </v>
      </c>
      <c r="O88" s="1123"/>
      <c r="P88" s="1123"/>
      <c r="Q88" s="1123"/>
      <c r="R88" s="1123"/>
      <c r="S88" s="1124"/>
      <c r="T88" s="578">
        <f>H24</f>
        <v>0</v>
      </c>
      <c r="U88" s="130" t="str">
        <f>IF(SUM(T86,T87)=0," ",IF(T88=0," ● "&amp;ListAVS!$B$129," "))</f>
        <v xml:space="preserve"> </v>
      </c>
      <c r="X88" s="37"/>
      <c r="Y88" s="319">
        <f>$Y$79</f>
        <v>760</v>
      </c>
      <c r="Z88" s="37" t="str">
        <f>$Z$79</f>
        <v>MDF (760 kg/m3)</v>
      </c>
      <c r="AC88" s="37"/>
      <c r="AD88" s="37">
        <f>AD79</f>
        <v>10</v>
      </c>
      <c r="AE88" s="330">
        <f>IF($AG$77=1,AF88*AD88,AG88*AD88)</f>
        <v>8.9999999999999993E-3</v>
      </c>
      <c r="AF88" s="329">
        <f>SUM(($T$86-30)*($T$87/2-30)/1000000)</f>
        <v>8.9999999999999998E-4</v>
      </c>
      <c r="AG88" s="331">
        <f>SUM(($T$86-6)*($T$87/2-6)/1000000)</f>
        <v>3.6000000000000001E-5</v>
      </c>
      <c r="AH88" s="208" t="s">
        <v>73</v>
      </c>
      <c r="AJ88" s="108"/>
      <c r="AK88" s="108"/>
      <c r="AL88" s="108"/>
      <c r="AM88" s="137"/>
      <c r="AN88" s="137"/>
      <c r="AO88" s="137"/>
      <c r="AP88" s="137"/>
    </row>
    <row r="89" spans="1:43" s="118" customFormat="1" ht="13.5" customHeight="1" x14ac:dyDescent="0.2">
      <c r="A89" s="37"/>
      <c r="N89" s="1079" t="str">
        <f>ListAVS!$B$83&amp;" [kg] "</f>
        <v xml:space="preserve">Waga uchwytu [kg] </v>
      </c>
      <c r="O89" s="1080"/>
      <c r="P89" s="1080"/>
      <c r="Q89" s="1080"/>
      <c r="R89" s="1080"/>
      <c r="S89" s="1081"/>
      <c r="T89" s="578">
        <f>H25</f>
        <v>0</v>
      </c>
      <c r="U89" s="130" t="str">
        <f>IF(SUM(T86,T87)=0," ",IF(T89=0," ● "&amp;ListAVS!$B$130," "))</f>
        <v xml:space="preserve"> </v>
      </c>
      <c r="X89" s="37"/>
      <c r="Y89" s="319">
        <f>$Y$80</f>
        <v>680</v>
      </c>
      <c r="Z89" s="37" t="str">
        <f>$Z$80</f>
        <v>Płyta wiórowa (680 kg/m3)</v>
      </c>
      <c r="AC89" s="37"/>
      <c r="AD89" s="37">
        <f>AD80</f>
        <v>12.5</v>
      </c>
      <c r="AE89" s="330">
        <f>IF($AG$77=1,AF89*AD89,AG89*AD89)</f>
        <v>1.125E-2</v>
      </c>
      <c r="AF89" s="329">
        <f>SUM(($T$86-30)*($T$87/2-30)/1000000)</f>
        <v>8.9999999999999998E-4</v>
      </c>
      <c r="AG89" s="331">
        <f>SUM(($T$86-6)*($T$87/2-6)/1000000)</f>
        <v>3.6000000000000001E-5</v>
      </c>
      <c r="AH89" s="208" t="s">
        <v>74</v>
      </c>
      <c r="AJ89" s="108"/>
      <c r="AK89" s="108"/>
      <c r="AL89" s="108"/>
      <c r="AM89" s="137"/>
      <c r="AN89" s="137"/>
      <c r="AO89" s="137"/>
      <c r="AP89" s="137"/>
    </row>
    <row r="90" spans="1:43" s="118" customFormat="1" ht="13.5" customHeight="1" x14ac:dyDescent="0.2">
      <c r="A90" s="37"/>
      <c r="N90" s="1079" t="str">
        <f>ListAVS!$B$79&amp;" [kg] "</f>
        <v xml:space="preserve">Obliczona waga frontu [kg] </v>
      </c>
      <c r="O90" s="1080"/>
      <c r="P90" s="1080"/>
      <c r="Q90" s="1080"/>
      <c r="R90" s="1080"/>
      <c r="S90" s="1081"/>
      <c r="T90" s="185">
        <f>IF(X90*AD91&lt;&gt;0,SUM(X90,AD91,T89),0)</f>
        <v>0</v>
      </c>
      <c r="U90" s="119"/>
      <c r="X90" s="186">
        <f>IF(T86*T87*T88=0,0,IF(Z87=1,Y87*Y88,IF(Z87=2,Y87*Y89,Y87*Y90)))</f>
        <v>0</v>
      </c>
      <c r="Y90" s="37">
        <f>$Y$81</f>
        <v>0</v>
      </c>
      <c r="Z90" s="37" t="str">
        <f>$Z$81</f>
        <v>Inne – wybrana gęstość materiału</v>
      </c>
      <c r="AC90" s="37"/>
      <c r="AD90" s="340">
        <f>AD81</f>
        <v>0</v>
      </c>
      <c r="AE90" s="330">
        <f>IF($AG$77=1,AF90*AD90,AG90*AD90)</f>
        <v>0</v>
      </c>
      <c r="AF90" s="329">
        <f>SUM(($T$86-30)*($T$87/2-30)/1000000)</f>
        <v>8.9999999999999998E-4</v>
      </c>
      <c r="AG90" s="331">
        <f>SUM(($T$86-6)*($T$87/2-6)/1000000)</f>
        <v>3.6000000000000001E-5</v>
      </c>
      <c r="AH90" s="208" t="s">
        <v>75</v>
      </c>
      <c r="AJ90" s="108"/>
      <c r="AK90" s="108"/>
      <c r="AL90" s="108"/>
      <c r="AM90" s="137"/>
      <c r="AN90" s="137"/>
      <c r="AO90" s="137"/>
      <c r="AP90" s="137"/>
    </row>
    <row r="91" spans="1:43" s="118" customFormat="1" ht="14.65" customHeight="1" x14ac:dyDescent="0.2">
      <c r="A91" s="37"/>
      <c r="N91" s="37"/>
      <c r="O91" s="142" t="str">
        <f>IF(T90&gt;0,IF(T89=0,$Z$94," ")," ")</f>
        <v xml:space="preserve"> </v>
      </c>
      <c r="P91" s="37"/>
      <c r="Q91" s="37"/>
      <c r="R91" s="37"/>
      <c r="S91" s="37"/>
      <c r="T91" s="37"/>
      <c r="U91" s="37"/>
      <c r="V91" s="37"/>
      <c r="W91" s="37"/>
      <c r="X91" s="37"/>
      <c r="Y91" s="37"/>
      <c r="AA91" s="37"/>
      <c r="AC91" s="37"/>
      <c r="AD91" s="332">
        <f>IF(OR(AND(AF86=3, $T$71=0), T86*T87=0), 0, SUM(IF(AF86=1,AE88,IF(AF86=2,AE89,AE90)),AE87,AE86))</f>
        <v>0</v>
      </c>
      <c r="AE91" s="37"/>
      <c r="AF91" s="37"/>
      <c r="AG91" s="37"/>
      <c r="AH91" s="37"/>
      <c r="AJ91" s="108"/>
      <c r="AK91" s="108"/>
      <c r="AL91" s="108"/>
      <c r="AM91" s="137"/>
      <c r="AN91" s="137"/>
      <c r="AO91" s="137"/>
      <c r="AP91" s="137"/>
    </row>
    <row r="92" spans="1:43" s="118" customFormat="1" x14ac:dyDescent="0.2">
      <c r="A92" s="37"/>
      <c r="N92" s="37"/>
      <c r="O92" s="37"/>
      <c r="P92" s="37"/>
      <c r="Q92" s="37"/>
      <c r="R92" s="37"/>
      <c r="S92" s="37"/>
      <c r="T92" s="37"/>
      <c r="U92" s="37"/>
      <c r="V92" s="37"/>
      <c r="W92" s="37"/>
      <c r="X92" s="37"/>
      <c r="Y92" s="37"/>
      <c r="AA92" s="37"/>
      <c r="AC92" s="37"/>
      <c r="AD92" s="37"/>
      <c r="AE92" s="37"/>
      <c r="AF92" s="37"/>
      <c r="AG92" s="37"/>
      <c r="AH92" s="37"/>
      <c r="AJ92" s="108"/>
      <c r="AK92" s="108"/>
      <c r="AL92" s="108"/>
      <c r="AM92" s="137"/>
      <c r="AN92" s="137"/>
      <c r="AO92" s="137"/>
      <c r="AP92" s="137"/>
    </row>
    <row r="93" spans="1:43" s="118" customFormat="1" x14ac:dyDescent="0.2">
      <c r="A93" s="37"/>
      <c r="N93" s="37"/>
      <c r="O93" s="37"/>
      <c r="P93" s="37"/>
      <c r="Q93" s="37"/>
      <c r="R93" s="37"/>
      <c r="U93" s="37"/>
      <c r="V93" s="37"/>
      <c r="W93" s="37"/>
      <c r="X93" s="37"/>
      <c r="Y93" s="37"/>
      <c r="AA93" s="37"/>
      <c r="AC93" s="37"/>
      <c r="AD93" s="37"/>
      <c r="AE93" s="37"/>
      <c r="AF93" s="37"/>
      <c r="AG93" s="37"/>
      <c r="AH93" s="37"/>
      <c r="AJ93" s="108"/>
      <c r="AK93" s="108"/>
      <c r="AL93" s="108"/>
      <c r="AM93" s="137"/>
      <c r="AN93" s="137"/>
      <c r="AO93" s="137"/>
      <c r="AP93" s="137"/>
    </row>
    <row r="94" spans="1:43" s="118" customFormat="1" ht="12" customHeight="1" x14ac:dyDescent="0.2">
      <c r="A94" s="37"/>
      <c r="N94" s="37"/>
      <c r="O94" s="148"/>
      <c r="P94" s="148"/>
      <c r="Q94" s="148"/>
      <c r="R94" s="148"/>
      <c r="S94" s="148"/>
      <c r="T94" s="148"/>
      <c r="U94" s="148"/>
      <c r="V94" s="148"/>
      <c r="W94" s="632" t="str">
        <f>ListAVS!$B$424&amp;"  "</f>
        <v xml:space="preserve">z wpuszczanym szkłem  </v>
      </c>
      <c r="X94" s="711">
        <f>MenuAVS!$I$91</f>
        <v>0.31</v>
      </c>
      <c r="Z94" s="37" t="str">
        <f>ListAVS!$B$103&amp;"!"</f>
        <v>Bez wagi uchwytu!</v>
      </c>
      <c r="AA94" s="37"/>
      <c r="AC94" s="37"/>
      <c r="AD94" s="37"/>
      <c r="AE94" s="37"/>
      <c r="AF94" s="149" t="str">
        <f>ListAVS!$B$93</f>
        <v>Ramki aluminiowe z 4mm szkłem</v>
      </c>
      <c r="AG94" s="37"/>
      <c r="AH94" s="37"/>
      <c r="AJ94" s="108"/>
      <c r="AK94" s="108"/>
      <c r="AL94" s="108"/>
      <c r="AM94" s="137"/>
      <c r="AN94" s="137"/>
      <c r="AO94" s="137"/>
      <c r="AP94" s="137"/>
    </row>
    <row r="95" spans="1:43" s="118" customFormat="1" x14ac:dyDescent="0.2">
      <c r="A95" s="37"/>
      <c r="N95" s="37"/>
      <c r="O95" s="148"/>
      <c r="P95" s="148"/>
      <c r="Q95" s="148"/>
      <c r="R95" s="148"/>
      <c r="S95" s="148"/>
      <c r="T95" s="148"/>
      <c r="U95" s="148"/>
      <c r="V95" s="148"/>
      <c r="W95" s="632" t="str">
        <f>ListAVS!$B$425&amp;"  "</f>
        <v xml:space="preserve">ze szkłem nakładanym lub przyklejanym  </v>
      </c>
      <c r="X95" s="711">
        <f>MenuAVS!$I$92</f>
        <v>0.32</v>
      </c>
      <c r="Y95" s="37"/>
      <c r="AA95" s="37"/>
      <c r="AC95" s="37"/>
      <c r="AD95" s="37"/>
      <c r="AE95" s="37"/>
      <c r="AF95" s="149" t="str">
        <f>ListAVS!$B$94</f>
        <v>Ramki aluminiowe z 5mm szkłem</v>
      </c>
      <c r="AG95" s="37"/>
      <c r="AH95" s="37"/>
      <c r="AJ95" s="108"/>
      <c r="AK95" s="108"/>
      <c r="AL95" s="108"/>
      <c r="AM95" s="137"/>
      <c r="AN95" s="137"/>
      <c r="AO95" s="137"/>
      <c r="AP95" s="137"/>
      <c r="AQ95" s="37"/>
    </row>
    <row r="96" spans="1:43" s="37" customFormat="1" x14ac:dyDescent="0.2">
      <c r="O96" s="148"/>
      <c r="P96" s="148"/>
      <c r="Q96" s="148"/>
      <c r="R96" s="148"/>
      <c r="S96" s="148"/>
      <c r="T96" s="148"/>
      <c r="U96" s="148"/>
      <c r="V96" s="148"/>
      <c r="W96" s="632" t="str">
        <f>ListAVS!$B$405&amp;" [kg/set] *  "</f>
        <v xml:space="preserve">Waga materiału łączącego  [kg/set] *  </v>
      </c>
      <c r="X96" s="711">
        <f>MenuAVS!$I$93</f>
        <v>0.46</v>
      </c>
      <c r="Z96" s="118"/>
      <c r="AB96" s="118"/>
      <c r="AF96" s="149" t="str">
        <f>ListAVS!$B$95</f>
        <v>Ramki aluminiowe z innym szkłem</v>
      </c>
      <c r="AJ96" s="108"/>
      <c r="AK96" s="108"/>
      <c r="AL96" s="108"/>
      <c r="AM96" s="137"/>
      <c r="AN96" s="137"/>
      <c r="AO96" s="137"/>
      <c r="AP96" s="137"/>
    </row>
    <row r="97" spans="1:43" s="37" customFormat="1" x14ac:dyDescent="0.2">
      <c r="Z97" s="118"/>
      <c r="AB97" s="118"/>
      <c r="AJ97" s="108"/>
      <c r="AK97" s="108"/>
      <c r="AL97" s="108"/>
      <c r="AM97" s="137"/>
      <c r="AN97" s="137"/>
      <c r="AO97" s="137"/>
      <c r="AP97" s="137"/>
    </row>
    <row r="98" spans="1:43" s="37" customFormat="1" ht="12.75" x14ac:dyDescent="0.2">
      <c r="AA98" s="118"/>
      <c r="AC98" s="118"/>
      <c r="AJ98" s="108"/>
      <c r="AK98" s="108"/>
      <c r="AL98" s="108"/>
      <c r="AM98" s="137"/>
      <c r="AN98" s="266"/>
      <c r="AO98" s="266"/>
      <c r="AP98" s="266"/>
      <c r="AQ98" s="255"/>
    </row>
    <row r="99" spans="1:43" s="255" customFormat="1" ht="15" customHeight="1" x14ac:dyDescent="0.2">
      <c r="A99" s="1045"/>
      <c r="O99" s="248"/>
      <c r="Q99" s="248"/>
      <c r="X99" s="670"/>
      <c r="Y99" s="670"/>
      <c r="Z99" s="670"/>
      <c r="AA99" s="670"/>
      <c r="AB99" s="670"/>
      <c r="AC99" s="670"/>
      <c r="AD99" s="670"/>
      <c r="AE99" s="670"/>
      <c r="AF99" s="670"/>
      <c r="AG99" s="670"/>
      <c r="AH99" s="670"/>
      <c r="AI99" s="670"/>
      <c r="AJ99" s="670"/>
      <c r="AK99" s="670"/>
      <c r="AL99" s="670"/>
      <c r="AM99" s="266"/>
      <c r="AN99" s="266"/>
      <c r="AO99" s="266"/>
      <c r="AP99" s="266"/>
    </row>
    <row r="100" spans="1:43" s="255" customFormat="1" ht="15" customHeight="1" x14ac:dyDescent="0.2">
      <c r="A100" s="1045"/>
      <c r="B100" s="604" t="str">
        <f>ListAVS!$B$195</f>
        <v>Obliczanie frontów asymetrycznych</v>
      </c>
      <c r="O100" s="248"/>
      <c r="Q100" s="248"/>
      <c r="X100" s="670"/>
      <c r="Y100" s="670"/>
      <c r="Z100" s="670"/>
      <c r="AA100" s="670"/>
      <c r="AB100" s="670"/>
      <c r="AC100" s="670"/>
      <c r="AD100" s="670"/>
      <c r="AE100" s="670"/>
      <c r="AF100" s="670"/>
      <c r="AG100" s="670"/>
      <c r="AH100" s="670"/>
      <c r="AI100" s="670"/>
      <c r="AJ100" s="670"/>
      <c r="AK100" s="670"/>
      <c r="AL100" s="670"/>
      <c r="AM100" s="266"/>
      <c r="AN100" s="266"/>
      <c r="AO100" s="266"/>
      <c r="AP100" s="266"/>
    </row>
    <row r="101" spans="1:43" s="255" customFormat="1" ht="15" customHeight="1" x14ac:dyDescent="0.2">
      <c r="A101" s="1045"/>
      <c r="O101" s="248"/>
      <c r="Q101" s="248"/>
      <c r="X101" s="670"/>
      <c r="Y101" s="670"/>
      <c r="Z101" s="670"/>
      <c r="AA101" s="670"/>
      <c r="AB101" s="670"/>
      <c r="AC101" s="670"/>
      <c r="AD101" s="670"/>
      <c r="AE101" s="670"/>
      <c r="AF101" s="670"/>
      <c r="AG101" s="670"/>
      <c r="AH101" s="670"/>
      <c r="AI101" s="670"/>
      <c r="AJ101" s="670"/>
      <c r="AK101" s="670"/>
      <c r="AL101" s="670"/>
      <c r="AM101" s="266"/>
      <c r="AN101" s="266"/>
      <c r="AO101" s="266"/>
      <c r="AP101" s="266"/>
    </row>
    <row r="102" spans="1:43" s="255" customFormat="1" ht="15" customHeight="1" x14ac:dyDescent="0.2">
      <c r="A102" s="1045"/>
      <c r="B102" s="1075" t="str">
        <f>"   "&amp;ListAVS!$B$198</f>
        <v xml:space="preserve">   Parametry korpusu</v>
      </c>
      <c r="C102" s="1076"/>
      <c r="D102" s="1076"/>
      <c r="E102" s="1076"/>
      <c r="F102" s="1076"/>
      <c r="G102" s="1076"/>
      <c r="H102" s="1076"/>
      <c r="I102" s="1077"/>
      <c r="J102" s="1078"/>
      <c r="K102" s="545"/>
      <c r="L102" s="545"/>
      <c r="M102" s="545"/>
      <c r="N102" s="545"/>
      <c r="O102" s="546"/>
      <c r="P102" s="545"/>
      <c r="Q102" s="546"/>
      <c r="R102" s="545"/>
      <c r="S102" s="545"/>
      <c r="T102" s="545"/>
      <c r="U102" s="545"/>
      <c r="V102" s="545"/>
      <c r="W102" s="545"/>
      <c r="X102" s="108"/>
      <c r="Y102" s="670"/>
      <c r="Z102" s="670"/>
      <c r="AA102" s="670"/>
      <c r="AB102" s="670"/>
      <c r="AC102" s="670"/>
      <c r="AD102" s="670"/>
      <c r="AE102" s="670"/>
      <c r="AF102" s="670"/>
      <c r="AG102" s="670"/>
      <c r="AH102" s="670"/>
      <c r="AI102" s="670"/>
      <c r="AJ102" s="670"/>
      <c r="AK102" s="670"/>
      <c r="AL102" s="670"/>
      <c r="AM102" s="266"/>
      <c r="AN102" s="266"/>
      <c r="AO102" s="266"/>
      <c r="AP102" s="266"/>
    </row>
    <row r="103" spans="1:43" s="255" customFormat="1" ht="15" customHeight="1" x14ac:dyDescent="0.2">
      <c r="A103" s="1045"/>
      <c r="B103" s="1070" t="str">
        <f>ListAVS!$B$75&amp;" KH [mm] "</f>
        <v xml:space="preserve">Wysokość korpusu KH [mm] </v>
      </c>
      <c r="C103" s="1071"/>
      <c r="D103" s="1071"/>
      <c r="E103" s="1071"/>
      <c r="F103" s="1071"/>
      <c r="G103" s="1071"/>
      <c r="H103" s="1072"/>
      <c r="I103" s="1073"/>
      <c r="J103" s="1073"/>
      <c r="K103" s="547" t="str">
        <f>IF(I103&lt;480, " min. 480", IF(I103&gt;1200, " max. 1200", " "))</f>
        <v xml:space="preserve"> min. 480</v>
      </c>
      <c r="L103" s="545"/>
      <c r="M103" s="545"/>
      <c r="N103" s="1089" t="s">
        <v>755</v>
      </c>
      <c r="O103" s="1089" t="s">
        <v>756</v>
      </c>
      <c r="P103" s="545"/>
      <c r="Q103" s="545"/>
      <c r="R103" s="545"/>
      <c r="S103" s="545"/>
      <c r="T103" s="545"/>
      <c r="U103" s="545"/>
      <c r="V103" s="545"/>
      <c r="W103" s="545"/>
      <c r="X103" s="108"/>
      <c r="Y103" s="670"/>
      <c r="Z103" s="670"/>
      <c r="AA103" s="670"/>
      <c r="AB103" s="670"/>
      <c r="AC103" s="670"/>
      <c r="AD103" s="670"/>
      <c r="AE103" s="670"/>
      <c r="AF103" s="670"/>
      <c r="AG103" s="670"/>
      <c r="AH103" s="670"/>
      <c r="AI103" s="670"/>
      <c r="AJ103" s="670"/>
      <c r="AK103" s="670"/>
      <c r="AL103" s="670"/>
      <c r="AM103" s="266"/>
      <c r="AN103" s="266"/>
      <c r="AO103" s="266"/>
      <c r="AP103" s="266"/>
    </row>
    <row r="104" spans="1:43" s="255" customFormat="1" ht="15" customHeight="1" x14ac:dyDescent="0.2">
      <c r="A104" s="1045"/>
      <c r="B104" s="1070" t="str">
        <f>ListAVS!$B$201&amp;" F1 [mm] "</f>
        <v xml:space="preserve">Szczelina na górze F1 [mm] </v>
      </c>
      <c r="C104" s="1071"/>
      <c r="D104" s="1071"/>
      <c r="E104" s="1071"/>
      <c r="F104" s="1071"/>
      <c r="G104" s="1071"/>
      <c r="H104" s="1072"/>
      <c r="I104" s="1073"/>
      <c r="J104" s="1073"/>
      <c r="K104" s="548"/>
      <c r="L104" s="545"/>
      <c r="M104" s="549"/>
      <c r="N104" s="1089"/>
      <c r="O104" s="1089"/>
      <c r="P104" s="545"/>
      <c r="Q104" s="545"/>
      <c r="R104" s="545"/>
      <c r="S104" s="545"/>
      <c r="T104" s="545"/>
      <c r="U104" s="545"/>
      <c r="V104" s="545"/>
      <c r="W104" s="545"/>
      <c r="X104" s="108"/>
      <c r="Y104" s="670"/>
      <c r="Z104" s="670"/>
      <c r="AA104" s="670"/>
      <c r="AB104" s="670"/>
      <c r="AC104" s="670"/>
      <c r="AD104" s="670"/>
      <c r="AE104" s="670"/>
      <c r="AF104" s="670"/>
      <c r="AG104" s="670"/>
      <c r="AH104" s="670"/>
      <c r="AI104" s="670"/>
      <c r="AJ104" s="670"/>
      <c r="AK104" s="670"/>
      <c r="AL104" s="670"/>
      <c r="AM104" s="266"/>
      <c r="AN104" s="266"/>
      <c r="AO104" s="266"/>
      <c r="AP104" s="266"/>
      <c r="AQ104" s="266"/>
    </row>
    <row r="105" spans="1:43" s="266" customFormat="1" ht="15" customHeight="1" x14ac:dyDescent="0.2">
      <c r="A105" s="1045"/>
      <c r="B105" s="1070" t="str">
        <f>ListAVS!$B$202&amp;" F2 [mm] "</f>
        <v xml:space="preserve">Szczelina pomiędzy frontami F2 [mm] </v>
      </c>
      <c r="C105" s="1071"/>
      <c r="D105" s="1071"/>
      <c r="E105" s="1071"/>
      <c r="F105" s="1071"/>
      <c r="G105" s="1071"/>
      <c r="H105" s="1072"/>
      <c r="I105" s="1086"/>
      <c r="J105" s="1087"/>
      <c r="K105" s="547" t="str">
        <f>IF($I$103=0," ",IF($I$105&lt;1.5," min. 1,5 mm!"," "))</f>
        <v xml:space="preserve"> </v>
      </c>
      <c r="L105" s="545"/>
      <c r="M105" s="545"/>
      <c r="N105" s="1089"/>
      <c r="O105" s="1089"/>
      <c r="P105" s="545"/>
      <c r="Q105" s="545"/>
      <c r="R105" s="545"/>
      <c r="S105" s="545"/>
      <c r="T105" s="545"/>
      <c r="U105" s="545"/>
      <c r="V105" s="545"/>
      <c r="W105" s="545"/>
      <c r="X105" s="108"/>
      <c r="Y105" s="670"/>
      <c r="Z105" s="670"/>
      <c r="AA105" s="670"/>
      <c r="AB105" s="670"/>
      <c r="AC105" s="670"/>
      <c r="AD105" s="670"/>
      <c r="AE105" s="670"/>
      <c r="AF105" s="670"/>
      <c r="AG105" s="670"/>
      <c r="AH105" s="670"/>
      <c r="AI105" s="670"/>
      <c r="AJ105" s="670"/>
      <c r="AK105" s="670"/>
      <c r="AL105" s="670"/>
      <c r="AM105" s="255"/>
    </row>
    <row r="106" spans="1:43" s="266" customFormat="1" ht="15" customHeight="1" x14ac:dyDescent="0.2">
      <c r="A106" s="1045"/>
      <c r="B106" s="1070" t="str">
        <f>ListAVS!$B$203&amp;" F3 [mm] "</f>
        <v xml:space="preserve">Szczelina na dole F3 [mm] </v>
      </c>
      <c r="C106" s="1071"/>
      <c r="D106" s="1071"/>
      <c r="E106" s="1071"/>
      <c r="F106" s="1071"/>
      <c r="G106" s="1071"/>
      <c r="H106" s="1072"/>
      <c r="I106" s="1073"/>
      <c r="J106" s="1073"/>
      <c r="K106" s="545"/>
      <c r="L106" s="545"/>
      <c r="M106" s="553" t="s">
        <v>757</v>
      </c>
      <c r="N106" s="118">
        <v>170</v>
      </c>
      <c r="O106" s="118">
        <v>189</v>
      </c>
      <c r="P106" s="545"/>
      <c r="Q106" s="545"/>
      <c r="R106" s="545"/>
      <c r="S106" s="545"/>
      <c r="T106" s="545"/>
      <c r="U106" s="545"/>
      <c r="V106" s="545"/>
      <c r="W106" s="545"/>
      <c r="X106" s="108"/>
      <c r="Y106" s="670"/>
      <c r="Z106" s="670"/>
      <c r="AA106" s="670"/>
      <c r="AB106" s="670"/>
      <c r="AC106" s="670"/>
      <c r="AD106" s="670"/>
      <c r="AE106" s="670"/>
      <c r="AF106" s="670"/>
      <c r="AG106" s="670"/>
      <c r="AH106" s="670"/>
      <c r="AI106" s="670"/>
      <c r="AJ106" s="670"/>
      <c r="AK106" s="670"/>
      <c r="AL106" s="670"/>
      <c r="AM106" s="255"/>
    </row>
    <row r="107" spans="1:43" s="266" customFormat="1" ht="15" customHeight="1" x14ac:dyDescent="0.2">
      <c r="A107" s="1045"/>
      <c r="B107" s="1070" t="str">
        <f>ListAVS!$B$204&amp;" [mm] "</f>
        <v xml:space="preserve">Grubość dna korpusu [mm] </v>
      </c>
      <c r="C107" s="1071"/>
      <c r="D107" s="1071"/>
      <c r="E107" s="1071"/>
      <c r="F107" s="1071"/>
      <c r="G107" s="1071"/>
      <c r="H107" s="1072"/>
      <c r="I107" s="1073"/>
      <c r="J107" s="1073"/>
      <c r="K107" s="545"/>
      <c r="L107" s="545"/>
      <c r="M107" s="553" t="s">
        <v>768</v>
      </c>
      <c r="N107" s="248">
        <v>93</v>
      </c>
      <c r="O107" s="248">
        <v>116</v>
      </c>
      <c r="P107" s="545"/>
      <c r="Q107" s="545"/>
      <c r="R107" s="545"/>
      <c r="S107" s="545"/>
      <c r="T107" s="545"/>
      <c r="U107" s="545"/>
      <c r="V107" s="545"/>
      <c r="W107" s="545"/>
      <c r="X107" s="108"/>
      <c r="Y107" s="670"/>
      <c r="Z107" s="670"/>
      <c r="AA107" s="670"/>
      <c r="AB107" s="670"/>
      <c r="AC107" s="670"/>
      <c r="AD107" s="670"/>
      <c r="AE107" s="670"/>
      <c r="AF107" s="670"/>
      <c r="AG107" s="670"/>
      <c r="AH107" s="670"/>
      <c r="AI107" s="670"/>
      <c r="AJ107" s="670"/>
      <c r="AK107" s="670"/>
      <c r="AL107" s="670"/>
      <c r="AM107" s="255"/>
    </row>
    <row r="108" spans="1:43" s="266" customFormat="1" ht="15" customHeight="1" x14ac:dyDescent="0.2">
      <c r="A108" s="1045"/>
      <c r="B108" s="545"/>
      <c r="C108" s="545"/>
      <c r="D108" s="545"/>
      <c r="E108" s="545"/>
      <c r="F108" s="545"/>
      <c r="G108" s="545"/>
      <c r="H108" s="545"/>
      <c r="I108" s="545"/>
      <c r="J108" s="550"/>
      <c r="K108" s="545"/>
      <c r="L108" s="545"/>
      <c r="M108" s="553"/>
      <c r="N108" s="37"/>
      <c r="O108" s="118"/>
      <c r="P108" s="545"/>
      <c r="Q108" s="545"/>
      <c r="R108" s="545"/>
      <c r="S108" s="545"/>
      <c r="T108" s="545"/>
      <c r="U108" s="545"/>
      <c r="V108" s="545"/>
      <c r="W108" s="545"/>
      <c r="X108" s="108"/>
      <c r="Y108" s="670"/>
      <c r="Z108" s="670"/>
      <c r="AA108" s="670"/>
      <c r="AB108" s="670"/>
      <c r="AC108" s="670"/>
      <c r="AD108" s="670"/>
      <c r="AE108" s="670"/>
      <c r="AF108" s="670"/>
      <c r="AG108" s="670"/>
      <c r="AH108" s="670"/>
      <c r="AI108" s="670"/>
      <c r="AJ108" s="670"/>
      <c r="AK108" s="670"/>
      <c r="AL108" s="670"/>
      <c r="AM108" s="255"/>
    </row>
    <row r="109" spans="1:43" s="266" customFormat="1" ht="15" customHeight="1" x14ac:dyDescent="0.2">
      <c r="A109" s="1045"/>
      <c r="B109" s="1091" t="str">
        <f>"   "&amp;ListAVS!$B$206</f>
        <v xml:space="preserve">   Wyniki planowania</v>
      </c>
      <c r="C109" s="1092"/>
      <c r="D109" s="1092"/>
      <c r="E109" s="1092"/>
      <c r="F109" s="1092"/>
      <c r="G109" s="1092"/>
      <c r="H109" s="1092"/>
      <c r="I109" s="1092"/>
      <c r="J109" s="1093"/>
      <c r="K109" s="545"/>
      <c r="L109" s="545"/>
      <c r="M109" s="545"/>
      <c r="N109" s="957" t="s">
        <v>762</v>
      </c>
      <c r="O109" s="958" t="s">
        <v>762</v>
      </c>
      <c r="P109" s="545"/>
      <c r="Q109" s="545"/>
      <c r="R109" s="545"/>
      <c r="S109" s="545"/>
      <c r="T109" s="545"/>
      <c r="U109" s="545"/>
      <c r="V109" s="545"/>
      <c r="W109" s="545"/>
      <c r="X109" s="108"/>
      <c r="Y109" s="670"/>
      <c r="Z109" s="670"/>
      <c r="AA109" s="670"/>
      <c r="AB109" s="670"/>
      <c r="AC109" s="670"/>
      <c r="AD109" s="670"/>
      <c r="AE109" s="670"/>
      <c r="AF109" s="670"/>
      <c r="AG109" s="670"/>
      <c r="AH109" s="670"/>
      <c r="AI109" s="670"/>
      <c r="AJ109" s="670"/>
      <c r="AK109" s="670"/>
      <c r="AL109" s="670"/>
      <c r="AM109" s="255"/>
    </row>
    <row r="110" spans="1:43" s="266" customFormat="1" ht="15" customHeight="1" x14ac:dyDescent="0.2">
      <c r="A110" s="1045"/>
      <c r="B110" s="1094"/>
      <c r="C110" s="1095"/>
      <c r="D110" s="1095"/>
      <c r="E110" s="1095"/>
      <c r="F110" s="1095"/>
      <c r="G110" s="1096" t="str">
        <f>ListAVS!$B$207&amp;" [mm] "</f>
        <v xml:space="preserve">Możliwe wysokości frontów [mm] </v>
      </c>
      <c r="H110" s="1096"/>
      <c r="I110" s="1096"/>
      <c r="J110" s="1097"/>
      <c r="K110" s="545"/>
      <c r="L110" s="545"/>
      <c r="M110" s="545"/>
      <c r="N110" s="545" t="s">
        <v>754</v>
      </c>
      <c r="O110" s="545" t="s">
        <v>754</v>
      </c>
      <c r="P110" s="545"/>
      <c r="Q110" s="545"/>
      <c r="R110" s="545"/>
      <c r="S110" s="545"/>
      <c r="T110" s="545"/>
      <c r="U110" s="545"/>
      <c r="V110" s="545"/>
      <c r="W110" s="545"/>
      <c r="X110" s="108"/>
      <c r="Y110" s="670"/>
      <c r="Z110" s="670"/>
      <c r="AA110" s="670"/>
      <c r="AB110" s="670"/>
      <c r="AC110" s="670"/>
      <c r="AD110" s="670"/>
      <c r="AE110" s="670"/>
      <c r="AF110" s="670"/>
      <c r="AG110" s="670"/>
      <c r="AH110" s="670"/>
      <c r="AI110" s="670"/>
      <c r="AJ110" s="670"/>
      <c r="AK110" s="670"/>
      <c r="AL110" s="670"/>
      <c r="AM110" s="255"/>
    </row>
    <row r="111" spans="1:43" s="266" customFormat="1" ht="15" customHeight="1" x14ac:dyDescent="0.2">
      <c r="A111" s="1045"/>
      <c r="B111" s="1069" t="str">
        <f>ListAVS!$B$208</f>
        <v>Front górny (FHo) w granicach</v>
      </c>
      <c r="C111" s="1069"/>
      <c r="D111" s="1069"/>
      <c r="E111" s="1069"/>
      <c r="F111" s="1069"/>
      <c r="G111" s="551" t="s">
        <v>60</v>
      </c>
      <c r="H111" s="552" t="str">
        <f>IF(AND($I$103&gt;=480, $I$103&lt;=519), $N$111, IF(AND($I$103&gt;=520, $I$103&lt;=1200), $O$111, $S$115))</f>
        <v>nie można</v>
      </c>
      <c r="I111" s="551" t="s">
        <v>61</v>
      </c>
      <c r="J111" s="552" t="str">
        <f>IF(AND($I$103&gt;=480, $I$103&lt;=519), $N$115, IF(AND($I$103&gt;=520, $I$103&lt;=1200), $O$115, $S$115))</f>
        <v>nie można</v>
      </c>
      <c r="K111" s="545"/>
      <c r="L111" s="545"/>
      <c r="M111" s="545"/>
      <c r="N111" s="546">
        <f>SUM(I103, -I104, -I105, -I106, -N120)</f>
        <v>0</v>
      </c>
      <c r="O111" s="546">
        <f>SUM(I103, -I104, -I105, -I106, -O120)</f>
        <v>0</v>
      </c>
      <c r="P111" s="545"/>
      <c r="Q111" s="545"/>
      <c r="R111" s="545"/>
      <c r="S111" s="545"/>
      <c r="T111" s="545"/>
      <c r="U111" s="545"/>
      <c r="V111" s="545"/>
      <c r="W111" s="545"/>
      <c r="X111" s="108"/>
      <c r="Y111" s="670"/>
      <c r="Z111" s="670"/>
      <c r="AA111" s="670"/>
      <c r="AB111" s="670"/>
      <c r="AC111" s="670"/>
      <c r="AD111" s="670"/>
      <c r="AE111" s="670"/>
      <c r="AF111" s="670"/>
      <c r="AG111" s="670"/>
      <c r="AH111" s="670"/>
      <c r="AI111" s="670"/>
      <c r="AJ111" s="670"/>
      <c r="AK111" s="670"/>
      <c r="AL111" s="670"/>
      <c r="AM111" s="255"/>
    </row>
    <row r="112" spans="1:43" s="266" customFormat="1" ht="15" customHeight="1" x14ac:dyDescent="0.2">
      <c r="A112" s="1045"/>
      <c r="B112" s="1069" t="str">
        <f>ListAVS!$B$209</f>
        <v>Front dolny (FHu) w granicach</v>
      </c>
      <c r="C112" s="1069"/>
      <c r="D112" s="1069"/>
      <c r="E112" s="1069"/>
      <c r="F112" s="1069"/>
      <c r="G112" s="551" t="s">
        <v>60</v>
      </c>
      <c r="H112" s="552" t="str">
        <f>IF(AND($I$103&gt;=480, $I$103&lt;=519), $N$118, IF(AND($I$103&gt;=520, $I$103&lt;=1200), $O$118, $S$115))</f>
        <v>nie można</v>
      </c>
      <c r="I112" s="551" t="s">
        <v>61</v>
      </c>
      <c r="J112" s="552" t="str">
        <f>IF(AND($I$103&gt;=480, $I$103&lt;=519), $N$120, IF(AND($I$103&gt;=520, $I$103&lt;=1200), $O$120, $S$115))</f>
        <v>nie można</v>
      </c>
      <c r="K112" s="545"/>
      <c r="L112" s="545"/>
      <c r="M112" s="545"/>
      <c r="N112" s="545" t="s">
        <v>758</v>
      </c>
      <c r="O112" s="545" t="s">
        <v>758</v>
      </c>
      <c r="P112" s="545"/>
      <c r="Q112" s="545"/>
      <c r="R112" s="545"/>
      <c r="S112" s="545"/>
      <c r="T112" s="545"/>
      <c r="U112" s="545"/>
      <c r="V112" s="545"/>
      <c r="W112" s="545"/>
      <c r="X112" s="108"/>
      <c r="Y112" s="670"/>
      <c r="Z112" s="670"/>
      <c r="AA112" s="670"/>
      <c r="AB112" s="670"/>
      <c r="AC112" s="670"/>
      <c r="AD112" s="670"/>
      <c r="AE112" s="670"/>
      <c r="AF112" s="670"/>
      <c r="AG112" s="670"/>
      <c r="AH112" s="670"/>
      <c r="AI112" s="670"/>
      <c r="AJ112" s="670"/>
      <c r="AK112" s="670"/>
      <c r="AL112" s="670"/>
      <c r="AM112" s="255"/>
    </row>
    <row r="113" spans="1:43" s="266" customFormat="1" ht="15" customHeight="1" x14ac:dyDescent="0.2">
      <c r="A113" s="1045"/>
      <c r="B113" s="694"/>
      <c r="C113" s="694"/>
      <c r="D113" s="694"/>
      <c r="E113" s="694"/>
      <c r="F113" s="694"/>
      <c r="G113" s="694"/>
      <c r="H113" s="694"/>
      <c r="I113" s="545"/>
      <c r="J113" s="545"/>
      <c r="K113" s="545"/>
      <c r="L113" s="545"/>
      <c r="M113" s="545"/>
      <c r="N113" s="546">
        <f>ROUNDUP(SUM(519, -$I$104, -$I$105, -$I$106)/2, 0)</f>
        <v>260</v>
      </c>
      <c r="O113" s="546">
        <f>ROUNDUP(SUM(1200, -$I$104, -$I$105, -$I$106)/2, 0)</f>
        <v>600</v>
      </c>
      <c r="P113" s="545" t="s">
        <v>759</v>
      </c>
      <c r="Q113" s="545"/>
      <c r="R113" s="545"/>
      <c r="S113" s="545"/>
      <c r="T113" s="545"/>
      <c r="U113" s="545"/>
      <c r="V113" s="545"/>
      <c r="W113" s="545"/>
      <c r="X113" s="108"/>
      <c r="Y113" s="670"/>
      <c r="Z113" s="670"/>
      <c r="AA113" s="670"/>
      <c r="AB113" s="670"/>
      <c r="AC113" s="670"/>
      <c r="AD113" s="670"/>
      <c r="AE113" s="670"/>
      <c r="AF113" s="670"/>
      <c r="AG113" s="670"/>
      <c r="AH113" s="670"/>
      <c r="AI113" s="670"/>
      <c r="AJ113" s="670"/>
      <c r="AK113" s="670"/>
      <c r="AL113" s="670"/>
      <c r="AM113" s="255"/>
    </row>
    <row r="114" spans="1:43" s="266" customFormat="1" ht="15" customHeight="1" x14ac:dyDescent="0.2">
      <c r="A114" s="1045"/>
      <c r="B114" s="1070" t="str">
        <f>ListAVS!$B$215&amp;" FHo [mm] "</f>
        <v xml:space="preserve">Wysokość frontu górnego FHo [mm] </v>
      </c>
      <c r="C114" s="1071"/>
      <c r="D114" s="1071"/>
      <c r="E114" s="1071"/>
      <c r="F114" s="1071"/>
      <c r="G114" s="1071"/>
      <c r="H114" s="1072"/>
      <c r="I114" s="1073"/>
      <c r="J114" s="1073"/>
      <c r="K114" s="547" t="str">
        <f>IF($I$103=0," ",IF($I$114&gt;$J$111,V114,IF($I$114&lt;$H$111,$S$114," ")))</f>
        <v xml:space="preserve"> </v>
      </c>
      <c r="L114" s="545"/>
      <c r="M114" s="545"/>
      <c r="N114" s="546">
        <f>SUM(I103, -I104, -I105, -I106, -N118)</f>
        <v>-219</v>
      </c>
      <c r="O114" s="248">
        <f>SUM(I103, -I104, -I105, -I106, -O118)</f>
        <v>-238</v>
      </c>
      <c r="P114" s="545" t="s">
        <v>760</v>
      </c>
      <c r="Q114" s="545"/>
      <c r="R114" s="545"/>
      <c r="S114" s="545" t="str">
        <f>" min. "&amp;TEXT($H$111,"#")&amp;" mm!"</f>
        <v xml:space="preserve"> min. nie można mm!</v>
      </c>
      <c r="T114" s="545"/>
      <c r="U114" s="545"/>
      <c r="V114" s="545" t="str">
        <f>" max. "&amp;TEXT($J$111,"#")&amp;" mm!"</f>
        <v xml:space="preserve"> max. nie można mm!</v>
      </c>
      <c r="W114" s="545"/>
      <c r="X114" s="108"/>
      <c r="Y114" s="670"/>
      <c r="Z114" s="670"/>
      <c r="AA114" s="670"/>
      <c r="AB114" s="670"/>
      <c r="AC114" s="670"/>
      <c r="AD114" s="670"/>
      <c r="AE114" s="670"/>
      <c r="AF114" s="670"/>
      <c r="AG114" s="670"/>
      <c r="AH114" s="670"/>
      <c r="AI114" s="670"/>
      <c r="AJ114" s="670"/>
      <c r="AK114" s="670"/>
      <c r="AL114" s="670"/>
      <c r="AM114" s="255"/>
    </row>
    <row r="115" spans="1:43" s="266" customFormat="1" ht="15" customHeight="1" x14ac:dyDescent="0.2">
      <c r="A115" s="1045"/>
      <c r="B115" s="1070" t="str">
        <f>ListAVS!$B$216&amp;" FHu [mm] "</f>
        <v xml:space="preserve">Wysokość frontu dolnego FHu [mm] </v>
      </c>
      <c r="C115" s="1071"/>
      <c r="D115" s="1071"/>
      <c r="E115" s="1071"/>
      <c r="F115" s="1071"/>
      <c r="G115" s="1071"/>
      <c r="H115" s="1072"/>
      <c r="I115" s="1074" t="str">
        <f>IF($I$114&lt;$H$111,$S$115,IF($I$114&gt;$J$111,$S$115,+$I$103-$I$104-$I$105-$I$106-$I$114))</f>
        <v>nie można</v>
      </c>
      <c r="J115" s="1074"/>
      <c r="K115" s="548"/>
      <c r="L115" s="545"/>
      <c r="M115" s="545"/>
      <c r="N115" s="959">
        <f>IF($N$114&gt;$N$113, $N$113, $N$114)</f>
        <v>-219</v>
      </c>
      <c r="O115" s="959">
        <f>IF($O$114&gt;$O$113, $O$113, $O$114)</f>
        <v>-238</v>
      </c>
      <c r="P115" s="545" t="s">
        <v>767</v>
      </c>
      <c r="Q115" s="118"/>
      <c r="R115" s="545"/>
      <c r="S115" s="545" t="str">
        <f>ListAVS!B212</f>
        <v>nie można</v>
      </c>
      <c r="T115" s="545"/>
      <c r="U115" s="545"/>
      <c r="V115" s="545"/>
      <c r="W115" s="545"/>
      <c r="X115" s="108"/>
      <c r="Y115" s="670"/>
      <c r="Z115" s="670"/>
      <c r="AA115" s="670"/>
      <c r="AB115" s="670"/>
      <c r="AC115" s="670"/>
      <c r="AD115" s="670"/>
      <c r="AE115" s="670"/>
      <c r="AF115" s="670"/>
      <c r="AG115" s="670"/>
      <c r="AH115" s="670"/>
      <c r="AI115" s="670"/>
      <c r="AJ115" s="670"/>
      <c r="AK115" s="670"/>
      <c r="AL115" s="670"/>
      <c r="AM115" s="255"/>
    </row>
    <row r="116" spans="1:43" s="266" customFormat="1" ht="15" customHeight="1" x14ac:dyDescent="0.2">
      <c r="A116" s="1045"/>
      <c r="B116" s="1070" t="str">
        <f>ListAVS!$B$217&amp;" H [mm] "</f>
        <v xml:space="preserve">Pozycja siłownika H [mm] </v>
      </c>
      <c r="C116" s="1071"/>
      <c r="D116" s="1071"/>
      <c r="E116" s="1071"/>
      <c r="F116" s="1071"/>
      <c r="G116" s="1071"/>
      <c r="H116" s="1072"/>
      <c r="I116" s="1074" t="str">
        <f>IF(AND($I$103&gt;=480, $I$103&lt;520), $N$107, IF(AND($I$103&gt;=520, $I$103&lt;=1200), $O$107, $S$115))</f>
        <v>nie można</v>
      </c>
      <c r="J116" s="1074"/>
      <c r="K116" s="545"/>
      <c r="L116" s="545"/>
      <c r="M116" s="545"/>
      <c r="N116" s="957" t="s">
        <v>761</v>
      </c>
      <c r="O116" s="958" t="s">
        <v>761</v>
      </c>
      <c r="P116" s="545"/>
      <c r="Q116" s="545"/>
      <c r="R116" s="545"/>
      <c r="S116" s="545"/>
      <c r="T116" s="545"/>
      <c r="U116" s="545"/>
      <c r="V116" s="545"/>
      <c r="W116" s="545"/>
      <c r="X116" s="108"/>
      <c r="Y116" s="670"/>
      <c r="Z116" s="670"/>
      <c r="AA116" s="670"/>
      <c r="AB116" s="670"/>
      <c r="AC116" s="670"/>
      <c r="AD116" s="670"/>
      <c r="AE116" s="670"/>
      <c r="AF116" s="670"/>
      <c r="AG116" s="670"/>
      <c r="AH116" s="670"/>
      <c r="AI116" s="670"/>
      <c r="AJ116" s="670"/>
      <c r="AK116" s="670"/>
      <c r="AL116" s="670"/>
      <c r="AM116" s="255"/>
    </row>
    <row r="117" spans="1:43" s="266" customFormat="1" ht="15" customHeight="1" x14ac:dyDescent="0.2">
      <c r="A117" s="1045"/>
      <c r="B117" s="1070" t="str">
        <f>ListAVS!$B$218&amp;" Z [mm] "</f>
        <v xml:space="preserve">Pozycja podkładki montażowej do podnośnika teleskopowego Z [mm] </v>
      </c>
      <c r="C117" s="1071"/>
      <c r="D117" s="1071"/>
      <c r="E117" s="1071"/>
      <c r="F117" s="1071"/>
      <c r="G117" s="1071"/>
      <c r="H117" s="1072"/>
      <c r="I117" s="1074" t="str">
        <f>IF(AND($I$103&gt;=480, $I$103&lt;520), $N$106, IF(AND($I$103&gt;=520, $I$103&lt;=1200), $O$106, $S$115))</f>
        <v>nie można</v>
      </c>
      <c r="J117" s="1074"/>
      <c r="K117" s="545"/>
      <c r="L117" s="545"/>
      <c r="M117" s="545"/>
      <c r="N117" s="545" t="s">
        <v>754</v>
      </c>
      <c r="O117" s="545" t="s">
        <v>754</v>
      </c>
      <c r="P117" s="545"/>
      <c r="Q117" s="545"/>
      <c r="R117" s="545"/>
      <c r="S117" s="545"/>
      <c r="T117" s="545"/>
      <c r="U117" s="545"/>
      <c r="V117" s="545"/>
      <c r="W117" s="545"/>
      <c r="X117" s="108"/>
      <c r="Y117" s="670"/>
      <c r="Z117" s="670"/>
      <c r="AA117" s="670"/>
      <c r="AB117" s="670"/>
      <c r="AC117" s="670"/>
      <c r="AD117" s="670"/>
      <c r="AE117" s="670"/>
      <c r="AF117" s="670"/>
      <c r="AG117" s="670"/>
      <c r="AH117" s="670"/>
      <c r="AI117" s="670"/>
      <c r="AJ117" s="670"/>
      <c r="AK117" s="670"/>
      <c r="AL117" s="670"/>
      <c r="AM117" s="255"/>
    </row>
    <row r="118" spans="1:43" s="266" customFormat="1" ht="15" customHeight="1" x14ac:dyDescent="0.2">
      <c r="A118" s="1045"/>
      <c r="B118" s="1070" t="str">
        <f>ListAVS!$B$219&amp;" TKH [mm] * "</f>
        <v xml:space="preserve">Teoretyczna wysokość korpusu TKH [mm] * </v>
      </c>
      <c r="C118" s="1071"/>
      <c r="D118" s="1071"/>
      <c r="E118" s="1071"/>
      <c r="F118" s="1071"/>
      <c r="G118" s="1071"/>
      <c r="H118" s="1072"/>
      <c r="I118" s="1090" t="str">
        <f>IF($I$115=$S$115, $S$115, IF($Q$118&gt;=480, IF($Q$118&lt;=1202, $Q$118, $S$115)," "))</f>
        <v>nie można</v>
      </c>
      <c r="J118" s="1090"/>
      <c r="K118" s="545"/>
      <c r="L118" s="545"/>
      <c r="M118" s="545"/>
      <c r="N118" s="546">
        <f>SUM(N106, 32, 17, $I$107, -$I$106)</f>
        <v>219</v>
      </c>
      <c r="O118" s="546">
        <f>SUM(O106, 32, 17, $I$107, -$I$106)</f>
        <v>238</v>
      </c>
      <c r="P118" s="545" t="s">
        <v>62</v>
      </c>
      <c r="Q118" s="545">
        <f>ROUND(SUM($I$114*2+$I$104+$I$105+$I$106), -1)</f>
        <v>0</v>
      </c>
      <c r="R118" s="545"/>
      <c r="S118" s="545"/>
      <c r="T118" s="545"/>
      <c r="U118" s="545"/>
      <c r="V118" s="545"/>
      <c r="W118" s="545"/>
      <c r="X118" s="108"/>
      <c r="Y118" s="670"/>
      <c r="Z118" s="670"/>
      <c r="AA118" s="670"/>
      <c r="AB118" s="670"/>
      <c r="AC118" s="670"/>
      <c r="AD118" s="670"/>
      <c r="AE118" s="670"/>
      <c r="AF118" s="670"/>
      <c r="AG118" s="670"/>
      <c r="AH118" s="670"/>
      <c r="AI118" s="670"/>
      <c r="AJ118" s="670"/>
      <c r="AK118" s="670"/>
      <c r="AL118" s="670"/>
      <c r="AM118" s="255"/>
    </row>
    <row r="119" spans="1:43" s="266" customFormat="1" ht="15" customHeight="1" x14ac:dyDescent="0.2">
      <c r="A119" s="1045"/>
      <c r="B119" s="545"/>
      <c r="C119" s="545"/>
      <c r="D119" s="545"/>
      <c r="E119" s="545"/>
      <c r="F119" s="545"/>
      <c r="G119" s="545"/>
      <c r="H119" s="545"/>
      <c r="I119" s="545"/>
      <c r="J119" s="545"/>
      <c r="K119" s="545"/>
      <c r="L119" s="545"/>
      <c r="M119" s="545"/>
      <c r="N119" s="545" t="s">
        <v>758</v>
      </c>
      <c r="O119" s="545" t="s">
        <v>758</v>
      </c>
      <c r="P119" s="545"/>
      <c r="Q119" s="546"/>
      <c r="R119" s="545"/>
      <c r="S119" s="545"/>
      <c r="T119" s="545"/>
      <c r="U119" s="545"/>
      <c r="V119" s="545"/>
      <c r="W119" s="545"/>
      <c r="X119" s="108"/>
      <c r="Y119" s="670"/>
      <c r="Z119" s="670"/>
      <c r="AA119" s="670"/>
      <c r="AB119" s="670"/>
      <c r="AC119" s="670"/>
      <c r="AD119" s="670"/>
      <c r="AE119" s="670"/>
      <c r="AF119" s="670"/>
      <c r="AG119" s="670"/>
      <c r="AH119" s="670"/>
      <c r="AI119" s="670"/>
      <c r="AJ119" s="670"/>
      <c r="AK119" s="670"/>
      <c r="AL119" s="670"/>
      <c r="AM119" s="255"/>
    </row>
    <row r="120" spans="1:43" s="266" customFormat="1" ht="15" customHeight="1" x14ac:dyDescent="0.2">
      <c r="A120" s="1045"/>
      <c r="B120" s="553" t="s">
        <v>63</v>
      </c>
      <c r="C120" s="545" t="str">
        <f>ListAVS!$B$221</f>
        <v xml:space="preserve">Wprowadź tę wysokość do tabelki służącej do planowania podnośników </v>
      </c>
      <c r="D120" s="545"/>
      <c r="E120" s="545"/>
      <c r="F120" s="545"/>
      <c r="G120" s="545"/>
      <c r="H120" s="545"/>
      <c r="I120" s="545"/>
      <c r="J120" s="545"/>
      <c r="K120" s="545"/>
      <c r="L120" s="545"/>
      <c r="M120" s="545"/>
      <c r="N120" s="546">
        <f>ROUNDDOWN(SUM(I103, -I104, -I105, -I106)/2, 0)</f>
        <v>0</v>
      </c>
      <c r="O120" s="546">
        <f>ROUNDDOWN(SUM(I103, -I104, -I105, -I106)/2, 0)</f>
        <v>0</v>
      </c>
      <c r="P120" s="545"/>
      <c r="Q120" s="546"/>
      <c r="R120" s="545"/>
      <c r="S120" s="545"/>
      <c r="T120" s="545"/>
      <c r="U120" s="545"/>
      <c r="V120" s="545"/>
      <c r="W120" s="545"/>
      <c r="X120" s="108"/>
      <c r="Y120" s="670"/>
      <c r="Z120" s="670"/>
      <c r="AA120" s="670"/>
      <c r="AB120" s="670"/>
      <c r="AC120" s="670"/>
      <c r="AD120" s="670"/>
      <c r="AE120" s="670"/>
      <c r="AF120" s="670"/>
      <c r="AG120" s="670"/>
      <c r="AH120" s="670"/>
      <c r="AI120" s="670"/>
      <c r="AJ120" s="670"/>
      <c r="AK120" s="670"/>
      <c r="AL120" s="670"/>
      <c r="AM120" s="255"/>
    </row>
    <row r="121" spans="1:43" s="266" customFormat="1" ht="15" customHeight="1" x14ac:dyDescent="0.2">
      <c r="A121" s="1045"/>
      <c r="B121" s="545"/>
      <c r="C121" s="545"/>
      <c r="D121" s="545"/>
      <c r="E121" s="545"/>
      <c r="F121" s="545"/>
      <c r="G121" s="545"/>
      <c r="H121" s="545"/>
      <c r="I121" s="545"/>
      <c r="J121" s="545"/>
      <c r="K121" s="545"/>
      <c r="L121" s="545"/>
      <c r="M121" s="545"/>
      <c r="N121" s="545"/>
      <c r="O121" s="546"/>
      <c r="P121" s="545"/>
      <c r="Q121" s="546"/>
      <c r="R121" s="545"/>
      <c r="S121" s="545"/>
      <c r="T121" s="545"/>
      <c r="U121" s="545"/>
      <c r="V121" s="545"/>
      <c r="W121" s="545"/>
      <c r="X121" s="108"/>
      <c r="Y121" s="670"/>
      <c r="Z121" s="670"/>
      <c r="AA121" s="670"/>
      <c r="AB121" s="670"/>
      <c r="AC121" s="670"/>
      <c r="AD121" s="670"/>
      <c r="AE121" s="670"/>
      <c r="AF121" s="670"/>
      <c r="AG121" s="670"/>
      <c r="AH121" s="670"/>
      <c r="AI121" s="670"/>
      <c r="AJ121" s="670"/>
      <c r="AK121" s="670"/>
      <c r="AL121" s="670"/>
    </row>
    <row r="122" spans="1:43" s="266" customFormat="1" ht="15" customHeight="1" x14ac:dyDescent="0.2">
      <c r="A122" s="1045"/>
      <c r="B122" s="255"/>
      <c r="C122" s="255"/>
      <c r="D122" s="255"/>
      <c r="E122" s="255"/>
      <c r="F122" s="255"/>
      <c r="G122" s="255"/>
      <c r="H122" s="255"/>
      <c r="I122" s="255"/>
      <c r="J122" s="255"/>
      <c r="K122" s="255"/>
      <c r="L122" s="255"/>
      <c r="M122" s="255"/>
      <c r="N122" s="255"/>
      <c r="O122" s="248"/>
      <c r="P122" s="255"/>
      <c r="Q122" s="248"/>
      <c r="R122" s="255"/>
      <c r="S122" s="255"/>
      <c r="T122" s="255"/>
      <c r="U122" s="255"/>
      <c r="V122" s="255"/>
      <c r="W122" s="255"/>
      <c r="X122" s="670"/>
      <c r="Y122" s="670"/>
      <c r="Z122" s="670"/>
      <c r="AA122" s="670"/>
      <c r="AB122" s="670"/>
      <c r="AC122" s="670"/>
      <c r="AD122" s="670"/>
      <c r="AE122" s="670"/>
      <c r="AF122" s="670"/>
      <c r="AG122" s="670"/>
      <c r="AH122" s="670"/>
      <c r="AI122" s="670"/>
      <c r="AJ122" s="670"/>
      <c r="AK122" s="670"/>
      <c r="AL122" s="670"/>
    </row>
    <row r="123" spans="1:43" s="266" customFormat="1" ht="15" customHeight="1" x14ac:dyDescent="0.2">
      <c r="A123" s="1045"/>
      <c r="B123" s="255"/>
      <c r="C123" s="255"/>
      <c r="D123" s="255"/>
      <c r="E123" s="255"/>
      <c r="F123" s="255"/>
      <c r="G123" s="255"/>
      <c r="H123" s="255"/>
      <c r="I123" s="255"/>
      <c r="J123" s="255"/>
      <c r="K123" s="255"/>
      <c r="L123" s="255"/>
      <c r="M123" s="255"/>
      <c r="N123" s="255"/>
      <c r="O123" s="248"/>
      <c r="P123" s="255"/>
      <c r="Q123" s="248"/>
      <c r="R123" s="255"/>
      <c r="S123" s="255"/>
      <c r="T123" s="255"/>
      <c r="U123" s="255"/>
      <c r="V123" s="255"/>
      <c r="W123" s="255"/>
      <c r="X123" s="670"/>
      <c r="Y123" s="670"/>
      <c r="Z123" s="670"/>
      <c r="AA123" s="670"/>
      <c r="AB123" s="670"/>
      <c r="AC123" s="670"/>
      <c r="AD123" s="670"/>
      <c r="AE123" s="670"/>
      <c r="AF123" s="670"/>
      <c r="AG123" s="670"/>
      <c r="AH123" s="670"/>
      <c r="AI123" s="670"/>
      <c r="AJ123" s="670"/>
      <c r="AK123" s="670"/>
      <c r="AL123" s="670"/>
    </row>
    <row r="124" spans="1:43" s="266" customFormat="1" ht="15" customHeight="1" x14ac:dyDescent="0.2">
      <c r="A124" s="1045"/>
      <c r="B124" s="255"/>
      <c r="C124" s="255"/>
      <c r="D124" s="255"/>
      <c r="E124" s="255"/>
      <c r="F124" s="255"/>
      <c r="G124" s="255"/>
      <c r="H124" s="255"/>
      <c r="I124" s="255"/>
      <c r="J124" s="255"/>
      <c r="K124" s="255"/>
      <c r="L124" s="255"/>
      <c r="M124" s="255"/>
      <c r="N124" s="255"/>
      <c r="O124" s="248"/>
      <c r="P124" s="255"/>
      <c r="Q124" s="248"/>
      <c r="R124" s="255"/>
      <c r="S124" s="255"/>
      <c r="T124" s="255"/>
      <c r="U124" s="255"/>
      <c r="V124" s="255"/>
      <c r="W124" s="255"/>
      <c r="X124" s="670"/>
      <c r="Y124" s="670"/>
      <c r="Z124" s="670"/>
      <c r="AA124" s="670"/>
      <c r="AB124" s="670"/>
      <c r="AC124" s="670"/>
      <c r="AD124" s="670"/>
      <c r="AE124" s="670"/>
      <c r="AF124" s="670"/>
      <c r="AG124" s="670"/>
      <c r="AH124" s="670"/>
      <c r="AI124" s="670"/>
      <c r="AJ124" s="670"/>
      <c r="AK124" s="670"/>
      <c r="AL124" s="670"/>
    </row>
    <row r="125" spans="1:43" s="266" customFormat="1" ht="15" customHeight="1" x14ac:dyDescent="0.2">
      <c r="A125" s="1045"/>
      <c r="B125" s="605"/>
      <c r="C125" s="605"/>
      <c r="D125" s="255"/>
      <c r="E125" s="255"/>
      <c r="F125" s="255"/>
      <c r="G125" s="255"/>
      <c r="H125" s="255"/>
      <c r="I125" s="1128" t="str">
        <f>ListAVS!$B$168</f>
        <v>Z powrotem</v>
      </c>
      <c r="J125" s="1128"/>
      <c r="K125" s="255"/>
      <c r="L125" s="255"/>
      <c r="M125" s="255"/>
      <c r="N125" s="255"/>
      <c r="O125" s="248"/>
      <c r="P125" s="255"/>
      <c r="Q125" s="248"/>
      <c r="R125" s="255"/>
      <c r="S125" s="255"/>
      <c r="T125" s="255"/>
      <c r="U125" s="255"/>
      <c r="V125" s="255"/>
      <c r="W125" s="255"/>
      <c r="X125" s="670"/>
      <c r="Y125" s="670"/>
      <c r="Z125" s="670"/>
      <c r="AA125" s="670"/>
      <c r="AB125" s="670"/>
      <c r="AC125" s="670"/>
      <c r="AD125" s="670"/>
      <c r="AE125" s="670"/>
      <c r="AF125" s="670"/>
      <c r="AG125" s="670"/>
      <c r="AH125" s="670"/>
      <c r="AI125" s="670"/>
      <c r="AJ125" s="670"/>
      <c r="AK125" s="670"/>
      <c r="AL125" s="670"/>
      <c r="AQ125" s="255"/>
    </row>
    <row r="126" spans="1:43" s="255" customFormat="1" ht="15" customHeight="1" x14ac:dyDescent="0.2">
      <c r="A126" s="1045"/>
      <c r="O126" s="248"/>
      <c r="Q126" s="248"/>
      <c r="X126" s="670"/>
      <c r="Y126" s="670"/>
      <c r="Z126" s="670"/>
      <c r="AA126" s="670"/>
      <c r="AB126" s="670"/>
      <c r="AC126" s="670"/>
      <c r="AD126" s="670"/>
      <c r="AE126" s="670"/>
      <c r="AF126" s="670"/>
      <c r="AG126" s="670"/>
      <c r="AH126" s="670"/>
      <c r="AI126" s="670"/>
      <c r="AJ126" s="670"/>
      <c r="AK126" s="670"/>
      <c r="AL126" s="670"/>
      <c r="AM126" s="266"/>
      <c r="AN126" s="137"/>
      <c r="AO126" s="137"/>
      <c r="AP126" s="137"/>
      <c r="AQ126" s="37"/>
    </row>
    <row r="127" spans="1:43" s="37" customFormat="1" x14ac:dyDescent="0.2">
      <c r="A127" s="1045"/>
      <c r="O127" s="118"/>
      <c r="Q127" s="118"/>
      <c r="X127" s="108"/>
      <c r="Y127" s="108"/>
      <c r="Z127" s="108"/>
      <c r="AA127" s="108"/>
      <c r="AB127" s="108"/>
      <c r="AC127" s="108"/>
      <c r="AD127" s="108"/>
      <c r="AE127" s="108"/>
      <c r="AF127" s="108"/>
      <c r="AG127" s="108"/>
      <c r="AH127" s="108"/>
      <c r="AI127" s="108"/>
      <c r="AJ127" s="108"/>
      <c r="AK127" s="108"/>
      <c r="AL127" s="108"/>
      <c r="AM127" s="137"/>
      <c r="AN127" s="137"/>
      <c r="AO127" s="137"/>
      <c r="AP127" s="137"/>
    </row>
    <row r="128" spans="1:43" s="37" customFormat="1" x14ac:dyDescent="0.2">
      <c r="A128" s="1045"/>
      <c r="O128" s="118"/>
      <c r="Q128" s="118"/>
      <c r="X128" s="108"/>
      <c r="Y128" s="108"/>
      <c r="Z128" s="108"/>
      <c r="AA128" s="108"/>
      <c r="AB128" s="108"/>
      <c r="AC128" s="108"/>
      <c r="AD128" s="108"/>
      <c r="AE128" s="108"/>
      <c r="AF128" s="108"/>
      <c r="AG128" s="108"/>
      <c r="AH128" s="108"/>
      <c r="AI128" s="108"/>
      <c r="AJ128" s="108"/>
      <c r="AK128" s="108"/>
      <c r="AL128" s="108"/>
      <c r="AM128" s="137"/>
      <c r="AN128" s="137"/>
      <c r="AO128" s="137"/>
      <c r="AP128" s="137"/>
    </row>
    <row r="129" spans="1:43" s="37" customFormat="1" x14ac:dyDescent="0.2">
      <c r="A129" s="1045"/>
      <c r="O129" s="118"/>
      <c r="Q129" s="118"/>
      <c r="X129" s="108"/>
      <c r="Y129" s="108"/>
      <c r="Z129" s="108"/>
      <c r="AA129" s="108"/>
      <c r="AB129" s="108"/>
      <c r="AC129" s="108"/>
      <c r="AD129" s="108"/>
      <c r="AE129" s="108"/>
      <c r="AF129" s="108"/>
      <c r="AG129" s="108"/>
      <c r="AH129" s="108"/>
      <c r="AI129" s="108"/>
      <c r="AJ129" s="108"/>
      <c r="AK129" s="108"/>
      <c r="AL129" s="108"/>
      <c r="AM129" s="137"/>
      <c r="AN129" s="137"/>
      <c r="AO129" s="137"/>
      <c r="AP129" s="137"/>
    </row>
    <row r="130" spans="1:43" s="37" customFormat="1" x14ac:dyDescent="0.2">
      <c r="A130" s="1045"/>
      <c r="O130" s="118"/>
      <c r="Q130" s="118"/>
      <c r="X130" s="108"/>
      <c r="Y130" s="108"/>
      <c r="Z130" s="108"/>
      <c r="AA130" s="108"/>
      <c r="AB130" s="108"/>
      <c r="AC130" s="108"/>
      <c r="AD130" s="108"/>
      <c r="AE130" s="108"/>
      <c r="AF130" s="108"/>
      <c r="AG130" s="108"/>
      <c r="AH130" s="108"/>
      <c r="AI130" s="108"/>
      <c r="AJ130" s="108"/>
      <c r="AK130" s="108"/>
      <c r="AL130" s="108"/>
      <c r="AM130" s="137"/>
      <c r="AN130" s="137"/>
      <c r="AO130" s="137"/>
      <c r="AP130" s="137"/>
    </row>
    <row r="131" spans="1:43" s="37" customFormat="1" x14ac:dyDescent="0.2">
      <c r="A131" s="1045"/>
      <c r="O131" s="118"/>
      <c r="Q131" s="118"/>
      <c r="X131" s="108"/>
      <c r="Y131" s="108"/>
      <c r="Z131" s="108"/>
      <c r="AA131" s="108"/>
      <c r="AB131" s="108"/>
      <c r="AC131" s="108"/>
      <c r="AD131" s="108"/>
      <c r="AE131" s="108"/>
      <c r="AF131" s="108"/>
      <c r="AG131" s="108"/>
      <c r="AH131" s="108"/>
      <c r="AI131" s="108"/>
      <c r="AJ131" s="108"/>
      <c r="AK131" s="108"/>
      <c r="AL131" s="108"/>
      <c r="AM131" s="137"/>
      <c r="AN131" s="137"/>
      <c r="AO131" s="137"/>
      <c r="AP131" s="137"/>
    </row>
    <row r="132" spans="1:43" s="37" customFormat="1" x14ac:dyDescent="0.2">
      <c r="A132" s="1045"/>
      <c r="O132" s="118"/>
      <c r="Q132" s="118"/>
      <c r="X132" s="108"/>
      <c r="Y132" s="108"/>
      <c r="Z132" s="108"/>
      <c r="AA132" s="108"/>
      <c r="AB132" s="108"/>
      <c r="AC132" s="108"/>
      <c r="AD132" s="108"/>
      <c r="AE132" s="108"/>
      <c r="AF132" s="108"/>
      <c r="AG132" s="108"/>
      <c r="AH132" s="108"/>
      <c r="AI132" s="108"/>
      <c r="AJ132" s="108"/>
      <c r="AK132" s="108"/>
      <c r="AL132" s="108"/>
      <c r="AM132" s="137"/>
      <c r="AN132" s="137"/>
      <c r="AO132" s="137"/>
      <c r="AP132" s="137"/>
    </row>
    <row r="133" spans="1:43" s="37" customFormat="1" x14ac:dyDescent="0.2">
      <c r="A133" s="1045"/>
      <c r="O133" s="118"/>
      <c r="Q133" s="118"/>
      <c r="X133" s="108"/>
      <c r="Y133" s="108"/>
      <c r="Z133" s="108"/>
      <c r="AA133" s="108"/>
      <c r="AB133" s="108"/>
      <c r="AC133" s="108"/>
      <c r="AD133" s="108"/>
      <c r="AE133" s="108"/>
      <c r="AF133" s="108"/>
      <c r="AG133" s="108"/>
      <c r="AH133" s="108"/>
      <c r="AI133" s="108"/>
      <c r="AJ133" s="108"/>
      <c r="AK133" s="108"/>
      <c r="AL133" s="108"/>
      <c r="AM133" s="137"/>
      <c r="AN133" s="137"/>
      <c r="AO133" s="137"/>
      <c r="AP133" s="137"/>
    </row>
    <row r="134" spans="1:43" s="37" customFormat="1" x14ac:dyDescent="0.2">
      <c r="A134" s="1045"/>
      <c r="O134" s="118"/>
      <c r="Q134" s="118"/>
      <c r="X134" s="108"/>
      <c r="Y134" s="108"/>
      <c r="Z134" s="108"/>
      <c r="AA134" s="108"/>
      <c r="AB134" s="108"/>
      <c r="AC134" s="108"/>
      <c r="AD134" s="108"/>
      <c r="AE134" s="108"/>
      <c r="AF134" s="108"/>
      <c r="AG134" s="108"/>
      <c r="AH134" s="108"/>
      <c r="AI134" s="108"/>
      <c r="AJ134" s="108"/>
      <c r="AK134" s="108"/>
      <c r="AL134" s="108"/>
      <c r="AM134" s="137"/>
      <c r="AN134" s="137"/>
      <c r="AO134" s="137"/>
      <c r="AP134" s="137"/>
    </row>
    <row r="135" spans="1:43" s="37" customFormat="1" x14ac:dyDescent="0.2">
      <c r="A135" s="1045"/>
      <c r="O135" s="118"/>
      <c r="Q135" s="118"/>
      <c r="X135" s="108"/>
      <c r="Y135" s="108"/>
      <c r="Z135" s="108"/>
      <c r="AA135" s="108"/>
      <c r="AB135" s="108"/>
      <c r="AC135" s="108"/>
      <c r="AD135" s="108"/>
      <c r="AE135" s="108"/>
      <c r="AF135" s="108"/>
      <c r="AG135" s="108"/>
      <c r="AH135" s="108"/>
      <c r="AI135" s="108"/>
      <c r="AJ135" s="108"/>
      <c r="AK135" s="108"/>
      <c r="AL135" s="108"/>
      <c r="AM135" s="137"/>
      <c r="AN135" s="137"/>
      <c r="AO135" s="137"/>
      <c r="AP135" s="137"/>
    </row>
    <row r="136" spans="1:43" s="37" customFormat="1" x14ac:dyDescent="0.2">
      <c r="A136" s="1045"/>
      <c r="O136" s="118"/>
      <c r="Q136" s="118"/>
      <c r="X136" s="108"/>
      <c r="Y136" s="108"/>
      <c r="Z136" s="108"/>
      <c r="AA136" s="108"/>
      <c r="AB136" s="108"/>
      <c r="AC136" s="108"/>
      <c r="AD136" s="108"/>
      <c r="AE136" s="108"/>
      <c r="AF136" s="108"/>
      <c r="AG136" s="108"/>
      <c r="AH136" s="108"/>
      <c r="AI136" s="108"/>
      <c r="AJ136" s="108"/>
      <c r="AK136" s="108"/>
      <c r="AL136" s="108"/>
      <c r="AM136" s="137"/>
      <c r="AN136" s="137"/>
      <c r="AO136" s="137"/>
      <c r="AP136" s="137"/>
    </row>
    <row r="137" spans="1:43" s="37" customFormat="1" x14ac:dyDescent="0.2">
      <c r="A137" s="1045"/>
      <c r="O137" s="118"/>
      <c r="Q137" s="118"/>
      <c r="X137" s="108"/>
      <c r="Y137" s="108"/>
      <c r="Z137" s="108"/>
      <c r="AA137" s="108"/>
      <c r="AB137" s="108"/>
      <c r="AC137" s="108"/>
      <c r="AD137" s="108"/>
      <c r="AE137" s="108"/>
      <c r="AF137" s="108"/>
      <c r="AG137" s="108"/>
      <c r="AH137" s="108"/>
      <c r="AI137" s="108"/>
      <c r="AJ137" s="108"/>
      <c r="AK137" s="108"/>
      <c r="AL137" s="108"/>
      <c r="AM137" s="137"/>
      <c r="AN137" s="137"/>
      <c r="AO137" s="137"/>
      <c r="AP137" s="137"/>
    </row>
    <row r="138" spans="1:43" s="37" customFormat="1" x14ac:dyDescent="0.2">
      <c r="A138" s="1045"/>
      <c r="O138" s="118"/>
      <c r="Q138" s="118"/>
      <c r="X138" s="108"/>
      <c r="Y138" s="108"/>
      <c r="Z138" s="108"/>
      <c r="AA138" s="108"/>
      <c r="AB138" s="108"/>
      <c r="AC138" s="108"/>
      <c r="AD138" s="108"/>
      <c r="AE138" s="108"/>
      <c r="AF138" s="108"/>
      <c r="AG138" s="108"/>
      <c r="AH138" s="108"/>
      <c r="AI138" s="108"/>
      <c r="AJ138" s="108"/>
      <c r="AK138" s="108"/>
      <c r="AL138" s="108"/>
      <c r="AM138" s="137"/>
      <c r="AN138" s="137"/>
      <c r="AO138" s="137"/>
      <c r="AP138" s="137"/>
      <c r="AQ138" s="137"/>
    </row>
    <row r="139" spans="1:43" ht="18" x14ac:dyDescent="0.2">
      <c r="A139" s="1045"/>
      <c r="B139" s="308" t="s">
        <v>11</v>
      </c>
      <c r="C139" s="321"/>
      <c r="D139" s="308"/>
      <c r="E139" s="308"/>
      <c r="F139" s="308"/>
      <c r="G139" s="308"/>
      <c r="H139" s="308"/>
      <c r="I139" s="308"/>
      <c r="J139" s="308"/>
      <c r="K139" s="308"/>
      <c r="L139" s="308"/>
    </row>
    <row r="140" spans="1:43" x14ac:dyDescent="0.2">
      <c r="A140" s="1045"/>
    </row>
    <row r="141" spans="1:43" ht="12.75" x14ac:dyDescent="0.2">
      <c r="A141" s="1045"/>
      <c r="B141" s="255" t="str">
        <f>ListAVS!$B$303</f>
        <v>Odpowiedni siłownik będzie określony za pomocą współczynnika mocy</v>
      </c>
      <c r="C141" s="255"/>
      <c r="D141" s="255"/>
      <c r="E141" s="255"/>
      <c r="F141" s="255"/>
      <c r="G141" s="255"/>
      <c r="H141" s="255"/>
      <c r="I141" s="255"/>
      <c r="J141" s="255"/>
      <c r="K141" s="255"/>
      <c r="L141" s="255"/>
    </row>
    <row r="142" spans="1:43" ht="12.75" x14ac:dyDescent="0.2">
      <c r="A142" s="1045"/>
      <c r="B142" s="255" t="str">
        <f>ListAVS!$B$304</f>
        <v>Współczynnik mocy zależy od wagi dolnego i górnego frontu oraz od wysokości korpusu</v>
      </c>
      <c r="C142" s="255"/>
      <c r="D142" s="255"/>
      <c r="E142" s="255"/>
      <c r="F142" s="255"/>
      <c r="G142" s="255"/>
      <c r="H142" s="255"/>
      <c r="I142" s="255"/>
      <c r="J142" s="255"/>
      <c r="K142" s="255"/>
      <c r="L142" s="255"/>
    </row>
    <row r="143" spans="1:43" ht="12.75" x14ac:dyDescent="0.2">
      <c r="A143" s="1045"/>
      <c r="B143" s="255"/>
      <c r="C143" s="695"/>
      <c r="D143" s="695"/>
      <c r="E143" s="695"/>
      <c r="F143" s="695"/>
      <c r="G143" s="695"/>
      <c r="H143" s="695"/>
      <c r="I143" s="695"/>
      <c r="J143" s="695"/>
      <c r="K143" s="695"/>
      <c r="L143" s="695"/>
    </row>
    <row r="144" spans="1:43" ht="15" customHeight="1" x14ac:dyDescent="0.2">
      <c r="A144" s="1045"/>
      <c r="B144" s="696"/>
      <c r="C144" s="696"/>
      <c r="D144" s="696"/>
      <c r="E144" s="696"/>
      <c r="F144" s="696"/>
      <c r="G144" s="696"/>
      <c r="H144" s="696"/>
      <c r="I144" s="696"/>
      <c r="J144" s="696"/>
      <c r="K144" s="696"/>
      <c r="L144" s="696"/>
    </row>
    <row r="145" spans="1:12" ht="18" customHeight="1" x14ac:dyDescent="0.2">
      <c r="A145" s="1045"/>
      <c r="B145" s="697"/>
      <c r="C145" s="697"/>
      <c r="D145" s="698" t="str">
        <f>ListAVS!$B$86&amp;" = "</f>
        <v xml:space="preserve">Współczynnik mocy = </v>
      </c>
      <c r="E145" s="1068" t="str">
        <f>ListAVS!$B$320&amp;" [kg]"</f>
        <v>wysokość korpusu (KH) [mm] x waga obu frontów wraz z uchwytem [kg]</v>
      </c>
      <c r="F145" s="1068"/>
      <c r="G145" s="1068"/>
      <c r="H145" s="1068"/>
      <c r="I145" s="1068"/>
      <c r="J145" s="1068"/>
      <c r="K145" s="1068"/>
      <c r="L145" s="1068"/>
    </row>
    <row r="146" spans="1:12" ht="12.75" x14ac:dyDescent="0.2">
      <c r="A146" s="1045"/>
      <c r="B146" s="255"/>
      <c r="C146" s="255"/>
      <c r="D146" s="255"/>
      <c r="E146" s="255"/>
      <c r="F146" s="255"/>
      <c r="G146" s="255"/>
      <c r="H146" s="255"/>
      <c r="I146" s="255"/>
      <c r="J146" s="255"/>
      <c r="K146" s="255"/>
      <c r="L146" s="255"/>
    </row>
    <row r="147" spans="1:12" ht="12.75" x14ac:dyDescent="0.2">
      <c r="A147" s="1045"/>
      <c r="B147" s="255" t="str">
        <f>ListAVS!$B$308</f>
        <v>Jeżeli współczynnik mocy jest większy niż 19300, doda się trzeci siłownik.</v>
      </c>
      <c r="C147" s="255"/>
      <c r="D147" s="255"/>
      <c r="E147" s="255"/>
      <c r="F147" s="255"/>
      <c r="G147" s="255"/>
      <c r="H147" s="255"/>
      <c r="I147" s="255"/>
      <c r="J147" s="255"/>
      <c r="K147" s="255"/>
      <c r="L147" s="255"/>
    </row>
    <row r="148" spans="1:12" ht="12.75" x14ac:dyDescent="0.2">
      <c r="A148" s="1045"/>
      <c r="B148" s="255" t="str">
        <f>ListAVS!$B$310</f>
        <v>W przypadku wybrania SERVO-DRIVE dodawana jest także druga jednostka napędu</v>
      </c>
      <c r="C148" s="255"/>
      <c r="D148" s="255"/>
      <c r="E148" s="255"/>
      <c r="F148" s="255"/>
      <c r="G148" s="255"/>
      <c r="H148" s="255"/>
      <c r="I148" s="255"/>
      <c r="J148" s="255"/>
      <c r="K148" s="255"/>
      <c r="L148" s="255"/>
    </row>
    <row r="149" spans="1:12" ht="12.75" x14ac:dyDescent="0.2">
      <c r="A149" s="1045"/>
      <c r="B149" s="273" t="str">
        <f>ListAVS!$B$182</f>
        <v>Dodatkowy trzeci siłownik można zastosować jedynie z pełnym frontem dolnym!</v>
      </c>
      <c r="C149" s="255"/>
      <c r="D149" s="255"/>
      <c r="E149" s="255"/>
      <c r="F149" s="255"/>
      <c r="G149" s="255"/>
      <c r="H149" s="255"/>
      <c r="I149" s="255"/>
      <c r="J149" s="255"/>
      <c r="K149" s="255"/>
      <c r="L149" s="255"/>
    </row>
    <row r="150" spans="1:12" ht="12.75" x14ac:dyDescent="0.2">
      <c r="A150" s="1045"/>
      <c r="B150" s="255"/>
      <c r="C150" s="255"/>
      <c r="D150" s="255"/>
      <c r="E150" s="255"/>
      <c r="F150" s="255"/>
      <c r="G150" s="255"/>
      <c r="H150" s="255"/>
      <c r="I150" s="255"/>
      <c r="J150" s="255"/>
      <c r="K150" s="255"/>
      <c r="L150" s="255"/>
    </row>
    <row r="151" spans="1:12" ht="12.75" x14ac:dyDescent="0.2">
      <c r="A151" s="1045"/>
      <c r="B151" s="255" t="str">
        <f>ListAVS!$B$312</f>
        <v>Jeśli znasz wagę frontu, możesz ją wprowadzić, w przeciwnym razie skorzystaj z „Obliczenia wagi”.</v>
      </c>
      <c r="C151" s="255"/>
      <c r="D151" s="255"/>
      <c r="E151" s="255"/>
      <c r="F151" s="255"/>
      <c r="G151" s="255"/>
      <c r="H151" s="255"/>
      <c r="I151" s="255"/>
      <c r="J151" s="255"/>
      <c r="K151" s="255"/>
      <c r="L151" s="255"/>
    </row>
    <row r="152" spans="1:12" ht="12.75" x14ac:dyDescent="0.2">
      <c r="A152" s="1045"/>
      <c r="B152" s="255" t="str">
        <f>ListAVS!$B$313</f>
        <v>W tabeli wprowadzona wartość ma pierwszeństwo aby skorzystać z wagi obliczeniowej, należy usunąć wprowadzoną wartość.</v>
      </c>
      <c r="C152" s="255"/>
      <c r="D152" s="255"/>
      <c r="E152" s="255"/>
      <c r="F152" s="255"/>
      <c r="G152" s="255"/>
      <c r="H152" s="255"/>
      <c r="I152" s="255"/>
      <c r="J152" s="255"/>
      <c r="K152" s="255"/>
      <c r="L152" s="255"/>
    </row>
    <row r="153" spans="1:12" ht="12.75" x14ac:dyDescent="0.2">
      <c r="A153" s="1045"/>
      <c r="B153" s="255"/>
      <c r="C153" s="255"/>
      <c r="D153" s="255"/>
      <c r="E153" s="255"/>
      <c r="F153" s="255"/>
      <c r="G153" s="255"/>
      <c r="H153" s="255"/>
      <c r="I153" s="255"/>
      <c r="J153" s="255"/>
      <c r="K153" s="255"/>
      <c r="L153" s="255"/>
    </row>
    <row r="154" spans="1:12" ht="12.75" x14ac:dyDescent="0.2">
      <c r="A154" s="1045"/>
      <c r="B154" s="255" t="str">
        <f>ListAVS!$B$323&amp;". "&amp;ListAVS!$B$324&amp;"."</f>
        <v>Długość podnośnika teleskopowego zależy od wysokości korpusu KH. W przypadku frontów asymetrycznych wykorzystuje się wysokość teoretyczną TKH.</v>
      </c>
      <c r="C154" s="255"/>
      <c r="D154" s="255"/>
      <c r="E154" s="255"/>
      <c r="F154" s="255"/>
      <c r="G154" s="255"/>
      <c r="H154" s="255"/>
      <c r="I154" s="255"/>
      <c r="J154" s="255"/>
      <c r="K154" s="255"/>
      <c r="L154" s="255"/>
    </row>
    <row r="155" spans="1:12" ht="12.75" x14ac:dyDescent="0.2">
      <c r="A155" s="1045"/>
      <c r="B155" s="255"/>
      <c r="C155" s="255"/>
      <c r="D155" s="255"/>
      <c r="E155" s="255"/>
      <c r="F155" s="255"/>
      <c r="G155" s="255"/>
      <c r="H155" s="255"/>
      <c r="I155" s="255"/>
      <c r="J155" s="255"/>
      <c r="K155" s="255"/>
      <c r="L155" s="255"/>
    </row>
    <row r="156" spans="1:12" ht="15" customHeight="1" x14ac:dyDescent="0.2">
      <c r="A156" s="1045"/>
      <c r="B156" s="699" t="str">
        <f>" "&amp;ListAVS!$B$163&amp;":"</f>
        <v xml:space="preserve"> Fronty asymetryczne:</v>
      </c>
      <c r="C156" s="700"/>
      <c r="D156" s="700"/>
      <c r="E156" s="700"/>
      <c r="F156" s="700"/>
      <c r="G156" s="700"/>
      <c r="H156" s="700"/>
      <c r="I156" s="700"/>
      <c r="J156" s="700"/>
      <c r="K156" s="700"/>
      <c r="L156" s="700"/>
    </row>
    <row r="157" spans="1:12" ht="18" customHeight="1" x14ac:dyDescent="0.2">
      <c r="A157" s="1045"/>
      <c r="B157" s="701" t="str">
        <f>" "&amp;ListAVS!$B$321</f>
        <v xml:space="preserve"> Teoretyczna wysokość korpusu (TKH) = wysokość frontu górnego (FHo) x 2 + szczeliny</v>
      </c>
      <c r="C157" s="700"/>
      <c r="D157" s="700"/>
      <c r="E157" s="700"/>
      <c r="F157" s="700"/>
      <c r="G157" s="700"/>
      <c r="H157" s="700"/>
      <c r="I157" s="700"/>
      <c r="J157" s="700"/>
      <c r="K157" s="700"/>
      <c r="L157" s="700"/>
    </row>
    <row r="158" spans="1:12" ht="12.75" x14ac:dyDescent="0.2">
      <c r="A158" s="1045"/>
      <c r="B158" s="255"/>
      <c r="C158" s="255"/>
      <c r="D158" s="255"/>
      <c r="E158" s="255"/>
      <c r="F158" s="255"/>
      <c r="G158" s="255"/>
      <c r="H158" s="255"/>
      <c r="I158" s="255"/>
      <c r="J158" s="255"/>
      <c r="K158" s="255"/>
      <c r="L158" s="255"/>
    </row>
    <row r="159" spans="1:12" ht="12.75" x14ac:dyDescent="0.2">
      <c r="A159" s="1045"/>
      <c r="B159" s="255" t="str">
        <f>ListAVS!$B$316</f>
        <v>W przypadku frontów asymetrycznych, większy front musi być na górze!</v>
      </c>
      <c r="C159" s="255"/>
      <c r="D159" s="255"/>
      <c r="E159" s="255"/>
      <c r="F159" s="255"/>
      <c r="G159" s="255"/>
      <c r="H159" s="255"/>
      <c r="I159" s="255"/>
      <c r="J159" s="255"/>
      <c r="K159" s="255"/>
      <c r="L159" s="255"/>
    </row>
    <row r="160" spans="1:12" ht="12.75" x14ac:dyDescent="0.2">
      <c r="A160" s="1045"/>
      <c r="B160" s="255"/>
      <c r="C160" s="255"/>
      <c r="D160" s="255"/>
      <c r="E160" s="255"/>
      <c r="F160" s="255"/>
      <c r="G160" s="255"/>
      <c r="H160" s="255"/>
      <c r="I160" s="255"/>
      <c r="J160" s="255"/>
      <c r="K160" s="255"/>
      <c r="L160" s="255"/>
    </row>
    <row r="161" spans="1:12" ht="12.75" x14ac:dyDescent="0.2">
      <c r="A161" s="1045"/>
      <c r="B161" s="255" t="str">
        <f>ListAVS!$B$326</f>
        <v>Jeżeli podasz wartość TKH, będzie ona wykorzystana do określenia długości podnośnika teleskopowego</v>
      </c>
      <c r="C161" s="255"/>
      <c r="D161" s="255"/>
      <c r="E161" s="255"/>
      <c r="F161" s="255"/>
      <c r="G161" s="255"/>
      <c r="H161" s="255"/>
      <c r="I161" s="255"/>
      <c r="J161" s="255"/>
      <c r="K161" s="255"/>
      <c r="L161" s="255"/>
    </row>
    <row r="162" spans="1:12" ht="12.75" x14ac:dyDescent="0.2">
      <c r="A162" s="1045"/>
      <c r="B162" s="255" t="str">
        <f>ListAVS!$B$327</f>
        <v>Jeśli nie masz asymetrycznych frontów, zostaw pole puste</v>
      </c>
      <c r="C162" s="255"/>
      <c r="D162" s="255"/>
      <c r="E162" s="255"/>
      <c r="F162" s="255"/>
      <c r="G162" s="255"/>
      <c r="H162" s="255"/>
      <c r="I162" s="255"/>
      <c r="J162" s="255"/>
      <c r="K162" s="255"/>
      <c r="L162" s="255"/>
    </row>
    <row r="163" spans="1:12" ht="12.75" x14ac:dyDescent="0.2">
      <c r="A163" s="1045"/>
      <c r="B163" s="255" t="str">
        <f>ListAVS!$B$328&amp;" ' "&amp;ListAVS!$B$195&amp;"' "</f>
        <v xml:space="preserve">Do obliczenia TKH użyj ' Obliczanie frontów asymetrycznych' </v>
      </c>
      <c r="C163" s="255"/>
      <c r="D163" s="255"/>
      <c r="E163" s="255"/>
      <c r="F163" s="255"/>
      <c r="G163" s="255"/>
      <c r="H163" s="255"/>
      <c r="I163" s="255"/>
      <c r="J163" s="255"/>
      <c r="K163" s="255"/>
      <c r="L163" s="255"/>
    </row>
    <row r="164" spans="1:12" ht="12.75" x14ac:dyDescent="0.2">
      <c r="A164" s="1045"/>
      <c r="B164" s="255"/>
      <c r="C164" s="255"/>
      <c r="D164" s="255"/>
      <c r="E164" s="255"/>
      <c r="F164" s="255"/>
      <c r="G164" s="255"/>
      <c r="H164" s="255"/>
      <c r="I164" s="255"/>
      <c r="J164" s="255"/>
      <c r="K164" s="255"/>
      <c r="L164" s="255"/>
    </row>
    <row r="165" spans="1:12" ht="12.75" x14ac:dyDescent="0.2">
      <c r="A165" s="1045"/>
      <c r="B165" s="255"/>
      <c r="C165" s="255"/>
      <c r="D165" s="255"/>
      <c r="E165" s="255"/>
      <c r="F165" s="255"/>
      <c r="G165" s="255"/>
      <c r="H165" s="255"/>
      <c r="I165" s="255"/>
      <c r="J165" s="255"/>
      <c r="K165" s="255"/>
      <c r="L165" s="255"/>
    </row>
    <row r="166" spans="1:12" ht="12.75" x14ac:dyDescent="0.2">
      <c r="A166" s="1045"/>
      <c r="B166" s="255" t="str">
        <f>ListAVS!$B$306</f>
        <v>Aby zmienić kolor zaślepek przejdź do „Wprowadzenie do planowania”</v>
      </c>
      <c r="C166" s="255"/>
      <c r="D166" s="255"/>
      <c r="E166" s="255"/>
      <c r="F166" s="255"/>
      <c r="G166" s="255"/>
      <c r="H166" s="255"/>
      <c r="I166" s="255"/>
      <c r="J166" s="255"/>
      <c r="K166" s="255"/>
      <c r="L166" s="255"/>
    </row>
    <row r="167" spans="1:12" ht="12.75" x14ac:dyDescent="0.2">
      <c r="A167" s="1045"/>
      <c r="B167" s="255"/>
      <c r="C167" s="255"/>
      <c r="D167" s="255"/>
      <c r="E167" s="255"/>
      <c r="F167" s="255"/>
      <c r="G167" s="255"/>
      <c r="H167" s="255"/>
      <c r="I167" s="255"/>
      <c r="J167" s="255"/>
      <c r="K167" s="255"/>
      <c r="L167" s="255"/>
    </row>
    <row r="168" spans="1:12" ht="12.75" x14ac:dyDescent="0.2">
      <c r="A168" s="1045"/>
      <c r="B168" s="255" t="str">
        <f>ListAVS!$B$411</f>
        <v>Zwróć uwagę na wybór ramek aluminiowych</v>
      </c>
      <c r="C168" s="255"/>
      <c r="D168" s="255"/>
      <c r="E168" s="255"/>
      <c r="F168" s="255"/>
      <c r="G168" s="255"/>
      <c r="H168" s="255"/>
      <c r="I168" s="255"/>
      <c r="J168" s="255"/>
      <c r="K168" s="255"/>
      <c r="L168" s="255"/>
    </row>
    <row r="169" spans="1:12" ht="12.75" x14ac:dyDescent="0.2">
      <c r="A169" s="1045"/>
      <c r="B169" s="255" t="str">
        <f>ListAVS!$B$412</f>
        <v>Wybierz, rodzaj, który lepiej pasuje do kształtu zastosowanej ramki aluminiowej.</v>
      </c>
      <c r="C169" s="255"/>
      <c r="D169" s="255"/>
      <c r="E169" s="255"/>
      <c r="F169" s="255"/>
      <c r="G169" s="255"/>
      <c r="H169" s="255"/>
      <c r="I169" s="255"/>
      <c r="J169" s="255"/>
      <c r="K169" s="255"/>
      <c r="L169" s="255"/>
    </row>
    <row r="170" spans="1:12" ht="12.75" x14ac:dyDescent="0.2">
      <c r="A170" s="1045"/>
      <c r="B170" s="255" t="str">
        <f>ListAVS!$B$413</f>
        <v>Sposób mocowania szkła w ramkę znacząco wpływa na powierzchnię szkła, a co za tym idzie na jego wagę!</v>
      </c>
      <c r="C170" s="255"/>
      <c r="D170" s="255"/>
      <c r="E170" s="255"/>
      <c r="F170" s="255"/>
      <c r="G170" s="255"/>
      <c r="H170" s="255"/>
      <c r="I170" s="255"/>
      <c r="J170" s="255"/>
      <c r="K170" s="255"/>
      <c r="L170" s="266"/>
    </row>
    <row r="171" spans="1:12" ht="12.75" x14ac:dyDescent="0.2">
      <c r="A171" s="1045"/>
      <c r="B171" s="255"/>
      <c r="C171" s="255"/>
      <c r="D171" s="255"/>
      <c r="E171" s="255"/>
      <c r="F171" s="255"/>
      <c r="G171" s="255"/>
      <c r="H171" s="255"/>
      <c r="I171" s="255"/>
      <c r="J171" s="255"/>
      <c r="K171" s="255"/>
      <c r="L171" s="255"/>
    </row>
    <row r="172" spans="1:12" ht="12.75" x14ac:dyDescent="0.2">
      <c r="A172" s="1045"/>
      <c r="B172" s="255"/>
      <c r="C172" s="796" t="str">
        <f>"  "&amp;ListAVS!$B$424&amp;"  "</f>
        <v xml:space="preserve">  z wpuszczanym szkłem  </v>
      </c>
      <c r="D172" s="255"/>
      <c r="E172" s="255"/>
      <c r="F172" s="255"/>
      <c r="G172" s="255"/>
      <c r="H172" s="255"/>
      <c r="I172" s="255"/>
      <c r="J172" s="255"/>
      <c r="K172" s="255"/>
      <c r="L172" s="255"/>
    </row>
    <row r="173" spans="1:12" ht="12.75" x14ac:dyDescent="0.2">
      <c r="A173" s="1045"/>
      <c r="B173" s="255"/>
      <c r="C173" s="266"/>
      <c r="D173" s="255"/>
      <c r="E173" s="255"/>
      <c r="F173" s="255"/>
      <c r="G173" s="255"/>
      <c r="H173" s="255"/>
      <c r="I173" s="255"/>
      <c r="J173" s="255"/>
      <c r="K173" s="255"/>
      <c r="L173" s="255"/>
    </row>
    <row r="174" spans="1:12" ht="12.75" x14ac:dyDescent="0.2">
      <c r="A174" s="1045"/>
      <c r="B174" s="255"/>
      <c r="C174" s="796" t="str">
        <f>"  "&amp;ListAVS!$B$425&amp;"  "</f>
        <v xml:space="preserve">  ze szkłem nakładanym lub przyklejanym  </v>
      </c>
      <c r="D174" s="255"/>
      <c r="E174" s="255"/>
      <c r="F174" s="255"/>
      <c r="G174" s="255"/>
      <c r="H174" s="255"/>
      <c r="I174" s="255"/>
      <c r="J174" s="255"/>
      <c r="K174" s="255"/>
      <c r="L174" s="255"/>
    </row>
    <row r="175" spans="1:12" ht="12.75" x14ac:dyDescent="0.2">
      <c r="A175" s="1045"/>
      <c r="B175" s="255"/>
      <c r="C175" s="255"/>
      <c r="D175" s="255"/>
      <c r="E175" s="255"/>
      <c r="F175" s="255"/>
      <c r="G175" s="255"/>
      <c r="H175" s="255"/>
      <c r="I175" s="255"/>
      <c r="J175" s="255"/>
      <c r="K175" s="255"/>
      <c r="L175" s="255"/>
    </row>
    <row r="176" spans="1:12" ht="12.75" x14ac:dyDescent="0.2">
      <c r="A176" s="1045"/>
      <c r="B176" s="255"/>
      <c r="C176" s="255"/>
      <c r="D176" s="255"/>
      <c r="E176" s="255"/>
      <c r="F176" s="255"/>
      <c r="G176" s="255"/>
      <c r="H176" s="255"/>
      <c r="I176" s="255"/>
      <c r="J176" s="255"/>
      <c r="K176" s="255"/>
      <c r="L176" s="702" t="str">
        <f>ListAVS!$B$168</f>
        <v>Z powrotem</v>
      </c>
    </row>
    <row r="177" spans="1:12" ht="12.75" x14ac:dyDescent="0.2">
      <c r="A177" s="1045"/>
      <c r="B177" s="255"/>
      <c r="C177" s="255"/>
      <c r="D177" s="255"/>
      <c r="E177" s="255"/>
      <c r="F177" s="255"/>
      <c r="G177" s="255"/>
      <c r="H177" s="255"/>
      <c r="I177" s="255"/>
      <c r="J177" s="255"/>
      <c r="K177" s="255"/>
      <c r="L177" s="255"/>
    </row>
    <row r="178" spans="1:12" x14ac:dyDescent="0.2">
      <c r="A178" s="1045"/>
    </row>
    <row r="179" spans="1:12" x14ac:dyDescent="0.2">
      <c r="A179" s="1045"/>
    </row>
  </sheetData>
  <sheetProtection algorithmName="SHA-512" hashValue="raiT2URjHG8iCin4UiC7FakTueY2kHMUSa/n3VKs9fAA9Li7yqXqzqXBwofmccHbfiqu6fgVCfKMx6S01jfvQw==" saltValue="NGoZUx6fD/I73vaklf/g7w==" spinCount="100000" sheet="1" objects="1" scenarios="1"/>
  <mergeCells count="81">
    <mergeCell ref="B115:H115"/>
    <mergeCell ref="B114:H114"/>
    <mergeCell ref="D25:G25"/>
    <mergeCell ref="D26:G26"/>
    <mergeCell ref="P73:T73"/>
    <mergeCell ref="I104:J104"/>
    <mergeCell ref="N77:S77"/>
    <mergeCell ref="N78:S78"/>
    <mergeCell ref="B104:H104"/>
    <mergeCell ref="I115:J115"/>
    <mergeCell ref="G110:J110"/>
    <mergeCell ref="B111:F111"/>
    <mergeCell ref="B105:H105"/>
    <mergeCell ref="B109:J109"/>
    <mergeCell ref="B107:H107"/>
    <mergeCell ref="I107:J107"/>
    <mergeCell ref="I125:J125"/>
    <mergeCell ref="A139:A179"/>
    <mergeCell ref="E145:L145"/>
    <mergeCell ref="B116:H116"/>
    <mergeCell ref="I116:J116"/>
    <mergeCell ref="B117:H117"/>
    <mergeCell ref="I117:J117"/>
    <mergeCell ref="B118:H118"/>
    <mergeCell ref="I118:J118"/>
    <mergeCell ref="A99:A138"/>
    <mergeCell ref="B102:J102"/>
    <mergeCell ref="B103:H103"/>
    <mergeCell ref="I103:J103"/>
    <mergeCell ref="I105:J105"/>
    <mergeCell ref="B106:H106"/>
    <mergeCell ref="I106:J106"/>
    <mergeCell ref="AN12:AQ13"/>
    <mergeCell ref="AN14:AQ15"/>
    <mergeCell ref="N88:S88"/>
    <mergeCell ref="N89:S89"/>
    <mergeCell ref="N90:S90"/>
    <mergeCell ref="N79:S79"/>
    <mergeCell ref="N80:S80"/>
    <mergeCell ref="N81:S81"/>
    <mergeCell ref="R85:T85"/>
    <mergeCell ref="N87:S87"/>
    <mergeCell ref="N86:S86"/>
    <mergeCell ref="B112:F112"/>
    <mergeCell ref="I114:J114"/>
    <mergeCell ref="B110:F110"/>
    <mergeCell ref="N76:Q76"/>
    <mergeCell ref="R76:T76"/>
    <mergeCell ref="N103:N105"/>
    <mergeCell ref="O103:O105"/>
    <mergeCell ref="AN10:AO10"/>
    <mergeCell ref="T31:U31"/>
    <mergeCell ref="B16:G16"/>
    <mergeCell ref="B17:G17"/>
    <mergeCell ref="T20:U20"/>
    <mergeCell ref="B21:G21"/>
    <mergeCell ref="B22:D22"/>
    <mergeCell ref="B20:C20"/>
    <mergeCell ref="F20:H20"/>
    <mergeCell ref="B23:G23"/>
    <mergeCell ref="B27:G27"/>
    <mergeCell ref="B28:G28"/>
    <mergeCell ref="B31:J33"/>
    <mergeCell ref="B24:C26"/>
    <mergeCell ref="D24:G24"/>
    <mergeCell ref="B10:G10"/>
    <mergeCell ref="B11:D11"/>
    <mergeCell ref="B12:G12"/>
    <mergeCell ref="B13:C15"/>
    <mergeCell ref="D13:G13"/>
    <mergeCell ref="D14:G14"/>
    <mergeCell ref="D15:G15"/>
    <mergeCell ref="BD1:BL1"/>
    <mergeCell ref="B2:C2"/>
    <mergeCell ref="B7:C7"/>
    <mergeCell ref="G7:H7"/>
    <mergeCell ref="T9:U9"/>
    <mergeCell ref="B9:C9"/>
    <mergeCell ref="F9:H9"/>
    <mergeCell ref="AN8:AO8"/>
    <mergeCell ref="AN9:AO9"/>
  </mergeCells>
  <conditionalFormatting sqref="E9">
    <cfRule type="expression" dxfId="280" priority="18">
      <formula>$M$17&gt;0</formula>
    </cfRule>
    <cfRule type="expression" dxfId="279" priority="19">
      <formula>$M$17&gt;0</formula>
    </cfRule>
  </conditionalFormatting>
  <conditionalFormatting sqref="E20">
    <cfRule type="expression" dxfId="278" priority="17">
      <formula>$M$28&gt;0</formula>
    </cfRule>
  </conditionalFormatting>
  <conditionalFormatting sqref="I15">
    <cfRule type="expression" dxfId="277" priority="11">
      <formula>$M$17=0</formula>
    </cfRule>
    <cfRule type="containsText" dxfId="276" priority="12" operator="containsText" text="Doplňte">
      <formula>NOT(ISERROR(SEARCH("Doplňte",I15)))</formula>
    </cfRule>
  </conditionalFormatting>
  <conditionalFormatting sqref="I26">
    <cfRule type="containsText" dxfId="275" priority="10" operator="containsText" text="Doplňte">
      <formula>NOT(ISERROR(SEARCH("Doplňte",I26)))</formula>
    </cfRule>
  </conditionalFormatting>
  <conditionalFormatting sqref="I26">
    <cfRule type="expression" dxfId="274" priority="9">
      <formula>$M$28=0</formula>
    </cfRule>
  </conditionalFormatting>
  <conditionalFormatting sqref="B19">
    <cfRule type="expression" dxfId="273" priority="7">
      <formula>$M$17=0</formula>
    </cfRule>
    <cfRule type="containsText" dxfId="272" priority="8" operator="containsText" text="Doplňte">
      <formula>NOT(ISERROR(SEARCH("Doplňte",B19)))</formula>
    </cfRule>
  </conditionalFormatting>
  <conditionalFormatting sqref="B30">
    <cfRule type="containsText" dxfId="271" priority="6" operator="containsText" text="Doplňte">
      <formula>NOT(ISERROR(SEARCH("Doplňte",B30)))</formula>
    </cfRule>
  </conditionalFormatting>
  <conditionalFormatting sqref="B30">
    <cfRule type="expression" dxfId="270" priority="5">
      <formula>$M$28=0</formula>
    </cfRule>
  </conditionalFormatting>
  <conditionalFormatting sqref="I12">
    <cfRule type="expression" dxfId="269" priority="3">
      <formula>$M$17=0</formula>
    </cfRule>
    <cfRule type="containsText" dxfId="268" priority="4" operator="containsText" text="Doplňte">
      <formula>NOT(ISERROR(SEARCH("Doplňte",I12)))</formula>
    </cfRule>
  </conditionalFormatting>
  <conditionalFormatting sqref="I23">
    <cfRule type="containsText" dxfId="267" priority="2" operator="containsText" text="Doplňte">
      <formula>NOT(ISERROR(SEARCH("Doplňte",I23)))</formula>
    </cfRule>
  </conditionalFormatting>
  <conditionalFormatting sqref="I23">
    <cfRule type="expression" dxfId="266" priority="1">
      <formula>$M$28=0</formula>
    </cfRule>
  </conditionalFormatting>
  <hyperlinks>
    <hyperlink ref="I125:J125" location="HFna_w!A1" tooltip=" " display="HFna_w!A1" xr:uid="{3CE38344-74BB-4235-BF72-8A94F8316E0A}"/>
    <hyperlink ref="N86:S86" location="HFna_w!H19" tooltip=" " display="HFna_w!H19" xr:uid="{23597752-3F4C-4651-96D3-D1C54DA61ED3}"/>
    <hyperlink ref="N87:S87" location="HFna_w!H20" tooltip=" " display="HFna_w!H20" xr:uid="{3EC695CE-3A17-46D5-91DA-08645E63C529}"/>
    <hyperlink ref="N78:S78" location="HFna_w!H11" tooltip=" " display="HFna_w!H11" xr:uid="{0B4E6851-7B9D-4022-B0CC-B6F3099DEE5F}"/>
    <hyperlink ref="N77:S77" location="HFna_w!H10" tooltip=" " display="HFna_w!H10" xr:uid="{9CA68F96-78F5-446B-B963-AD64D25A6C6F}"/>
    <hyperlink ref="AL19" location="HFna_w!A100" tooltip=" " display="HFna_w!A100" xr:uid="{BC8DC809-F208-4725-8363-E2B03D376F36}"/>
    <hyperlink ref="AL5" location="HFna_w!A140" tooltip=" " display="HFna_w!A140" xr:uid="{95C7781C-32BB-4998-8AD8-E9BC56EF8BF9}"/>
    <hyperlink ref="L176" location="HFna_w!A1" tooltip=" " display="HFna_w!A1" xr:uid="{D87B1DF2-DC8A-44E6-9579-5C8BCA480E44}"/>
    <hyperlink ref="AL9" location="SumAVS!A1" tooltip=" " display="SumAVS!A1" xr:uid="{2824B10C-6FB4-4315-9D7D-64B4EEA88360}"/>
    <hyperlink ref="AL10" location="OrdAVS!A1" tooltip=" " display="OrdAVS!A1" xr:uid="{9E309653-E7F9-4FA2-AB2E-C3976B50457E}"/>
    <hyperlink ref="AL7" location="AcsAVS!A1" tooltip=" " display="AcsAVS!A1" xr:uid="{FC3A57E3-D903-4107-99E0-AC4E4EBA98E7}"/>
    <hyperlink ref="AL4" location="MenuAVS!A1" tooltip=" " display="MenuAVS!A1" xr:uid="{4A5BA093-2928-44F6-B38E-AAD932E6FCE8}"/>
    <hyperlink ref="B2" location="HF!A1" tooltip=" " display=" AVENTOS HF" xr:uid="{1F50C8CF-806D-47BE-BB98-2E738A84F6D3}"/>
  </hyperlinks>
  <pageMargins left="0.62992125984251968" right="0.23622047244094488" top="0.74803149606299213" bottom="0.74803149606299213" header="0.31496062992125984" footer="0.31496062992125984"/>
  <pageSetup paperSize="9" orientation="portrait" horizontalDpi="4294967293"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61795" r:id="rId4" name="Drop Down 3">
              <controlPr defaultSize="0" autoLine="0" autoPict="0">
                <anchor moveWithCells="1">
                  <from>
                    <xdr:col>3</xdr:col>
                    <xdr:colOff>19050</xdr:colOff>
                    <xdr:row>6</xdr:row>
                    <xdr:rowOff>0</xdr:rowOff>
                  </from>
                  <to>
                    <xdr:col>5</xdr:col>
                    <xdr:colOff>571500</xdr:colOff>
                    <xdr:row>7</xdr:row>
                    <xdr:rowOff>9525</xdr:rowOff>
                  </to>
                </anchor>
              </controlPr>
            </control>
          </mc:Choice>
        </mc:AlternateContent>
        <mc:AlternateContent xmlns:mc="http://schemas.openxmlformats.org/markup-compatibility/2006">
          <mc:Choice Requires="x14">
            <control shapeId="161798" r:id="rId5" name="Option Button 6">
              <controlPr defaultSize="0" autoFill="0" autoLine="0" autoPict="0">
                <anchor moveWithCells="1">
                  <from>
                    <xdr:col>1</xdr:col>
                    <xdr:colOff>476250</xdr:colOff>
                    <xdr:row>5</xdr:row>
                    <xdr:rowOff>38100</xdr:rowOff>
                  </from>
                  <to>
                    <xdr:col>2</xdr:col>
                    <xdr:colOff>161925</xdr:colOff>
                    <xdr:row>5</xdr:row>
                    <xdr:rowOff>247650</xdr:rowOff>
                  </to>
                </anchor>
              </controlPr>
            </control>
          </mc:Choice>
        </mc:AlternateContent>
        <mc:AlternateContent xmlns:mc="http://schemas.openxmlformats.org/markup-compatibility/2006">
          <mc:Choice Requires="x14">
            <control shapeId="161799" r:id="rId6" name="Option Button 7">
              <controlPr defaultSize="0" autoFill="0" autoLine="0" autoPict="0">
                <anchor moveWithCells="1">
                  <from>
                    <xdr:col>3</xdr:col>
                    <xdr:colOff>476250</xdr:colOff>
                    <xdr:row>5</xdr:row>
                    <xdr:rowOff>47625</xdr:rowOff>
                  </from>
                  <to>
                    <xdr:col>4</xdr:col>
                    <xdr:colOff>161925</xdr:colOff>
                    <xdr:row>5</xdr:row>
                    <xdr:rowOff>257175</xdr:rowOff>
                  </to>
                </anchor>
              </controlPr>
            </control>
          </mc:Choice>
        </mc:AlternateContent>
        <mc:AlternateContent xmlns:mc="http://schemas.openxmlformats.org/markup-compatibility/2006">
          <mc:Choice Requires="x14">
            <control shapeId="161801" r:id="rId7" name="Drop Down 9">
              <controlPr defaultSize="0" autoLine="0" autoPict="0">
                <anchor moveWithCells="1">
                  <from>
                    <xdr:col>1</xdr:col>
                    <xdr:colOff>9525</xdr:colOff>
                    <xdr:row>9</xdr:row>
                    <xdr:rowOff>9525</xdr:rowOff>
                  </from>
                  <to>
                    <xdr:col>3</xdr:col>
                    <xdr:colOff>9525</xdr:colOff>
                    <xdr:row>9</xdr:row>
                    <xdr:rowOff>200025</xdr:rowOff>
                  </to>
                </anchor>
              </controlPr>
            </control>
          </mc:Choice>
        </mc:AlternateContent>
        <mc:AlternateContent xmlns:mc="http://schemas.openxmlformats.org/markup-compatibility/2006">
          <mc:Choice Requires="x14">
            <control shapeId="161802" r:id="rId8" name="Drop Down 10">
              <controlPr defaultSize="0" autoLine="0" autoPict="0">
                <anchor moveWithCells="1">
                  <from>
                    <xdr:col>1</xdr:col>
                    <xdr:colOff>9525</xdr:colOff>
                    <xdr:row>20</xdr:row>
                    <xdr:rowOff>9525</xdr:rowOff>
                  </from>
                  <to>
                    <xdr:col>2</xdr:col>
                    <xdr:colOff>571500</xdr:colOff>
                    <xdr:row>20</xdr:row>
                    <xdr:rowOff>200025</xdr:rowOff>
                  </to>
                </anchor>
              </controlPr>
            </control>
          </mc:Choice>
        </mc:AlternateContent>
        <mc:AlternateContent xmlns:mc="http://schemas.openxmlformats.org/markup-compatibility/2006">
          <mc:Choice Requires="x14">
            <control shapeId="161805" r:id="rId9" name="Drop Down 13">
              <controlPr defaultSize="0" autoLine="0" autoPict="0">
                <anchor moveWithCells="1">
                  <from>
                    <xdr:col>6</xdr:col>
                    <xdr:colOff>9525</xdr:colOff>
                    <xdr:row>3</xdr:row>
                    <xdr:rowOff>0</xdr:rowOff>
                  </from>
                  <to>
                    <xdr:col>9</xdr:col>
                    <xdr:colOff>0</xdr:colOff>
                    <xdr:row>4</xdr:row>
                    <xdr:rowOff>0</xdr:rowOff>
                  </to>
                </anchor>
              </controlPr>
            </control>
          </mc:Choice>
        </mc:AlternateContent>
        <mc:AlternateContent xmlns:mc="http://schemas.openxmlformats.org/markup-compatibility/2006">
          <mc:Choice Requires="x14">
            <control shapeId="161806" r:id="rId10" name="Drop Down 14">
              <controlPr defaultSize="0" autoLine="0" autoPict="0">
                <anchor moveWithCells="1">
                  <from>
                    <xdr:col>6</xdr:col>
                    <xdr:colOff>9525</xdr:colOff>
                    <xdr:row>4</xdr:row>
                    <xdr:rowOff>0</xdr:rowOff>
                  </from>
                  <to>
                    <xdr:col>9</xdr:col>
                    <xdr:colOff>0</xdr:colOff>
                    <xdr:row>5</xdr:row>
                    <xdr:rowOff>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B8C5C-041C-4AD4-8B59-4216E046DC35}">
  <sheetPr codeName="Sheet33">
    <tabColor theme="3"/>
  </sheetPr>
  <dimension ref="A1:AZ178"/>
  <sheetViews>
    <sheetView showGridLines="0" showRowColHeaders="0" workbookViewId="0">
      <selection activeCell="AN27" sqref="AN27"/>
    </sheetView>
  </sheetViews>
  <sheetFormatPr defaultColWidth="8.28515625" defaultRowHeight="12" x14ac:dyDescent="0.2"/>
  <cols>
    <col min="1" max="1" width="1.28515625" style="37" customWidth="1"/>
    <col min="2" max="9" width="8.5703125" style="37" customWidth="1"/>
    <col min="10" max="10" width="6.7109375" style="37" customWidth="1"/>
    <col min="11" max="11" width="10.42578125" style="37" customWidth="1"/>
    <col min="12" max="12" width="17.28515625" style="37" customWidth="1"/>
    <col min="13" max="14" width="6.42578125" style="37" hidden="1" customWidth="1"/>
    <col min="15" max="15" width="6.42578125" style="118" hidden="1" customWidth="1"/>
    <col min="16" max="16" width="10" style="37" hidden="1" customWidth="1"/>
    <col min="17" max="17" width="6" style="118" hidden="1" customWidth="1"/>
    <col min="18" max="18" width="6.42578125" style="37" hidden="1" customWidth="1"/>
    <col min="19" max="19" width="10.5703125" style="37" hidden="1" customWidth="1"/>
    <col min="20" max="20" width="7.7109375" style="37" hidden="1" customWidth="1"/>
    <col min="21" max="24" width="6.7109375" style="37" hidden="1" customWidth="1"/>
    <col min="25" max="25" width="37.28515625" style="37" hidden="1" customWidth="1"/>
    <col min="26" max="26" width="13.5703125" style="37" hidden="1" customWidth="1"/>
    <col min="27" max="29" width="6.7109375" style="37" hidden="1" customWidth="1"/>
    <col min="30" max="30" width="9.42578125" style="37" hidden="1" customWidth="1"/>
    <col min="31" max="36" width="7.7109375" style="37" hidden="1" customWidth="1"/>
    <col min="37" max="37" width="15.5703125" style="36" hidden="1" customWidth="1"/>
    <col min="38" max="38" width="3.28515625" style="36" hidden="1" customWidth="1"/>
    <col min="39" max="39" width="5.28515625" style="36" customWidth="1"/>
    <col min="40" max="40" width="23.42578125" style="36" customWidth="1"/>
    <col min="41" max="42" width="8.28515625" style="121"/>
    <col min="43" max="44" width="13.28515625" style="121" customWidth="1"/>
    <col min="45" max="46" width="19.7109375" style="122" customWidth="1"/>
    <col min="47" max="47" width="8.28515625" style="122"/>
    <col min="48" max="16384" width="8.28515625" style="121"/>
  </cols>
  <sheetData>
    <row r="1" spans="1:48" ht="4.5" customHeight="1" thickBot="1" x14ac:dyDescent="0.25">
      <c r="L1" s="121"/>
      <c r="AS1" s="626"/>
    </row>
    <row r="2" spans="1:48" s="36" customFormat="1" ht="19.5" customHeight="1" thickBot="1" x14ac:dyDescent="0.25">
      <c r="A2" s="108"/>
      <c r="B2" s="1048" t="s">
        <v>675</v>
      </c>
      <c r="C2" s="1048"/>
      <c r="D2" s="884"/>
      <c r="E2" s="884"/>
      <c r="F2" s="884"/>
      <c r="G2" s="884"/>
      <c r="H2" s="884"/>
      <c r="I2" s="884"/>
      <c r="J2" s="884"/>
      <c r="K2" s="884"/>
      <c r="L2" s="884"/>
      <c r="M2" s="108"/>
      <c r="N2" s="1136" t="s">
        <v>32</v>
      </c>
      <c r="O2" s="1137"/>
      <c r="P2" s="108" t="s">
        <v>708</v>
      </c>
      <c r="Q2" s="1136" t="s">
        <v>53</v>
      </c>
      <c r="R2" s="1137"/>
      <c r="S2" s="108" t="s">
        <v>708</v>
      </c>
      <c r="T2" s="342"/>
      <c r="U2" s="342"/>
      <c r="V2" s="342"/>
      <c r="W2" s="342"/>
      <c r="X2" s="342"/>
      <c r="Y2" s="342"/>
      <c r="Z2" s="342"/>
      <c r="AA2" s="342"/>
      <c r="AB2" s="342"/>
      <c r="AC2" s="342"/>
      <c r="AD2" s="342"/>
      <c r="AE2" s="342"/>
      <c r="AF2" s="342"/>
      <c r="AG2" s="342"/>
      <c r="AH2" s="342"/>
      <c r="AI2" s="37"/>
      <c r="AJ2" s="37"/>
      <c r="AK2" s="117">
        <v>3</v>
      </c>
      <c r="AL2" s="117"/>
      <c r="AM2" s="108"/>
      <c r="AN2" s="226" t="str">
        <f>ListAVS!$B$153</f>
        <v>Przejdź do</v>
      </c>
      <c r="AO2" s="108"/>
      <c r="AP2" s="108"/>
      <c r="AQ2" s="108"/>
      <c r="AR2" s="108"/>
    </row>
    <row r="3" spans="1:48" ht="3.75" customHeight="1" x14ac:dyDescent="0.2">
      <c r="B3" s="312"/>
      <c r="C3" s="306"/>
      <c r="D3" s="306"/>
      <c r="E3" s="306"/>
      <c r="F3" s="306"/>
      <c r="G3" s="306"/>
      <c r="H3" s="306"/>
      <c r="I3" s="306"/>
      <c r="J3" s="306"/>
      <c r="K3" s="306"/>
      <c r="L3" s="137"/>
      <c r="AI3" s="344"/>
      <c r="AK3" s="37"/>
      <c r="AL3" s="37"/>
      <c r="AM3" s="108"/>
      <c r="AN3" s="108"/>
      <c r="AO3" s="137"/>
      <c r="AP3" s="137"/>
      <c r="AQ3" s="137"/>
      <c r="AR3" s="137"/>
    </row>
    <row r="4" spans="1:48" ht="16.149999999999999" customHeight="1" thickBot="1" x14ac:dyDescent="0.25">
      <c r="B4" s="313" t="str">
        <f>ListAVS!$B$17</f>
        <v>Front drewniany</v>
      </c>
      <c r="C4" s="313"/>
      <c r="D4" s="266"/>
      <c r="E4" s="313"/>
      <c r="F4" s="269" t="str">
        <f>ListAVS!$B$180&amp;"  "</f>
        <v xml:space="preserve">Wykonanie frontów  </v>
      </c>
      <c r="G4" s="255"/>
      <c r="H4" s="255"/>
      <c r="I4" s="255"/>
      <c r="J4" s="260"/>
      <c r="K4" s="1047" t="str">
        <f>IF($Z$87=3,IF(J4=0,$Y$82," "),IF(J4&gt;0,$Y$83," "))</f>
        <v xml:space="preserve"> </v>
      </c>
      <c r="L4" s="1047"/>
      <c r="N4" s="936" t="s">
        <v>698</v>
      </c>
      <c r="O4" s="929">
        <f>IF(AND($H$11&gt;=$AC$51, $H$11&lt;$AD$51, $P$17&gt;=$AE$51, $P$17&lt;=$AF$51), 1, 0)</f>
        <v>0</v>
      </c>
      <c r="P4" s="935">
        <f>O4</f>
        <v>0</v>
      </c>
      <c r="Q4" s="936" t="s">
        <v>698</v>
      </c>
      <c r="R4" s="929">
        <f>IF(AND($H$22&gt;=$AC$51, $H$22&lt;$AD$51, $P$28&gt;=$AE$51, $P$28&lt;=$AF$51), 1, 0)</f>
        <v>0</v>
      </c>
      <c r="S4" s="935">
        <f>R4</f>
        <v>0</v>
      </c>
      <c r="T4" s="37" t="s">
        <v>706</v>
      </c>
      <c r="U4" s="344"/>
      <c r="V4" s="344"/>
      <c r="W4" s="344"/>
      <c r="X4" s="344"/>
      <c r="Y4" s="344"/>
      <c r="Z4" s="344"/>
      <c r="AA4" s="344"/>
      <c r="AB4" s="344"/>
      <c r="AC4" s="344"/>
      <c r="AD4" s="344"/>
      <c r="AE4" s="344"/>
      <c r="AF4" s="344"/>
      <c r="AG4" s="344"/>
      <c r="AH4" s="344"/>
      <c r="AI4" s="344"/>
      <c r="AK4" s="37" t="str">
        <f>" "&amp;ListAVS!$B$41&amp;" A "</f>
        <v xml:space="preserve"> Cena za korpus A </v>
      </c>
      <c r="AL4" s="37"/>
      <c r="AM4" s="108"/>
      <c r="AN4" s="383" t="s">
        <v>77</v>
      </c>
      <c r="AO4" s="137"/>
      <c r="AP4" s="137"/>
      <c r="AQ4" s="137"/>
      <c r="AR4" s="137"/>
    </row>
    <row r="5" spans="1:48" ht="16.149999999999999" customHeight="1" x14ac:dyDescent="0.2">
      <c r="B5" s="266"/>
      <c r="C5" s="313"/>
      <c r="D5" s="313"/>
      <c r="E5" s="313"/>
      <c r="F5" s="1027" t="str">
        <f>IF($Z$87&lt;&gt;3,$Y$81," ")&amp;"      "</f>
        <v xml:space="preserve"> Możesz zmienić wartości we Wstępie do planowania      </v>
      </c>
      <c r="G5" s="1027"/>
      <c r="H5" s="1027"/>
      <c r="I5" s="1027"/>
      <c r="J5" s="1027"/>
      <c r="K5" s="1047"/>
      <c r="L5" s="1047"/>
      <c r="N5" s="937" t="s">
        <v>701</v>
      </c>
      <c r="O5" s="929">
        <f>IF(AND($H$11&gt;=$AC$52, $H$11&lt;$AD$52, $P$17&gt;=$AE$52, $P$17&lt;=$AF$52), 1, 0)</f>
        <v>0</v>
      </c>
      <c r="P5" s="935">
        <f>IF(AND($O$5=1, $O$6=1, $P$17&lt;=5), O5, 0)+IF(AND($O$5=1, $O$6=0), 1, IF(AND(O5=1, O6=0), O5, 0))</f>
        <v>0</v>
      </c>
      <c r="Q5" s="924" t="s">
        <v>701</v>
      </c>
      <c r="R5" s="929">
        <f>IF(AND($H$22&gt;=$AC$52, $H$22&lt;$AD$52, $P$28&gt;=$AE$52, $P$28&lt;=$AF$52), 1, 0)</f>
        <v>0</v>
      </c>
      <c r="S5" s="935">
        <f>IF(AND($R$5=1, $R$6=1, $P$28&lt;=5), R5, 0)+IF(AND($R$5=1, $R$6=0), 1, IF(AND(R5=1, R6=0), R5, 0))</f>
        <v>0</v>
      </c>
      <c r="T5" s="37" t="s">
        <v>707</v>
      </c>
      <c r="U5" s="344"/>
      <c r="V5" s="344"/>
      <c r="W5" s="344"/>
      <c r="X5" s="344"/>
      <c r="Y5" s="344"/>
      <c r="Z5" s="344"/>
      <c r="AA5" s="344"/>
      <c r="AB5" s="344"/>
      <c r="AC5" s="344"/>
      <c r="AD5" s="344"/>
      <c r="AE5" s="344"/>
      <c r="AF5" s="344"/>
      <c r="AG5" s="344"/>
      <c r="AH5" s="344"/>
      <c r="AI5" s="344"/>
      <c r="AK5" s="37" t="str">
        <f>" "&amp;ListAVS!$B$41&amp;" B "</f>
        <v xml:space="preserve"> Cena za korpus B </v>
      </c>
      <c r="AL5" s="37"/>
      <c r="AM5" s="108"/>
      <c r="AN5" s="708" t="str">
        <f>" "&amp;ListAVS!$B$155</f>
        <v xml:space="preserve"> Pomoc</v>
      </c>
      <c r="AO5" s="137"/>
      <c r="AP5" s="137"/>
      <c r="AQ5" s="137"/>
      <c r="AR5" s="137"/>
    </row>
    <row r="6" spans="1:48" ht="22.5" customHeight="1" x14ac:dyDescent="0.2">
      <c r="B6" s="313"/>
      <c r="C6" s="313"/>
      <c r="D6" s="313"/>
      <c r="E6" s="313"/>
      <c r="F6" s="266"/>
      <c r="G6" s="266"/>
      <c r="H6" s="266"/>
      <c r="I6" s="313"/>
      <c r="J6" s="313"/>
      <c r="K6" s="313"/>
      <c r="L6" s="266"/>
      <c r="N6" s="936" t="s">
        <v>699</v>
      </c>
      <c r="O6" s="929">
        <f>IF(AND($H$11&gt;=$AC$53, $H$11&lt;$AD$53, $P$17&gt;=$AE$53, $P$17&lt;=$AF$53), 1, 0)</f>
        <v>0</v>
      </c>
      <c r="P6" s="935">
        <f>IF(AND($O$5=1, $O$6=1, $P$17&gt;5), O6, 0)+IF(AND($O$6=1, $O$7=1, $P$17&lt;7), O6, IF(AND(O5=0, O6=1, O7=0), O6, 0))</f>
        <v>0</v>
      </c>
      <c r="Q6" s="936" t="s">
        <v>699</v>
      </c>
      <c r="R6" s="929">
        <f>IF(AND($H$22&gt;=$AC$53, $H$22&lt;$AD$53, $P$28&gt;=$AE$53, $P$28&lt;=$AF$53), 1, 0)</f>
        <v>0</v>
      </c>
      <c r="S6" s="935">
        <f>IF(AND($R$5=1, $R$6=1, $P$28&gt;5), R6, 0)+IF(AND($R$6=1, $R$7=1, $P$28&lt;7), R6, IF(AND(R5=0, R6=1, R7=0), R6, 0))</f>
        <v>0</v>
      </c>
      <c r="T6" s="346"/>
      <c r="U6" s="344"/>
      <c r="V6" s="344"/>
      <c r="W6" s="344"/>
      <c r="X6" s="344"/>
      <c r="Y6" s="344"/>
      <c r="Z6" s="344"/>
      <c r="AA6" s="344"/>
      <c r="AB6" s="344"/>
      <c r="AC6" s="344"/>
      <c r="AD6" s="344"/>
      <c r="AE6" s="344"/>
      <c r="AF6" s="344"/>
      <c r="AG6" s="344"/>
      <c r="AH6" s="344"/>
      <c r="AI6" s="344"/>
      <c r="AK6" s="37" t="str">
        <f>" "&amp;ListAVS!$B$61</f>
        <v xml:space="preserve"> Cena całkowita bez VAT</v>
      </c>
      <c r="AL6" s="37"/>
      <c r="AM6" s="108"/>
      <c r="AN6" s="715"/>
      <c r="AO6" s="137"/>
      <c r="AP6" s="137"/>
    </row>
    <row r="7" spans="1:48" ht="16.149999999999999" customHeight="1" x14ac:dyDescent="0.2">
      <c r="B7" s="1059" t="str">
        <f>ListAVS!$B$51&amp;":   "</f>
        <v xml:space="preserve">Cena okucia:   </v>
      </c>
      <c r="C7" s="1060"/>
      <c r="D7" s="255"/>
      <c r="E7" s="266"/>
      <c r="F7" s="266"/>
      <c r="G7" s="1061">
        <f>IF($AK$2=1,$AF$45,IF($AK$2=2,$AH$45,IF($AK$2=3,$AD$45,0)))</f>
        <v>0</v>
      </c>
      <c r="H7" s="1062"/>
      <c r="I7" s="255"/>
      <c r="J7" s="255"/>
      <c r="K7" s="255"/>
      <c r="L7" s="255"/>
      <c r="N7" s="936" t="s">
        <v>700</v>
      </c>
      <c r="O7" s="929">
        <f>IF(AND($H$11&gt;=$AC$54, $H$11&lt;=$AD$54, $P$17&gt;=$AE$54, $P$17&lt;=$AF$54), 1, 0)</f>
        <v>0</v>
      </c>
      <c r="P7" s="935">
        <f>IF(AND($O$6=1, $O$7=1, $P$17&gt;=7), O7, IF(AND(O6=0, O7=1), O7, 0))</f>
        <v>0</v>
      </c>
      <c r="Q7" s="936" t="s">
        <v>700</v>
      </c>
      <c r="R7" s="929">
        <f>IF(AND($H$22&gt;=$AC$54, $H$22&lt;=$AD$54, $P$28&gt;=$AE$54, $P$28&lt;=$AF$54), 1, 0)</f>
        <v>0</v>
      </c>
      <c r="S7" s="935">
        <f>IF(AND($R$6=1, $R$7=1, $P$28&gt;=7), R7, IF(AND(R6=0, R7=1), R7, 0))</f>
        <v>0</v>
      </c>
      <c r="T7" s="346"/>
      <c r="U7" s="344"/>
      <c r="V7" s="344"/>
      <c r="W7" s="344"/>
      <c r="X7" s="344"/>
      <c r="Y7" s="156" t="str">
        <f>$B$2</f>
        <v xml:space="preserve"> AVENTOS HS top</v>
      </c>
      <c r="Z7" s="157">
        <f>B5</f>
        <v>0</v>
      </c>
      <c r="AA7" s="157"/>
      <c r="AB7" s="157"/>
      <c r="AC7" s="157"/>
      <c r="AD7" s="158"/>
      <c r="AG7" s="118"/>
      <c r="AI7" s="344"/>
      <c r="AK7" s="108"/>
      <c r="AL7" s="37"/>
      <c r="AM7" s="108"/>
      <c r="AN7" s="675" t="str">
        <f>" "&amp;ListAVS!$B$160</f>
        <v xml:space="preserve"> Dodatki</v>
      </c>
      <c r="AO7" s="137"/>
      <c r="AP7" s="137"/>
      <c r="AQ7" s="137"/>
      <c r="AR7" s="137"/>
    </row>
    <row r="8" spans="1:48" ht="25.15" customHeight="1" thickBot="1" x14ac:dyDescent="0.25">
      <c r="B8" s="255"/>
      <c r="C8" s="255"/>
      <c r="D8" s="255"/>
      <c r="E8" s="255"/>
      <c r="F8" s="255"/>
      <c r="G8" s="255"/>
      <c r="H8" s="269" t="str">
        <f>IF(AND(OR($Q$16=2, $Q$27=2), $AD$45&gt;0), $N$35, " ")</f>
        <v xml:space="preserve"> </v>
      </c>
      <c r="I8" s="255"/>
      <c r="J8" s="255"/>
      <c r="K8" s="255"/>
      <c r="L8" s="255"/>
      <c r="N8" s="317"/>
      <c r="O8" s="344"/>
      <c r="P8" s="317"/>
      <c r="Q8" s="317"/>
      <c r="R8" s="344"/>
      <c r="T8" s="346"/>
      <c r="U8" s="344"/>
      <c r="V8" s="344"/>
      <c r="W8" s="344"/>
      <c r="X8" s="344"/>
      <c r="Y8" s="159" t="str">
        <f>ListAVS!B52</f>
        <v>Nazwa</v>
      </c>
      <c r="Z8" s="160" t="str">
        <f>ListAVS!$B$53</f>
        <v>Kod asortymentu</v>
      </c>
      <c r="AA8" s="161" t="str">
        <f>ListAVS!B54</f>
        <v>Kolor</v>
      </c>
      <c r="AB8" s="161" t="str">
        <f>ListAVS!B56</f>
        <v>Sztuka</v>
      </c>
      <c r="AC8" s="162" t="str">
        <f>ListAVS!B58</f>
        <v>Cena za sztukę</v>
      </c>
      <c r="AD8" s="161" t="str">
        <f>ListAVS!B59</f>
        <v>W sumie</v>
      </c>
      <c r="AE8" s="204" t="s">
        <v>29</v>
      </c>
      <c r="AF8" s="163" t="s">
        <v>30</v>
      </c>
      <c r="AG8" s="163" t="s">
        <v>31</v>
      </c>
      <c r="AH8" s="163" t="s">
        <v>30</v>
      </c>
      <c r="AI8" s="344"/>
      <c r="AK8" s="108"/>
      <c r="AL8" s="108"/>
      <c r="AM8" s="108"/>
      <c r="AN8" s="671"/>
      <c r="AO8" s="137"/>
      <c r="AP8" s="137"/>
      <c r="AQ8" s="953" t="str">
        <f>ListAVS!B75&amp;" KH (mm)"</f>
        <v>Wysokość korpusu KH (mm)</v>
      </c>
      <c r="AR8" s="953" t="str">
        <f>ListAVS!B76&amp;" FG (kg)"</f>
        <v>Waga frontu FG (kg)</v>
      </c>
      <c r="AS8" s="953" t="str">
        <f>ListAVS!$B$84&amp;" "&amp;ListAVS!$B$350</f>
        <v>Mechanizm podnoszący wkręty</v>
      </c>
      <c r="AT8" s="953" t="str">
        <f>ListAVS!$B$84&amp;" "&amp;ListAVS!$B$351</f>
        <v>Mechanizm podnoszący wstępnie zamontowane eurowkręty</v>
      </c>
      <c r="AU8" s="952"/>
      <c r="AV8" s="952"/>
    </row>
    <row r="9" spans="1:48" ht="16.149999999999999" customHeight="1" thickBot="1" x14ac:dyDescent="0.25">
      <c r="B9" s="1051" t="str">
        <f>"▼ "&amp;ListAVS!$B$318</f>
        <v>▼ Sposób otwierania</v>
      </c>
      <c r="C9" s="1052"/>
      <c r="D9" s="406" t="str">
        <f>IF($M$17&gt;0, ListAVS!$B$37&amp;": ", " ")</f>
        <v xml:space="preserve"> </v>
      </c>
      <c r="E9" s="688" t="str">
        <f>IF(SUM($AE$9:$AE$10)&gt;0,"22",IF(SUM($AE$11:$AE$12)&gt;0,"25",IF(SUM($AE$13:$AE$14)&gt;0,"28"," ")))</f>
        <v xml:space="preserve"> </v>
      </c>
      <c r="F9" s="1056" t="str">
        <f>ListAVS!$B$64&amp;" A"</f>
        <v>Korpus A</v>
      </c>
      <c r="G9" s="1057"/>
      <c r="H9" s="1058"/>
      <c r="I9" s="273"/>
      <c r="J9" s="255"/>
      <c r="K9" s="255"/>
      <c r="L9" s="255"/>
      <c r="N9" s="317"/>
      <c r="O9" s="344"/>
      <c r="P9" s="317"/>
      <c r="Q9" s="317"/>
      <c r="R9" s="344"/>
      <c r="S9" s="716"/>
      <c r="T9" s="346"/>
      <c r="U9" s="344"/>
      <c r="V9" s="344"/>
      <c r="W9" s="344"/>
      <c r="X9" s="344"/>
      <c r="Y9" s="890" t="str">
        <f>CenAVS!A28</f>
        <v xml:space="preserve">Aventos HS Top słaby, wkręty      </v>
      </c>
      <c r="Z9" s="890" t="str">
        <f>CenAVS!B28</f>
        <v>22S2200</v>
      </c>
      <c r="AA9" s="890" t="str">
        <f>CenAVS!C28</f>
        <v>ZN</v>
      </c>
      <c r="AB9" s="665">
        <f t="shared" ref="AB9:AB33" si="0">SUM(AE9,AG9)</f>
        <v>0</v>
      </c>
      <c r="AC9" s="907">
        <f>CenAVS!F28</f>
        <v>191.41126</v>
      </c>
      <c r="AD9" s="908">
        <f>AB9*AC9</f>
        <v>0</v>
      </c>
      <c r="AE9" s="901">
        <f>IF(AND($W$46=1, SUM($P$4:$P$5)=1), $M$17, 0)</f>
        <v>0</v>
      </c>
      <c r="AF9" s="909">
        <f t="shared" ref="AF9:AF25" si="1">$AC9*AE9</f>
        <v>0</v>
      </c>
      <c r="AG9" s="901">
        <f>IF(AND($W$46=1, SUM($S$4:$S$5)=1), $M$28, 0)</f>
        <v>0</v>
      </c>
      <c r="AH9" s="909">
        <f t="shared" ref="AH9:AH38" si="2">$AC9*AG9</f>
        <v>0</v>
      </c>
      <c r="AI9" s="344"/>
      <c r="AJ9" s="716"/>
      <c r="AK9" s="108"/>
      <c r="AL9" s="108"/>
      <c r="AM9" s="108"/>
      <c r="AN9" s="383" t="str">
        <f>" "&amp;ListAVS!$B$157</f>
        <v xml:space="preserve"> Rodzaje korpusów</v>
      </c>
      <c r="AO9" s="137"/>
      <c r="AP9" s="137"/>
      <c r="AQ9" s="954" t="s">
        <v>737</v>
      </c>
      <c r="AR9" s="954" t="s">
        <v>738</v>
      </c>
      <c r="AS9" s="1146" t="s">
        <v>687</v>
      </c>
      <c r="AT9" s="1146" t="s">
        <v>688</v>
      </c>
      <c r="AU9" s="952"/>
      <c r="AV9" s="952"/>
    </row>
    <row r="10" spans="1:48" s="122" customFormat="1" ht="16.149999999999999" customHeight="1" thickBot="1" x14ac:dyDescent="0.25">
      <c r="A10" s="37"/>
      <c r="B10" s="1011" t="str">
        <f>ListAVS!$B$74&amp;" KB [mm] "</f>
        <v xml:space="preserve">Szerokość korpusu KB [mm] </v>
      </c>
      <c r="C10" s="1012"/>
      <c r="D10" s="1012"/>
      <c r="E10" s="1012"/>
      <c r="F10" s="1012"/>
      <c r="G10" s="1013"/>
      <c r="H10" s="257"/>
      <c r="I10" s="256" t="str">
        <f>IF($H10=0," ",IF($H10&lt;220," min. 220mm",IF($H10&gt;1800," max. 1 800mm"," ")))&amp;IF(H17&gt;0,IF(H10=0,"● "&amp;ListAVS!$B$129," ")," ")</f>
        <v xml:space="preserve"> ● Wartość obowiązkowa</v>
      </c>
      <c r="J10" s="255"/>
      <c r="K10" s="255"/>
      <c r="L10" s="255"/>
      <c r="M10" s="37"/>
      <c r="N10" s="317"/>
      <c r="O10" s="344"/>
      <c r="P10" s="317"/>
      <c r="Q10" s="317"/>
      <c r="R10" s="344"/>
      <c r="S10" s="717"/>
      <c r="T10" s="346"/>
      <c r="U10" s="344"/>
      <c r="V10" s="344"/>
      <c r="W10" s="344"/>
      <c r="X10" s="344"/>
      <c r="Y10" s="890" t="str">
        <f>CenAVS!A29</f>
        <v xml:space="preserve">Aventos HS Top słaby, eurowkręty      </v>
      </c>
      <c r="Z10" s="890" t="str">
        <f>CenAVS!B29</f>
        <v>22S2210</v>
      </c>
      <c r="AA10" s="890" t="str">
        <f>CenAVS!C29</f>
        <v>ZN</v>
      </c>
      <c r="AB10" s="665">
        <f t="shared" si="0"/>
        <v>0</v>
      </c>
      <c r="AC10" s="907">
        <f>CenAVS!F29</f>
        <v>192.89991000000001</v>
      </c>
      <c r="AD10" s="908">
        <f t="shared" ref="AD10:AD43" si="3">AB10*AC10</f>
        <v>0</v>
      </c>
      <c r="AE10" s="901">
        <f>IF(AND($W$46=2, SUM($P$4:$P$5)=1), $M$17, 0)</f>
        <v>0</v>
      </c>
      <c r="AF10" s="909">
        <f t="shared" si="1"/>
        <v>0</v>
      </c>
      <c r="AG10" s="901">
        <f>IF(AND($W$46=2, SUM($S$4:$S$5)=1), $M$28, 0)</f>
        <v>0</v>
      </c>
      <c r="AH10" s="909">
        <f t="shared" si="2"/>
        <v>0</v>
      </c>
      <c r="AI10" s="344"/>
      <c r="AJ10" s="717"/>
      <c r="AK10" s="108"/>
      <c r="AL10" s="108"/>
      <c r="AM10" s="108"/>
      <c r="AN10" s="383" t="str">
        <f>" "&amp;ListAVS!$B$158</f>
        <v xml:space="preserve"> Zamówienie</v>
      </c>
      <c r="AO10" s="137"/>
      <c r="AP10" s="137"/>
      <c r="AQ10" s="954" t="s">
        <v>739</v>
      </c>
      <c r="AR10" s="954" t="s">
        <v>740</v>
      </c>
      <c r="AS10" s="1147"/>
      <c r="AT10" s="1147"/>
      <c r="AU10" s="952"/>
      <c r="AV10" s="952"/>
    </row>
    <row r="11" spans="1:48" s="122" customFormat="1" ht="16.149999999999999" customHeight="1" x14ac:dyDescent="0.2">
      <c r="A11" s="37"/>
      <c r="B11" s="1011" t="str">
        <f>ListAVS!$B$75&amp;" KH [mm]  "</f>
        <v xml:space="preserve">Wysokość korpusu KH [mm]  </v>
      </c>
      <c r="C11" s="1012"/>
      <c r="D11" s="1012"/>
      <c r="E11" s="1012"/>
      <c r="F11" s="1012"/>
      <c r="G11" s="1013"/>
      <c r="H11" s="257"/>
      <c r="I11" s="256" t="str">
        <f>IF($H11=0," ",IF($H11&lt;350," min. 350mm",IF($H11&gt;800," max. 800 mm"," ")))&amp;IF(H17&gt;0,IF(H11=0,"● "&amp;ListAVS!$B$129," ")," ")</f>
        <v xml:space="preserve"> ● Wartość obowiązkowa</v>
      </c>
      <c r="J11" s="255"/>
      <c r="K11" s="255"/>
      <c r="L11" s="255"/>
      <c r="M11" s="37"/>
      <c r="N11" s="317"/>
      <c r="O11" s="344"/>
      <c r="P11" s="317"/>
      <c r="Q11" s="317"/>
      <c r="R11" s="344"/>
      <c r="S11" s="718"/>
      <c r="T11" s="346"/>
      <c r="U11" s="344"/>
      <c r="V11" s="344"/>
      <c r="W11" s="344"/>
      <c r="X11" s="344"/>
      <c r="Y11" s="890" t="str">
        <f>CenAVS!A30</f>
        <v xml:space="preserve">Aventos HS Top średni, wkręty      </v>
      </c>
      <c r="Z11" s="890" t="str">
        <f>CenAVS!B30</f>
        <v>22S2500</v>
      </c>
      <c r="AA11" s="890" t="str">
        <f>CenAVS!C30</f>
        <v>ZN</v>
      </c>
      <c r="AB11" s="665">
        <f t="shared" si="0"/>
        <v>0</v>
      </c>
      <c r="AC11" s="907">
        <f>CenAVS!F30</f>
        <v>202.58683000000002</v>
      </c>
      <c r="AD11" s="908">
        <f t="shared" si="3"/>
        <v>0</v>
      </c>
      <c r="AE11" s="901">
        <f>IF(AND($W$46=1, $P$6=1), $M$17, 0)</f>
        <v>0</v>
      </c>
      <c r="AF11" s="909">
        <f t="shared" si="1"/>
        <v>0</v>
      </c>
      <c r="AG11" s="901">
        <f>IF(AND($W$46=1, $S$6=1), $M$28, 0)</f>
        <v>0</v>
      </c>
      <c r="AH11" s="909">
        <f t="shared" si="2"/>
        <v>0</v>
      </c>
      <c r="AI11" s="344"/>
      <c r="AJ11" s="718"/>
      <c r="AK11" s="108"/>
      <c r="AL11" s="108"/>
      <c r="AM11" s="108"/>
      <c r="AN11" s="37"/>
      <c r="AO11" s="137"/>
      <c r="AP11" s="137"/>
      <c r="AQ11" s="954" t="s">
        <v>741</v>
      </c>
      <c r="AR11" s="954" t="s">
        <v>742</v>
      </c>
      <c r="AS11" s="955" t="s">
        <v>689</v>
      </c>
      <c r="AT11" s="955" t="s">
        <v>690</v>
      </c>
      <c r="AU11" s="952"/>
      <c r="AV11" s="952"/>
    </row>
    <row r="12" spans="1:48" s="122" customFormat="1" ht="16.149999999999999" customHeight="1" x14ac:dyDescent="0.2">
      <c r="A12" s="37"/>
      <c r="B12" s="1011" t="str">
        <f>ListAVS!$B$77&amp;" [kg] ** "</f>
        <v xml:space="preserve">Waga frontu wraz z uchwytem [kg] ** </v>
      </c>
      <c r="C12" s="1012"/>
      <c r="D12" s="1012"/>
      <c r="E12" s="1012"/>
      <c r="F12" s="1012"/>
      <c r="G12" s="1013"/>
      <c r="H12" s="258"/>
      <c r="I12" s="227" t="str">
        <f>IF($H17=0,  " ", IF(SUM($H12,$H15)=0,$N$54," "))&amp;IF(AND(SUM($O$4:$O$7)=0, T12="ano", $T13="ne", H12&gt;0),$N$58,IF(AND($H17&gt;0,$H12&gt;0, $M17&gt;0, $T13="ano"),$N$55," "))</f>
        <v xml:space="preserve"> Wprowadź wagę lub wypełnij wszystkie komórki </v>
      </c>
      <c r="J12" s="255"/>
      <c r="K12" s="255"/>
      <c r="L12" s="255"/>
      <c r="M12" s="37"/>
      <c r="N12" s="317"/>
      <c r="O12" s="344"/>
      <c r="P12" s="317"/>
      <c r="Q12" s="317"/>
      <c r="R12" s="344"/>
      <c r="S12" s="717" t="s">
        <v>79</v>
      </c>
      <c r="T12" s="928" t="str">
        <f>IF(AND(219&lt;H10,H10&lt;1801,349&lt;H11,H11&lt;801),"ano","ne")</f>
        <v>ne</v>
      </c>
      <c r="U12" s="344"/>
      <c r="V12" s="344"/>
      <c r="W12" s="344"/>
      <c r="X12" s="344"/>
      <c r="Y12" s="890" t="str">
        <f>CenAVS!A31</f>
        <v xml:space="preserve">Aventos HS Top średni, eurowkręty      </v>
      </c>
      <c r="Z12" s="890" t="str">
        <f>CenAVS!B31</f>
        <v>22S2510</v>
      </c>
      <c r="AA12" s="890" t="str">
        <f>CenAVS!C31</f>
        <v>ZN</v>
      </c>
      <c r="AB12" s="665">
        <f t="shared" si="0"/>
        <v>0</v>
      </c>
      <c r="AC12" s="907">
        <f>CenAVS!F31</f>
        <v>204.16206999999997</v>
      </c>
      <c r="AD12" s="908">
        <f t="shared" si="3"/>
        <v>0</v>
      </c>
      <c r="AE12" s="901">
        <f>IF(AND($W$46=2, $P$6=1), $M$17, 0)</f>
        <v>0</v>
      </c>
      <c r="AF12" s="909">
        <f t="shared" si="1"/>
        <v>0</v>
      </c>
      <c r="AG12" s="901">
        <f>IF(AND($W$46=2, $S$6=1), $M$28, 0)</f>
        <v>0</v>
      </c>
      <c r="AH12" s="909">
        <f t="shared" si="2"/>
        <v>0</v>
      </c>
      <c r="AI12" s="344"/>
      <c r="AJ12" s="718"/>
      <c r="AK12" s="108"/>
      <c r="AL12" s="108"/>
      <c r="AM12" s="108"/>
      <c r="AN12" s="108"/>
      <c r="AO12" s="137"/>
      <c r="AP12" s="137"/>
      <c r="AQ12" s="954" t="s">
        <v>743</v>
      </c>
      <c r="AR12" s="954" t="s">
        <v>744</v>
      </c>
      <c r="AS12" s="955" t="s">
        <v>691</v>
      </c>
      <c r="AT12" s="955" t="s">
        <v>692</v>
      </c>
      <c r="AU12" s="952"/>
      <c r="AV12" s="952"/>
    </row>
    <row r="13" spans="1:48" s="122" customFormat="1" ht="16.149999999999999" customHeight="1" x14ac:dyDescent="0.2">
      <c r="A13" s="37"/>
      <c r="B13" s="1055" t="str">
        <f>ListAVS!$B$293</f>
        <v>Obliczenie wagi</v>
      </c>
      <c r="C13" s="1055"/>
      <c r="D13" s="1053" t="str">
        <f>ListAVS!$B$80&amp;" TS [mm] "</f>
        <v xml:space="preserve">Grubość frontu TS [mm] </v>
      </c>
      <c r="E13" s="1053"/>
      <c r="F13" s="1053"/>
      <c r="G13" s="1054"/>
      <c r="H13" s="258"/>
      <c r="I13" s="256" t="str">
        <f>IF(H17=0," ",IF(AND(H12=0, H13=0)," ● "&amp;ListAVS!$B$129," "))&amp;IF(H17=0," ",IF(AND(H12=0, H13&lt;14), " min. 14 mm", " "))</f>
        <v xml:space="preserve"> ● Wartość obowiązkowa min. 14 mm</v>
      </c>
      <c r="J13" s="255"/>
      <c r="K13" s="255"/>
      <c r="L13" s="255"/>
      <c r="M13" s="37"/>
      <c r="N13" s="317"/>
      <c r="O13" s="344"/>
      <c r="P13" s="317"/>
      <c r="Q13" s="317"/>
      <c r="R13" s="344"/>
      <c r="S13" s="717" t="s">
        <v>710</v>
      </c>
      <c r="T13" s="928" t="str">
        <f>IF(AND($H$11&gt;=$AC$51, $H$11&lt;=$AD$51, $P$17&gt;=$AE$51, $P$17&lt;=$AF$51), "ano", IF(AND($H$11&gt;=$AC$52, $H$11&lt;=$AD$52, $P$17&gt;=$AE$52, $P$17&lt;=$AF$52), "ano", IF(AND($H$11&gt;=$AC$53, $H$11&lt;=$AD$53, $P$17&gt;=$AE$53, $P$17&lt;=$AF$53), "ano", IF(AND($H$11&gt;=$AC$54, $H$11&lt;=$AD$54, $P$17&gt;=$AE$54, $P$17&lt;=$AF$54), "ano", "ne"))))</f>
        <v>ne</v>
      </c>
      <c r="U13" s="344"/>
      <c r="V13" s="344"/>
      <c r="W13" s="344"/>
      <c r="X13" s="344"/>
      <c r="Y13" s="890" t="str">
        <f>CenAVS!A32</f>
        <v xml:space="preserve">Aventos HS Top mocny, wkręty      </v>
      </c>
      <c r="Z13" s="890" t="str">
        <f>CenAVS!B32</f>
        <v>22S2800</v>
      </c>
      <c r="AA13" s="890" t="str">
        <f>CenAVS!C32</f>
        <v>ZN</v>
      </c>
      <c r="AB13" s="665">
        <f t="shared" si="0"/>
        <v>0</v>
      </c>
      <c r="AC13" s="907">
        <f>CenAVS!F32</f>
        <v>215.15917999999999</v>
      </c>
      <c r="AD13" s="908">
        <f t="shared" si="3"/>
        <v>0</v>
      </c>
      <c r="AE13" s="901">
        <f>IF(AND($W$46=1, $P$7=1), $M$17, 0)</f>
        <v>0</v>
      </c>
      <c r="AF13" s="909">
        <f t="shared" si="1"/>
        <v>0</v>
      </c>
      <c r="AG13" s="901">
        <f>IF(AND($W$46=1, $S$7=1), $M$28, 0)</f>
        <v>0</v>
      </c>
      <c r="AH13" s="909">
        <f t="shared" si="2"/>
        <v>0</v>
      </c>
      <c r="AI13" s="344"/>
      <c r="AJ13" s="37"/>
      <c r="AK13" s="108"/>
      <c r="AL13" s="108"/>
      <c r="AM13" s="108"/>
      <c r="AN13" s="255"/>
      <c r="AO13" s="137"/>
      <c r="AP13" s="137"/>
      <c r="AQ13" s="951"/>
      <c r="AR13" s="951"/>
      <c r="AS13" s="952"/>
      <c r="AT13" s="952"/>
      <c r="AU13" s="952"/>
      <c r="AV13" s="952"/>
    </row>
    <row r="14" spans="1:48" s="122" customFormat="1" ht="16.149999999999999" customHeight="1" x14ac:dyDescent="0.2">
      <c r="A14" s="37"/>
      <c r="B14" s="1055"/>
      <c r="C14" s="1055"/>
      <c r="D14" s="1053" t="str">
        <f>ListAVS!$B$83&amp;" [kg] "</f>
        <v xml:space="preserve">Waga uchwytu [kg] </v>
      </c>
      <c r="E14" s="1053"/>
      <c r="F14" s="1053"/>
      <c r="G14" s="1054"/>
      <c r="H14" s="258"/>
      <c r="I14" s="256" t="str">
        <f>IF(H17=0, " ", IF(AND(H12=0, Q16=1, H14=0), " ● "&amp;ListAVS!$B$130," "))</f>
        <v xml:space="preserve"> ● Zalecana wartość</v>
      </c>
      <c r="J14" s="255"/>
      <c r="K14" s="255"/>
      <c r="L14" s="255"/>
      <c r="M14" s="37"/>
      <c r="N14" s="317"/>
      <c r="O14" s="344"/>
      <c r="P14" s="317"/>
      <c r="Q14" s="317"/>
      <c r="R14" s="344"/>
      <c r="S14" s="717"/>
      <c r="T14" s="346"/>
      <c r="U14" s="344"/>
      <c r="V14" s="344"/>
      <c r="W14" s="344"/>
      <c r="X14" s="344"/>
      <c r="Y14" s="890" t="str">
        <f>CenAVS!A33</f>
        <v xml:space="preserve">Aventos HS Top mocny, eurowkręty      </v>
      </c>
      <c r="Z14" s="890" t="str">
        <f>CenAVS!B33</f>
        <v>22S2810</v>
      </c>
      <c r="AA14" s="890" t="str">
        <f>CenAVS!C33</f>
        <v>ZN</v>
      </c>
      <c r="AB14" s="665">
        <f t="shared" si="0"/>
        <v>0</v>
      </c>
      <c r="AC14" s="907">
        <f>CenAVS!F33</f>
        <v>216.83244999999999</v>
      </c>
      <c r="AD14" s="908">
        <f t="shared" si="3"/>
        <v>0</v>
      </c>
      <c r="AE14" s="901">
        <f>IF(AND($W$46=2, $P$7=1), $M$17, 0)</f>
        <v>0</v>
      </c>
      <c r="AF14" s="909">
        <f t="shared" si="1"/>
        <v>0</v>
      </c>
      <c r="AG14" s="901">
        <f>IF(AND($W$46=2, $S$7=1), $M$28, 0)</f>
        <v>0</v>
      </c>
      <c r="AH14" s="909">
        <f t="shared" si="2"/>
        <v>0</v>
      </c>
      <c r="AI14" s="344"/>
      <c r="AJ14" s="37"/>
      <c r="AK14" s="108"/>
      <c r="AL14" s="108"/>
      <c r="AM14" s="108"/>
      <c r="AN14" s="255"/>
      <c r="AO14" s="137"/>
      <c r="AP14" s="137"/>
      <c r="AQ14" s="545" t="str">
        <f>ListAVS!B350&amp;" = "&amp;ListAVS!B352</f>
        <v>wkręty = podnośniki z zintegrowanym szablonem (nie ma potrzeby mierzenia)</v>
      </c>
      <c r="AR14" s="951"/>
      <c r="AS14" s="952"/>
      <c r="AT14" s="952"/>
      <c r="AU14" s="952"/>
      <c r="AV14" s="952"/>
    </row>
    <row r="15" spans="1:48" s="122" customFormat="1" ht="16.149999999999999" customHeight="1" x14ac:dyDescent="0.2">
      <c r="A15" s="37"/>
      <c r="B15" s="1055"/>
      <c r="C15" s="1055"/>
      <c r="D15" s="1053" t="str">
        <f>ListAVS!$B$79&amp;" [kg] "</f>
        <v xml:space="preserve">Obliczona waga frontu [kg] </v>
      </c>
      <c r="E15" s="1053"/>
      <c r="F15" s="1053"/>
      <c r="G15" s="1054"/>
      <c r="H15" s="259">
        <f>$T$90</f>
        <v>0</v>
      </c>
      <c r="I15" s="227" t="str">
        <f>IF(AND($H17&gt;0,$H15&gt;0,$H12=0,$M17&gt;0), $N$41," ")&amp;IF(AND(H17&gt;0, H12=0, Z87=3, $J$4=0), $N$39, " ")</f>
        <v xml:space="preserve">  </v>
      </c>
      <c r="J15" s="255"/>
      <c r="K15" s="255"/>
      <c r="L15" s="255"/>
      <c r="M15" s="37"/>
      <c r="N15" s="37"/>
      <c r="O15" s="718"/>
      <c r="P15" s="132" t="s">
        <v>80</v>
      </c>
      <c r="Q15" s="119"/>
      <c r="R15" s="718"/>
      <c r="S15" s="37"/>
      <c r="T15" s="37"/>
      <c r="U15" s="37"/>
      <c r="V15" s="37"/>
      <c r="W15" s="37"/>
      <c r="X15" s="37"/>
      <c r="Y15" s="890"/>
      <c r="Z15" s="890"/>
      <c r="AA15" s="890"/>
      <c r="AB15" s="665"/>
      <c r="AC15" s="907"/>
      <c r="AD15" s="908"/>
      <c r="AE15" s="901"/>
      <c r="AF15" s="909"/>
      <c r="AG15" s="901"/>
      <c r="AH15" s="909"/>
      <c r="AI15" s="344"/>
      <c r="AJ15" s="37"/>
      <c r="AK15" s="108"/>
      <c r="AL15" s="108"/>
      <c r="AM15" s="108"/>
      <c r="AN15" s="255"/>
      <c r="AO15" s="137"/>
      <c r="AP15" s="137"/>
      <c r="AQ15" s="545" t="str">
        <f>ListAVS!B351&amp;" = "&amp;ListAVS!B353</f>
        <v>wstępnie zamontowane eurowkręty = podnośniki ze wstępnie zamontowanymi wkrętami (wymagane wstępne nawiercenie)</v>
      </c>
      <c r="AR15" s="951"/>
      <c r="AS15" s="952"/>
      <c r="AT15" s="952"/>
      <c r="AU15" s="952"/>
      <c r="AV15" s="952"/>
    </row>
    <row r="16" spans="1:48" s="122" customFormat="1" ht="16.149999999999999" customHeight="1" thickBot="1" x14ac:dyDescent="0.25">
      <c r="A16" s="37"/>
      <c r="B16" s="1011" t="str">
        <f>ListAVS!$B$29&amp;" * "</f>
        <v xml:space="preserve">Liczba ścianek środkowych * </v>
      </c>
      <c r="C16" s="1012"/>
      <c r="D16" s="1012"/>
      <c r="E16" s="1012"/>
      <c r="F16" s="1012"/>
      <c r="G16" s="1013"/>
      <c r="H16" s="259"/>
      <c r="I16" s="256" t="str">
        <f>IF(AND(H16&gt;0, Q16=2), $N$53, " ")</f>
        <v xml:space="preserve"> </v>
      </c>
      <c r="J16" s="255"/>
      <c r="K16" s="255"/>
      <c r="L16" s="255"/>
      <c r="M16" s="37"/>
      <c r="N16" s="37"/>
      <c r="O16" s="1141" t="b">
        <v>0</v>
      </c>
      <c r="P16" s="1142"/>
      <c r="Q16" s="131">
        <v>1</v>
      </c>
      <c r="R16" s="718"/>
      <c r="S16" s="37"/>
      <c r="T16" s="37"/>
      <c r="U16" s="37"/>
      <c r="V16" s="37"/>
      <c r="W16" s="37"/>
      <c r="X16" s="37"/>
      <c r="Y16" s="890" t="str">
        <f>CenAVS!A34</f>
        <v xml:space="preserve">ramiona HS Top        </v>
      </c>
      <c r="Z16" s="890" t="str">
        <f>CenAVS!B34</f>
        <v>22S3500</v>
      </c>
      <c r="AA16" s="890" t="str">
        <f>CenAVS!C34</f>
        <v>ZN</v>
      </c>
      <c r="AB16" s="665">
        <f>SUM(AE16,AG16)</f>
        <v>0</v>
      </c>
      <c r="AC16" s="907">
        <f>CenAVS!F34</f>
        <v>127.57276</v>
      </c>
      <c r="AD16" s="908">
        <f>AB16*AC16</f>
        <v>0</v>
      </c>
      <c r="AE16" s="903">
        <f>SUM($AE$9:$AE$14)</f>
        <v>0</v>
      </c>
      <c r="AF16" s="909">
        <f>$AC16*AE16</f>
        <v>0</v>
      </c>
      <c r="AG16" s="903">
        <f>SUM($AG$9:$AG$14)</f>
        <v>0</v>
      </c>
      <c r="AH16" s="909">
        <f>$AC16*AG16</f>
        <v>0</v>
      </c>
      <c r="AI16" s="344"/>
      <c r="AJ16" s="718"/>
      <c r="AK16" s="108"/>
      <c r="AL16" s="108"/>
      <c r="AM16" s="108"/>
      <c r="AN16" s="255"/>
      <c r="AO16" s="137"/>
      <c r="AP16" s="137"/>
      <c r="AQ16" s="951"/>
      <c r="AR16" s="951"/>
      <c r="AS16" s="952"/>
      <c r="AT16" s="952"/>
      <c r="AU16" s="952"/>
      <c r="AV16" s="952"/>
    </row>
    <row r="17" spans="1:52" s="122" customFormat="1" ht="16.149999999999999" customHeight="1" thickBot="1" x14ac:dyDescent="0.25">
      <c r="A17" s="37"/>
      <c r="B17" s="1011" t="str">
        <f>ListAVS!$B$71&amp;" "</f>
        <v xml:space="preserve">Ilość szafek </v>
      </c>
      <c r="C17" s="1012"/>
      <c r="D17" s="1012"/>
      <c r="E17" s="1012"/>
      <c r="F17" s="1012"/>
      <c r="G17" s="1012"/>
      <c r="H17" s="261">
        <v>1</v>
      </c>
      <c r="I17" s="273"/>
      <c r="J17" s="255"/>
      <c r="K17" s="255"/>
      <c r="L17" s="255"/>
      <c r="M17" s="315">
        <f>IF($H10*$H11*$P17=0,0,IF(SUM(O4:O7)=0,0,IF($H10&gt;1800,0, IF($H10&lt;220, 0, IF(AND(H12=0, H13&lt;14), 0, $H17)))))</f>
        <v>0</v>
      </c>
      <c r="N17" s="37"/>
      <c r="O17" s="690" t="s">
        <v>51</v>
      </c>
      <c r="P17" s="691">
        <f>IF(H12&gt;0,H12,H15)</f>
        <v>0</v>
      </c>
      <c r="Q17" s="37">
        <f>IF(SUM(H12,H15)=0,0,IF(H12&gt;0,1,2))</f>
        <v>0</v>
      </c>
      <c r="R17" s="571" t="s">
        <v>52</v>
      </c>
      <c r="S17" s="37"/>
      <c r="T17" s="37"/>
      <c r="U17" s="37"/>
      <c r="V17" s="37"/>
      <c r="W17" s="37"/>
      <c r="X17" s="37"/>
      <c r="Y17" s="890"/>
      <c r="Z17" s="890"/>
      <c r="AA17" s="890"/>
      <c r="AB17" s="665"/>
      <c r="AC17" s="907"/>
      <c r="AD17" s="908"/>
      <c r="AE17" s="901"/>
      <c r="AF17" s="909"/>
      <c r="AG17" s="901"/>
      <c r="AH17" s="909"/>
      <c r="AI17" s="344"/>
      <c r="AJ17" s="718"/>
      <c r="AK17" s="108"/>
      <c r="AL17" s="108"/>
      <c r="AM17" s="108"/>
      <c r="AN17" s="719"/>
      <c r="AO17" s="137"/>
      <c r="AP17" s="137"/>
      <c r="AQ17" s="951"/>
      <c r="AR17" s="951"/>
      <c r="AS17" s="952"/>
      <c r="AT17" s="952"/>
      <c r="AU17" s="952"/>
      <c r="AV17" s="952"/>
    </row>
    <row r="18" spans="1:52" s="122" customFormat="1" ht="16.149999999999999" customHeight="1" x14ac:dyDescent="0.2">
      <c r="A18" s="37"/>
      <c r="B18" s="255" t="str">
        <f>IF(H17&gt;0,IF(OR(Q17=0,M17=0), " ",IF(Q17=1,$N$67,$N$68))," ")&amp;IF(H17&gt;0,IF(OR(Q17=0, M17=0), " ",IF(Q17=1,$N$69,$N$70))," ")</f>
        <v xml:space="preserve">  </v>
      </c>
      <c r="C18" s="255"/>
      <c r="D18" s="255"/>
      <c r="E18" s="255"/>
      <c r="F18" s="433"/>
      <c r="G18" s="433"/>
      <c r="H18" s="255"/>
      <c r="I18" s="255"/>
      <c r="J18" s="255"/>
      <c r="K18" s="255"/>
      <c r="L18" s="255"/>
      <c r="M18" s="118"/>
      <c r="N18" s="119"/>
      <c r="O18" s="132"/>
      <c r="P18" s="132"/>
      <c r="Q18" s="119"/>
      <c r="R18" s="37"/>
      <c r="S18" s="37"/>
      <c r="T18" s="37"/>
      <c r="U18" s="37"/>
      <c r="V18" s="37"/>
      <c r="W18" s="37"/>
      <c r="X18" s="37"/>
      <c r="Y18" s="890"/>
      <c r="Z18" s="890"/>
      <c r="AA18" s="890"/>
      <c r="AB18" s="665"/>
      <c r="AC18" s="907"/>
      <c r="AD18" s="908"/>
      <c r="AE18" s="903"/>
      <c r="AF18" s="909"/>
      <c r="AG18" s="903"/>
      <c r="AH18" s="909"/>
      <c r="AI18" s="344"/>
      <c r="AJ18" s="716"/>
      <c r="AK18" s="108"/>
      <c r="AL18" s="108"/>
      <c r="AM18" s="108"/>
      <c r="AN18" s="720"/>
      <c r="AO18" s="137"/>
      <c r="AP18" s="137"/>
      <c r="AQ18" s="951"/>
      <c r="AR18" s="951"/>
      <c r="AS18" s="952"/>
      <c r="AT18" s="952"/>
      <c r="AU18" s="952"/>
      <c r="AV18" s="952"/>
      <c r="AW18" s="121"/>
      <c r="AX18" s="121"/>
      <c r="AY18" s="121"/>
      <c r="AZ18" s="121"/>
    </row>
    <row r="19" spans="1:52" s="122" customFormat="1" ht="25.15" customHeight="1" thickBot="1" x14ac:dyDescent="0.25">
      <c r="A19" s="37"/>
      <c r="B19" s="255"/>
      <c r="C19" s="255"/>
      <c r="D19" s="255"/>
      <c r="E19" s="255"/>
      <c r="F19" s="433"/>
      <c r="G19" s="433"/>
      <c r="H19" s="255"/>
      <c r="I19" s="255"/>
      <c r="J19" s="255"/>
      <c r="K19" s="255"/>
      <c r="L19" s="255"/>
      <c r="M19" s="118"/>
      <c r="N19" s="347" t="s">
        <v>81</v>
      </c>
      <c r="O19" s="344">
        <f>IF($H$10&gt;1360,1.5,IF($H$10&lt;610,0.5,1))</f>
        <v>0.5</v>
      </c>
      <c r="P19" s="317"/>
      <c r="Q19" s="347" t="s">
        <v>81</v>
      </c>
      <c r="R19" s="344">
        <f>IF($H$21&gt;1360,1.5,IF($H$21&lt;610,0.5,1))</f>
        <v>0.5</v>
      </c>
      <c r="S19" s="37"/>
      <c r="T19" s="37"/>
      <c r="U19" s="37"/>
      <c r="V19" s="37"/>
      <c r="W19" s="37"/>
      <c r="X19" s="37"/>
      <c r="Y19" s="890"/>
      <c r="Z19" s="890"/>
      <c r="AA19" s="890"/>
      <c r="AB19" s="665"/>
      <c r="AC19" s="907"/>
      <c r="AD19" s="908"/>
      <c r="AE19" s="903"/>
      <c r="AF19" s="909"/>
      <c r="AG19" s="903"/>
      <c r="AH19" s="909"/>
      <c r="AI19" s="344"/>
      <c r="AJ19" s="717"/>
      <c r="AK19" s="108"/>
      <c r="AL19" s="108"/>
      <c r="AM19" s="108"/>
      <c r="AN19" s="255"/>
      <c r="AO19" s="137"/>
      <c r="AP19" s="137"/>
      <c r="AQ19" s="951"/>
      <c r="AR19" s="951"/>
      <c r="AS19" s="952"/>
      <c r="AT19" s="952"/>
      <c r="AU19" s="952"/>
      <c r="AV19" s="952"/>
      <c r="AW19" s="121"/>
      <c r="AX19" s="121"/>
      <c r="AY19" s="121"/>
      <c r="AZ19" s="121"/>
    </row>
    <row r="20" spans="1:52" ht="16.149999999999999" customHeight="1" thickBot="1" x14ac:dyDescent="0.25">
      <c r="B20" s="1051" t="str">
        <f>"▼ "&amp;ListAVS!$B$318</f>
        <v>▼ Sposób otwierania</v>
      </c>
      <c r="C20" s="1052"/>
      <c r="D20" s="406" t="str">
        <f>IF($M$28&gt;0, ListAVS!$B$37&amp;": ", " ")</f>
        <v xml:space="preserve"> </v>
      </c>
      <c r="E20" s="688" t="str">
        <f>IF(SUM($AG$9:$AG$10)&gt;0,"22",IF(SUM($AG$11:$AG$12)&gt;0,"25",IF(SUM($AG$13:$AG$14)&gt;0,"28"," ")))</f>
        <v xml:space="preserve"> </v>
      </c>
      <c r="F20" s="1056" t="str">
        <f>ListAVS!$B$64&amp;" B"</f>
        <v>Korpus B</v>
      </c>
      <c r="G20" s="1057"/>
      <c r="H20" s="1058"/>
      <c r="I20" s="273"/>
      <c r="J20" s="255"/>
      <c r="K20" s="255"/>
      <c r="L20" s="255"/>
      <c r="N20" s="134" t="s">
        <v>82</v>
      </c>
      <c r="O20" s="132">
        <f>IF($H$16&gt;0,$H$16,IF($H$10&gt;1219,1,0))</f>
        <v>0</v>
      </c>
      <c r="P20" s="119"/>
      <c r="Q20" s="134" t="s">
        <v>82</v>
      </c>
      <c r="R20" s="132">
        <f>IF($H$27&gt;0,$H$27,IF($H$21&gt;1219,1,0))</f>
        <v>0</v>
      </c>
      <c r="Y20" s="890" t="str">
        <f>CenAVS!A47</f>
        <v xml:space="preserve">Zaślepki HF/HL/HS - Top bez SD jasnoszare HGR   </v>
      </c>
      <c r="Z20" s="890" t="str">
        <f>CenAVS!B47</f>
        <v>22.8000</v>
      </c>
      <c r="AA20" s="890" t="str">
        <f>CenAVS!C47</f>
        <v>HGR</v>
      </c>
      <c r="AB20" s="665">
        <f t="shared" si="0"/>
        <v>0</v>
      </c>
      <c r="AC20" s="907">
        <f>CenAVS!F47</f>
        <v>27.586120000000001</v>
      </c>
      <c r="AD20" s="908">
        <f t="shared" si="3"/>
        <v>0</v>
      </c>
      <c r="AE20" s="903">
        <f>IF(AND($Q$16=1,$T$46=1),SUM($AE$9:$AE$14),0)</f>
        <v>0</v>
      </c>
      <c r="AF20" s="909">
        <f t="shared" si="1"/>
        <v>0</v>
      </c>
      <c r="AG20" s="903">
        <f>IF(AND($Q$27=1,$T$46=1),SUM($AG$9:$AG$14),0)</f>
        <v>0</v>
      </c>
      <c r="AH20" s="909">
        <f t="shared" si="2"/>
        <v>0</v>
      </c>
      <c r="AI20" s="344"/>
      <c r="AJ20" s="718"/>
      <c r="AK20" s="108"/>
      <c r="AL20" s="108"/>
      <c r="AM20" s="108"/>
      <c r="AN20" s="255"/>
      <c r="AO20" s="137"/>
      <c r="AP20" s="137"/>
      <c r="AQ20" s="137"/>
      <c r="AR20" s="137"/>
    </row>
    <row r="21" spans="1:52" ht="16.149999999999999" customHeight="1" x14ac:dyDescent="0.2">
      <c r="B21" s="1011" t="str">
        <f>ListAVS!$B$74&amp;" KB [mm] "</f>
        <v xml:space="preserve">Szerokość korpusu KB [mm] </v>
      </c>
      <c r="C21" s="1012"/>
      <c r="D21" s="1012"/>
      <c r="E21" s="1012"/>
      <c r="F21" s="1012"/>
      <c r="G21" s="1013"/>
      <c r="H21" s="257"/>
      <c r="I21" s="256" t="str">
        <f>IF($H21=0," ",IF($H21&lt;220," min. 220mm",IF($H21&gt;1800," max. 1 800mm"," ")))&amp;IF(H28&gt;0,IF(H21=0,"● "&amp;ListAVS!$B$129," ")," ")</f>
        <v xml:space="preserve">  </v>
      </c>
      <c r="J21" s="255"/>
      <c r="K21" s="255"/>
      <c r="L21" s="255"/>
      <c r="N21" s="135"/>
      <c r="O21" s="132"/>
      <c r="P21" s="136"/>
      <c r="Q21" s="119"/>
      <c r="R21" s="717"/>
      <c r="S21" s="717"/>
      <c r="T21" s="346"/>
      <c r="Y21" s="890" t="str">
        <f>CenAVS!A48</f>
        <v xml:space="preserve">zaślepki HF/HL/HS - Top bez SD ciemnoszare TGR   </v>
      </c>
      <c r="Z21" s="890" t="str">
        <f>CenAVS!B48</f>
        <v>22.8000</v>
      </c>
      <c r="AA21" s="890" t="str">
        <f>CenAVS!C48</f>
        <v>TGR</v>
      </c>
      <c r="AB21" s="665">
        <f t="shared" si="0"/>
        <v>0</v>
      </c>
      <c r="AC21" s="907">
        <f>CenAVS!F48</f>
        <v>30.106369999999998</v>
      </c>
      <c r="AD21" s="908">
        <f t="shared" si="3"/>
        <v>0</v>
      </c>
      <c r="AE21" s="903">
        <f>IF(AND($Q$16=1,$T$46=2),SUM($AE$9:$AE$14),0)</f>
        <v>0</v>
      </c>
      <c r="AF21" s="909">
        <f t="shared" si="1"/>
        <v>0</v>
      </c>
      <c r="AG21" s="903">
        <f>IF(AND($Q$27=1,$T$46=2),SUM($AG$9:$AG$14),0)</f>
        <v>0</v>
      </c>
      <c r="AH21" s="909">
        <f t="shared" si="2"/>
        <v>0</v>
      </c>
      <c r="AI21" s="344"/>
      <c r="AJ21" s="718"/>
      <c r="AK21" s="108"/>
      <c r="AL21" s="108"/>
      <c r="AM21" s="108"/>
      <c r="AN21" s="255"/>
      <c r="AO21" s="137"/>
      <c r="AP21" s="137"/>
      <c r="AQ21" s="137"/>
      <c r="AR21" s="137"/>
    </row>
    <row r="22" spans="1:52" ht="16.149999999999999" customHeight="1" x14ac:dyDescent="0.2">
      <c r="B22" s="1011" t="str">
        <f>ListAVS!$B$75&amp;" KH [mm] "</f>
        <v xml:space="preserve">Wysokość korpusu KH [mm] </v>
      </c>
      <c r="C22" s="1012"/>
      <c r="D22" s="1012"/>
      <c r="E22" s="1012"/>
      <c r="F22" s="1012"/>
      <c r="G22" s="1013"/>
      <c r="H22" s="257"/>
      <c r="I22" s="273" t="str">
        <f>IF($H22=0," ",IF($H22&lt;350," min. 350mm",IF($H22&gt;800," max. 800 mm"," ")))&amp;IF(H28&gt;0,IF(H22=0,"● "&amp;ListAVS!$B$129," ")," ")</f>
        <v xml:space="preserve">  </v>
      </c>
      <c r="J22" s="255"/>
      <c r="K22" s="255"/>
      <c r="L22" s="255"/>
      <c r="N22" s="119"/>
      <c r="O22" s="132"/>
      <c r="P22" s="132"/>
      <c r="Q22" s="119"/>
      <c r="R22" s="718"/>
      <c r="S22" s="718"/>
      <c r="T22" s="346"/>
      <c r="U22" s="344"/>
      <c r="V22" s="344"/>
      <c r="W22" s="344"/>
      <c r="X22" s="344"/>
      <c r="Y22" s="890" t="str">
        <f>CenAVS!A49</f>
        <v xml:space="preserve">Zaślepki HF/HL/HS - Top bez SD białe SW   </v>
      </c>
      <c r="Z22" s="890" t="str">
        <f>CenAVS!B49</f>
        <v>22.8000</v>
      </c>
      <c r="AA22" s="890" t="str">
        <f>CenAVS!C49</f>
        <v>SW</v>
      </c>
      <c r="AB22" s="665">
        <f t="shared" si="0"/>
        <v>0</v>
      </c>
      <c r="AC22" s="907">
        <f>CenAVS!F49</f>
        <v>30.106369999999998</v>
      </c>
      <c r="AD22" s="908">
        <f t="shared" si="3"/>
        <v>0</v>
      </c>
      <c r="AE22" s="903">
        <f>IF(AND($Q$16=1,$T$46=3),SUM($AE$9:$AE$14),0)</f>
        <v>0</v>
      </c>
      <c r="AF22" s="909">
        <f t="shared" si="1"/>
        <v>0</v>
      </c>
      <c r="AG22" s="903">
        <f>IF(AND($Q$27=1,$T$46=3),SUM($AG$9:$AG$14),0)</f>
        <v>0</v>
      </c>
      <c r="AH22" s="909">
        <f t="shared" si="2"/>
        <v>0</v>
      </c>
      <c r="AI22" s="344"/>
      <c r="AK22" s="108"/>
      <c r="AL22" s="108"/>
      <c r="AM22" s="108"/>
      <c r="AN22" s="255"/>
      <c r="AO22" s="137"/>
      <c r="AP22" s="137"/>
      <c r="AQ22" s="137"/>
      <c r="AR22" s="137"/>
    </row>
    <row r="23" spans="1:52" ht="16.149999999999999" customHeight="1" x14ac:dyDescent="0.2">
      <c r="B23" s="1011" t="str">
        <f>ListAVS!$B$77&amp;" [kg] ** "</f>
        <v xml:space="preserve">Waga frontu wraz z uchwytem [kg] ** </v>
      </c>
      <c r="C23" s="1012"/>
      <c r="D23" s="1012"/>
      <c r="E23" s="1012"/>
      <c r="F23" s="1012"/>
      <c r="G23" s="1013"/>
      <c r="H23" s="258"/>
      <c r="I23" s="227" t="str">
        <f>IF($H28=0," ",IF(SUM($H23,$H26)=0,$N$54," "))&amp;IF(AND(SUM($R$4:$R$7)=0, T23="ano", $T24="ne",H23&gt;0),$N$58,IF(AND($H28&gt;0,$H23&gt;0, $M28&gt;0, $T24="ano"),$N$55," "))</f>
        <v xml:space="preserve">  </v>
      </c>
      <c r="J23" s="255"/>
      <c r="K23" s="255"/>
      <c r="L23" s="255"/>
      <c r="N23" s="119"/>
      <c r="O23" s="132"/>
      <c r="P23" s="132"/>
      <c r="Q23" s="119"/>
      <c r="R23" s="718"/>
      <c r="S23" s="717" t="s">
        <v>79</v>
      </c>
      <c r="T23" s="928" t="str">
        <f>IF(AND(219&lt;H21,H21&lt;1801,349&lt;H22,H22&lt;801),"ano","ne")</f>
        <v>ne</v>
      </c>
      <c r="U23" s="344"/>
      <c r="V23" s="344"/>
      <c r="W23" s="344"/>
      <c r="X23" s="344"/>
      <c r="Y23" s="890" t="str">
        <f>CenAVS!A50</f>
        <v xml:space="preserve">zaślepki HF/HL/HS - Top do SD jasnoszare HGR   </v>
      </c>
      <c r="Z23" s="890" t="str">
        <f>CenAVS!B50</f>
        <v>23.8000</v>
      </c>
      <c r="AA23" s="890" t="str">
        <f>CenAVS!C50</f>
        <v>HGR</v>
      </c>
      <c r="AB23" s="665">
        <f t="shared" si="0"/>
        <v>0</v>
      </c>
      <c r="AC23" s="907">
        <f>CenAVS!F50</f>
        <v>284.41748999999999</v>
      </c>
      <c r="AD23" s="908">
        <f t="shared" si="3"/>
        <v>0</v>
      </c>
      <c r="AE23" s="903">
        <f>IF(AND($Q$16=2,$T$46=1),SUM($AE$9:$AE$14),0)</f>
        <v>0</v>
      </c>
      <c r="AF23" s="909">
        <f t="shared" si="1"/>
        <v>0</v>
      </c>
      <c r="AG23" s="903">
        <f>IF(AND($Q$27=2,$T$46=1),SUM($AG$9:$AG$14),0)</f>
        <v>0</v>
      </c>
      <c r="AH23" s="909">
        <f t="shared" si="2"/>
        <v>0</v>
      </c>
      <c r="AI23" s="344"/>
      <c r="AK23" s="108"/>
      <c r="AL23" s="108"/>
      <c r="AM23" s="108"/>
      <c r="AN23" s="37"/>
      <c r="AO23" s="137"/>
      <c r="AP23" s="137"/>
      <c r="AQ23" s="137"/>
      <c r="AR23" s="137"/>
    </row>
    <row r="24" spans="1:52" ht="16.149999999999999" customHeight="1" x14ac:dyDescent="0.2">
      <c r="B24" s="1055" t="str">
        <f>ListAVS!$B$293</f>
        <v>Obliczenie wagi</v>
      </c>
      <c r="C24" s="1055"/>
      <c r="D24" s="1053" t="str">
        <f>ListAVS!$B$80&amp;" TS [mm] "</f>
        <v xml:space="preserve">Grubość frontu TS [mm] </v>
      </c>
      <c r="E24" s="1053"/>
      <c r="F24" s="1053"/>
      <c r="G24" s="1054"/>
      <c r="H24" s="258"/>
      <c r="I24" s="256" t="str">
        <f>IF(H28=0," ",IF(AND(H23=0, H24=0)," ● "&amp;ListAVS!$B$129," "))&amp;IF(H28=0," ",IF(AND(H23=0, H24&lt;14), " min. 14 mm", " "))</f>
        <v xml:space="preserve">  </v>
      </c>
      <c r="J24" s="255"/>
      <c r="K24" s="255"/>
      <c r="L24" s="255"/>
      <c r="N24" s="119"/>
      <c r="O24" s="132"/>
      <c r="P24" s="132"/>
      <c r="Q24" s="119"/>
      <c r="R24" s="718"/>
      <c r="S24" s="717" t="s">
        <v>710</v>
      </c>
      <c r="T24" s="928" t="str">
        <f>IF(AND($H$22&gt;=$AC$51, $H$22&lt;=$AD$51, $P$28&gt;=$AE$51, $P$28&lt;=$AF$51), "ano", IF(AND($H$22&gt;=$AC$52, $H$22&lt;=$AD$52, $P$28&gt;=$AE$52, $P$28&lt;=$AF$52), "ano", IF(AND($H$22&gt;=$AC$53, $H$22&lt;=$AD$53, $P$28&gt;=$AE$53, $P$28&lt;=$AF$53), "ano", IF(AND($H$22&gt;=$AC$54, $H$22&lt;=$AD$54, $P$28&gt;=$AE$54, $P$28&lt;=$AF$54), "ano", "ne"))))</f>
        <v>ne</v>
      </c>
      <c r="U24" s="344"/>
      <c r="V24" s="344"/>
      <c r="W24" s="344"/>
      <c r="X24" s="344"/>
      <c r="Y24" s="890" t="str">
        <f>CenAVS!A51</f>
        <v xml:space="preserve">Zaślepki HF/HL/HS - Top do SD ciemnoszare TGR   </v>
      </c>
      <c r="Z24" s="890" t="str">
        <f>CenAVS!B51</f>
        <v>23.8000</v>
      </c>
      <c r="AA24" s="890" t="str">
        <f>CenAVS!C51</f>
        <v>TGR</v>
      </c>
      <c r="AB24" s="665">
        <f t="shared" si="0"/>
        <v>0</v>
      </c>
      <c r="AC24" s="907">
        <f>CenAVS!F51</f>
        <v>295.60313000000002</v>
      </c>
      <c r="AD24" s="908">
        <f t="shared" si="3"/>
        <v>0</v>
      </c>
      <c r="AE24" s="901">
        <f>IF(AND($Q$16=2,$T$46=2),SUM($AE$9:$AE$14),0)</f>
        <v>0</v>
      </c>
      <c r="AF24" s="909">
        <f t="shared" si="1"/>
        <v>0</v>
      </c>
      <c r="AG24" s="901">
        <f>IF(AND($Q$27=2,$T$46=2),SUM($AG$9:$AG$14),0)</f>
        <v>0</v>
      </c>
      <c r="AH24" s="909">
        <f t="shared" si="2"/>
        <v>0</v>
      </c>
      <c r="AI24" s="344"/>
      <c r="AK24" s="108"/>
      <c r="AL24" s="108"/>
      <c r="AM24" s="108"/>
      <c r="AN24" s="137"/>
      <c r="AO24" s="37"/>
      <c r="AP24" s="37"/>
      <c r="AQ24" s="37"/>
      <c r="AR24" s="37"/>
    </row>
    <row r="25" spans="1:52" ht="16.149999999999999" customHeight="1" x14ac:dyDescent="0.2">
      <c r="B25" s="1055"/>
      <c r="C25" s="1055"/>
      <c r="D25" s="1053" t="str">
        <f>ListAVS!$B$83&amp;" [kg] "</f>
        <v xml:space="preserve">Waga uchwytu [kg] </v>
      </c>
      <c r="E25" s="1053"/>
      <c r="F25" s="1053"/>
      <c r="G25" s="1054"/>
      <c r="H25" s="258"/>
      <c r="I25" s="256" t="str">
        <f>IF(H28=0, " ", IF(AND(H23=0, Q27=1, H25=0), " ● "&amp;ListAVS!$B$130," "))</f>
        <v xml:space="preserve"> </v>
      </c>
      <c r="J25" s="255"/>
      <c r="K25" s="255"/>
      <c r="L25" s="255"/>
      <c r="N25" s="119"/>
      <c r="O25" s="132"/>
      <c r="P25" s="132"/>
      <c r="Q25" s="119"/>
      <c r="R25" s="718"/>
      <c r="S25" s="717"/>
      <c r="T25" s="346"/>
      <c r="U25" s="344"/>
      <c r="V25" s="344"/>
      <c r="W25" s="344"/>
      <c r="X25" s="344"/>
      <c r="Y25" s="890" t="str">
        <f>CenAVS!A52</f>
        <v xml:space="preserve">Zaślepki HF/HL/HS - Top do SD białe SW   </v>
      </c>
      <c r="Z25" s="890" t="str">
        <f>CenAVS!B52</f>
        <v>23.8000</v>
      </c>
      <c r="AA25" s="890" t="str">
        <f>CenAVS!C52</f>
        <v>SW</v>
      </c>
      <c r="AB25" s="665">
        <f t="shared" si="0"/>
        <v>0</v>
      </c>
      <c r="AC25" s="907">
        <f>CenAVS!F52</f>
        <v>295.60313000000002</v>
      </c>
      <c r="AD25" s="908">
        <f t="shared" si="3"/>
        <v>0</v>
      </c>
      <c r="AE25" s="901">
        <f>IF(AND($Q$16=2,$T$46=3),SUM($AE$9:$AE$14),0)</f>
        <v>0</v>
      </c>
      <c r="AF25" s="909">
        <f t="shared" si="1"/>
        <v>0</v>
      </c>
      <c r="AG25" s="901">
        <f>IF(AND($Q$27=2,$T$46=3),SUM($AG$9:$AG$14),0)</f>
        <v>0</v>
      </c>
      <c r="AH25" s="909">
        <f t="shared" si="2"/>
        <v>0</v>
      </c>
      <c r="AI25" s="344"/>
      <c r="AK25" s="108"/>
      <c r="AL25" s="108"/>
      <c r="AM25" s="108"/>
      <c r="AN25" s="137"/>
      <c r="AO25" s="137"/>
      <c r="AP25" s="137"/>
      <c r="AQ25" s="137"/>
      <c r="AR25" s="137"/>
    </row>
    <row r="26" spans="1:52" ht="16.149999999999999" customHeight="1" x14ac:dyDescent="0.2">
      <c r="B26" s="1055"/>
      <c r="C26" s="1055"/>
      <c r="D26" s="1053" t="str">
        <f>ListAVS!$B$79&amp;" [kg] "</f>
        <v xml:space="preserve">Obliczona waga frontu [kg] </v>
      </c>
      <c r="E26" s="1053"/>
      <c r="F26" s="1053"/>
      <c r="G26" s="1054"/>
      <c r="H26" s="259">
        <f>$T$101</f>
        <v>0</v>
      </c>
      <c r="I26" s="227" t="str">
        <f>IF(AND($H28&gt;0,$H26&gt;0,$H23=0,$M28&gt;0), $N$41," ")&amp;IF(AND(H28&gt;0, H23=0, Z98=3, $J$4=0), $N$39, " ")</f>
        <v xml:space="preserve">  </v>
      </c>
      <c r="J26" s="255"/>
      <c r="K26" s="255"/>
      <c r="L26" s="255"/>
      <c r="O26" s="718"/>
      <c r="P26" s="132" t="s">
        <v>80</v>
      </c>
      <c r="Q26" s="119"/>
      <c r="R26" s="718"/>
      <c r="T26" s="346"/>
      <c r="U26" s="344"/>
      <c r="V26" s="344"/>
      <c r="W26" s="344"/>
      <c r="X26" s="344"/>
      <c r="Y26" s="890"/>
      <c r="Z26" s="890"/>
      <c r="AA26" s="890"/>
      <c r="AB26" s="665"/>
      <c r="AC26" s="907"/>
      <c r="AD26" s="908"/>
      <c r="AE26" s="903"/>
      <c r="AF26" s="909"/>
      <c r="AG26" s="903"/>
      <c r="AH26" s="909"/>
      <c r="AI26" s="344"/>
      <c r="AK26" s="108"/>
      <c r="AL26" s="108"/>
      <c r="AM26" s="108"/>
      <c r="AN26" s="108"/>
      <c r="AO26" s="137"/>
      <c r="AP26" s="137"/>
      <c r="AQ26" s="137"/>
      <c r="AR26" s="137"/>
    </row>
    <row r="27" spans="1:52" ht="16.149999999999999" customHeight="1" thickBot="1" x14ac:dyDescent="0.25">
      <c r="B27" s="1011" t="str">
        <f>ListAVS!$B$29&amp;" * "</f>
        <v xml:space="preserve">Liczba ścianek środkowych * </v>
      </c>
      <c r="C27" s="1012"/>
      <c r="D27" s="1012"/>
      <c r="E27" s="1012"/>
      <c r="F27" s="1012"/>
      <c r="G27" s="1013"/>
      <c r="H27" s="259"/>
      <c r="I27" s="256" t="str">
        <f>IF(AND(H27&gt;0, Q27=2), $N$53, " ")</f>
        <v xml:space="preserve"> </v>
      </c>
      <c r="J27" s="255"/>
      <c r="K27" s="248"/>
      <c r="L27" s="255"/>
      <c r="M27" s="118"/>
      <c r="O27" s="1141" t="b">
        <v>0</v>
      </c>
      <c r="P27" s="1142"/>
      <c r="Q27" s="131">
        <v>1</v>
      </c>
      <c r="R27" s="718"/>
      <c r="T27" s="346"/>
      <c r="U27" s="344"/>
      <c r="V27" s="344"/>
      <c r="W27" s="344"/>
      <c r="X27" s="344"/>
      <c r="Y27" s="890"/>
      <c r="Z27" s="890"/>
      <c r="AA27" s="890"/>
      <c r="AB27" s="665"/>
      <c r="AC27" s="907"/>
      <c r="AD27" s="908"/>
      <c r="AE27" s="901"/>
      <c r="AF27" s="909"/>
      <c r="AG27" s="901"/>
      <c r="AH27" s="909"/>
      <c r="AI27" s="344"/>
      <c r="AK27" s="108"/>
      <c r="AL27" s="108"/>
      <c r="AM27" s="108"/>
      <c r="AN27" s="693"/>
      <c r="AO27" s="137"/>
      <c r="AP27" s="137"/>
      <c r="AQ27" s="137"/>
      <c r="AR27" s="137"/>
    </row>
    <row r="28" spans="1:52" ht="16.149999999999999" customHeight="1" thickBot="1" x14ac:dyDescent="0.25">
      <c r="B28" s="1011" t="str">
        <f>ListAVS!$B$71&amp;" "</f>
        <v xml:space="preserve">Ilość szafek </v>
      </c>
      <c r="C28" s="1012"/>
      <c r="D28" s="1012"/>
      <c r="E28" s="1012"/>
      <c r="F28" s="1012"/>
      <c r="G28" s="1012"/>
      <c r="H28" s="261"/>
      <c r="I28" s="273"/>
      <c r="J28" s="264"/>
      <c r="K28" s="396"/>
      <c r="L28" s="265"/>
      <c r="M28" s="315">
        <f>IF($H21*$H22*$P28=0,0,IF(SUM(R4:R7)=0,0,IF($H21&gt;1800,0, IF($H21&lt;220, 0, IF(AND(H23=0, H24&lt;14), 0, $H28)))))</f>
        <v>0</v>
      </c>
      <c r="O28" s="690" t="s">
        <v>51</v>
      </c>
      <c r="P28" s="691">
        <f>IF(H23&gt;0,H23,H26)</f>
        <v>0</v>
      </c>
      <c r="Q28" s="37">
        <f>IF(SUM(H23,H26)=0,0,IF(H23&gt;0,1,2))</f>
        <v>0</v>
      </c>
      <c r="R28" s="571" t="s">
        <v>52</v>
      </c>
      <c r="T28" s="345"/>
      <c r="U28" s="344"/>
      <c r="V28" s="344"/>
      <c r="W28" s="344"/>
      <c r="X28" s="344"/>
      <c r="Y28" s="890"/>
      <c r="Z28" s="890"/>
      <c r="AA28" s="890"/>
      <c r="AB28" s="665"/>
      <c r="AC28" s="907"/>
      <c r="AD28" s="908"/>
      <c r="AE28" s="901"/>
      <c r="AF28" s="909"/>
      <c r="AG28" s="901"/>
      <c r="AH28" s="909"/>
      <c r="AI28" s="344"/>
      <c r="AK28" s="108"/>
      <c r="AL28" s="108"/>
      <c r="AM28" s="108"/>
      <c r="AN28" s="693"/>
      <c r="AO28" s="137"/>
      <c r="AP28" s="137"/>
      <c r="AQ28" s="137"/>
      <c r="AR28" s="137"/>
    </row>
    <row r="29" spans="1:52" ht="16.149999999999999" customHeight="1" x14ac:dyDescent="0.2">
      <c r="B29" s="255" t="str">
        <f>IF(H28&gt;0,IF(OR(Q28=0,M28=0), " ",IF(Q28=1,$N$67,$N$68))," ")&amp;IF(H28&gt;0,IF(OR(Q28=0, M28=0), " ",IF(Q28=1,$N$69,$N$70))," ")</f>
        <v xml:space="preserve">  </v>
      </c>
      <c r="C29" s="255"/>
      <c r="D29" s="255"/>
      <c r="E29" s="255"/>
      <c r="F29" s="255"/>
      <c r="G29" s="255"/>
      <c r="H29" s="273"/>
      <c r="I29" s="273"/>
      <c r="J29" s="266"/>
      <c r="K29" s="266"/>
      <c r="L29" s="266"/>
      <c r="N29" s="137"/>
      <c r="O29" s="137"/>
      <c r="P29" s="137"/>
      <c r="Q29" s="137"/>
      <c r="T29" s="346"/>
      <c r="U29" s="344"/>
      <c r="V29" s="344"/>
      <c r="W29" s="344"/>
      <c r="X29" s="344"/>
      <c r="Y29" s="890" t="str">
        <f>CenAVS!A78</f>
        <v xml:space="preserve">mocowanie frontu do HK Top, HS/Top, HL/Top    </v>
      </c>
      <c r="Z29" s="890" t="str">
        <f>CenAVS!B78</f>
        <v>20S4200</v>
      </c>
      <c r="AA29" s="890" t="str">
        <f>CenAVS!C78</f>
        <v>NI</v>
      </c>
      <c r="AB29" s="665">
        <f t="shared" si="0"/>
        <v>0</v>
      </c>
      <c r="AC29" s="907">
        <f>CenAVS!F78</f>
        <v>9.9925899999999999</v>
      </c>
      <c r="AD29" s="908">
        <f t="shared" si="3"/>
        <v>0</v>
      </c>
      <c r="AE29" s="901">
        <f>IF($O$46=2,SUM(AE$16:AE$17),0)</f>
        <v>0</v>
      </c>
      <c r="AF29" s="909">
        <f t="shared" ref="AF29:AF38" si="4">$AC29*AE29</f>
        <v>0</v>
      </c>
      <c r="AG29" s="901">
        <f>IF($O$46=2,SUM(AG$16:AG$17),0)</f>
        <v>0</v>
      </c>
      <c r="AH29" s="909">
        <f t="shared" si="2"/>
        <v>0</v>
      </c>
      <c r="AI29" s="344"/>
      <c r="AK29" s="108"/>
      <c r="AL29" s="108"/>
      <c r="AM29" s="108"/>
      <c r="AN29" s="693"/>
      <c r="AO29" s="137"/>
      <c r="AP29" s="137"/>
      <c r="AQ29" s="137"/>
      <c r="AR29" s="137"/>
    </row>
    <row r="30" spans="1:52" ht="16.149999999999999" customHeight="1" x14ac:dyDescent="0.2">
      <c r="A30" s="137"/>
      <c r="B30" s="396"/>
      <c r="C30" s="248"/>
      <c r="D30" s="396"/>
      <c r="E30" s="396"/>
      <c r="F30" s="274"/>
      <c r="G30" s="274"/>
      <c r="H30" s="396"/>
      <c r="I30" s="264"/>
      <c r="J30" s="264"/>
      <c r="K30" s="396"/>
      <c r="L30" s="265"/>
      <c r="N30" s="137"/>
      <c r="O30" s="137"/>
      <c r="P30" s="137"/>
      <c r="Q30" s="137"/>
      <c r="T30" s="346"/>
      <c r="U30" s="344"/>
      <c r="V30" s="344"/>
      <c r="W30" s="344"/>
      <c r="X30" s="344"/>
      <c r="Y30" s="890" t="str">
        <f>CenAVS!A79</f>
        <v xml:space="preserve">mocowanie frontu HS, HK top, HL Expando    </v>
      </c>
      <c r="Z30" s="890" t="str">
        <f>CenAVS!B79</f>
        <v>20S42E1</v>
      </c>
      <c r="AA30" s="890" t="str">
        <f>CenAVS!C79</f>
        <v>NI</v>
      </c>
      <c r="AB30" s="665">
        <f t="shared" si="0"/>
        <v>0</v>
      </c>
      <c r="AC30" s="907">
        <f>CenAVS!F79</f>
        <v>6.2138699999999991</v>
      </c>
      <c r="AD30" s="908">
        <f t="shared" si="3"/>
        <v>0</v>
      </c>
      <c r="AE30" s="901">
        <f>IF($O$46=1,SUM(AE$16:AE$17)*2,0)</f>
        <v>0</v>
      </c>
      <c r="AF30" s="909">
        <f t="shared" si="4"/>
        <v>0</v>
      </c>
      <c r="AG30" s="901">
        <f>IF($O$46=1,SUM(AG$16:AG$17)*2,0)</f>
        <v>0</v>
      </c>
      <c r="AH30" s="909">
        <f t="shared" si="2"/>
        <v>0</v>
      </c>
      <c r="AI30" s="344"/>
      <c r="AK30" s="108"/>
      <c r="AL30" s="108"/>
      <c r="AM30" s="108"/>
      <c r="AN30" s="108"/>
      <c r="AO30" s="137"/>
      <c r="AP30" s="137"/>
      <c r="AQ30" s="137"/>
      <c r="AR30" s="137"/>
    </row>
    <row r="31" spans="1:52" ht="16.149999999999999" customHeight="1" x14ac:dyDescent="0.2">
      <c r="B31" s="1109" t="str">
        <f>IF(OR(AND($Q$16=2, $M$17&gt;0), AND($Q$27=2, $M$28&gt;0)), ListAVS!$B$176, " ")</f>
        <v xml:space="preserve"> </v>
      </c>
      <c r="C31" s="1109"/>
      <c r="D31" s="1109"/>
      <c r="E31" s="1109"/>
      <c r="F31" s="1109"/>
      <c r="G31" s="1109"/>
      <c r="H31" s="1109"/>
      <c r="I31" s="1109"/>
      <c r="J31" s="1109"/>
      <c r="K31" s="397"/>
      <c r="L31" s="397"/>
      <c r="O31" s="138">
        <f>IF($P$31=FALSE,2,1)</f>
        <v>2</v>
      </c>
      <c r="P31" s="1063" t="b">
        <v>0</v>
      </c>
      <c r="Q31" s="1064"/>
      <c r="R31" s="139" t="s">
        <v>56</v>
      </c>
      <c r="S31" s="140"/>
      <c r="T31" s="346"/>
      <c r="U31" s="344"/>
      <c r="V31" s="344"/>
      <c r="W31" s="344"/>
      <c r="X31" s="344"/>
      <c r="Y31" s="890" t="str">
        <f>CenAVS!A80</f>
        <v>mocow. frontu do cienkich materiałów Aventos HK, HL, HS, Expando T</v>
      </c>
      <c r="Z31" s="890" t="str">
        <f>CenAVS!B80</f>
        <v>20S42T1</v>
      </c>
      <c r="AA31" s="890" t="str">
        <f>CenAVS!C80</f>
        <v>NI</v>
      </c>
      <c r="AB31" s="665">
        <f t="shared" si="0"/>
        <v>0</v>
      </c>
      <c r="AC31" s="907">
        <f>CenAVS!F80</f>
        <v>31.992830000000005</v>
      </c>
      <c r="AD31" s="908">
        <f t="shared" si="3"/>
        <v>0</v>
      </c>
      <c r="AE31" s="901"/>
      <c r="AF31" s="909">
        <f t="shared" si="4"/>
        <v>0</v>
      </c>
      <c r="AG31" s="901"/>
      <c r="AH31" s="909">
        <f t="shared" si="2"/>
        <v>0</v>
      </c>
      <c r="AK31" s="108"/>
      <c r="AL31" s="108"/>
      <c r="AM31" s="108"/>
      <c r="AN31" s="710"/>
      <c r="AO31" s="137"/>
      <c r="AP31" s="137"/>
      <c r="AQ31" s="137"/>
      <c r="AR31" s="137"/>
    </row>
    <row r="32" spans="1:52" ht="13.5" customHeight="1" x14ac:dyDescent="0.2">
      <c r="B32" s="1109"/>
      <c r="C32" s="1109"/>
      <c r="D32" s="1109"/>
      <c r="E32" s="1109"/>
      <c r="F32" s="1109"/>
      <c r="G32" s="1109"/>
      <c r="H32" s="1109"/>
      <c r="I32" s="1109"/>
      <c r="J32" s="1109"/>
      <c r="K32" s="397"/>
      <c r="L32" s="397"/>
      <c r="T32" s="346"/>
      <c r="U32" s="344"/>
      <c r="V32" s="344"/>
      <c r="W32" s="344"/>
      <c r="X32" s="344"/>
      <c r="Y32" s="890" t="str">
        <f>CenAVS!A81</f>
        <v xml:space="preserve">mocowanie frontu alu HK Top, HS/Top, HL/Top    </v>
      </c>
      <c r="Z32" s="890" t="str">
        <f>CenAVS!B81</f>
        <v>20S4200A</v>
      </c>
      <c r="AA32" s="890" t="str">
        <f>CenAVS!C81</f>
        <v>NI</v>
      </c>
      <c r="AB32" s="665">
        <f t="shared" si="0"/>
        <v>0</v>
      </c>
      <c r="AC32" s="907">
        <f>CenAVS!F81</f>
        <v>43.392219999999995</v>
      </c>
      <c r="AD32" s="908">
        <f t="shared" si="3"/>
        <v>0</v>
      </c>
      <c r="AE32" s="901"/>
      <c r="AF32" s="909">
        <f t="shared" si="4"/>
        <v>0</v>
      </c>
      <c r="AG32" s="901"/>
      <c r="AH32" s="909">
        <f t="shared" si="2"/>
        <v>0</v>
      </c>
      <c r="AK32" s="137"/>
      <c r="AL32" s="108"/>
      <c r="AM32" s="108"/>
      <c r="AN32" s="108"/>
      <c r="AO32" s="137"/>
      <c r="AP32" s="137"/>
      <c r="AQ32" s="137"/>
      <c r="AR32" s="137"/>
    </row>
    <row r="33" spans="2:52" ht="13.5" customHeight="1" x14ac:dyDescent="0.2">
      <c r="B33" s="1109"/>
      <c r="C33" s="1109"/>
      <c r="D33" s="1109"/>
      <c r="E33" s="1109"/>
      <c r="F33" s="1109"/>
      <c r="G33" s="1109"/>
      <c r="H33" s="1109"/>
      <c r="I33" s="1109"/>
      <c r="J33" s="1109"/>
      <c r="K33" s="266"/>
      <c r="L33" s="255"/>
      <c r="T33" s="346"/>
      <c r="U33" s="344"/>
      <c r="V33" s="344"/>
      <c r="W33" s="344"/>
      <c r="X33" s="344"/>
      <c r="Y33" s="890" t="str">
        <f>CenAVS!A82</f>
        <v xml:space="preserve">          </v>
      </c>
      <c r="Z33" s="890">
        <f>CenAVS!B82</f>
        <v>0</v>
      </c>
      <c r="AA33" s="890">
        <f>CenAVS!C82</f>
        <v>0</v>
      </c>
      <c r="AB33" s="665">
        <f t="shared" si="0"/>
        <v>0</v>
      </c>
      <c r="AC33" s="907">
        <f>CenAVS!F82</f>
        <v>0</v>
      </c>
      <c r="AD33" s="908">
        <f t="shared" si="3"/>
        <v>0</v>
      </c>
      <c r="AE33" s="901"/>
      <c r="AF33" s="909">
        <f t="shared" si="4"/>
        <v>0</v>
      </c>
      <c r="AG33" s="901"/>
      <c r="AH33" s="909">
        <f t="shared" si="2"/>
        <v>0</v>
      </c>
      <c r="AK33" s="137"/>
      <c r="AL33" s="108"/>
      <c r="AM33" s="108"/>
      <c r="AN33" s="108"/>
      <c r="AO33" s="137"/>
      <c r="AP33" s="137"/>
      <c r="AQ33" s="137"/>
      <c r="AR33" s="137"/>
    </row>
    <row r="34" spans="2:52" ht="13.5" customHeight="1" x14ac:dyDescent="0.2">
      <c r="B34" s="272"/>
      <c r="C34" s="255"/>
      <c r="D34" s="266"/>
      <c r="E34" s="266"/>
      <c r="F34" s="266"/>
      <c r="G34" s="266"/>
      <c r="H34" s="266"/>
      <c r="I34" s="255"/>
      <c r="J34" s="266"/>
      <c r="K34" s="266"/>
      <c r="L34" s="255"/>
      <c r="U34" s="344"/>
      <c r="V34" s="344"/>
      <c r="W34" s="344"/>
      <c r="X34" s="344"/>
      <c r="Y34" s="890"/>
      <c r="Z34" s="890"/>
      <c r="AA34" s="890"/>
      <c r="AB34" s="665"/>
      <c r="AC34" s="907"/>
      <c r="AD34" s="908"/>
      <c r="AE34" s="901"/>
      <c r="AF34" s="909">
        <f t="shared" si="4"/>
        <v>0</v>
      </c>
      <c r="AG34" s="901"/>
      <c r="AH34" s="909">
        <f t="shared" si="2"/>
        <v>0</v>
      </c>
      <c r="AI34" s="344"/>
      <c r="AK34" s="137"/>
      <c r="AL34" s="37"/>
      <c r="AM34" s="108"/>
      <c r="AN34" s="108"/>
      <c r="AO34" s="137"/>
      <c r="AP34" s="137"/>
      <c r="AQ34" s="137"/>
      <c r="AR34" s="137"/>
    </row>
    <row r="35" spans="2:52" ht="13.5" customHeight="1" x14ac:dyDescent="0.2">
      <c r="B35" s="272"/>
      <c r="C35" s="273"/>
      <c r="D35" s="266"/>
      <c r="E35" s="266"/>
      <c r="F35" s="266"/>
      <c r="G35" s="266"/>
      <c r="H35" s="266"/>
      <c r="I35" s="255"/>
      <c r="J35" s="266"/>
      <c r="K35" s="266"/>
      <c r="L35" s="255"/>
      <c r="N35" s="37" t="str">
        <f>ListAVS!B177</f>
        <v>Cena bez zasilacza!</v>
      </c>
      <c r="Y35" s="890"/>
      <c r="Z35" s="890"/>
      <c r="AA35" s="890"/>
      <c r="AB35" s="665"/>
      <c r="AC35" s="907"/>
      <c r="AD35" s="908"/>
      <c r="AE35" s="903"/>
      <c r="AF35" s="909">
        <f t="shared" si="4"/>
        <v>0</v>
      </c>
      <c r="AG35" s="903"/>
      <c r="AH35" s="909">
        <f t="shared" si="2"/>
        <v>0</v>
      </c>
      <c r="AI35" s="344"/>
      <c r="AK35" s="137"/>
      <c r="AL35" s="37"/>
      <c r="AM35" s="108"/>
      <c r="AN35" s="108"/>
      <c r="AO35" s="137"/>
      <c r="AP35" s="137"/>
      <c r="AQ35" s="137"/>
      <c r="AR35" s="137"/>
    </row>
    <row r="36" spans="2:52" ht="13.5" customHeight="1" x14ac:dyDescent="0.2">
      <c r="B36" s="272"/>
      <c r="C36" s="255"/>
      <c r="D36" s="266"/>
      <c r="E36" s="266"/>
      <c r="F36" s="266"/>
      <c r="G36" s="266"/>
      <c r="H36" s="266"/>
      <c r="I36" s="255"/>
      <c r="J36" s="266"/>
      <c r="K36" s="266"/>
      <c r="L36" s="255"/>
      <c r="Y36" s="890"/>
      <c r="Z36" s="890"/>
      <c r="AA36" s="890"/>
      <c r="AB36" s="665"/>
      <c r="AC36" s="907"/>
      <c r="AD36" s="908"/>
      <c r="AE36" s="903"/>
      <c r="AF36" s="909">
        <f t="shared" si="4"/>
        <v>0</v>
      </c>
      <c r="AG36" s="903"/>
      <c r="AH36" s="909">
        <f t="shared" si="2"/>
        <v>0</v>
      </c>
      <c r="AI36" s="344"/>
      <c r="AK36" s="137"/>
      <c r="AL36" s="37"/>
      <c r="AM36" s="108"/>
      <c r="AN36" s="108"/>
      <c r="AO36" s="137"/>
      <c r="AP36" s="137"/>
      <c r="AQ36" s="137"/>
      <c r="AR36" s="137"/>
    </row>
    <row r="37" spans="2:52" ht="13.5" customHeight="1" x14ac:dyDescent="0.2">
      <c r="B37" s="274" t="s">
        <v>63</v>
      </c>
      <c r="C37" s="275" t="str">
        <f>ListAVS!$B$234</f>
        <v>Podaj liczbę ścianek środkowych w korpusie.</v>
      </c>
      <c r="D37" s="276"/>
      <c r="E37" s="276"/>
      <c r="F37" s="276"/>
      <c r="G37" s="276"/>
      <c r="H37" s="276"/>
      <c r="I37" s="276"/>
      <c r="J37" s="276"/>
      <c r="K37" s="276"/>
      <c r="L37" s="255"/>
      <c r="N37" s="37" t="str">
        <f>" "&amp;ListAVS!$B$116</f>
        <v xml:space="preserve"> Wprowadź wagę lub wypełnij wszystkie komórki</v>
      </c>
      <c r="T37" s="344"/>
      <c r="Y37" s="890"/>
      <c r="Z37" s="890"/>
      <c r="AA37" s="890"/>
      <c r="AB37" s="665"/>
      <c r="AC37" s="907"/>
      <c r="AD37" s="908"/>
      <c r="AE37" s="903"/>
      <c r="AF37" s="909">
        <f t="shared" si="4"/>
        <v>0</v>
      </c>
      <c r="AG37" s="903"/>
      <c r="AH37" s="909">
        <f t="shared" si="2"/>
        <v>0</v>
      </c>
      <c r="AI37" s="344"/>
      <c r="AK37" s="137"/>
      <c r="AL37" s="37"/>
      <c r="AM37" s="108"/>
      <c r="AN37" s="108"/>
      <c r="AO37" s="137"/>
      <c r="AP37" s="137"/>
      <c r="AQ37" s="137"/>
      <c r="AR37" s="137"/>
    </row>
    <row r="38" spans="2:52" ht="13.5" customHeight="1" x14ac:dyDescent="0.2">
      <c r="B38" s="274" t="s">
        <v>83</v>
      </c>
      <c r="C38" s="255" t="str">
        <f>ListAVS!$B$187</f>
        <v>Jeżeli znasz wagę i nie chcesz skorzystać z "obliczenie wagi"</v>
      </c>
      <c r="D38" s="276"/>
      <c r="E38" s="276"/>
      <c r="F38" s="276"/>
      <c r="G38" s="276"/>
      <c r="H38" s="276"/>
      <c r="I38" s="276"/>
      <c r="J38" s="276"/>
      <c r="K38" s="276"/>
      <c r="L38" s="255"/>
      <c r="N38" s="137"/>
      <c r="T38" s="317"/>
      <c r="U38" s="344"/>
      <c r="V38" s="344"/>
      <c r="W38" s="344"/>
      <c r="X38" s="344"/>
      <c r="Y38" s="890"/>
      <c r="Z38" s="890"/>
      <c r="AA38" s="890"/>
      <c r="AB38" s="665"/>
      <c r="AC38" s="907"/>
      <c r="AD38" s="908"/>
      <c r="AE38" s="903"/>
      <c r="AF38" s="909">
        <f t="shared" si="4"/>
        <v>0</v>
      </c>
      <c r="AG38" s="903"/>
      <c r="AH38" s="909">
        <f t="shared" si="2"/>
        <v>0</v>
      </c>
      <c r="AI38" s="344"/>
      <c r="AK38" s="137"/>
      <c r="AL38" s="37"/>
      <c r="AM38" s="108"/>
      <c r="AN38" s="108"/>
      <c r="AO38" s="137"/>
      <c r="AP38" s="137"/>
      <c r="AQ38" s="137"/>
      <c r="AR38" s="137"/>
      <c r="AS38" s="37"/>
    </row>
    <row r="39" spans="2:52" ht="13.5" customHeight="1" x14ac:dyDescent="0.2">
      <c r="B39" s="255"/>
      <c r="C39" s="276"/>
      <c r="D39" s="276"/>
      <c r="E39" s="276"/>
      <c r="F39" s="276"/>
      <c r="G39" s="276"/>
      <c r="H39" s="276"/>
      <c r="I39" s="276"/>
      <c r="J39" s="276"/>
      <c r="K39" s="276"/>
      <c r="L39" s="255"/>
      <c r="N39" s="37" t="str">
        <f>" "&amp;ListAVS!$B$118</f>
        <v xml:space="preserve"> Wprowadź na górze masę objętościową </v>
      </c>
      <c r="T39" s="344"/>
      <c r="U39" s="317"/>
      <c r="V39" s="317"/>
      <c r="W39" s="317"/>
      <c r="X39" s="317"/>
      <c r="Y39" s="890"/>
      <c r="Z39" s="890"/>
      <c r="AA39" s="890"/>
      <c r="AB39" s="665"/>
      <c r="AC39" s="907"/>
      <c r="AD39" s="908"/>
      <c r="AE39" s="903"/>
      <c r="AF39" s="909"/>
      <c r="AG39" s="903"/>
      <c r="AH39" s="909"/>
      <c r="AI39" s="344"/>
      <c r="AK39" s="137"/>
      <c r="AL39" s="37"/>
      <c r="AM39" s="108"/>
      <c r="AN39" s="108"/>
      <c r="AO39" s="37"/>
      <c r="AP39" s="37"/>
      <c r="AQ39" s="37"/>
      <c r="AR39" s="37"/>
      <c r="AS39" s="37"/>
      <c r="AT39" s="37"/>
      <c r="AU39" s="37"/>
      <c r="AV39" s="37"/>
      <c r="AW39" s="37"/>
      <c r="AX39" s="37"/>
      <c r="AY39" s="37"/>
      <c r="AZ39" s="37"/>
    </row>
    <row r="40" spans="2:52" ht="13.5" customHeight="1" x14ac:dyDescent="0.2">
      <c r="B40" s="255"/>
      <c r="C40" s="255"/>
      <c r="D40" s="276"/>
      <c r="E40" s="276"/>
      <c r="F40" s="276"/>
      <c r="G40" s="276"/>
      <c r="H40" s="276"/>
      <c r="I40" s="276"/>
      <c r="J40" s="276"/>
      <c r="K40" s="276"/>
      <c r="L40" s="255"/>
      <c r="T40" s="344"/>
      <c r="U40" s="344"/>
      <c r="V40" s="344"/>
      <c r="W40" s="344"/>
      <c r="X40" s="344"/>
      <c r="Y40" s="890"/>
      <c r="Z40" s="890"/>
      <c r="AA40" s="890"/>
      <c r="AB40" s="665"/>
      <c r="AC40" s="907"/>
      <c r="AD40" s="908"/>
      <c r="AE40" s="903"/>
      <c r="AF40" s="909">
        <f>$AC40*AE40</f>
        <v>0</v>
      </c>
      <c r="AG40" s="903"/>
      <c r="AH40" s="909">
        <f>$AC40*AG40</f>
        <v>0</v>
      </c>
      <c r="AI40" s="344"/>
      <c r="AK40" s="137"/>
      <c r="AL40" s="149"/>
      <c r="AM40" s="108"/>
      <c r="AN40" s="108"/>
      <c r="AO40" s="37"/>
      <c r="AP40" s="37"/>
      <c r="AQ40" s="37"/>
      <c r="AR40" s="37"/>
      <c r="AS40" s="37"/>
      <c r="AT40" s="37"/>
      <c r="AU40" s="37"/>
      <c r="AV40" s="37"/>
      <c r="AW40" s="37"/>
      <c r="AX40" s="37"/>
      <c r="AY40" s="37"/>
      <c r="AZ40" s="37"/>
    </row>
    <row r="41" spans="2:52" ht="13.5" customHeight="1" x14ac:dyDescent="0.2">
      <c r="N41" s="37" t="str">
        <f>"◄ "&amp;ListAVS!$B$112</f>
        <v>◄ wartość będzie wykorzystana do obliczenia LF</v>
      </c>
      <c r="T41" s="344"/>
      <c r="U41" s="344"/>
      <c r="V41" s="344"/>
      <c r="W41" s="344"/>
      <c r="X41" s="344"/>
      <c r="Y41" s="890"/>
      <c r="Z41" s="890"/>
      <c r="AA41" s="890"/>
      <c r="AB41" s="665"/>
      <c r="AC41" s="907"/>
      <c r="AD41" s="908"/>
      <c r="AE41" s="903"/>
      <c r="AF41" s="909">
        <f>$AC41*AE43</f>
        <v>0</v>
      </c>
      <c r="AG41" s="903"/>
      <c r="AH41" s="909">
        <f>$AC41*AG41</f>
        <v>0</v>
      </c>
      <c r="AI41" s="344"/>
      <c r="AK41" s="137"/>
      <c r="AL41" s="108"/>
      <c r="AM41" s="108"/>
      <c r="AN41" s="108"/>
      <c r="AO41" s="37"/>
      <c r="AP41" s="37"/>
      <c r="AQ41" s="37"/>
      <c r="AR41" s="37"/>
      <c r="AT41" s="37"/>
      <c r="AU41" s="37"/>
      <c r="AV41" s="37"/>
      <c r="AW41" s="37"/>
      <c r="AX41" s="37"/>
      <c r="AY41" s="37"/>
      <c r="AZ41" s="37"/>
    </row>
    <row r="42" spans="2:52" ht="13.5" customHeight="1" x14ac:dyDescent="0.2">
      <c r="J42" s="145"/>
      <c r="K42" s="145"/>
      <c r="N42" s="37" t="str">
        <f>" * "&amp;ListAVS!$B$128</f>
        <v xml:space="preserve"> * Wypełnij wartości</v>
      </c>
      <c r="O42" s="37"/>
      <c r="Q42" s="37"/>
      <c r="T42" s="348"/>
      <c r="U42" s="344"/>
      <c r="V42" s="344"/>
      <c r="W42" s="344"/>
      <c r="X42" s="344"/>
      <c r="Y42" s="890">
        <f>CenAVS!A169</f>
        <v>0</v>
      </c>
      <c r="Z42" s="890">
        <f>CenAVS!B169</f>
        <v>0</v>
      </c>
      <c r="AA42" s="890">
        <f>CenAVS!C169</f>
        <v>0</v>
      </c>
      <c r="AB42" s="665"/>
      <c r="AC42" s="907">
        <f>CenAVS!F169</f>
        <v>0</v>
      </c>
      <c r="AD42" s="908">
        <f t="shared" si="3"/>
        <v>0</v>
      </c>
      <c r="AE42" s="903"/>
      <c r="AF42" s="909">
        <f>$AC42*AE42</f>
        <v>0</v>
      </c>
      <c r="AG42" s="903"/>
      <c r="AH42" s="909">
        <f>$AC42*AG42</f>
        <v>0</v>
      </c>
      <c r="AI42" s="344"/>
      <c r="AK42" s="37"/>
      <c r="AL42" s="108"/>
      <c r="AM42" s="108"/>
      <c r="AN42" s="108"/>
      <c r="AO42" s="137"/>
      <c r="AP42" s="137"/>
      <c r="AQ42" s="137"/>
      <c r="AR42" s="137"/>
    </row>
    <row r="43" spans="2:52" s="37" customFormat="1" ht="13.5" customHeight="1" x14ac:dyDescent="0.2">
      <c r="B43" s="147"/>
      <c r="C43" s="148"/>
      <c r="D43" s="148"/>
      <c r="E43" s="148"/>
      <c r="F43" s="148"/>
      <c r="G43" s="148"/>
      <c r="H43" s="148"/>
      <c r="I43" s="148"/>
      <c r="J43" s="148"/>
      <c r="K43" s="148"/>
      <c r="O43" s="118"/>
      <c r="Q43" s="118"/>
      <c r="T43" s="344"/>
      <c r="U43" s="344"/>
      <c r="V43" s="344"/>
      <c r="W43" s="344"/>
      <c r="X43" s="344"/>
      <c r="Y43" s="890" t="str">
        <f>CenAVS!A171</f>
        <v xml:space="preserve">Aventos HF/HL/HS - Top Servo-Drive      </v>
      </c>
      <c r="Z43" s="890" t="str">
        <f>CenAVS!B171</f>
        <v>23.A000</v>
      </c>
      <c r="AA43" s="890" t="str">
        <f>CenAVS!C171</f>
        <v>R7037</v>
      </c>
      <c r="AB43" s="665">
        <f>SUM(AE43,AG43)</f>
        <v>0</v>
      </c>
      <c r="AC43" s="907">
        <f>CenAVS!F171</f>
        <v>905.30219999999997</v>
      </c>
      <c r="AD43" s="908">
        <f t="shared" si="3"/>
        <v>0</v>
      </c>
      <c r="AE43" s="903">
        <f>IF($Q$16=1, 0, $M$17)</f>
        <v>0</v>
      </c>
      <c r="AF43" s="909">
        <f>$AC43*AE43</f>
        <v>0</v>
      </c>
      <c r="AG43" s="903">
        <f>IF($Q$27=1, 0, $M$28)</f>
        <v>0</v>
      </c>
      <c r="AH43" s="909">
        <f>$AC43*AG43</f>
        <v>0</v>
      </c>
      <c r="AI43" s="344"/>
      <c r="AL43" s="108"/>
      <c r="AM43" s="108"/>
      <c r="AN43" s="108"/>
      <c r="AO43" s="137"/>
      <c r="AP43" s="137"/>
      <c r="AQ43" s="137"/>
      <c r="AR43" s="137"/>
      <c r="AS43" s="122"/>
      <c r="AT43" s="122"/>
      <c r="AU43" s="122"/>
      <c r="AV43" s="121"/>
      <c r="AW43" s="121"/>
      <c r="AX43" s="121"/>
      <c r="AY43" s="121"/>
      <c r="AZ43" s="121"/>
    </row>
    <row r="44" spans="2:52" s="37" customFormat="1" ht="13.5" customHeight="1" x14ac:dyDescent="0.2">
      <c r="B44" s="142"/>
      <c r="C44" s="148"/>
      <c r="D44" s="148"/>
      <c r="E44" s="148"/>
      <c r="F44" s="148"/>
      <c r="G44" s="148"/>
      <c r="H44" s="148"/>
      <c r="I44" s="148"/>
      <c r="J44" s="148"/>
      <c r="K44" s="148"/>
      <c r="O44" s="118"/>
      <c r="Q44" s="118"/>
      <c r="T44" s="344"/>
      <c r="U44" s="344"/>
      <c r="V44" s="344"/>
      <c r="W44" s="344"/>
      <c r="X44" s="344"/>
      <c r="AG44" s="118"/>
      <c r="AI44" s="344"/>
      <c r="AL44" s="108"/>
      <c r="AM44" s="108"/>
      <c r="AN44" s="108"/>
      <c r="AO44" s="137"/>
      <c r="AP44" s="137"/>
      <c r="AQ44" s="137"/>
      <c r="AR44" s="137"/>
      <c r="AS44" s="122"/>
      <c r="AT44" s="122"/>
      <c r="AU44" s="122"/>
      <c r="AV44" s="121"/>
      <c r="AW44" s="121"/>
      <c r="AX44" s="121"/>
      <c r="AY44" s="121"/>
      <c r="AZ44" s="121"/>
    </row>
    <row r="45" spans="2:52" s="37" customFormat="1" ht="13.5" customHeight="1" x14ac:dyDescent="0.2">
      <c r="B45" s="349"/>
      <c r="C45" s="148"/>
      <c r="D45" s="148"/>
      <c r="E45" s="148"/>
      <c r="F45" s="148"/>
      <c r="G45" s="148"/>
      <c r="H45" s="148"/>
      <c r="I45" s="148"/>
      <c r="J45" s="148"/>
      <c r="K45" s="148"/>
      <c r="O45" s="118"/>
      <c r="Q45" s="118"/>
      <c r="T45" s="342"/>
      <c r="U45" s="344"/>
      <c r="V45" s="344"/>
      <c r="W45" s="344"/>
      <c r="X45" s="344"/>
      <c r="AC45" s="144" t="str">
        <f>ListAVS!$B$61&amp;" "</f>
        <v xml:space="preserve">Cena całkowita bez VAT </v>
      </c>
      <c r="AD45" s="171">
        <f>SUM(AD9:AD43)</f>
        <v>0</v>
      </c>
      <c r="AF45" s="201">
        <f>SUM(AF9:AF44)</f>
        <v>0</v>
      </c>
      <c r="AH45" s="201">
        <f>SUM(AH9:AH44)</f>
        <v>0</v>
      </c>
      <c r="AI45" s="344"/>
      <c r="AK45" s="137"/>
      <c r="AL45" s="108"/>
      <c r="AM45" s="108"/>
      <c r="AN45" s="108"/>
      <c r="AO45" s="137"/>
      <c r="AP45" s="137"/>
      <c r="AQ45" s="137"/>
      <c r="AR45" s="137"/>
      <c r="AS45" s="122"/>
      <c r="AT45" s="122"/>
      <c r="AU45" s="122"/>
      <c r="AV45" s="121"/>
      <c r="AW45" s="121"/>
      <c r="AX45" s="121"/>
      <c r="AY45" s="121"/>
      <c r="AZ45" s="121"/>
    </row>
    <row r="46" spans="2:52" ht="13.5" customHeight="1" x14ac:dyDescent="0.2">
      <c r="B46" s="350"/>
      <c r="C46" s="148"/>
      <c r="D46" s="148"/>
      <c r="E46" s="148"/>
      <c r="F46" s="148"/>
      <c r="G46" s="148"/>
      <c r="H46" s="148"/>
      <c r="I46" s="148"/>
      <c r="J46" s="148"/>
      <c r="K46" s="148"/>
      <c r="N46" s="151"/>
      <c r="O46" s="117">
        <f>HS!$N$26</f>
        <v>2</v>
      </c>
      <c r="P46" s="151"/>
      <c r="T46" s="117">
        <f>MenuAVS!$P$28</f>
        <v>1</v>
      </c>
      <c r="U46" s="342"/>
      <c r="V46" s="342"/>
      <c r="W46" s="117">
        <f>HS!$P$26</f>
        <v>1</v>
      </c>
      <c r="X46" s="342"/>
      <c r="Y46" s="344"/>
      <c r="Z46" s="344"/>
      <c r="AA46" s="344"/>
      <c r="AB46" s="344"/>
      <c r="AC46" s="344"/>
      <c r="AD46" s="344"/>
      <c r="AE46" s="344"/>
      <c r="AF46" s="344"/>
      <c r="AG46" s="344"/>
      <c r="AH46" s="344"/>
      <c r="AI46" s="344"/>
      <c r="AK46" s="137"/>
      <c r="AL46" s="108"/>
      <c r="AM46" s="108"/>
      <c r="AN46" s="108"/>
      <c r="AO46" s="137"/>
      <c r="AP46" s="137"/>
      <c r="AQ46" s="137"/>
      <c r="AR46" s="137"/>
    </row>
    <row r="47" spans="2:52" ht="13.5" customHeight="1" x14ac:dyDescent="0.2">
      <c r="B47" s="316"/>
      <c r="C47" s="317"/>
      <c r="D47" s="317"/>
      <c r="E47" s="317"/>
      <c r="F47" s="317"/>
      <c r="G47" s="317"/>
      <c r="I47" s="317"/>
      <c r="J47" s="317"/>
      <c r="N47" s="153"/>
      <c r="O47" s="153" t="s">
        <v>84</v>
      </c>
      <c r="P47" s="153"/>
      <c r="Q47" s="154" t="s">
        <v>57</v>
      </c>
      <c r="T47" s="154" t="s">
        <v>6</v>
      </c>
      <c r="U47" s="344"/>
      <c r="V47" s="344"/>
      <c r="W47" s="154" t="str">
        <f>HS!P27</f>
        <v>mont.</v>
      </c>
      <c r="X47" s="344"/>
      <c r="Y47" s="344"/>
      <c r="Z47" s="344"/>
      <c r="AA47" s="344"/>
      <c r="AB47" s="344"/>
      <c r="AC47" s="344"/>
      <c r="AD47" s="344"/>
      <c r="AE47" s="344"/>
      <c r="AF47" s="344"/>
      <c r="AG47" s="344"/>
      <c r="AH47" s="344"/>
      <c r="AI47" s="344"/>
      <c r="AK47" s="137"/>
      <c r="AL47" s="37"/>
      <c r="AM47" s="108"/>
      <c r="AN47" s="108"/>
      <c r="AO47" s="137"/>
      <c r="AP47" s="137"/>
      <c r="AQ47" s="137"/>
      <c r="AR47" s="137"/>
    </row>
    <row r="48" spans="2:52" ht="13.5" customHeight="1" x14ac:dyDescent="0.2">
      <c r="B48" s="317"/>
      <c r="C48" s="317"/>
      <c r="D48" s="317"/>
      <c r="E48" s="317"/>
      <c r="F48" s="317"/>
      <c r="G48" s="317"/>
      <c r="I48" s="317"/>
      <c r="J48" s="317"/>
      <c r="O48" s="118" t="str">
        <f>ListAVS!$B$143</f>
        <v>Expando</v>
      </c>
      <c r="Q48" s="149" t="s">
        <v>58</v>
      </c>
      <c r="T48" s="37" t="str">
        <f>ListAVS!$B$146</f>
        <v>Jasnoszary (HGR)</v>
      </c>
      <c r="U48" s="344"/>
      <c r="V48" s="344"/>
      <c r="W48" s="37" t="str">
        <f>HS!P28</f>
        <v>wkręty</v>
      </c>
      <c r="X48" s="344"/>
      <c r="Y48" s="344"/>
      <c r="Z48" s="344"/>
      <c r="AA48" s="344"/>
      <c r="AB48" s="344"/>
      <c r="AC48" s="344"/>
      <c r="AD48" s="344"/>
      <c r="AE48" s="344"/>
      <c r="AF48" s="344"/>
      <c r="AG48" s="344"/>
      <c r="AH48" s="344"/>
      <c r="AI48" s="344"/>
      <c r="AK48" s="137"/>
      <c r="AL48" s="37"/>
      <c r="AM48" s="108"/>
      <c r="AN48" s="108"/>
      <c r="AO48" s="137"/>
      <c r="AP48" s="137"/>
      <c r="AQ48" s="137"/>
      <c r="AR48" s="137"/>
    </row>
    <row r="49" spans="2:52" ht="13.5" customHeight="1" x14ac:dyDescent="0.2">
      <c r="B49" s="316"/>
      <c r="C49" s="317"/>
      <c r="D49" s="317"/>
      <c r="E49" s="317"/>
      <c r="F49" s="317"/>
      <c r="G49" s="317"/>
      <c r="I49" s="317"/>
      <c r="J49" s="317"/>
      <c r="O49" s="118" t="str">
        <f>ListAVS!$B$144</f>
        <v>na wkręty</v>
      </c>
      <c r="Q49" s="149" t="s">
        <v>59</v>
      </c>
      <c r="T49" s="37" t="str">
        <f>ListAVS!$B$147</f>
        <v>Ciemnoszary (TGR)</v>
      </c>
      <c r="U49" s="344"/>
      <c r="V49" s="344"/>
      <c r="W49" s="37" t="str">
        <f>HS!P29</f>
        <v>wstępnie zamontowane eurowkręty</v>
      </c>
      <c r="X49" s="344"/>
      <c r="Y49" s="344"/>
      <c r="Z49" s="344"/>
      <c r="AA49" s="905" t="str">
        <f>Param!M22</f>
        <v>Parametry HS</v>
      </c>
      <c r="AB49" s="904"/>
      <c r="AC49" s="904"/>
      <c r="AD49" s="904"/>
      <c r="AE49" s="904"/>
      <c r="AF49" s="904"/>
      <c r="AG49" s="904"/>
      <c r="AH49" s="904"/>
      <c r="AI49" s="344"/>
      <c r="AK49" s="137"/>
      <c r="AL49" s="37"/>
      <c r="AM49" s="108"/>
      <c r="AN49" s="108"/>
      <c r="AO49" s="137"/>
      <c r="AP49" s="137"/>
      <c r="AQ49" s="137"/>
      <c r="AR49" s="137"/>
    </row>
    <row r="50" spans="2:52" ht="13.5" customHeight="1" x14ac:dyDescent="0.2">
      <c r="B50" s="144"/>
      <c r="C50" s="317"/>
      <c r="O50" s="37"/>
      <c r="T50" s="37" t="str">
        <f>ListAVS!$B$148</f>
        <v>Jedwabiście biały (SW)</v>
      </c>
      <c r="U50" s="344"/>
      <c r="V50" s="344"/>
      <c r="W50" s="344"/>
      <c r="X50" s="344"/>
      <c r="Y50" s="344"/>
      <c r="Z50" s="344"/>
      <c r="AA50" s="904" t="str">
        <f>Param!M23</f>
        <v>Zdvihač</v>
      </c>
      <c r="AB50" s="904" t="str">
        <f>Param!N23</f>
        <v>ks</v>
      </c>
      <c r="AC50" s="904" t="str">
        <f>Param!O23</f>
        <v>min</v>
      </c>
      <c r="AD50" s="904" t="str">
        <f>Param!P23</f>
        <v>max</v>
      </c>
      <c r="AE50" s="904" t="str">
        <f>Param!Q23</f>
        <v>hmot. min.</v>
      </c>
      <c r="AF50" s="904" t="str">
        <f>Param!R23</f>
        <v>hmot. max.</v>
      </c>
      <c r="AG50" s="904"/>
      <c r="AH50" s="904"/>
      <c r="AI50" s="344"/>
      <c r="AK50" s="137"/>
      <c r="AL50" s="37"/>
      <c r="AM50" s="108"/>
      <c r="AN50" s="108"/>
      <c r="AO50" s="137"/>
      <c r="AP50" s="137"/>
      <c r="AQ50" s="137"/>
      <c r="AR50" s="137"/>
    </row>
    <row r="51" spans="2:52" ht="13.5" customHeight="1" x14ac:dyDescent="0.2">
      <c r="B51" s="144"/>
      <c r="T51" s="346"/>
      <c r="U51" s="344"/>
      <c r="V51" s="344"/>
      <c r="W51" s="344"/>
      <c r="X51" s="344"/>
      <c r="Y51" s="344"/>
      <c r="Z51" s="344"/>
      <c r="AA51" s="904" t="str">
        <f>Param!M24</f>
        <v>22S2200</v>
      </c>
      <c r="AB51" s="904"/>
      <c r="AC51" s="904">
        <f>Param!O24</f>
        <v>350</v>
      </c>
      <c r="AD51" s="904">
        <f>Param!P24</f>
        <v>450</v>
      </c>
      <c r="AE51" s="904">
        <f>Param!Q24</f>
        <v>2</v>
      </c>
      <c r="AF51" s="904">
        <f>Param!R24</f>
        <v>11.5</v>
      </c>
      <c r="AG51" s="904"/>
      <c r="AH51" s="904"/>
      <c r="AI51" s="344"/>
      <c r="AK51" s="108"/>
      <c r="AL51" s="108"/>
      <c r="AM51" s="108"/>
      <c r="AN51" s="108"/>
      <c r="AO51" s="137"/>
      <c r="AP51" s="137"/>
      <c r="AQ51" s="137"/>
      <c r="AR51" s="137"/>
    </row>
    <row r="52" spans="2:52" ht="13.5" customHeight="1" x14ac:dyDescent="0.2">
      <c r="B52" s="155"/>
      <c r="D52" s="155"/>
      <c r="E52" s="155"/>
      <c r="F52" s="155"/>
      <c r="G52" s="155"/>
      <c r="I52" s="155"/>
      <c r="J52" s="155"/>
      <c r="N52" s="37" t="str">
        <f>" "&amp;ListAVS!$B$109</f>
        <v xml:space="preserve"> w połączeniu z SERVO-DRIVE</v>
      </c>
      <c r="T52" s="346"/>
      <c r="U52" s="344"/>
      <c r="V52" s="344"/>
      <c r="W52" s="344"/>
      <c r="X52" s="344"/>
      <c r="Y52" s="344"/>
      <c r="Z52" s="344"/>
      <c r="AA52" s="904" t="str">
        <f>Param!M25</f>
        <v>22S2200 v</v>
      </c>
      <c r="AB52" s="904"/>
      <c r="AC52" s="904">
        <f>Param!O25</f>
        <v>450</v>
      </c>
      <c r="AD52" s="904">
        <f>Param!P25</f>
        <v>540</v>
      </c>
      <c r="AE52" s="904">
        <f>Param!Q25</f>
        <v>2.5</v>
      </c>
      <c r="AF52" s="904">
        <f>Param!R25</f>
        <v>12.5</v>
      </c>
      <c r="AG52" s="904"/>
      <c r="AH52" s="904"/>
      <c r="AI52" s="344"/>
      <c r="AK52" s="108"/>
      <c r="AL52" s="108"/>
      <c r="AM52" s="108"/>
      <c r="AN52" s="108"/>
      <c r="AO52" s="137"/>
      <c r="AP52" s="137"/>
      <c r="AQ52" s="137"/>
      <c r="AR52" s="137"/>
    </row>
    <row r="53" spans="2:52" ht="13.5" customHeight="1" x14ac:dyDescent="0.2">
      <c r="N53" s="37" t="str">
        <f>" "&amp;ListAVS!$B$110</f>
        <v xml:space="preserve"> niemożliwe w połączeniu z SERVO-DRIVE</v>
      </c>
      <c r="T53" s="346"/>
      <c r="U53" s="344"/>
      <c r="V53" s="344"/>
      <c r="W53" s="344"/>
      <c r="X53" s="344"/>
      <c r="Y53" s="344"/>
      <c r="Z53" s="344"/>
      <c r="AA53" s="904" t="str">
        <f>Param!M26</f>
        <v>22S2500</v>
      </c>
      <c r="AB53" s="904"/>
      <c r="AC53" s="904">
        <f>Param!O26</f>
        <v>480</v>
      </c>
      <c r="AD53" s="904">
        <f>Param!P26</f>
        <v>660</v>
      </c>
      <c r="AE53" s="904">
        <f>Param!Q26</f>
        <v>2.75</v>
      </c>
      <c r="AF53" s="904">
        <f>Param!R26</f>
        <v>15.25</v>
      </c>
      <c r="AG53" s="904"/>
      <c r="AH53" s="904"/>
      <c r="AI53" s="344"/>
      <c r="AK53" s="108"/>
      <c r="AL53" s="108"/>
      <c r="AM53" s="108"/>
      <c r="AN53" s="108"/>
      <c r="AO53" s="137"/>
      <c r="AP53" s="137"/>
      <c r="AQ53" s="137"/>
      <c r="AR53" s="137"/>
    </row>
    <row r="54" spans="2:52" ht="13.5" customHeight="1" x14ac:dyDescent="0.2">
      <c r="N54" s="37" t="str">
        <f>" "&amp;ListAVS!$B$116</f>
        <v xml:space="preserve"> Wprowadź wagę lub wypełnij wszystkie komórki</v>
      </c>
      <c r="T54" s="346"/>
      <c r="U54" s="344"/>
      <c r="V54" s="344"/>
      <c r="W54" s="344"/>
      <c r="X54" s="344"/>
      <c r="Y54" s="344"/>
      <c r="Z54" s="344"/>
      <c r="AA54" s="904" t="str">
        <f>Param!M27</f>
        <v>22S2800</v>
      </c>
      <c r="AB54" s="904"/>
      <c r="AC54" s="904">
        <f>Param!O27</f>
        <v>650</v>
      </c>
      <c r="AD54" s="904">
        <f>Param!P27</f>
        <v>800</v>
      </c>
      <c r="AE54" s="904">
        <f>Param!Q27</f>
        <v>3.5</v>
      </c>
      <c r="AF54" s="904">
        <f>Param!R27</f>
        <v>18.5</v>
      </c>
      <c r="AG54" s="904"/>
      <c r="AH54" s="904"/>
      <c r="AI54" s="344"/>
      <c r="AK54" s="108"/>
      <c r="AL54" s="108"/>
      <c r="AM54" s="108"/>
      <c r="AN54" s="108"/>
      <c r="AO54" s="137"/>
      <c r="AP54" s="137"/>
      <c r="AQ54" s="137"/>
      <c r="AR54" s="137"/>
    </row>
    <row r="55" spans="2:52" ht="13.5" customHeight="1" x14ac:dyDescent="0.2">
      <c r="N55" s="37" t="str">
        <f>"◄ "&amp;ListAVS!$B$113</f>
        <v>◄ wartość będzie wykorzystana w celu wyboru siłownika</v>
      </c>
      <c r="T55" s="346"/>
      <c r="U55" s="344"/>
      <c r="V55" s="344"/>
      <c r="W55" s="344"/>
      <c r="X55" s="344"/>
      <c r="Y55" s="344"/>
      <c r="Z55" s="344"/>
      <c r="AA55" s="904"/>
      <c r="AB55" s="904"/>
      <c r="AC55" s="904"/>
      <c r="AD55" s="904"/>
      <c r="AE55" s="904"/>
      <c r="AF55" s="904"/>
      <c r="AG55" s="904"/>
      <c r="AH55" s="904"/>
      <c r="AI55" s="344"/>
      <c r="AK55" s="108"/>
      <c r="AL55" s="108"/>
      <c r="AM55" s="108"/>
      <c r="AN55" s="108"/>
      <c r="AO55" s="137"/>
      <c r="AP55" s="137"/>
      <c r="AQ55" s="137"/>
      <c r="AR55" s="137"/>
      <c r="AS55" s="37"/>
    </row>
    <row r="56" spans="2:52" ht="13.5" customHeight="1" x14ac:dyDescent="0.2">
      <c r="N56" s="37" t="str">
        <f>" * "&amp;ListAVS!$B$128</f>
        <v xml:space="preserve"> * Wypełnij wartości</v>
      </c>
      <c r="T56" s="345"/>
      <c r="U56" s="344"/>
      <c r="V56" s="344"/>
      <c r="W56" s="344"/>
      <c r="X56" s="344"/>
      <c r="Y56" s="344"/>
      <c r="Z56" s="344"/>
      <c r="AA56" s="904"/>
      <c r="AB56" s="904"/>
      <c r="AC56" s="904"/>
      <c r="AD56" s="904"/>
      <c r="AE56" s="904"/>
      <c r="AF56" s="904"/>
      <c r="AG56" s="904"/>
      <c r="AH56" s="904"/>
      <c r="AI56" s="344"/>
      <c r="AK56" s="108"/>
      <c r="AL56" s="108"/>
      <c r="AM56" s="108"/>
      <c r="AN56" s="108"/>
      <c r="AO56" s="137"/>
      <c r="AP56" s="137"/>
      <c r="AQ56" s="137"/>
      <c r="AR56" s="137"/>
      <c r="AS56" s="37"/>
      <c r="AT56" s="37"/>
      <c r="AU56" s="37"/>
      <c r="AV56" s="37"/>
      <c r="AW56" s="37"/>
      <c r="AX56" s="37"/>
      <c r="AY56" s="37"/>
      <c r="AZ56" s="37"/>
    </row>
    <row r="57" spans="2:52" ht="13.5" customHeight="1" x14ac:dyDescent="0.2">
      <c r="T57" s="346"/>
      <c r="U57" s="344"/>
      <c r="V57" s="344"/>
      <c r="W57" s="344"/>
      <c r="X57" s="344"/>
      <c r="Y57" s="344"/>
      <c r="Z57" s="344"/>
      <c r="AA57" s="904"/>
      <c r="AB57" s="904"/>
      <c r="AC57" s="904"/>
      <c r="AD57" s="904"/>
      <c r="AE57" s="904"/>
      <c r="AF57" s="904"/>
      <c r="AG57" s="904"/>
      <c r="AH57" s="904"/>
      <c r="AI57" s="344"/>
      <c r="AK57" s="108"/>
      <c r="AL57" s="108"/>
      <c r="AM57" s="108"/>
      <c r="AN57" s="108"/>
      <c r="AO57" s="137"/>
      <c r="AP57" s="137"/>
      <c r="AQ57" s="137"/>
      <c r="AR57" s="137"/>
      <c r="AT57" s="37"/>
      <c r="AU57" s="37"/>
      <c r="AV57" s="37"/>
      <c r="AW57" s="37"/>
      <c r="AX57" s="37"/>
      <c r="AY57" s="37"/>
      <c r="AZ57" s="37"/>
    </row>
    <row r="58" spans="2:52" ht="13.5" customHeight="1" x14ac:dyDescent="0.2">
      <c r="N58" s="37" t="str">
        <f>" "&amp;ListAVS!$B$125&amp;"!"</f>
        <v xml:space="preserve"> Waga poza dozwolonym zakresem!</v>
      </c>
      <c r="T58" s="346"/>
      <c r="U58" s="344"/>
      <c r="V58" s="344"/>
      <c r="W58" s="344"/>
      <c r="X58" s="344"/>
      <c r="Y58" s="344"/>
      <c r="Z58" s="344"/>
      <c r="AA58" s="344"/>
      <c r="AB58" s="344"/>
      <c r="AC58" s="344"/>
      <c r="AD58" s="344"/>
      <c r="AE58" s="344"/>
      <c r="AF58" s="344"/>
      <c r="AG58" s="344"/>
      <c r="AH58" s="344"/>
      <c r="AI58" s="344"/>
      <c r="AK58" s="108"/>
      <c r="AL58" s="108"/>
      <c r="AM58" s="108"/>
      <c r="AN58" s="108"/>
      <c r="AO58" s="137"/>
      <c r="AP58" s="137"/>
      <c r="AQ58" s="137"/>
      <c r="AR58" s="137"/>
    </row>
    <row r="59" spans="2:52" ht="13.5" customHeight="1" x14ac:dyDescent="0.2">
      <c r="N59" s="37" t="str">
        <f>" max. 9 000! "&amp;ListAVS!$B$122</f>
        <v xml:space="preserve"> max. 9 000! Popraw wagę albo wysokość</v>
      </c>
      <c r="O59" s="37"/>
      <c r="Q59" s="37"/>
      <c r="T59" s="346"/>
      <c r="U59" s="344"/>
      <c r="V59" s="344"/>
      <c r="W59" s="344"/>
      <c r="X59" s="344"/>
      <c r="Y59" s="344"/>
      <c r="Z59" s="344"/>
      <c r="AA59" s="344"/>
      <c r="AB59" s="344"/>
      <c r="AC59" s="344"/>
      <c r="AD59" s="344"/>
      <c r="AE59" s="344"/>
      <c r="AF59" s="344"/>
      <c r="AG59" s="344"/>
      <c r="AH59" s="344"/>
      <c r="AI59" s="344"/>
      <c r="AK59" s="108"/>
      <c r="AL59" s="108"/>
      <c r="AM59" s="108"/>
      <c r="AN59" s="108"/>
      <c r="AO59" s="137"/>
      <c r="AP59" s="137"/>
      <c r="AQ59" s="137"/>
      <c r="AR59" s="137"/>
    </row>
    <row r="60" spans="2:52" s="37" customFormat="1" ht="13.5" customHeight="1" x14ac:dyDescent="0.2">
      <c r="N60" s="149" t="str">
        <f>" "&amp;ListAVS!$B$235</f>
        <v xml:space="preserve"> Konieczna ścianka środkowa</v>
      </c>
      <c r="T60" s="346"/>
      <c r="U60" s="344"/>
      <c r="V60" s="344"/>
      <c r="W60" s="344"/>
      <c r="X60" s="344"/>
      <c r="Y60" s="344"/>
      <c r="Z60" s="344"/>
      <c r="AA60" s="344"/>
      <c r="AB60" s="344"/>
      <c r="AC60" s="344"/>
      <c r="AD60" s="344"/>
      <c r="AE60" s="344"/>
      <c r="AF60" s="344"/>
      <c r="AG60" s="344"/>
      <c r="AH60" s="344"/>
      <c r="AI60" s="344"/>
      <c r="AK60" s="108"/>
      <c r="AL60" s="108"/>
      <c r="AM60" s="108"/>
      <c r="AN60" s="108"/>
      <c r="AO60" s="137"/>
      <c r="AP60" s="137"/>
      <c r="AQ60" s="137"/>
      <c r="AR60" s="137"/>
      <c r="AS60" s="122"/>
      <c r="AT60" s="122"/>
      <c r="AU60" s="122"/>
      <c r="AV60" s="121"/>
      <c r="AW60" s="121"/>
      <c r="AX60" s="121"/>
      <c r="AY60" s="121"/>
      <c r="AZ60" s="121"/>
    </row>
    <row r="61" spans="2:52" s="37" customFormat="1" ht="13.5" customHeight="1" x14ac:dyDescent="0.2">
      <c r="N61" s="108"/>
      <c r="O61" s="118"/>
      <c r="Q61" s="118"/>
      <c r="T61" s="346"/>
      <c r="U61" s="344"/>
      <c r="V61" s="344"/>
      <c r="W61" s="344"/>
      <c r="X61" s="344"/>
      <c r="Y61" s="344"/>
      <c r="Z61" s="344"/>
      <c r="AA61" s="344"/>
      <c r="AB61" s="344"/>
      <c r="AC61" s="344"/>
      <c r="AD61" s="344"/>
      <c r="AE61" s="344"/>
      <c r="AF61" s="344"/>
      <c r="AG61" s="344"/>
      <c r="AH61" s="344"/>
      <c r="AI61" s="344"/>
      <c r="AK61" s="108"/>
      <c r="AL61" s="108"/>
      <c r="AM61" s="108"/>
      <c r="AN61" s="108"/>
      <c r="AO61" s="137"/>
      <c r="AP61" s="137"/>
      <c r="AQ61" s="137"/>
      <c r="AR61" s="137"/>
      <c r="AS61" s="122"/>
      <c r="AT61" s="122"/>
      <c r="AU61" s="122"/>
      <c r="AV61" s="121"/>
      <c r="AW61" s="121"/>
      <c r="AX61" s="121"/>
      <c r="AY61" s="121"/>
      <c r="AZ61" s="121"/>
    </row>
    <row r="62" spans="2:52" ht="13.5" customHeight="1" x14ac:dyDescent="0.2">
      <c r="N62" s="108"/>
      <c r="T62" s="346"/>
      <c r="U62" s="344"/>
      <c r="V62" s="344"/>
      <c r="W62" s="344"/>
      <c r="X62" s="344"/>
      <c r="Y62" s="344"/>
      <c r="Z62" s="344"/>
      <c r="AA62" s="344"/>
      <c r="AB62" s="344"/>
      <c r="AC62" s="344"/>
      <c r="AD62" s="344"/>
      <c r="AE62" s="344"/>
      <c r="AF62" s="344"/>
      <c r="AG62" s="344"/>
      <c r="AH62" s="344"/>
      <c r="AI62" s="344"/>
      <c r="AK62" s="108"/>
      <c r="AL62" s="108"/>
      <c r="AM62" s="108"/>
      <c r="AN62" s="108"/>
      <c r="AO62" s="137"/>
      <c r="AP62" s="137"/>
      <c r="AQ62" s="137"/>
      <c r="AR62" s="137"/>
    </row>
    <row r="63" spans="2:52" ht="13.5" customHeight="1" x14ac:dyDescent="0.2">
      <c r="N63" s="108"/>
      <c r="T63" s="346"/>
      <c r="U63" s="344"/>
      <c r="V63" s="344"/>
      <c r="W63" s="344"/>
      <c r="X63" s="344"/>
      <c r="Y63" s="344"/>
      <c r="Z63" s="344"/>
      <c r="AA63" s="344"/>
      <c r="AB63" s="344"/>
      <c r="AC63" s="344"/>
      <c r="AD63" s="344"/>
      <c r="AE63" s="344"/>
      <c r="AF63" s="344"/>
      <c r="AG63" s="344"/>
      <c r="AH63" s="344"/>
      <c r="AI63" s="344"/>
      <c r="AK63" s="108"/>
      <c r="AL63" s="108"/>
      <c r="AM63" s="108"/>
      <c r="AN63" s="108"/>
      <c r="AO63" s="137"/>
      <c r="AP63" s="137"/>
      <c r="AQ63" s="137"/>
      <c r="AR63" s="137"/>
    </row>
    <row r="64" spans="2:52" ht="13.5" customHeight="1" x14ac:dyDescent="0.2">
      <c r="N64" s="108"/>
      <c r="T64" s="346"/>
      <c r="U64" s="344"/>
      <c r="V64" s="344"/>
      <c r="W64" s="344"/>
      <c r="X64" s="344"/>
      <c r="Y64" s="344"/>
      <c r="Z64" s="344"/>
      <c r="AA64" s="344"/>
      <c r="AB64" s="344"/>
      <c r="AC64" s="344"/>
      <c r="AD64" s="344"/>
      <c r="AE64" s="344"/>
      <c r="AF64" s="344"/>
      <c r="AG64" s="344"/>
      <c r="AH64" s="344"/>
      <c r="AI64" s="344"/>
      <c r="AK64" s="108"/>
      <c r="AL64" s="108"/>
      <c r="AM64" s="108"/>
      <c r="AN64" s="108"/>
      <c r="AO64" s="137"/>
      <c r="AP64" s="137"/>
      <c r="AQ64" s="137"/>
      <c r="AR64" s="137"/>
    </row>
    <row r="65" spans="1:44" ht="13.5" customHeight="1" x14ac:dyDescent="0.2">
      <c r="N65" s="108"/>
      <c r="T65" s="346"/>
      <c r="U65" s="344"/>
      <c r="V65" s="344"/>
      <c r="W65" s="344"/>
      <c r="X65" s="344"/>
      <c r="Y65" s="344"/>
      <c r="Z65" s="344"/>
      <c r="AA65" s="344"/>
      <c r="AB65" s="344"/>
      <c r="AC65" s="344"/>
      <c r="AD65" s="344"/>
      <c r="AE65" s="344"/>
      <c r="AF65" s="344"/>
      <c r="AG65" s="344"/>
      <c r="AH65" s="344"/>
      <c r="AI65" s="344"/>
      <c r="AK65" s="108"/>
      <c r="AL65" s="108"/>
      <c r="AM65" s="108"/>
      <c r="AN65" s="108"/>
      <c r="AO65" s="137"/>
      <c r="AP65" s="137"/>
      <c r="AQ65" s="137"/>
      <c r="AR65" s="137"/>
    </row>
    <row r="66" spans="1:44" ht="13.5" customHeight="1" x14ac:dyDescent="0.2">
      <c r="N66" s="108"/>
      <c r="T66" s="345"/>
      <c r="U66" s="344"/>
      <c r="V66" s="344"/>
      <c r="W66" s="344"/>
      <c r="X66" s="344"/>
      <c r="Y66" s="344"/>
      <c r="Z66" s="344"/>
      <c r="AA66" s="344"/>
      <c r="AB66" s="344"/>
      <c r="AC66" s="344"/>
      <c r="AD66" s="344"/>
      <c r="AE66" s="344"/>
      <c r="AF66" s="344"/>
      <c r="AG66" s="344"/>
      <c r="AH66" s="344"/>
      <c r="AI66" s="344"/>
      <c r="AK66" s="108"/>
      <c r="AL66" s="108"/>
      <c r="AM66" s="108"/>
      <c r="AN66" s="108"/>
      <c r="AO66" s="137"/>
      <c r="AP66" s="137"/>
      <c r="AQ66" s="137"/>
      <c r="AR66" s="137"/>
    </row>
    <row r="67" spans="1:44" ht="13.5" customHeight="1" x14ac:dyDescent="0.2">
      <c r="N67" s="37" t="str">
        <f>ListAVS!B188&amp;". "</f>
        <v xml:space="preserve">W celu określenia rodzaju siłownika będzie wykorzystana podana waga. </v>
      </c>
      <c r="T67" s="346"/>
      <c r="U67" s="344"/>
      <c r="V67" s="344"/>
      <c r="W67" s="344"/>
      <c r="X67" s="344"/>
      <c r="Y67" s="344"/>
      <c r="Z67" s="344"/>
      <c r="AA67" s="344"/>
      <c r="AB67" s="344"/>
      <c r="AC67" s="344"/>
      <c r="AD67" s="344"/>
      <c r="AE67" s="344"/>
      <c r="AF67" s="344"/>
      <c r="AG67" s="344"/>
      <c r="AH67" s="344"/>
      <c r="AI67" s="344"/>
      <c r="AK67" s="108"/>
      <c r="AL67" s="108"/>
      <c r="AM67" s="108"/>
      <c r="AN67" s="108"/>
      <c r="AO67" s="137"/>
      <c r="AP67" s="137"/>
      <c r="AQ67" s="137"/>
      <c r="AR67" s="137"/>
    </row>
    <row r="68" spans="1:44" x14ac:dyDescent="0.2">
      <c r="N68" s="37" t="str">
        <f>ListAVS!B189&amp;". "</f>
        <v xml:space="preserve">W celu określenia rodzaju siłownika będzie wykorzystana obliczona waga. </v>
      </c>
      <c r="T68" s="346"/>
      <c r="U68" s="344"/>
      <c r="V68" s="344"/>
      <c r="W68" s="344"/>
      <c r="X68" s="344"/>
      <c r="Y68" s="344"/>
      <c r="Z68" s="344"/>
      <c r="AA68" s="344"/>
      <c r="AB68" s="344"/>
      <c r="AC68" s="344"/>
      <c r="AD68" s="344"/>
      <c r="AE68" s="344"/>
      <c r="AF68" s="344"/>
      <c r="AG68" s="344"/>
      <c r="AH68" s="344"/>
      <c r="AI68" s="344"/>
      <c r="AK68" s="108"/>
      <c r="AL68" s="108"/>
      <c r="AM68" s="108"/>
      <c r="AN68" s="108"/>
      <c r="AO68" s="137"/>
      <c r="AP68" s="137"/>
      <c r="AQ68" s="137"/>
      <c r="AR68" s="137"/>
    </row>
    <row r="69" spans="1:44" x14ac:dyDescent="0.2">
      <c r="N69" s="37" t="str">
        <f>ListAVS!B190</f>
        <v>Jeżeli chcesz wykorzystać obliczoną wagę, zmaż podaną wartość</v>
      </c>
      <c r="T69" s="346"/>
      <c r="U69" s="344"/>
      <c r="V69" s="344"/>
      <c r="W69" s="344"/>
      <c r="X69" s="344"/>
      <c r="Y69" s="344"/>
      <c r="Z69" s="344"/>
      <c r="AA69" s="344"/>
      <c r="AB69" s="344"/>
      <c r="AC69" s="344"/>
      <c r="AD69" s="344"/>
      <c r="AE69" s="344"/>
      <c r="AF69" s="344"/>
      <c r="AG69" s="344"/>
      <c r="AH69" s="344"/>
      <c r="AI69" s="344"/>
      <c r="AK69" s="108"/>
      <c r="AL69" s="108"/>
      <c r="AM69" s="108"/>
      <c r="AN69" s="108"/>
      <c r="AO69" s="137"/>
      <c r="AP69" s="137"/>
      <c r="AQ69" s="137"/>
      <c r="AR69" s="137"/>
    </row>
    <row r="70" spans="1:44" x14ac:dyDescent="0.2">
      <c r="N70" s="37" t="str">
        <f>ListAVS!B191</f>
        <v>Jeżeli chcesz wykorzystać podaną wagą, wpisz ją w pole</v>
      </c>
      <c r="T70" s="346"/>
      <c r="U70" s="344"/>
      <c r="V70" s="344"/>
      <c r="W70" s="344"/>
      <c r="X70" s="344"/>
      <c r="Y70" s="344"/>
      <c r="Z70" s="344"/>
      <c r="AA70" s="344"/>
      <c r="AB70" s="344"/>
      <c r="AC70" s="344"/>
      <c r="AD70" s="344"/>
      <c r="AE70" s="344"/>
      <c r="AF70" s="344"/>
      <c r="AG70" s="344"/>
      <c r="AH70" s="344"/>
      <c r="AI70" s="344"/>
      <c r="AK70" s="108"/>
      <c r="AL70" s="108"/>
      <c r="AM70" s="108"/>
      <c r="AN70" s="108"/>
      <c r="AO70" s="137"/>
      <c r="AP70" s="137"/>
      <c r="AQ70" s="137"/>
      <c r="AR70" s="137"/>
    </row>
    <row r="71" spans="1:44" x14ac:dyDescent="0.2">
      <c r="I71" s="144"/>
      <c r="AK71" s="108"/>
      <c r="AL71" s="108"/>
      <c r="AM71" s="108"/>
      <c r="AN71" s="108"/>
      <c r="AO71" s="137"/>
      <c r="AP71" s="137"/>
      <c r="AQ71" s="137"/>
      <c r="AR71" s="137"/>
    </row>
    <row r="72" spans="1:44" x14ac:dyDescent="0.2">
      <c r="I72" s="144"/>
      <c r="AK72" s="108"/>
      <c r="AL72" s="108"/>
      <c r="AM72" s="108"/>
      <c r="AN72" s="108"/>
      <c r="AO72" s="137"/>
      <c r="AP72" s="137"/>
      <c r="AQ72" s="137"/>
      <c r="AR72" s="137"/>
    </row>
    <row r="73" spans="1:44" x14ac:dyDescent="0.2">
      <c r="AK73" s="108"/>
      <c r="AL73" s="108"/>
      <c r="AM73" s="108"/>
      <c r="AN73" s="108"/>
      <c r="AO73" s="137"/>
      <c r="AP73" s="137"/>
      <c r="AQ73" s="137"/>
      <c r="AR73" s="137"/>
    </row>
    <row r="74" spans="1:44" x14ac:dyDescent="0.2">
      <c r="AK74" s="108"/>
      <c r="AL74" s="108"/>
      <c r="AM74" s="108"/>
      <c r="AN74" s="108"/>
      <c r="AO74" s="137"/>
      <c r="AP74" s="137"/>
      <c r="AQ74" s="137"/>
      <c r="AR74" s="137"/>
    </row>
    <row r="75" spans="1:44" x14ac:dyDescent="0.2">
      <c r="AK75" s="108"/>
      <c r="AL75" s="108"/>
      <c r="AM75" s="108"/>
      <c r="AN75" s="108"/>
      <c r="AO75" s="137"/>
      <c r="AP75" s="137"/>
      <c r="AQ75" s="137"/>
      <c r="AR75" s="137"/>
    </row>
    <row r="76" spans="1:44" x14ac:dyDescent="0.2">
      <c r="AK76" s="108"/>
      <c r="AL76" s="108"/>
      <c r="AM76" s="108"/>
      <c r="AN76" s="108"/>
      <c r="AO76" s="137"/>
      <c r="AP76" s="137"/>
      <c r="AQ76" s="137"/>
      <c r="AR76" s="137"/>
    </row>
    <row r="77" spans="1:44" x14ac:dyDescent="0.2">
      <c r="AK77" s="108"/>
      <c r="AL77" s="108"/>
      <c r="AM77" s="108"/>
      <c r="AN77" s="108"/>
      <c r="AO77" s="137"/>
      <c r="AP77" s="137"/>
      <c r="AQ77" s="137"/>
      <c r="AR77" s="137"/>
    </row>
    <row r="78" spans="1:44" x14ac:dyDescent="0.2">
      <c r="AK78" s="108"/>
      <c r="AL78" s="108"/>
      <c r="AM78" s="108"/>
      <c r="AN78" s="108"/>
      <c r="AO78" s="137"/>
      <c r="AP78" s="137"/>
      <c r="AQ78" s="137"/>
      <c r="AR78" s="137"/>
    </row>
    <row r="79" spans="1:44" ht="12.75" x14ac:dyDescent="0.2">
      <c r="A79" s="255"/>
      <c r="N79" s="517" t="str">
        <f>ListAVS!$B$73</f>
        <v>Obliczanie wagi frontów</v>
      </c>
      <c r="O79" s="518"/>
      <c r="P79" s="518"/>
      <c r="Q79" s="518"/>
      <c r="R79" s="518"/>
      <c r="S79" s="255"/>
      <c r="T79" s="829"/>
      <c r="U79" s="255"/>
      <c r="V79" s="255"/>
      <c r="W79" s="255"/>
      <c r="AA79" s="118"/>
      <c r="AC79" s="118"/>
      <c r="AK79" s="108"/>
      <c r="AL79" s="108"/>
      <c r="AM79" s="108"/>
      <c r="AN79" s="108"/>
      <c r="AO79" s="137"/>
      <c r="AP79" s="137"/>
      <c r="AQ79" s="137"/>
      <c r="AR79" s="137"/>
    </row>
    <row r="80" spans="1:44" ht="15.6" customHeight="1" x14ac:dyDescent="0.2">
      <c r="A80" s="255"/>
      <c r="N80" s="255"/>
      <c r="O80" s="269"/>
      <c r="P80" s="255"/>
      <c r="Q80" s="255"/>
      <c r="R80" s="255"/>
      <c r="S80" s="255"/>
      <c r="T80" s="829">
        <f>J4</f>
        <v>0</v>
      </c>
      <c r="U80" s="262" t="str">
        <f>IF($Z$87=3,IF(T80=0,$Y$82," "),IF(T80&gt;0,$Y$83," "))</f>
        <v xml:space="preserve"> </v>
      </c>
      <c r="V80" s="255"/>
      <c r="W80" s="255"/>
      <c r="Y80" s="149" t="str">
        <f>IF($Z$87=1,$Z$88,IF($Z$87=2,$Z$89,$Z$90&amp;" "&amp;$Y$90&amp;"kg/m3"))&amp;" A~"&amp;$T$88&amp;"/ B~"&amp;$T$99&amp;"mm"</f>
        <v>Płyta wiórowa (680 kg/m3) A~0/ B~0mm</v>
      </c>
      <c r="Z80" s="118"/>
      <c r="AB80" s="118"/>
      <c r="AK80" s="108"/>
      <c r="AL80" s="108"/>
      <c r="AM80" s="108"/>
      <c r="AN80" s="108"/>
      <c r="AO80" s="137"/>
      <c r="AP80" s="137"/>
      <c r="AQ80" s="137"/>
      <c r="AR80" s="137"/>
    </row>
    <row r="81" spans="1:52" ht="15.75" customHeight="1" x14ac:dyDescent="0.2">
      <c r="A81" s="255"/>
      <c r="N81" s="255"/>
      <c r="O81" s="255"/>
      <c r="P81" s="1151" t="str">
        <f>IF($Z$87&lt;&gt;3,$Y$81," ")&amp;"      "</f>
        <v xml:space="preserve"> Możesz zmienić wartości we Wstępie do planowania      </v>
      </c>
      <c r="Q81" s="1151"/>
      <c r="R81" s="1151"/>
      <c r="S81" s="1151"/>
      <c r="T81" s="1151"/>
      <c r="U81" s="255"/>
      <c r="V81" s="255"/>
      <c r="W81" s="255"/>
      <c r="Y81" s="37" t="str">
        <f>" "&amp;ListAVS!$B$410</f>
        <v xml:space="preserve"> Możesz zmienić wartości we Wstępie do planowania</v>
      </c>
      <c r="Z81" s="118"/>
      <c r="AB81" s="118"/>
      <c r="AK81" s="108"/>
      <c r="AL81" s="108"/>
      <c r="AM81" s="108"/>
      <c r="AN81" s="108"/>
      <c r="AO81" s="137"/>
      <c r="AP81" s="137"/>
      <c r="AQ81" s="137"/>
      <c r="AR81" s="137"/>
    </row>
    <row r="82" spans="1:52" ht="13.5" customHeight="1" x14ac:dyDescent="0.2">
      <c r="A82" s="255"/>
      <c r="N82" s="266"/>
      <c r="O82" s="255"/>
      <c r="P82" s="255"/>
      <c r="Q82" s="255"/>
      <c r="R82" s="255"/>
      <c r="S82" s="255"/>
      <c r="T82" s="255"/>
      <c r="U82" s="255"/>
      <c r="V82" s="255"/>
      <c r="W82" s="255"/>
      <c r="Y82" s="37" t="str">
        <f>" "&amp;ListAVS!$B$245&amp;" [kg/m3]"</f>
        <v xml:space="preserve"> Podaj masę objętościową [kg/m3]</v>
      </c>
      <c r="Z82" s="118"/>
      <c r="AB82" s="118"/>
      <c r="AK82" s="108"/>
      <c r="AL82" s="108"/>
      <c r="AM82" s="108"/>
      <c r="AN82" s="108"/>
      <c r="AO82" s="137"/>
      <c r="AP82" s="137"/>
      <c r="AQ82" s="137"/>
      <c r="AR82" s="137"/>
      <c r="AS82" s="118"/>
    </row>
    <row r="83" spans="1:52" ht="12.75" x14ac:dyDescent="0.2">
      <c r="A83" s="255"/>
      <c r="N83" s="266"/>
      <c r="O83" s="255"/>
      <c r="P83" s="255"/>
      <c r="Q83" s="255"/>
      <c r="R83" s="255"/>
      <c r="S83" s="255"/>
      <c r="T83" s="255"/>
      <c r="U83" s="255"/>
      <c r="V83" s="255"/>
      <c r="W83" s="255"/>
      <c r="Y83" s="37" t="str">
        <f>" "&amp;ListAVS!$B$241&amp;" '"&amp;ListAVS!$B$92&amp;"'"</f>
        <v xml:space="preserve"> Wartość obowiązuje tylko dla opcji 'Inne – wybrana gęstość materiału'</v>
      </c>
      <c r="Z83" s="118"/>
      <c r="AB83" s="118"/>
      <c r="AK83" s="108"/>
      <c r="AL83" s="108"/>
      <c r="AM83" s="108"/>
      <c r="AN83" s="108"/>
      <c r="AO83" s="137"/>
      <c r="AP83" s="137"/>
      <c r="AQ83" s="137"/>
      <c r="AR83" s="137"/>
      <c r="AS83" s="118"/>
      <c r="AT83" s="118"/>
      <c r="AU83" s="118"/>
      <c r="AV83" s="118"/>
      <c r="AW83" s="118"/>
      <c r="AX83" s="118"/>
      <c r="AY83" s="118"/>
      <c r="AZ83" s="118"/>
    </row>
    <row r="84" spans="1:52" ht="12.75" x14ac:dyDescent="0.2">
      <c r="A84" s="255"/>
      <c r="N84" s="255"/>
      <c r="O84" s="255"/>
      <c r="P84" s="255"/>
      <c r="Q84" s="255"/>
      <c r="R84" s="255"/>
      <c r="S84" s="255"/>
      <c r="T84" s="255"/>
      <c r="U84" s="255"/>
      <c r="V84" s="255"/>
      <c r="W84" s="255"/>
      <c r="Z84" s="118"/>
      <c r="AB84" s="118"/>
      <c r="AK84" s="108"/>
      <c r="AL84" s="108"/>
      <c r="AM84" s="108"/>
      <c r="AN84" s="108"/>
      <c r="AO84" s="137"/>
      <c r="AP84" s="137"/>
      <c r="AQ84" s="137"/>
      <c r="AR84" s="137"/>
      <c r="AS84" s="118"/>
      <c r="AT84" s="118"/>
      <c r="AU84" s="118"/>
      <c r="AV84" s="118"/>
      <c r="AW84" s="118"/>
      <c r="AX84" s="118"/>
      <c r="AY84" s="118"/>
      <c r="AZ84" s="118"/>
    </row>
    <row r="85" spans="1:52" ht="12.75" x14ac:dyDescent="0.2">
      <c r="A85" s="255"/>
      <c r="N85" s="266"/>
      <c r="O85" s="266"/>
      <c r="P85" s="266"/>
      <c r="Q85" s="255"/>
      <c r="R85" s="1148" t="str">
        <f>D9</f>
        <v xml:space="preserve"> </v>
      </c>
      <c r="S85" s="1149"/>
      <c r="T85" s="1150"/>
      <c r="U85" s="255"/>
      <c r="V85" s="255"/>
      <c r="W85" s="255"/>
      <c r="Z85" s="118"/>
      <c r="AB85" s="118"/>
      <c r="AK85" s="108"/>
      <c r="AL85" s="108"/>
      <c r="AM85" s="108"/>
      <c r="AN85" s="108"/>
      <c r="AO85" s="137"/>
      <c r="AP85" s="137"/>
      <c r="AQ85" s="137"/>
      <c r="AR85" s="137"/>
      <c r="AS85" s="118"/>
      <c r="AT85" s="118"/>
      <c r="AU85" s="118"/>
      <c r="AV85" s="118"/>
      <c r="AW85" s="118"/>
      <c r="AX85" s="118"/>
      <c r="AY85" s="118"/>
      <c r="AZ85" s="118"/>
    </row>
    <row r="86" spans="1:52" ht="15.75" customHeight="1" x14ac:dyDescent="0.2">
      <c r="A86" s="255"/>
      <c r="N86" s="1138" t="str">
        <f>ListAVS!$B$74&amp;" KB [mm]       "</f>
        <v xml:space="preserve">Szerokość korpusu KB [mm]       </v>
      </c>
      <c r="O86" s="1139"/>
      <c r="P86" s="1139"/>
      <c r="Q86" s="1139"/>
      <c r="R86" s="1139"/>
      <c r="S86" s="1140"/>
      <c r="T86" s="829">
        <f>H10</f>
        <v>0</v>
      </c>
      <c r="U86" s="670"/>
      <c r="V86" s="248"/>
      <c r="W86" s="255"/>
      <c r="Y86" s="37">
        <f>T86*T87*T88</f>
        <v>0</v>
      </c>
      <c r="AB86" s="118"/>
      <c r="AD86" s="37">
        <v>3.51</v>
      </c>
      <c r="AE86" s="149" t="s">
        <v>67</v>
      </c>
      <c r="AK86" s="108"/>
      <c r="AL86" s="108"/>
      <c r="AM86" s="108"/>
      <c r="AN86" s="108"/>
      <c r="AO86" s="137"/>
      <c r="AP86" s="137"/>
      <c r="AQ86" s="137"/>
      <c r="AR86" s="137"/>
      <c r="AS86" s="118"/>
      <c r="AT86" s="118"/>
      <c r="AU86" s="118"/>
      <c r="AV86" s="118"/>
      <c r="AW86" s="118"/>
      <c r="AX86" s="118"/>
      <c r="AY86" s="118"/>
      <c r="AZ86" s="118"/>
    </row>
    <row r="87" spans="1:52" s="118" customFormat="1" ht="13.5" customHeight="1" x14ac:dyDescent="0.2">
      <c r="A87" s="255"/>
      <c r="N87" s="1138" t="str">
        <f>ListAVS!$B$75&amp;" KH [mm]       "</f>
        <v xml:space="preserve">Wysokość korpusu KH [mm]       </v>
      </c>
      <c r="O87" s="1139"/>
      <c r="P87" s="1139"/>
      <c r="Q87" s="1139"/>
      <c r="R87" s="1139"/>
      <c r="S87" s="1140"/>
      <c r="T87" s="829">
        <f>H11</f>
        <v>0</v>
      </c>
      <c r="U87" s="670"/>
      <c r="V87" s="248"/>
      <c r="W87" s="255"/>
      <c r="X87" s="37"/>
      <c r="Y87" s="37">
        <f>Y86/1000000000</f>
        <v>0</v>
      </c>
      <c r="Z87" s="117">
        <v>2</v>
      </c>
      <c r="AC87" s="37"/>
      <c r="AD87" s="144" t="s">
        <v>71</v>
      </c>
      <c r="AE87" s="37">
        <f>SUM(T86*2,T87*2)*AD86/10000</f>
        <v>0</v>
      </c>
      <c r="AF87" s="37"/>
      <c r="AG87" s="37"/>
      <c r="AH87" s="37"/>
      <c r="AJ87" s="37"/>
      <c r="AK87" s="108"/>
      <c r="AL87" s="108"/>
      <c r="AM87" s="108"/>
      <c r="AN87" s="108"/>
      <c r="AO87" s="137"/>
      <c r="AP87" s="137"/>
      <c r="AQ87" s="137"/>
      <c r="AR87" s="137"/>
      <c r="AS87" s="122"/>
    </row>
    <row r="88" spans="1:52" s="118" customFormat="1" ht="13.5" customHeight="1" x14ac:dyDescent="0.2">
      <c r="A88" s="255"/>
      <c r="N88" s="1143" t="str">
        <f>ListAVS!$B$80&amp;" TS [mm] "</f>
        <v xml:space="preserve">Grubość frontu TS [mm] </v>
      </c>
      <c r="O88" s="1144"/>
      <c r="P88" s="1144"/>
      <c r="Q88" s="1144"/>
      <c r="R88" s="1144"/>
      <c r="S88" s="1145"/>
      <c r="T88" s="829">
        <f>H13</f>
        <v>0</v>
      </c>
      <c r="U88" s="256" t="str">
        <f>IF(SUM(T86,T87)=0," ",IF(T88=0," ● "&amp;ListAVS!$B$129," "))</f>
        <v xml:space="preserve"> </v>
      </c>
      <c r="V88" s="248"/>
      <c r="W88" s="255"/>
      <c r="X88" s="37"/>
      <c r="Y88" s="319">
        <f>MenuAVS!$C$31</f>
        <v>760</v>
      </c>
      <c r="Z88" s="175" t="str">
        <f>ListAVS!$B$90&amp;" ("&amp;Y88&amp;" kg/m3)"</f>
        <v>MDF (760 kg/m3)</v>
      </c>
      <c r="AC88" s="37"/>
      <c r="AD88" s="37">
        <v>10</v>
      </c>
      <c r="AE88" s="37">
        <f>SUM($T$86*$T$87*$AD88)/1000000</f>
        <v>0</v>
      </c>
      <c r="AF88" s="117">
        <v>3</v>
      </c>
      <c r="AG88" s="117"/>
      <c r="AH88" s="117"/>
      <c r="AJ88" s="37"/>
      <c r="AK88" s="108"/>
      <c r="AL88" s="108"/>
      <c r="AM88" s="108"/>
      <c r="AN88" s="108"/>
      <c r="AO88" s="137"/>
      <c r="AP88" s="137"/>
      <c r="AQ88" s="137"/>
      <c r="AR88" s="137"/>
      <c r="AS88" s="122"/>
      <c r="AT88" s="122"/>
      <c r="AU88" s="122"/>
      <c r="AV88" s="121"/>
      <c r="AW88" s="121"/>
      <c r="AX88" s="121"/>
      <c r="AY88" s="121"/>
      <c r="AZ88" s="121"/>
    </row>
    <row r="89" spans="1:52" s="118" customFormat="1" ht="13.5" customHeight="1" x14ac:dyDescent="0.2">
      <c r="A89" s="255"/>
      <c r="N89" s="1143" t="str">
        <f>ListAVS!$B$83&amp;" [kg] "</f>
        <v xml:space="preserve">Waga uchwytu [kg] </v>
      </c>
      <c r="O89" s="1144"/>
      <c r="P89" s="1144"/>
      <c r="Q89" s="1144"/>
      <c r="R89" s="1144"/>
      <c r="S89" s="1145"/>
      <c r="T89" s="829">
        <f>H14</f>
        <v>0</v>
      </c>
      <c r="U89" s="256" t="str">
        <f>IF(SUM(T86,T87)=0," ",IF(T89=0," ● "&amp;ListAVS!$B$130," "))</f>
        <v xml:space="preserve"> </v>
      </c>
      <c r="V89" s="248"/>
      <c r="W89" s="255"/>
      <c r="X89" s="37"/>
      <c r="Y89" s="319">
        <f>MenuAVS!$C$32</f>
        <v>680</v>
      </c>
      <c r="Z89" s="175" t="str">
        <f>ListAVS!$B$91&amp;" ("&amp;Y89&amp;" kg/m3)"</f>
        <v>Płyta wiórowa (680 kg/m3)</v>
      </c>
      <c r="AC89" s="37"/>
      <c r="AD89" s="37">
        <v>15</v>
      </c>
      <c r="AE89" s="37">
        <f>SUM($T$86*$T$87*$AD89)/1000000</f>
        <v>0</v>
      </c>
      <c r="AF89" s="149" t="str">
        <f>ListAVS!$B$93</f>
        <v>Ramki aluminiowe z 4mm szkłem</v>
      </c>
      <c r="AG89" s="149"/>
      <c r="AH89" s="149"/>
      <c r="AJ89" s="37"/>
      <c r="AK89" s="108"/>
      <c r="AL89" s="108"/>
      <c r="AM89" s="108"/>
      <c r="AN89" s="108"/>
      <c r="AO89" s="137"/>
      <c r="AP89" s="137"/>
      <c r="AQ89" s="137"/>
      <c r="AR89" s="137"/>
      <c r="AT89" s="122"/>
      <c r="AU89" s="122"/>
      <c r="AV89" s="121"/>
      <c r="AW89" s="121"/>
      <c r="AX89" s="121"/>
      <c r="AY89" s="121"/>
      <c r="AZ89" s="121"/>
    </row>
    <row r="90" spans="1:52" s="118" customFormat="1" ht="13.5" customHeight="1" x14ac:dyDescent="0.2">
      <c r="A90" s="255"/>
      <c r="N90" s="1143" t="str">
        <f>ListAVS!$B$79&amp;" [kg] "</f>
        <v xml:space="preserve">Obliczona waga frontu [kg] </v>
      </c>
      <c r="O90" s="1144"/>
      <c r="P90" s="1144"/>
      <c r="Q90" s="1144"/>
      <c r="R90" s="1144"/>
      <c r="S90" s="1145"/>
      <c r="T90" s="533">
        <f>IF(X90=0,0,X90+T89)</f>
        <v>0</v>
      </c>
      <c r="U90" s="227"/>
      <c r="V90" s="248"/>
      <c r="W90" s="255"/>
      <c r="X90" s="186">
        <f>IF(T86*T87*T88=0,0,IF(Z87=1,Y87*Y88,IF(Z87=2,Y87*Y89,Y87*Y90)))</f>
        <v>0</v>
      </c>
      <c r="Y90" s="37">
        <f>$T$80</f>
        <v>0</v>
      </c>
      <c r="Z90" s="175" t="str">
        <f>ListAVS!$B$92</f>
        <v>Inne – wybrana gęstość materiału</v>
      </c>
      <c r="AC90" s="37"/>
      <c r="AD90" s="334">
        <f>2.5*$T$80</f>
        <v>0</v>
      </c>
      <c r="AE90" s="37">
        <f>SUM($T$86*$T$87*$AD90)/1000000</f>
        <v>0</v>
      </c>
      <c r="AF90" s="149" t="str">
        <f>ListAVS!$B$94</f>
        <v>Ramki aluminiowe z 5mm szkłem</v>
      </c>
      <c r="AG90" s="149"/>
      <c r="AH90" s="149"/>
      <c r="AJ90" s="37"/>
      <c r="AK90" s="108"/>
      <c r="AL90" s="108"/>
      <c r="AM90" s="108"/>
      <c r="AN90" s="108"/>
      <c r="AO90" s="137"/>
      <c r="AP90" s="137"/>
      <c r="AQ90" s="137"/>
      <c r="AR90" s="137"/>
    </row>
    <row r="91" spans="1:52" s="118" customFormat="1" ht="13.5" customHeight="1" x14ac:dyDescent="0.2">
      <c r="A91" s="255"/>
      <c r="N91" s="255"/>
      <c r="O91" s="273" t="str">
        <f>IF(T90&gt;0,IF(T89=0,$Y$107," ")," ")</f>
        <v xml:space="preserve"> </v>
      </c>
      <c r="P91" s="255"/>
      <c r="Q91" s="255"/>
      <c r="R91" s="255"/>
      <c r="S91" s="255"/>
      <c r="T91" s="255"/>
      <c r="U91" s="255"/>
      <c r="V91" s="255"/>
      <c r="W91" s="255"/>
      <c r="X91" s="37"/>
      <c r="Y91" s="37"/>
      <c r="AA91" s="37"/>
      <c r="AC91" s="37"/>
      <c r="AD91" s="186">
        <f>SUM(IF(AF88=1,AE88,IF(AF88=2,AE89,AE90)),AE87)</f>
        <v>0</v>
      </c>
      <c r="AE91" s="37"/>
      <c r="AF91" s="149" t="str">
        <f>ListAVS!$B$95</f>
        <v>Ramki aluminiowe z innym szkłem</v>
      </c>
      <c r="AG91" s="149"/>
      <c r="AH91" s="149"/>
      <c r="AJ91" s="37"/>
      <c r="AK91" s="108"/>
      <c r="AL91" s="108"/>
      <c r="AM91" s="108"/>
      <c r="AN91" s="108"/>
      <c r="AO91" s="137"/>
      <c r="AP91" s="137"/>
      <c r="AQ91" s="137"/>
      <c r="AR91" s="137"/>
    </row>
    <row r="92" spans="1:52" s="118" customFormat="1" ht="13.5" customHeight="1" x14ac:dyDescent="0.2">
      <c r="A92" s="255"/>
      <c r="N92" s="255"/>
      <c r="O92" s="273"/>
      <c r="P92" s="255"/>
      <c r="Q92" s="255"/>
      <c r="R92" s="255"/>
      <c r="S92" s="255"/>
      <c r="T92" s="255"/>
      <c r="U92" s="255"/>
      <c r="V92" s="255"/>
      <c r="W92" s="255"/>
      <c r="X92" s="37"/>
      <c r="Y92" s="37"/>
      <c r="AA92" s="37"/>
      <c r="AC92" s="37"/>
      <c r="AD92" s="193"/>
      <c r="AE92" s="37"/>
      <c r="AF92" s="149"/>
      <c r="AG92" s="149"/>
      <c r="AH92" s="149"/>
      <c r="AJ92" s="37"/>
      <c r="AK92" s="108"/>
      <c r="AL92" s="108"/>
      <c r="AM92" s="108"/>
      <c r="AN92" s="108"/>
      <c r="AO92" s="137"/>
      <c r="AP92" s="137"/>
      <c r="AQ92" s="137"/>
      <c r="AR92" s="137"/>
    </row>
    <row r="93" spans="1:52" s="118" customFormat="1" ht="13.5" customHeight="1" x14ac:dyDescent="0.2">
      <c r="A93" s="255"/>
      <c r="N93" s="255"/>
      <c r="O93" s="273"/>
      <c r="P93" s="255"/>
      <c r="Q93" s="255"/>
      <c r="R93" s="255"/>
      <c r="S93" s="255"/>
      <c r="T93" s="255"/>
      <c r="U93" s="255"/>
      <c r="V93" s="255"/>
      <c r="W93" s="255"/>
      <c r="X93" s="37"/>
      <c r="Y93" s="37"/>
      <c r="AA93" s="37"/>
      <c r="AC93" s="37"/>
      <c r="AD93" s="193"/>
      <c r="AE93" s="37"/>
      <c r="AF93" s="149"/>
      <c r="AG93" s="149"/>
      <c r="AH93" s="149"/>
      <c r="AJ93" s="37"/>
      <c r="AK93" s="108"/>
      <c r="AL93" s="108"/>
      <c r="AM93" s="108"/>
      <c r="AN93" s="108"/>
      <c r="AO93" s="137"/>
      <c r="AP93" s="137"/>
      <c r="AQ93" s="137"/>
      <c r="AR93" s="137"/>
    </row>
    <row r="94" spans="1:52" ht="13.5" customHeight="1" x14ac:dyDescent="0.2">
      <c r="A94" s="255"/>
      <c r="N94" s="255"/>
      <c r="O94" s="255"/>
      <c r="P94" s="255"/>
      <c r="Q94" s="255"/>
      <c r="R94" s="255"/>
      <c r="S94" s="255"/>
      <c r="T94" s="255"/>
      <c r="U94" s="255"/>
      <c r="V94" s="255"/>
      <c r="W94" s="255"/>
      <c r="Z94" s="118"/>
      <c r="AB94" s="118"/>
      <c r="AK94" s="108"/>
      <c r="AL94" s="108"/>
      <c r="AM94" s="108"/>
      <c r="AN94" s="108"/>
      <c r="AO94" s="137"/>
      <c r="AP94" s="137"/>
      <c r="AQ94" s="137"/>
      <c r="AR94" s="137"/>
      <c r="AS94" s="118"/>
      <c r="AT94" s="118"/>
      <c r="AU94" s="118"/>
      <c r="AV94" s="118"/>
      <c r="AW94" s="118"/>
      <c r="AX94" s="118"/>
      <c r="AY94" s="118"/>
      <c r="AZ94" s="118"/>
    </row>
    <row r="95" spans="1:52" ht="12.75" x14ac:dyDescent="0.2">
      <c r="A95" s="255"/>
      <c r="N95" s="255"/>
      <c r="O95" s="255"/>
      <c r="P95" s="255"/>
      <c r="Q95" s="255"/>
      <c r="R95" s="255"/>
      <c r="S95" s="255"/>
      <c r="T95" s="255"/>
      <c r="U95" s="255"/>
      <c r="V95" s="255"/>
      <c r="W95" s="255"/>
      <c r="Z95" s="118"/>
      <c r="AB95" s="118"/>
      <c r="AK95" s="108"/>
      <c r="AL95" s="108"/>
      <c r="AM95" s="108"/>
      <c r="AN95" s="108"/>
      <c r="AO95" s="137"/>
      <c r="AP95" s="137"/>
      <c r="AQ95" s="137"/>
      <c r="AR95" s="137"/>
      <c r="AS95" s="118"/>
      <c r="AT95" s="118"/>
      <c r="AU95" s="118"/>
      <c r="AV95" s="118"/>
      <c r="AW95" s="118"/>
      <c r="AX95" s="118"/>
      <c r="AY95" s="118"/>
      <c r="AZ95" s="118"/>
    </row>
    <row r="96" spans="1:52" s="118" customFormat="1" ht="12.75" x14ac:dyDescent="0.2">
      <c r="A96" s="255"/>
      <c r="N96" s="248"/>
      <c r="O96" s="248"/>
      <c r="P96" s="248"/>
      <c r="Q96" s="255"/>
      <c r="R96" s="1148" t="str">
        <f>D20</f>
        <v xml:space="preserve"> </v>
      </c>
      <c r="S96" s="1149"/>
      <c r="T96" s="1150"/>
      <c r="U96" s="255"/>
      <c r="V96" s="255"/>
      <c r="W96" s="255"/>
      <c r="X96" s="37"/>
      <c r="AA96" s="37"/>
      <c r="AC96" s="37"/>
      <c r="AD96" s="37"/>
      <c r="AE96" s="37"/>
      <c r="AF96" s="37"/>
      <c r="AG96" s="37"/>
      <c r="AH96" s="37"/>
      <c r="AJ96" s="37"/>
      <c r="AK96" s="108"/>
      <c r="AL96" s="108"/>
      <c r="AM96" s="108"/>
      <c r="AN96" s="108"/>
      <c r="AO96" s="137"/>
      <c r="AP96" s="137"/>
      <c r="AQ96" s="137"/>
      <c r="AR96" s="137"/>
    </row>
    <row r="97" spans="1:52" s="118" customFormat="1" ht="15.75" customHeight="1" x14ac:dyDescent="0.2">
      <c r="A97" s="255"/>
      <c r="N97" s="1138" t="str">
        <f>ListAVS!$B$74&amp;" KB [mm]       "</f>
        <v xml:space="preserve">Szerokość korpusu KB [mm]       </v>
      </c>
      <c r="O97" s="1139"/>
      <c r="P97" s="1139"/>
      <c r="Q97" s="1139"/>
      <c r="R97" s="1139"/>
      <c r="S97" s="1140"/>
      <c r="T97" s="829">
        <f>H21</f>
        <v>0</v>
      </c>
      <c r="U97" s="670"/>
      <c r="V97" s="255"/>
      <c r="W97" s="255"/>
      <c r="X97" s="37"/>
      <c r="Y97" s="37">
        <f>T97*T98*T99</f>
        <v>0</v>
      </c>
      <c r="Z97" s="37"/>
      <c r="AA97" s="37"/>
      <c r="AC97" s="37"/>
      <c r="AD97" s="37">
        <v>3.51</v>
      </c>
      <c r="AE97" s="149" t="s">
        <v>67</v>
      </c>
      <c r="AF97" s="37"/>
      <c r="AG97" s="37"/>
      <c r="AH97" s="37"/>
      <c r="AJ97" s="37"/>
      <c r="AK97" s="108"/>
      <c r="AL97" s="108"/>
      <c r="AM97" s="108"/>
      <c r="AN97" s="108"/>
      <c r="AO97" s="137"/>
      <c r="AP97" s="137"/>
      <c r="AQ97" s="137"/>
      <c r="AR97" s="137"/>
    </row>
    <row r="98" spans="1:52" s="118" customFormat="1" ht="13.5" customHeight="1" x14ac:dyDescent="0.2">
      <c r="A98" s="255"/>
      <c r="N98" s="1138" t="str">
        <f>ListAVS!$B$75&amp;" KH [mm]       "</f>
        <v xml:space="preserve">Wysokość korpusu KH [mm]       </v>
      </c>
      <c r="O98" s="1139"/>
      <c r="P98" s="1139"/>
      <c r="Q98" s="1139"/>
      <c r="R98" s="1139"/>
      <c r="S98" s="1140"/>
      <c r="T98" s="829">
        <f>H22</f>
        <v>0</v>
      </c>
      <c r="U98" s="670"/>
      <c r="V98" s="255"/>
      <c r="W98" s="255"/>
      <c r="X98" s="37"/>
      <c r="Y98" s="37">
        <f>Y97/1000000000</f>
        <v>0</v>
      </c>
      <c r="Z98" s="182">
        <f>Z87</f>
        <v>2</v>
      </c>
      <c r="AC98" s="37"/>
      <c r="AD98" s="144" t="s">
        <v>71</v>
      </c>
      <c r="AE98" s="37">
        <f>SUM(T97*2,T98*2)*AD97/10000</f>
        <v>0</v>
      </c>
      <c r="AF98" s="37"/>
      <c r="AG98" s="37"/>
      <c r="AH98" s="37"/>
      <c r="AJ98" s="37"/>
      <c r="AK98" s="108"/>
      <c r="AL98" s="108"/>
      <c r="AM98" s="108"/>
      <c r="AN98" s="108"/>
      <c r="AO98" s="137"/>
      <c r="AP98" s="137"/>
      <c r="AQ98" s="137"/>
      <c r="AR98" s="137"/>
    </row>
    <row r="99" spans="1:52" s="118" customFormat="1" ht="13.5" customHeight="1" x14ac:dyDescent="0.2">
      <c r="A99" s="255"/>
      <c r="N99" s="1143" t="str">
        <f>ListAVS!$B$80&amp;" TS [mm] "</f>
        <v xml:space="preserve">Grubość frontu TS [mm] </v>
      </c>
      <c r="O99" s="1144"/>
      <c r="P99" s="1144"/>
      <c r="Q99" s="1144"/>
      <c r="R99" s="1144"/>
      <c r="S99" s="1145"/>
      <c r="T99" s="829">
        <f>H24</f>
        <v>0</v>
      </c>
      <c r="U99" s="256" t="str">
        <f>IF(SUM(T97,T98)=0," ",IF(T99=0," ● "&amp;ListAVS!$B$129," "))</f>
        <v xml:space="preserve"> </v>
      </c>
      <c r="V99" s="248"/>
      <c r="W99" s="248"/>
      <c r="X99" s="37"/>
      <c r="Y99" s="319">
        <f>$Y$88</f>
        <v>760</v>
      </c>
      <c r="Z99" s="37" t="str">
        <f>$Z$88</f>
        <v>MDF (760 kg/m3)</v>
      </c>
      <c r="AC99" s="37"/>
      <c r="AD99" s="37">
        <v>8.8000000000000007</v>
      </c>
      <c r="AE99" s="37">
        <f>SUM($T$97*$T$98*$AD99)/1000000</f>
        <v>0</v>
      </c>
      <c r="AF99" s="117">
        <f>AF88</f>
        <v>3</v>
      </c>
      <c r="AG99" s="117"/>
      <c r="AH99" s="117"/>
      <c r="AJ99" s="37"/>
      <c r="AK99" s="108"/>
      <c r="AL99" s="108"/>
      <c r="AM99" s="108"/>
      <c r="AN99" s="108"/>
      <c r="AO99" s="137"/>
      <c r="AP99" s="137"/>
      <c r="AQ99" s="137"/>
      <c r="AR99" s="137"/>
    </row>
    <row r="100" spans="1:52" s="118" customFormat="1" ht="13.5" customHeight="1" x14ac:dyDescent="0.2">
      <c r="A100" s="255"/>
      <c r="N100" s="1143" t="str">
        <f>ListAVS!$B$83&amp;" [kg] "</f>
        <v xml:space="preserve">Waga uchwytu [kg] </v>
      </c>
      <c r="O100" s="1144"/>
      <c r="P100" s="1144"/>
      <c r="Q100" s="1144"/>
      <c r="R100" s="1144"/>
      <c r="S100" s="1145"/>
      <c r="T100" s="829">
        <f>H25</f>
        <v>0</v>
      </c>
      <c r="U100" s="256" t="str">
        <f>IF(SUM(T97,T98)=0," ",IF(T100=0," ● "&amp;ListAVS!$B$130," "))</f>
        <v xml:space="preserve"> </v>
      </c>
      <c r="V100" s="248"/>
      <c r="W100" s="248"/>
      <c r="X100" s="37"/>
      <c r="Y100" s="319">
        <f>$Y$89</f>
        <v>680</v>
      </c>
      <c r="Z100" s="37" t="str">
        <f>$Z$89</f>
        <v>Płyta wiórowa (680 kg/m3)</v>
      </c>
      <c r="AC100" s="37"/>
      <c r="AD100" s="37">
        <v>13.2</v>
      </c>
      <c r="AE100" s="37">
        <f>SUM($T$97*$T$98*$AD100)/1000000</f>
        <v>0</v>
      </c>
      <c r="AF100" s="149" t="str">
        <f>ListAVS!$B$93</f>
        <v>Ramki aluminiowe z 4mm szkłem</v>
      </c>
      <c r="AG100" s="149"/>
      <c r="AH100" s="149"/>
      <c r="AJ100" s="37"/>
      <c r="AK100" s="108"/>
      <c r="AL100" s="108"/>
      <c r="AM100" s="108"/>
      <c r="AN100" s="108"/>
      <c r="AO100" s="137"/>
      <c r="AP100" s="137"/>
      <c r="AQ100" s="137"/>
      <c r="AR100" s="137"/>
    </row>
    <row r="101" spans="1:52" s="118" customFormat="1" ht="13.5" customHeight="1" x14ac:dyDescent="0.2">
      <c r="A101" s="255"/>
      <c r="N101" s="1143" t="str">
        <f>ListAVS!$B$79&amp;" [kg] "</f>
        <v xml:space="preserve">Obliczona waga frontu [kg] </v>
      </c>
      <c r="O101" s="1144"/>
      <c r="P101" s="1144"/>
      <c r="Q101" s="1144"/>
      <c r="R101" s="1144"/>
      <c r="S101" s="1145"/>
      <c r="T101" s="533">
        <f>IF(X101=0,0,X101+T100)</f>
        <v>0</v>
      </c>
      <c r="U101" s="227"/>
      <c r="V101" s="248"/>
      <c r="W101" s="248"/>
      <c r="X101" s="186">
        <f>IF(T97*T98*T99=0,0,IF(Z98=1,Y98*Y99,IF(Z98=2,Y98*Y100,Y98*Y101)))</f>
        <v>0</v>
      </c>
      <c r="Y101" s="37">
        <f>$Y$90</f>
        <v>0</v>
      </c>
      <c r="Z101" s="37" t="str">
        <f>$Z$90</f>
        <v>Inne – wybrana gęstość materiału</v>
      </c>
      <c r="AC101" s="37"/>
      <c r="AD101" s="334">
        <f>2.2*$T$80</f>
        <v>0</v>
      </c>
      <c r="AE101" s="37">
        <f>SUM($T$97*$T$98*$AD101)/1000000</f>
        <v>0</v>
      </c>
      <c r="AF101" s="149" t="str">
        <f>ListAVS!$B$94</f>
        <v>Ramki aluminiowe z 5mm szkłem</v>
      </c>
      <c r="AG101" s="149"/>
      <c r="AH101" s="149"/>
      <c r="AJ101" s="37"/>
      <c r="AK101" s="108"/>
      <c r="AL101" s="108"/>
      <c r="AM101" s="108"/>
      <c r="AN101" s="108"/>
      <c r="AO101" s="137"/>
      <c r="AP101" s="137"/>
      <c r="AQ101" s="137"/>
      <c r="AR101" s="137"/>
    </row>
    <row r="102" spans="1:52" s="118" customFormat="1" ht="13.5" customHeight="1" x14ac:dyDescent="0.2">
      <c r="A102" s="255"/>
      <c r="N102" s="255"/>
      <c r="O102" s="273" t="str">
        <f>IF(T101&gt;0,IF(T100=0,$Y$107," ")," ")</f>
        <v xml:space="preserve"> </v>
      </c>
      <c r="P102" s="255"/>
      <c r="Q102" s="255"/>
      <c r="R102" s="255"/>
      <c r="S102" s="255"/>
      <c r="T102" s="255"/>
      <c r="U102" s="255"/>
      <c r="V102" s="255"/>
      <c r="W102" s="255"/>
      <c r="X102" s="37"/>
      <c r="Y102" s="37"/>
      <c r="AA102" s="37"/>
      <c r="AC102" s="37"/>
      <c r="AD102" s="186">
        <f>SUM(IF(AF99=1,AE99,IF(AF99=2,AE100,AE101)),AE98)</f>
        <v>0</v>
      </c>
      <c r="AE102" s="37"/>
      <c r="AF102" s="149" t="str">
        <f>ListAVS!$B$95</f>
        <v>Ramki aluminiowe z innym szkłem</v>
      </c>
      <c r="AG102" s="149"/>
      <c r="AH102" s="149"/>
      <c r="AJ102" s="37"/>
      <c r="AK102" s="108"/>
      <c r="AL102" s="108"/>
      <c r="AM102" s="108"/>
      <c r="AN102" s="108"/>
      <c r="AO102" s="137"/>
      <c r="AP102" s="137"/>
      <c r="AQ102" s="137"/>
      <c r="AR102" s="137"/>
    </row>
    <row r="103" spans="1:52" s="118" customFormat="1" ht="12.75" x14ac:dyDescent="0.2">
      <c r="A103" s="255"/>
      <c r="N103" s="255"/>
      <c r="O103" s="255"/>
      <c r="P103" s="255"/>
      <c r="Q103" s="255"/>
      <c r="R103" s="255"/>
      <c r="S103" s="255"/>
      <c r="T103" s="255"/>
      <c r="U103" s="255"/>
      <c r="V103" s="255"/>
      <c r="W103" s="255"/>
      <c r="X103" s="37"/>
      <c r="Y103" s="37"/>
      <c r="AA103" s="37"/>
      <c r="AC103" s="37"/>
      <c r="AD103" s="37"/>
      <c r="AE103" s="37"/>
      <c r="AF103" s="37"/>
      <c r="AG103" s="37"/>
      <c r="AH103" s="37"/>
      <c r="AJ103" s="37"/>
      <c r="AK103" s="108"/>
      <c r="AL103" s="108"/>
      <c r="AM103" s="108"/>
      <c r="AN103" s="108"/>
      <c r="AO103" s="137"/>
      <c r="AP103" s="137"/>
      <c r="AQ103" s="137"/>
      <c r="AR103" s="137"/>
    </row>
    <row r="104" spans="1:52" s="118" customFormat="1" ht="12.75" x14ac:dyDescent="0.2">
      <c r="A104" s="255"/>
      <c r="N104" s="255"/>
      <c r="O104" s="255"/>
      <c r="P104" s="255"/>
      <c r="Q104" s="255"/>
      <c r="R104" s="255"/>
      <c r="S104" s="255"/>
      <c r="T104" s="255"/>
      <c r="U104" s="255"/>
      <c r="V104" s="255"/>
      <c r="W104" s="255"/>
      <c r="X104" s="37"/>
      <c r="Y104" s="37"/>
      <c r="AA104" s="37"/>
      <c r="AC104" s="37"/>
      <c r="AD104" s="37"/>
      <c r="AE104" s="37"/>
      <c r="AF104" s="37"/>
      <c r="AG104" s="37"/>
      <c r="AH104" s="37"/>
      <c r="AJ104" s="37"/>
      <c r="AK104" s="108"/>
      <c r="AL104" s="108"/>
      <c r="AM104" s="108"/>
      <c r="AN104" s="108"/>
      <c r="AO104" s="137"/>
      <c r="AP104" s="137"/>
      <c r="AQ104" s="137"/>
      <c r="AR104" s="137"/>
    </row>
    <row r="105" spans="1:52" s="118" customFormat="1" ht="12.75" x14ac:dyDescent="0.2">
      <c r="A105" s="255"/>
      <c r="N105" s="255"/>
      <c r="O105" s="255"/>
      <c r="P105" s="255"/>
      <c r="Q105" s="255"/>
      <c r="R105" s="255"/>
      <c r="S105" s="255"/>
      <c r="T105" s="255"/>
      <c r="U105" s="255"/>
      <c r="V105" s="255"/>
      <c r="W105" s="255"/>
      <c r="X105" s="37"/>
      <c r="Y105" s="37"/>
      <c r="AA105" s="37"/>
      <c r="AC105" s="37"/>
      <c r="AD105" s="37"/>
      <c r="AE105" s="37"/>
      <c r="AF105" s="37"/>
      <c r="AG105" s="37"/>
      <c r="AH105" s="37"/>
      <c r="AJ105" s="37"/>
      <c r="AK105" s="108"/>
      <c r="AL105" s="108"/>
      <c r="AM105" s="108"/>
      <c r="AN105" s="108"/>
      <c r="AO105" s="137"/>
      <c r="AP105" s="137"/>
      <c r="AQ105" s="137"/>
      <c r="AR105" s="137"/>
    </row>
    <row r="106" spans="1:52" s="118" customFormat="1" ht="12.75" x14ac:dyDescent="0.2">
      <c r="A106" s="255"/>
      <c r="N106" s="255"/>
      <c r="O106" s="255"/>
      <c r="P106" s="255"/>
      <c r="Q106" s="255"/>
      <c r="R106" s="255"/>
      <c r="S106" s="1128"/>
      <c r="T106" s="1128"/>
      <c r="U106" s="255"/>
      <c r="V106" s="255"/>
      <c r="W106" s="255"/>
      <c r="X106" s="37"/>
      <c r="Y106" s="37"/>
      <c r="AA106" s="37"/>
      <c r="AC106" s="37"/>
      <c r="AD106" s="37"/>
      <c r="AE106" s="37"/>
      <c r="AF106" s="37"/>
      <c r="AG106" s="37"/>
      <c r="AH106" s="37"/>
      <c r="AJ106" s="37"/>
      <c r="AK106" s="108"/>
      <c r="AL106" s="108"/>
      <c r="AM106" s="108"/>
      <c r="AN106" s="108"/>
      <c r="AO106" s="137"/>
      <c r="AP106" s="137"/>
      <c r="AQ106" s="137"/>
      <c r="AR106" s="137"/>
    </row>
    <row r="107" spans="1:52" s="118" customFormat="1" ht="12.75" x14ac:dyDescent="0.2">
      <c r="A107" s="255"/>
      <c r="N107" s="255"/>
      <c r="O107" s="255"/>
      <c r="P107" s="255"/>
      <c r="Q107" s="255"/>
      <c r="R107" s="255"/>
      <c r="S107" s="255"/>
      <c r="T107" s="255"/>
      <c r="U107" s="255"/>
      <c r="V107" s="255"/>
      <c r="W107" s="255"/>
      <c r="X107" s="37"/>
      <c r="Y107" s="37" t="str">
        <f>ListAVS!$B$103&amp;"!"</f>
        <v>Bez wagi uchwytu!</v>
      </c>
      <c r="AA107" s="37"/>
      <c r="AC107" s="37"/>
      <c r="AD107" s="37"/>
      <c r="AE107" s="37"/>
      <c r="AF107" s="37"/>
      <c r="AG107" s="37"/>
      <c r="AH107" s="37"/>
      <c r="AJ107" s="37"/>
      <c r="AK107" s="108"/>
      <c r="AL107" s="108"/>
      <c r="AM107" s="108"/>
      <c r="AN107" s="108"/>
      <c r="AO107" s="137"/>
      <c r="AP107" s="137"/>
      <c r="AQ107" s="137"/>
      <c r="AR107" s="137"/>
      <c r="AS107" s="37"/>
    </row>
    <row r="108" spans="1:52" s="118" customFormat="1" ht="12.75" x14ac:dyDescent="0.2">
      <c r="A108" s="255"/>
      <c r="N108" s="255"/>
      <c r="O108" s="255"/>
      <c r="P108" s="255"/>
      <c r="Q108" s="255"/>
      <c r="R108" s="255"/>
      <c r="S108" s="248"/>
      <c r="T108" s="248"/>
      <c r="U108" s="255"/>
      <c r="V108" s="255"/>
      <c r="W108" s="255"/>
      <c r="X108" s="37"/>
      <c r="Y108" s="37"/>
      <c r="AA108" s="37"/>
      <c r="AC108" s="37"/>
      <c r="AD108" s="37"/>
      <c r="AE108" s="37"/>
      <c r="AF108" s="37"/>
      <c r="AG108" s="37"/>
      <c r="AH108" s="37"/>
      <c r="AJ108" s="37"/>
      <c r="AK108" s="108"/>
      <c r="AL108" s="108"/>
      <c r="AM108" s="108"/>
      <c r="AN108" s="108"/>
      <c r="AO108" s="137"/>
      <c r="AP108" s="137"/>
      <c r="AQ108" s="137"/>
      <c r="AR108" s="137"/>
      <c r="AS108" s="37"/>
      <c r="AT108" s="37"/>
      <c r="AU108" s="37"/>
      <c r="AV108" s="37"/>
      <c r="AW108" s="37"/>
      <c r="AX108" s="37"/>
      <c r="AY108" s="37"/>
      <c r="AZ108" s="37"/>
    </row>
    <row r="109" spans="1:52" s="118" customFormat="1" ht="12" customHeight="1" x14ac:dyDescent="0.2">
      <c r="A109" s="255"/>
      <c r="N109" s="255"/>
      <c r="O109" s="442"/>
      <c r="P109" s="442"/>
      <c r="Q109" s="442"/>
      <c r="R109" s="442"/>
      <c r="S109" s="442"/>
      <c r="T109" s="442"/>
      <c r="U109" s="442"/>
      <c r="V109" s="442"/>
      <c r="W109" s="442"/>
      <c r="X109" s="37"/>
      <c r="Y109" s="37"/>
      <c r="Z109" s="37"/>
      <c r="AB109" s="37"/>
      <c r="AD109" s="37"/>
      <c r="AE109" s="37"/>
      <c r="AF109" s="37"/>
      <c r="AG109" s="37"/>
      <c r="AH109" s="37"/>
      <c r="AI109" s="37"/>
      <c r="AJ109" s="37"/>
      <c r="AK109" s="108"/>
      <c r="AL109" s="108"/>
      <c r="AM109" s="108"/>
      <c r="AN109" s="108"/>
      <c r="AO109" s="137"/>
      <c r="AP109" s="137"/>
      <c r="AQ109" s="137"/>
      <c r="AR109" s="137"/>
      <c r="AS109" s="37"/>
      <c r="AT109" s="37"/>
      <c r="AU109" s="37"/>
      <c r="AV109" s="37"/>
      <c r="AW109" s="37"/>
      <c r="AX109" s="37"/>
      <c r="AY109" s="37"/>
      <c r="AZ109" s="37"/>
    </row>
    <row r="110" spans="1:52" ht="18" x14ac:dyDescent="0.2">
      <c r="A110" s="1045"/>
      <c r="B110" s="308" t="s">
        <v>14</v>
      </c>
      <c r="C110" s="321"/>
      <c r="D110" s="308"/>
      <c r="E110" s="308"/>
      <c r="F110" s="308"/>
      <c r="G110" s="308"/>
      <c r="H110" s="308"/>
      <c r="I110" s="308"/>
      <c r="J110" s="308"/>
      <c r="K110" s="308"/>
      <c r="L110" s="308"/>
      <c r="AK110" s="108"/>
      <c r="AL110" s="108"/>
      <c r="AM110" s="108"/>
      <c r="AN110" s="108"/>
      <c r="AO110" s="137"/>
      <c r="AP110" s="137"/>
      <c r="AQ110" s="137"/>
      <c r="AR110" s="137"/>
    </row>
    <row r="111" spans="1:52" ht="15" customHeight="1" x14ac:dyDescent="0.2">
      <c r="A111" s="1045"/>
      <c r="B111" s="255"/>
      <c r="C111" s="255"/>
      <c r="D111" s="255"/>
      <c r="E111" s="255"/>
      <c r="F111" s="255"/>
      <c r="G111" s="255"/>
      <c r="H111" s="255"/>
      <c r="I111" s="255"/>
      <c r="J111" s="255"/>
      <c r="K111" s="255"/>
      <c r="L111" s="255"/>
      <c r="M111" s="255"/>
      <c r="N111" s="255"/>
      <c r="AK111" s="108"/>
      <c r="AL111" s="108"/>
      <c r="AM111" s="108"/>
      <c r="AN111" s="108"/>
      <c r="AO111" s="137"/>
      <c r="AP111" s="137"/>
      <c r="AQ111" s="137"/>
      <c r="AR111" s="137"/>
    </row>
    <row r="112" spans="1:52" ht="15" customHeight="1" x14ac:dyDescent="0.2">
      <c r="A112" s="1045"/>
      <c r="B112" s="255" t="str">
        <f>ListAVS!$B$333</f>
        <v>Aby wybrać odpowiedni siłownik potrzebujesz znać wysokość korpusu i wagę frontu</v>
      </c>
      <c r="C112" s="255"/>
      <c r="D112" s="255"/>
      <c r="E112" s="255"/>
      <c r="F112" s="255"/>
      <c r="G112" s="255"/>
      <c r="H112" s="255"/>
      <c r="I112" s="255"/>
      <c r="J112" s="255"/>
      <c r="K112" s="255"/>
      <c r="L112" s="255"/>
      <c r="M112" s="255"/>
      <c r="N112" s="255"/>
      <c r="AK112" s="108"/>
      <c r="AL112" s="108"/>
      <c r="AM112" s="108"/>
      <c r="AN112" s="108"/>
      <c r="AO112" s="137"/>
      <c r="AP112" s="137"/>
      <c r="AQ112" s="137"/>
      <c r="AR112" s="137"/>
    </row>
    <row r="113" spans="1:44" ht="15" customHeight="1" x14ac:dyDescent="0.2">
      <c r="A113" s="1045"/>
      <c r="B113" s="255"/>
      <c r="C113" s="255"/>
      <c r="D113" s="255"/>
      <c r="E113" s="255"/>
      <c r="F113" s="255"/>
      <c r="G113" s="255"/>
      <c r="H113" s="255"/>
      <c r="I113" s="255"/>
      <c r="J113" s="255"/>
      <c r="K113" s="255"/>
      <c r="L113" s="255"/>
      <c r="M113" s="255"/>
      <c r="N113" s="255"/>
      <c r="AJ113" s="137"/>
      <c r="AK113" s="137"/>
      <c r="AL113" s="137"/>
      <c r="AM113" s="137"/>
      <c r="AN113" s="137"/>
      <c r="AO113" s="137"/>
      <c r="AP113" s="137"/>
      <c r="AQ113" s="137"/>
      <c r="AR113" s="137"/>
    </row>
    <row r="114" spans="1:44" ht="15" customHeight="1" x14ac:dyDescent="0.2">
      <c r="A114" s="1045"/>
      <c r="B114" s="255" t="str">
        <f>ListAVS!$B$335</f>
        <v>Wysokość korpusu KH = 602 mm należy zaokrąglić do KH = 600 mm</v>
      </c>
      <c r="C114" s="255"/>
      <c r="D114" s="255"/>
      <c r="E114" s="255"/>
      <c r="F114" s="255"/>
      <c r="G114" s="255"/>
      <c r="H114" s="255"/>
      <c r="I114" s="255"/>
      <c r="J114" s="255"/>
      <c r="K114" s="255"/>
      <c r="L114" s="255"/>
      <c r="M114" s="255"/>
      <c r="N114" s="255"/>
      <c r="AJ114" s="137"/>
      <c r="AK114" s="137"/>
      <c r="AL114" s="137"/>
      <c r="AM114" s="137"/>
      <c r="AN114" s="137"/>
      <c r="AO114" s="137"/>
      <c r="AP114" s="137"/>
      <c r="AQ114" s="137"/>
      <c r="AR114" s="137"/>
    </row>
    <row r="115" spans="1:44" ht="15" customHeight="1" x14ac:dyDescent="0.2">
      <c r="A115" s="1045"/>
      <c r="B115" s="255" t="str">
        <f>ListAVS!$B$336</f>
        <v>Wysokość korpusu KH = 603 mm należy zaokrąglić do KH = 605 mm</v>
      </c>
      <c r="C115" s="255"/>
      <c r="D115" s="255"/>
      <c r="E115" s="255"/>
      <c r="F115" s="255"/>
      <c r="G115" s="255"/>
      <c r="H115" s="255"/>
      <c r="I115" s="255"/>
      <c r="J115" s="255"/>
      <c r="K115" s="255"/>
      <c r="L115" s="255"/>
      <c r="M115" s="255"/>
      <c r="N115" s="255"/>
      <c r="AK115" s="108"/>
      <c r="AL115" s="108"/>
      <c r="AM115" s="108"/>
      <c r="AN115" s="108"/>
      <c r="AO115" s="137"/>
      <c r="AP115" s="137"/>
      <c r="AQ115" s="137"/>
      <c r="AR115" s="137"/>
    </row>
    <row r="116" spans="1:44" ht="15" customHeight="1" x14ac:dyDescent="0.2">
      <c r="A116" s="1045"/>
      <c r="B116" s="255"/>
      <c r="C116" s="255"/>
      <c r="D116" s="255"/>
      <c r="E116" s="255"/>
      <c r="F116" s="255"/>
      <c r="G116" s="255"/>
      <c r="H116" s="255"/>
      <c r="I116" s="255"/>
      <c r="J116" s="255"/>
      <c r="K116" s="255"/>
      <c r="L116" s="255"/>
      <c r="M116" s="255"/>
      <c r="N116" s="255"/>
      <c r="AK116" s="108"/>
      <c r="AL116" s="108"/>
      <c r="AM116" s="108"/>
      <c r="AN116" s="108"/>
      <c r="AO116" s="137"/>
      <c r="AP116" s="137"/>
      <c r="AQ116" s="137"/>
      <c r="AR116" s="137"/>
    </row>
    <row r="117" spans="1:44" ht="15" customHeight="1" x14ac:dyDescent="0.2">
      <c r="A117" s="1045"/>
      <c r="B117" s="255" t="str">
        <f>ListAVS!$B$312</f>
        <v>Jeśli znasz wagę frontu, możesz ją wprowadzić, w przeciwnym razie skorzystaj z „Obliczenia wagi”.</v>
      </c>
      <c r="C117" s="255"/>
      <c r="D117" s="255"/>
      <c r="E117" s="255"/>
      <c r="F117" s="255"/>
      <c r="G117" s="255"/>
      <c r="H117" s="255"/>
      <c r="I117" s="255"/>
      <c r="J117" s="255"/>
      <c r="K117" s="255"/>
      <c r="L117" s="255"/>
      <c r="M117" s="255"/>
      <c r="N117" s="255"/>
      <c r="AK117" s="108"/>
      <c r="AL117" s="108"/>
      <c r="AM117" s="108"/>
      <c r="AN117" s="108"/>
      <c r="AO117" s="137"/>
      <c r="AP117" s="137"/>
      <c r="AQ117" s="137"/>
      <c r="AR117" s="137"/>
    </row>
    <row r="118" spans="1:44" ht="15" customHeight="1" x14ac:dyDescent="0.2">
      <c r="A118" s="1045"/>
      <c r="B118" s="255" t="str">
        <f>ListAVS!$B$313</f>
        <v>W tabeli wprowadzona wartość ma pierwszeństwo aby skorzystać z wagi obliczeniowej, należy usunąć wprowadzoną wartość.</v>
      </c>
      <c r="C118" s="255"/>
      <c r="D118" s="255"/>
      <c r="E118" s="255"/>
      <c r="F118" s="255"/>
      <c r="G118" s="255"/>
      <c r="H118" s="255"/>
      <c r="I118" s="255"/>
      <c r="J118" s="255"/>
      <c r="K118" s="255"/>
      <c r="L118" s="255"/>
      <c r="M118" s="255"/>
      <c r="N118" s="255"/>
      <c r="AK118" s="108"/>
      <c r="AL118" s="108"/>
      <c r="AM118" s="108"/>
      <c r="AN118" s="108"/>
      <c r="AO118" s="137"/>
      <c r="AP118" s="137"/>
      <c r="AQ118" s="137"/>
      <c r="AR118" s="137"/>
    </row>
    <row r="119" spans="1:44" ht="15" customHeight="1" x14ac:dyDescent="0.2">
      <c r="A119" s="1045"/>
      <c r="B119" s="255"/>
      <c r="C119" s="255"/>
      <c r="D119" s="255"/>
      <c r="E119" s="255"/>
      <c r="F119" s="255"/>
      <c r="G119" s="255"/>
      <c r="H119" s="255"/>
      <c r="I119" s="255"/>
      <c r="J119" s="255"/>
      <c r="K119" s="255"/>
      <c r="L119" s="255"/>
      <c r="M119" s="255"/>
      <c r="N119" s="255"/>
      <c r="AK119" s="108"/>
      <c r="AL119" s="108"/>
      <c r="AM119" s="108"/>
      <c r="AN119" s="108"/>
      <c r="AO119" s="137"/>
      <c r="AP119" s="137"/>
      <c r="AQ119" s="137"/>
      <c r="AR119" s="137"/>
    </row>
    <row r="120" spans="1:44" ht="15" customHeight="1" x14ac:dyDescent="0.2">
      <c r="A120" s="1045"/>
      <c r="B120" s="255"/>
      <c r="C120" s="255"/>
      <c r="D120" s="255"/>
      <c r="E120" s="255"/>
      <c r="F120" s="255"/>
      <c r="G120" s="255"/>
      <c r="H120" s="255"/>
      <c r="I120" s="255"/>
      <c r="J120" s="255"/>
      <c r="K120" s="255"/>
      <c r="L120" s="255"/>
      <c r="M120" s="255"/>
      <c r="N120" s="255"/>
      <c r="AK120" s="108"/>
      <c r="AL120" s="108"/>
      <c r="AM120" s="108"/>
      <c r="AN120" s="108"/>
      <c r="AO120" s="137"/>
      <c r="AP120" s="137"/>
      <c r="AQ120" s="137"/>
      <c r="AR120" s="137"/>
    </row>
    <row r="121" spans="1:44" ht="15" customHeight="1" x14ac:dyDescent="0.2">
      <c r="A121" s="1045"/>
      <c r="B121" s="255" t="str">
        <f>ListAVS!$B$306</f>
        <v>Aby zmienić kolor zaślepek przejdź do „Wprowadzenie do planowania”</v>
      </c>
      <c r="C121" s="255"/>
      <c r="D121" s="255"/>
      <c r="E121" s="255"/>
      <c r="F121" s="255"/>
      <c r="G121" s="255"/>
      <c r="H121" s="255"/>
      <c r="I121" s="255"/>
      <c r="J121" s="255"/>
      <c r="K121" s="255"/>
      <c r="L121" s="255"/>
      <c r="M121" s="255"/>
      <c r="N121" s="255"/>
      <c r="AK121" s="108"/>
      <c r="AL121" s="108"/>
      <c r="AM121" s="108"/>
      <c r="AN121" s="108"/>
      <c r="AO121" s="137"/>
      <c r="AP121" s="137"/>
      <c r="AQ121" s="137"/>
      <c r="AR121" s="137"/>
    </row>
    <row r="122" spans="1:44" ht="15" customHeight="1" x14ac:dyDescent="0.2">
      <c r="A122" s="1045"/>
      <c r="B122" s="255"/>
      <c r="C122" s="255"/>
      <c r="D122" s="255"/>
      <c r="E122" s="255"/>
      <c r="F122" s="255"/>
      <c r="G122" s="255"/>
      <c r="H122" s="255"/>
      <c r="I122" s="255"/>
      <c r="J122" s="255"/>
      <c r="K122" s="255"/>
      <c r="L122" s="255"/>
      <c r="M122" s="255"/>
      <c r="N122" s="255"/>
      <c r="AK122" s="108"/>
      <c r="AL122" s="108"/>
      <c r="AM122" s="108"/>
      <c r="AN122" s="108"/>
      <c r="AO122" s="137"/>
      <c r="AP122" s="137"/>
      <c r="AQ122" s="137"/>
      <c r="AR122" s="137"/>
    </row>
    <row r="123" spans="1:44" ht="15" customHeight="1" x14ac:dyDescent="0.2">
      <c r="A123" s="1045"/>
      <c r="B123" s="255"/>
      <c r="C123" s="255"/>
      <c r="D123" s="255"/>
      <c r="E123" s="255"/>
      <c r="F123" s="255"/>
      <c r="G123" s="255"/>
      <c r="H123" s="255"/>
      <c r="I123" s="255"/>
      <c r="J123" s="255"/>
      <c r="K123" s="255"/>
      <c r="L123" s="255"/>
      <c r="M123" s="255"/>
      <c r="N123" s="255"/>
      <c r="AK123" s="108"/>
      <c r="AL123" s="108"/>
      <c r="AM123" s="108"/>
      <c r="AN123" s="108"/>
      <c r="AO123" s="137"/>
      <c r="AP123" s="137"/>
      <c r="AQ123" s="137"/>
      <c r="AR123" s="137"/>
    </row>
    <row r="124" spans="1:44" ht="15" customHeight="1" x14ac:dyDescent="0.2">
      <c r="A124" s="1045"/>
      <c r="B124" s="255"/>
      <c r="C124" s="255"/>
      <c r="D124" s="255"/>
      <c r="E124" s="255"/>
      <c r="F124" s="255"/>
      <c r="G124" s="255"/>
      <c r="H124" s="255"/>
      <c r="I124" s="255"/>
      <c r="J124" s="255"/>
      <c r="K124" s="255"/>
      <c r="L124" s="702" t="str">
        <f>ListAVS!$B$168</f>
        <v>Z powrotem</v>
      </c>
      <c r="M124" s="255"/>
      <c r="N124" s="255"/>
      <c r="AK124" s="108"/>
      <c r="AL124" s="108"/>
      <c r="AM124" s="108"/>
      <c r="AN124" s="108"/>
      <c r="AO124" s="137"/>
      <c r="AP124" s="137"/>
      <c r="AQ124" s="137"/>
      <c r="AR124" s="137"/>
    </row>
    <row r="125" spans="1:44" ht="15" customHeight="1" x14ac:dyDescent="0.2">
      <c r="A125" s="1045"/>
      <c r="B125" s="255"/>
      <c r="C125" s="255"/>
      <c r="D125" s="255"/>
      <c r="E125" s="255"/>
      <c r="F125" s="255"/>
      <c r="G125" s="255"/>
      <c r="H125" s="255"/>
      <c r="I125" s="255"/>
      <c r="J125" s="255"/>
      <c r="K125" s="255"/>
      <c r="L125" s="255"/>
      <c r="M125" s="255"/>
      <c r="N125" s="255"/>
      <c r="AK125" s="108"/>
      <c r="AL125" s="108"/>
      <c r="AM125" s="108"/>
      <c r="AN125" s="108"/>
      <c r="AO125" s="137"/>
      <c r="AP125" s="137"/>
      <c r="AQ125" s="137"/>
      <c r="AR125" s="137"/>
    </row>
    <row r="126" spans="1:44" x14ac:dyDescent="0.2">
      <c r="A126" s="1045"/>
      <c r="AK126" s="108"/>
      <c r="AL126" s="108"/>
      <c r="AM126" s="108"/>
      <c r="AN126" s="108"/>
      <c r="AO126" s="137"/>
      <c r="AP126" s="137"/>
      <c r="AQ126" s="137"/>
      <c r="AR126" s="137"/>
    </row>
    <row r="127" spans="1:44" x14ac:dyDescent="0.2">
      <c r="A127" s="1045"/>
      <c r="AK127" s="108"/>
      <c r="AL127" s="108"/>
      <c r="AM127" s="108"/>
      <c r="AN127" s="108"/>
      <c r="AO127" s="137"/>
      <c r="AP127" s="137"/>
      <c r="AQ127" s="137"/>
      <c r="AR127" s="137"/>
    </row>
    <row r="128" spans="1:44" x14ac:dyDescent="0.2">
      <c r="A128" s="1045"/>
      <c r="AK128" s="108"/>
      <c r="AL128" s="108"/>
      <c r="AM128" s="108"/>
      <c r="AN128" s="108"/>
      <c r="AO128" s="137"/>
      <c r="AP128" s="137"/>
      <c r="AQ128" s="137"/>
      <c r="AR128" s="137"/>
    </row>
    <row r="129" spans="1:44" x14ac:dyDescent="0.2">
      <c r="A129" s="1045"/>
      <c r="AK129" s="108"/>
      <c r="AL129" s="108"/>
      <c r="AM129" s="108"/>
      <c r="AN129" s="108"/>
      <c r="AO129" s="137"/>
      <c r="AP129" s="137"/>
      <c r="AQ129" s="137"/>
      <c r="AR129" s="137"/>
    </row>
    <row r="130" spans="1:44" x14ac:dyDescent="0.2">
      <c r="A130" s="1045"/>
      <c r="AK130" s="108"/>
      <c r="AL130" s="108"/>
      <c r="AM130" s="108"/>
      <c r="AN130" s="108"/>
      <c r="AO130" s="137"/>
      <c r="AP130" s="137"/>
      <c r="AQ130" s="137"/>
      <c r="AR130" s="137"/>
    </row>
    <row r="131" spans="1:44" x14ac:dyDescent="0.2">
      <c r="A131" s="1045"/>
      <c r="AK131" s="108"/>
      <c r="AL131" s="108"/>
      <c r="AM131" s="108"/>
      <c r="AN131" s="108"/>
      <c r="AO131" s="137"/>
      <c r="AP131" s="137"/>
      <c r="AQ131" s="137"/>
      <c r="AR131" s="137"/>
    </row>
    <row r="132" spans="1:44" x14ac:dyDescent="0.2">
      <c r="A132" s="1045"/>
      <c r="AK132" s="108"/>
      <c r="AL132" s="108"/>
      <c r="AM132" s="108"/>
      <c r="AN132" s="108"/>
      <c r="AO132" s="137"/>
      <c r="AP132" s="137"/>
      <c r="AQ132" s="137"/>
      <c r="AR132" s="137"/>
    </row>
    <row r="133" spans="1:44" x14ac:dyDescent="0.2">
      <c r="A133" s="1045"/>
      <c r="AK133" s="108"/>
      <c r="AL133" s="108"/>
      <c r="AM133" s="108"/>
      <c r="AN133" s="108"/>
      <c r="AO133" s="137"/>
      <c r="AP133" s="137"/>
      <c r="AQ133" s="137"/>
      <c r="AR133" s="137"/>
    </row>
    <row r="134" spans="1:44" x14ac:dyDescent="0.2">
      <c r="A134" s="1045"/>
      <c r="AK134" s="108"/>
      <c r="AL134" s="108"/>
      <c r="AM134" s="108"/>
      <c r="AN134" s="108"/>
      <c r="AO134" s="137"/>
      <c r="AP134" s="137"/>
      <c r="AQ134" s="137"/>
      <c r="AR134" s="137"/>
    </row>
    <row r="135" spans="1:44" x14ac:dyDescent="0.2">
      <c r="A135" s="1045"/>
      <c r="AK135" s="108"/>
      <c r="AL135" s="108"/>
      <c r="AM135" s="108"/>
      <c r="AN135" s="108"/>
      <c r="AO135" s="137"/>
      <c r="AP135" s="137"/>
      <c r="AQ135" s="137"/>
      <c r="AR135" s="137"/>
    </row>
    <row r="136" spans="1:44" x14ac:dyDescent="0.2">
      <c r="A136" s="1045"/>
      <c r="AK136" s="108"/>
      <c r="AL136" s="108"/>
      <c r="AM136" s="108"/>
      <c r="AN136" s="108"/>
      <c r="AO136" s="137"/>
      <c r="AP136" s="137"/>
      <c r="AQ136" s="137"/>
      <c r="AR136" s="137"/>
    </row>
    <row r="137" spans="1:44" x14ac:dyDescent="0.2">
      <c r="A137" s="1045"/>
      <c r="AK137" s="108"/>
      <c r="AL137" s="108"/>
      <c r="AM137" s="108"/>
      <c r="AN137" s="108"/>
      <c r="AO137" s="137"/>
      <c r="AP137" s="137"/>
      <c r="AQ137" s="137"/>
      <c r="AR137" s="137"/>
    </row>
    <row r="138" spans="1:44" x14ac:dyDescent="0.2">
      <c r="A138" s="1045"/>
      <c r="AK138" s="108"/>
      <c r="AL138" s="108"/>
      <c r="AM138" s="108"/>
      <c r="AN138" s="108"/>
      <c r="AO138" s="137"/>
      <c r="AP138" s="137"/>
      <c r="AQ138" s="137"/>
      <c r="AR138" s="137"/>
    </row>
    <row r="139" spans="1:44" x14ac:dyDescent="0.2">
      <c r="A139" s="1045"/>
      <c r="AK139" s="108"/>
      <c r="AL139" s="108"/>
      <c r="AM139" s="108"/>
      <c r="AN139" s="108"/>
      <c r="AO139" s="137"/>
      <c r="AP139" s="137"/>
      <c r="AQ139" s="137"/>
      <c r="AR139" s="137"/>
    </row>
    <row r="140" spans="1:44" x14ac:dyDescent="0.2">
      <c r="A140" s="1045"/>
      <c r="AK140" s="108"/>
      <c r="AL140" s="108"/>
      <c r="AM140" s="108"/>
      <c r="AN140" s="108"/>
      <c r="AO140" s="137"/>
      <c r="AP140" s="137"/>
      <c r="AQ140" s="137"/>
      <c r="AR140" s="137"/>
    </row>
    <row r="141" spans="1:44" x14ac:dyDescent="0.2">
      <c r="A141" s="1045"/>
      <c r="AK141" s="108"/>
      <c r="AL141" s="108"/>
      <c r="AM141" s="108"/>
      <c r="AN141" s="108"/>
      <c r="AO141" s="137"/>
      <c r="AP141" s="137"/>
      <c r="AQ141" s="137"/>
      <c r="AR141" s="137"/>
    </row>
    <row r="142" spans="1:44" x14ac:dyDescent="0.2">
      <c r="A142" s="1045"/>
      <c r="AK142" s="108"/>
      <c r="AL142" s="108"/>
      <c r="AM142" s="108"/>
      <c r="AN142" s="108"/>
      <c r="AO142" s="137"/>
      <c r="AP142" s="137"/>
      <c r="AQ142" s="137"/>
      <c r="AR142" s="137"/>
    </row>
    <row r="143" spans="1:44" x14ac:dyDescent="0.2">
      <c r="A143" s="1045"/>
      <c r="AK143" s="108"/>
      <c r="AL143" s="108"/>
      <c r="AM143" s="108"/>
      <c r="AN143" s="108"/>
      <c r="AO143" s="137"/>
      <c r="AP143" s="137"/>
      <c r="AQ143" s="137"/>
      <c r="AR143" s="137"/>
    </row>
    <row r="144" spans="1:44" x14ac:dyDescent="0.2">
      <c r="A144" s="1045"/>
      <c r="AK144" s="108"/>
      <c r="AL144" s="108"/>
      <c r="AM144" s="108"/>
      <c r="AN144" s="108"/>
      <c r="AO144" s="137"/>
      <c r="AP144" s="137"/>
      <c r="AQ144" s="137"/>
      <c r="AR144" s="137"/>
    </row>
    <row r="145" spans="1:44" x14ac:dyDescent="0.2">
      <c r="A145" s="1045"/>
      <c r="AK145" s="108"/>
      <c r="AL145" s="108"/>
      <c r="AM145" s="108"/>
      <c r="AN145" s="108"/>
      <c r="AO145" s="137"/>
      <c r="AP145" s="137"/>
      <c r="AQ145" s="137"/>
      <c r="AR145" s="137"/>
    </row>
    <row r="146" spans="1:44" x14ac:dyDescent="0.2">
      <c r="A146" s="1045"/>
      <c r="AK146" s="108"/>
      <c r="AL146" s="108"/>
      <c r="AM146" s="108"/>
      <c r="AN146" s="108"/>
      <c r="AO146" s="137"/>
      <c r="AP146" s="137"/>
      <c r="AQ146" s="137"/>
      <c r="AR146" s="137"/>
    </row>
    <row r="147" spans="1:44" x14ac:dyDescent="0.2">
      <c r="A147" s="1045"/>
      <c r="AK147" s="108"/>
      <c r="AL147" s="108"/>
      <c r="AM147" s="108"/>
      <c r="AN147" s="108"/>
      <c r="AO147" s="137"/>
      <c r="AP147" s="137"/>
      <c r="AQ147" s="137"/>
      <c r="AR147" s="137"/>
    </row>
    <row r="148" spans="1:44" x14ac:dyDescent="0.2">
      <c r="A148" s="1045"/>
      <c r="AK148" s="108"/>
      <c r="AL148" s="108"/>
      <c r="AM148" s="108"/>
      <c r="AN148" s="108"/>
      <c r="AO148" s="137"/>
      <c r="AP148" s="137"/>
      <c r="AQ148" s="137"/>
      <c r="AR148" s="137"/>
    </row>
    <row r="149" spans="1:44" x14ac:dyDescent="0.2">
      <c r="A149" s="1045"/>
      <c r="AK149" s="108"/>
      <c r="AL149" s="108"/>
      <c r="AM149" s="108"/>
      <c r="AN149" s="108"/>
      <c r="AO149" s="137"/>
      <c r="AP149" s="137"/>
      <c r="AQ149" s="137"/>
      <c r="AR149" s="137"/>
    </row>
    <row r="150" spans="1:44" x14ac:dyDescent="0.2">
      <c r="A150" s="1045"/>
      <c r="AK150" s="108"/>
      <c r="AL150" s="108"/>
      <c r="AM150" s="108"/>
      <c r="AN150" s="108"/>
      <c r="AO150" s="137"/>
      <c r="AP150" s="137"/>
      <c r="AQ150" s="137"/>
      <c r="AR150" s="137"/>
    </row>
    <row r="151" spans="1:44" x14ac:dyDescent="0.2">
      <c r="A151" s="1045"/>
      <c r="AK151" s="108"/>
      <c r="AL151" s="108"/>
      <c r="AM151" s="108"/>
      <c r="AN151" s="108"/>
      <c r="AO151" s="137"/>
      <c r="AP151" s="137"/>
      <c r="AQ151" s="137"/>
      <c r="AR151" s="137"/>
    </row>
    <row r="152" spans="1:44" x14ac:dyDescent="0.2">
      <c r="AK152" s="108"/>
      <c r="AL152" s="108"/>
      <c r="AM152" s="108"/>
      <c r="AN152" s="108"/>
      <c r="AO152" s="137"/>
      <c r="AP152" s="137"/>
      <c r="AQ152" s="137"/>
      <c r="AR152" s="137"/>
    </row>
    <row r="153" spans="1:44" x14ac:dyDescent="0.2">
      <c r="AK153" s="108"/>
      <c r="AL153" s="108"/>
      <c r="AM153" s="108"/>
      <c r="AN153" s="108"/>
      <c r="AO153" s="137"/>
      <c r="AP153" s="137"/>
      <c r="AQ153" s="137"/>
      <c r="AR153" s="137"/>
    </row>
    <row r="154" spans="1:44" x14ac:dyDescent="0.2">
      <c r="AK154" s="108"/>
      <c r="AL154" s="108"/>
      <c r="AM154" s="108"/>
      <c r="AN154" s="108"/>
      <c r="AO154" s="137"/>
      <c r="AP154" s="137"/>
      <c r="AQ154" s="137"/>
      <c r="AR154" s="137"/>
    </row>
    <row r="155" spans="1:44" x14ac:dyDescent="0.2">
      <c r="AK155" s="108"/>
      <c r="AL155" s="108"/>
      <c r="AM155" s="108"/>
      <c r="AN155" s="108"/>
      <c r="AO155" s="137"/>
      <c r="AP155" s="137"/>
      <c r="AQ155" s="137"/>
      <c r="AR155" s="137"/>
    </row>
    <row r="156" spans="1:44" x14ac:dyDescent="0.2">
      <c r="AK156" s="108"/>
      <c r="AL156" s="108"/>
      <c r="AM156" s="108"/>
      <c r="AN156" s="108"/>
      <c r="AO156" s="137"/>
      <c r="AP156" s="137"/>
      <c r="AQ156" s="137"/>
      <c r="AR156" s="137"/>
    </row>
    <row r="157" spans="1:44" x14ac:dyDescent="0.2">
      <c r="AK157" s="108"/>
      <c r="AL157" s="108"/>
      <c r="AM157" s="108"/>
      <c r="AN157" s="108"/>
      <c r="AO157" s="137"/>
      <c r="AP157" s="137"/>
      <c r="AQ157" s="137"/>
      <c r="AR157" s="137"/>
    </row>
    <row r="158" spans="1:44" x14ac:dyDescent="0.2">
      <c r="AK158" s="108"/>
      <c r="AL158" s="108"/>
      <c r="AM158" s="108"/>
      <c r="AN158" s="108"/>
      <c r="AO158" s="137"/>
      <c r="AP158" s="137"/>
      <c r="AQ158" s="137"/>
      <c r="AR158" s="137"/>
    </row>
    <row r="159" spans="1:44" x14ac:dyDescent="0.2">
      <c r="AK159" s="108"/>
      <c r="AL159" s="108"/>
      <c r="AM159" s="108"/>
      <c r="AN159" s="108"/>
      <c r="AO159" s="137"/>
      <c r="AP159" s="137"/>
      <c r="AQ159" s="137"/>
      <c r="AR159" s="137"/>
    </row>
    <row r="160" spans="1:44" x14ac:dyDescent="0.2">
      <c r="AK160" s="108"/>
      <c r="AL160" s="108"/>
      <c r="AM160" s="108"/>
      <c r="AN160" s="108"/>
      <c r="AO160" s="137"/>
      <c r="AP160" s="137"/>
      <c r="AQ160" s="137"/>
      <c r="AR160" s="137"/>
    </row>
    <row r="161" spans="37:44" x14ac:dyDescent="0.2">
      <c r="AK161" s="108"/>
      <c r="AL161" s="108"/>
      <c r="AM161" s="108"/>
      <c r="AN161" s="108"/>
      <c r="AO161" s="137"/>
      <c r="AP161" s="137"/>
      <c r="AQ161" s="137"/>
      <c r="AR161" s="137"/>
    </row>
    <row r="162" spans="37:44" x14ac:dyDescent="0.2">
      <c r="AK162" s="108"/>
      <c r="AL162" s="108"/>
      <c r="AM162" s="108"/>
      <c r="AN162" s="108"/>
      <c r="AO162" s="137"/>
      <c r="AP162" s="137"/>
      <c r="AQ162" s="137"/>
      <c r="AR162" s="137"/>
    </row>
    <row r="163" spans="37:44" x14ac:dyDescent="0.2">
      <c r="AK163" s="108"/>
      <c r="AL163" s="108"/>
      <c r="AM163" s="108"/>
      <c r="AN163" s="108"/>
      <c r="AO163" s="137"/>
      <c r="AP163" s="137"/>
      <c r="AQ163" s="137"/>
      <c r="AR163" s="137"/>
    </row>
    <row r="164" spans="37:44" x14ac:dyDescent="0.2">
      <c r="AK164" s="108"/>
      <c r="AL164" s="108"/>
      <c r="AM164" s="108"/>
      <c r="AN164" s="108"/>
      <c r="AO164" s="137"/>
      <c r="AP164" s="137"/>
      <c r="AQ164" s="137"/>
      <c r="AR164" s="137"/>
    </row>
    <row r="165" spans="37:44" x14ac:dyDescent="0.2">
      <c r="AK165" s="108"/>
      <c r="AL165" s="108"/>
      <c r="AM165" s="108"/>
      <c r="AN165" s="108"/>
      <c r="AO165" s="137"/>
      <c r="AP165" s="137"/>
      <c r="AQ165" s="137"/>
      <c r="AR165" s="137"/>
    </row>
    <row r="166" spans="37:44" x14ac:dyDescent="0.2">
      <c r="AK166" s="108"/>
      <c r="AL166" s="108"/>
      <c r="AM166" s="108"/>
      <c r="AN166" s="108"/>
      <c r="AO166" s="137"/>
      <c r="AP166" s="137"/>
      <c r="AQ166" s="137"/>
      <c r="AR166" s="137"/>
    </row>
    <row r="167" spans="37:44" x14ac:dyDescent="0.2">
      <c r="AK167" s="108"/>
      <c r="AL167" s="108"/>
      <c r="AM167" s="108"/>
      <c r="AN167" s="108"/>
      <c r="AO167" s="137"/>
      <c r="AP167" s="137"/>
      <c r="AQ167" s="137"/>
      <c r="AR167" s="137"/>
    </row>
    <row r="168" spans="37:44" x14ac:dyDescent="0.2">
      <c r="AK168" s="108"/>
      <c r="AL168" s="108"/>
      <c r="AM168" s="108"/>
      <c r="AN168" s="108"/>
      <c r="AO168" s="137"/>
      <c r="AP168" s="137"/>
      <c r="AQ168" s="137"/>
      <c r="AR168" s="137"/>
    </row>
    <row r="169" spans="37:44" x14ac:dyDescent="0.2">
      <c r="AK169" s="108"/>
      <c r="AL169" s="108"/>
      <c r="AM169" s="108"/>
      <c r="AN169" s="108"/>
      <c r="AO169" s="137"/>
      <c r="AP169" s="137"/>
      <c r="AQ169" s="137"/>
      <c r="AR169" s="137"/>
    </row>
    <row r="170" spans="37:44" x14ac:dyDescent="0.2">
      <c r="AK170" s="108"/>
      <c r="AL170" s="108"/>
      <c r="AM170" s="108"/>
      <c r="AN170" s="108"/>
      <c r="AO170" s="137"/>
      <c r="AP170" s="137"/>
      <c r="AQ170" s="137"/>
      <c r="AR170" s="137"/>
    </row>
    <row r="171" spans="37:44" x14ac:dyDescent="0.2">
      <c r="AK171" s="108"/>
      <c r="AL171" s="108"/>
      <c r="AM171" s="108"/>
      <c r="AN171" s="108"/>
      <c r="AO171" s="137"/>
      <c r="AP171" s="137"/>
      <c r="AQ171" s="137"/>
      <c r="AR171" s="137"/>
    </row>
    <row r="172" spans="37:44" x14ac:dyDescent="0.2">
      <c r="AK172" s="108"/>
      <c r="AL172" s="108"/>
      <c r="AM172" s="108"/>
      <c r="AN172" s="108"/>
      <c r="AO172" s="137"/>
      <c r="AP172" s="137"/>
      <c r="AQ172" s="137"/>
      <c r="AR172" s="137"/>
    </row>
    <row r="173" spans="37:44" x14ac:dyDescent="0.2">
      <c r="AK173" s="108"/>
      <c r="AL173" s="108"/>
      <c r="AM173" s="108"/>
      <c r="AN173" s="108"/>
      <c r="AO173" s="137"/>
      <c r="AP173" s="137"/>
      <c r="AQ173" s="137"/>
      <c r="AR173" s="137"/>
    </row>
    <row r="174" spans="37:44" x14ac:dyDescent="0.2">
      <c r="AK174" s="108"/>
      <c r="AL174" s="108"/>
      <c r="AM174" s="108"/>
      <c r="AN174" s="108"/>
      <c r="AO174" s="137"/>
      <c r="AP174" s="137"/>
      <c r="AQ174" s="137"/>
      <c r="AR174" s="137"/>
    </row>
    <row r="175" spans="37:44" x14ac:dyDescent="0.2">
      <c r="AK175" s="108"/>
      <c r="AL175" s="108"/>
      <c r="AM175" s="108"/>
      <c r="AN175" s="108"/>
      <c r="AO175" s="137"/>
      <c r="AP175" s="137"/>
      <c r="AQ175" s="137"/>
      <c r="AR175" s="137"/>
    </row>
    <row r="176" spans="37:44" x14ac:dyDescent="0.2">
      <c r="AK176" s="108"/>
      <c r="AL176" s="108"/>
      <c r="AM176" s="108"/>
      <c r="AN176" s="108"/>
      <c r="AO176" s="137"/>
      <c r="AP176" s="137"/>
      <c r="AQ176" s="137"/>
      <c r="AR176" s="137"/>
    </row>
    <row r="177" spans="37:44" x14ac:dyDescent="0.2">
      <c r="AK177" s="108"/>
      <c r="AL177" s="108"/>
      <c r="AM177" s="108"/>
      <c r="AN177" s="108"/>
      <c r="AO177" s="137"/>
      <c r="AP177" s="137"/>
      <c r="AQ177" s="137"/>
      <c r="AR177" s="137"/>
    </row>
    <row r="178" spans="37:44" x14ac:dyDescent="0.2">
      <c r="AK178" s="108"/>
      <c r="AL178" s="108"/>
      <c r="AM178" s="108"/>
      <c r="AN178" s="108"/>
      <c r="AO178" s="137"/>
      <c r="AP178" s="137"/>
      <c r="AQ178" s="137"/>
      <c r="AR178" s="137"/>
    </row>
  </sheetData>
  <sheetProtection algorithmName="SHA-512" hashValue="o5TB+lKCOseTP3u6/2Md4BJuNXp4Hvng23WGGJzTDLjh7bD/Bg0APAarpnhaJ6KlLV0cB3BzPt3JVIDaBZLZJQ==" saltValue="0y0ldmKXtsDXJhrF7SH2gA==" spinCount="100000" sheet="1" objects="1" scenarios="1"/>
  <mergeCells count="50">
    <mergeCell ref="N100:S100"/>
    <mergeCell ref="N101:S101"/>
    <mergeCell ref="A110:A151"/>
    <mergeCell ref="S106:T106"/>
    <mergeCell ref="B13:C15"/>
    <mergeCell ref="D13:G13"/>
    <mergeCell ref="D14:G14"/>
    <mergeCell ref="N98:S98"/>
    <mergeCell ref="N99:S99"/>
    <mergeCell ref="N89:S89"/>
    <mergeCell ref="N90:S90"/>
    <mergeCell ref="P81:T81"/>
    <mergeCell ref="R85:T85"/>
    <mergeCell ref="D15:G15"/>
    <mergeCell ref="D24:G24"/>
    <mergeCell ref="D25:G25"/>
    <mergeCell ref="B24:C26"/>
    <mergeCell ref="AS9:AS10"/>
    <mergeCell ref="AT9:AT10"/>
    <mergeCell ref="R96:T96"/>
    <mergeCell ref="D26:G26"/>
    <mergeCell ref="F20:H20"/>
    <mergeCell ref="B23:G23"/>
    <mergeCell ref="N86:S86"/>
    <mergeCell ref="N87:S87"/>
    <mergeCell ref="N97:S97"/>
    <mergeCell ref="F9:H9"/>
    <mergeCell ref="B27:G27"/>
    <mergeCell ref="O27:P27"/>
    <mergeCell ref="B28:G28"/>
    <mergeCell ref="B31:J33"/>
    <mergeCell ref="P31:Q31"/>
    <mergeCell ref="B22:G22"/>
    <mergeCell ref="B16:G16"/>
    <mergeCell ref="O16:P16"/>
    <mergeCell ref="B17:G17"/>
    <mergeCell ref="B21:G21"/>
    <mergeCell ref="B20:C20"/>
    <mergeCell ref="B11:G11"/>
    <mergeCell ref="B12:G12"/>
    <mergeCell ref="N88:S88"/>
    <mergeCell ref="B2:C2"/>
    <mergeCell ref="N2:O2"/>
    <mergeCell ref="Q2:R2"/>
    <mergeCell ref="B10:G10"/>
    <mergeCell ref="F5:J5"/>
    <mergeCell ref="K4:L5"/>
    <mergeCell ref="B7:C7"/>
    <mergeCell ref="G7:H7"/>
    <mergeCell ref="B9:C9"/>
  </mergeCells>
  <phoneticPr fontId="117" type="noConversion"/>
  <conditionalFormatting sqref="E9">
    <cfRule type="expression" dxfId="265" priority="17">
      <formula>$M$17&gt;0</formula>
    </cfRule>
  </conditionalFormatting>
  <conditionalFormatting sqref="I12">
    <cfRule type="expression" dxfId="264" priority="12">
      <formula>$M$17=0</formula>
    </cfRule>
    <cfRule type="containsText" dxfId="263" priority="13" operator="containsText" text="Doplňte">
      <formula>NOT(ISERROR(SEARCH("Doplňte",I12)))</formula>
    </cfRule>
  </conditionalFormatting>
  <conditionalFormatting sqref="I15">
    <cfRule type="expression" dxfId="262" priority="10">
      <formula>$M$17=0</formula>
    </cfRule>
    <cfRule type="containsText" dxfId="261" priority="11" operator="containsText" text="Doplňte">
      <formula>NOT(ISERROR(SEARCH("Doplňte",I15)))</formula>
    </cfRule>
  </conditionalFormatting>
  <conditionalFormatting sqref="I26">
    <cfRule type="containsText" dxfId="260" priority="5" operator="containsText" text="Doplňte">
      <formula>NOT(ISERROR(SEARCH("Doplňte",I26)))</formula>
    </cfRule>
  </conditionalFormatting>
  <conditionalFormatting sqref="I26">
    <cfRule type="expression" dxfId="259" priority="4">
      <formula>$M$28=0</formula>
    </cfRule>
  </conditionalFormatting>
  <conditionalFormatting sqref="E20">
    <cfRule type="expression" dxfId="258" priority="3">
      <formula>$M$28&gt;0</formula>
    </cfRule>
  </conditionalFormatting>
  <conditionalFormatting sqref="I23">
    <cfRule type="expression" dxfId="257" priority="1">
      <formula>$M$28=0</formula>
    </cfRule>
    <cfRule type="containsText" dxfId="256" priority="2" operator="containsText" text="Doplňte">
      <formula>NOT(ISERROR(SEARCH("Doplňte",I23)))</formula>
    </cfRule>
  </conditionalFormatting>
  <hyperlinks>
    <hyperlink ref="N86:S86" location="HSw!H10" tooltip=" " display="HSw!H10" xr:uid="{B5DF2DDF-EF9F-431A-AC28-37027C7D95ED}"/>
    <hyperlink ref="N87:S87" location="HSw!H11" tooltip=" " display="HSw!H11" xr:uid="{EB860C32-CB30-47CF-AAE6-7E86C67204F0}"/>
    <hyperlink ref="N97:S97" location="HSw!H19" tooltip=" " display="HSw!H19" xr:uid="{858D505C-9786-412D-98CB-C1B0B9D91622}"/>
    <hyperlink ref="N98:S98" location="HSw!H20" tooltip=" " display="HSw!H20" xr:uid="{A4225BD3-BFB7-4DA5-9249-ED319D076E65}"/>
    <hyperlink ref="AN5" location="HSw!A110" tooltip=" " display="HSw!A110" xr:uid="{3F286D76-E4AB-45BA-8158-EE4A3311ADB6}"/>
    <hyperlink ref="L124" location="HSw!A1" tooltip=" " display="HSw!A1" xr:uid="{D354EBB9-3D73-4749-9B56-716D7B74AF14}"/>
    <hyperlink ref="AN9" location="SumAVS!A1" tooltip=" " display="SumAVS!A1" xr:uid="{56BF3C6D-5BAA-4ECC-8C2F-CE16DA95A102}"/>
    <hyperlink ref="AN10" location="OrdAVS!A1" tooltip=" " display="OrdAVS!A1" xr:uid="{75169FD8-5189-49C4-BC59-03AD51A24CA8}"/>
    <hyperlink ref="AN7" location="AcsAVS!A1" tooltip=" " display="AcsAVS!A1" xr:uid="{6B5339F6-D772-4A02-8114-F386F59C52B2}"/>
    <hyperlink ref="AN4" location="MenuAVS!A1" tooltip=" " display="MenuAVS!A1" xr:uid="{885F044B-21E5-4981-8A06-3BD5F0C46FDB}"/>
    <hyperlink ref="B2" location="HF!A1" tooltip=" " display=" AVENTOS HF" xr:uid="{DE122C84-8EFC-4ED3-A4B6-3420A927E06A}"/>
    <hyperlink ref="B2:C2" location="HS!A1" tooltip=" " display=" AVENTOS HS" xr:uid="{F106C8BC-4DE3-447D-9AE8-6B673A77BA01}"/>
  </hyperlinks>
  <pageMargins left="0.62992125984251968" right="0.23622047244094488" top="0.74803149606299213" bottom="0.74803149606299213" header="0.31496062992125984" footer="0.31496062992125984"/>
  <pageSetup paperSize="9" orientation="portrait" horizontalDpi="4294967293"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62819" r:id="rId4" name="Drop Down 3">
              <controlPr defaultSize="0" autoLine="0" autoPict="0">
                <anchor moveWithCells="1">
                  <from>
                    <xdr:col>3</xdr:col>
                    <xdr:colOff>19050</xdr:colOff>
                    <xdr:row>6</xdr:row>
                    <xdr:rowOff>9525</xdr:rowOff>
                  </from>
                  <to>
                    <xdr:col>6</xdr:col>
                    <xdr:colOff>0</xdr:colOff>
                    <xdr:row>7</xdr:row>
                    <xdr:rowOff>0</xdr:rowOff>
                  </to>
                </anchor>
              </controlPr>
            </control>
          </mc:Choice>
        </mc:AlternateContent>
        <mc:AlternateContent xmlns:mc="http://schemas.openxmlformats.org/markup-compatibility/2006">
          <mc:Choice Requires="x14">
            <control shapeId="162821" r:id="rId5" name="Drop Down 5">
              <controlPr defaultSize="0" autoLine="0" autoPict="0">
                <anchor moveWithCells="1">
                  <from>
                    <xdr:col>1</xdr:col>
                    <xdr:colOff>0</xdr:colOff>
                    <xdr:row>9</xdr:row>
                    <xdr:rowOff>9525</xdr:rowOff>
                  </from>
                  <to>
                    <xdr:col>3</xdr:col>
                    <xdr:colOff>9525</xdr:colOff>
                    <xdr:row>10</xdr:row>
                    <xdr:rowOff>0</xdr:rowOff>
                  </to>
                </anchor>
              </controlPr>
            </control>
          </mc:Choice>
        </mc:AlternateContent>
        <mc:AlternateContent xmlns:mc="http://schemas.openxmlformats.org/markup-compatibility/2006">
          <mc:Choice Requires="x14">
            <control shapeId="162823" r:id="rId6" name="Drop Down 7">
              <controlPr defaultSize="0" autoLine="0" autoPict="0">
                <anchor moveWithCells="1">
                  <from>
                    <xdr:col>1</xdr:col>
                    <xdr:colOff>0</xdr:colOff>
                    <xdr:row>20</xdr:row>
                    <xdr:rowOff>9525</xdr:rowOff>
                  </from>
                  <to>
                    <xdr:col>3</xdr:col>
                    <xdr:colOff>9525</xdr:colOff>
                    <xdr:row>21</xdr:row>
                    <xdr:rowOff>0</xdr:rowOff>
                  </to>
                </anchor>
              </controlPr>
            </control>
          </mc:Choice>
        </mc:AlternateContent>
        <mc:AlternateContent xmlns:mc="http://schemas.openxmlformats.org/markup-compatibility/2006">
          <mc:Choice Requires="x14">
            <control shapeId="162824" r:id="rId7" name="Drop Down 8">
              <controlPr defaultSize="0" autoLine="0" autoPict="0">
                <anchor moveWithCells="1">
                  <from>
                    <xdr:col>6</xdr:col>
                    <xdr:colOff>9525</xdr:colOff>
                    <xdr:row>3</xdr:row>
                    <xdr:rowOff>0</xdr:rowOff>
                  </from>
                  <to>
                    <xdr:col>8</xdr:col>
                    <xdr:colOff>571500</xdr:colOff>
                    <xdr:row>4</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FE0BE-AAD1-42DA-B7D6-4D9473DB826B}">
  <sheetPr codeName="Sheet36">
    <tabColor theme="3"/>
  </sheetPr>
  <dimension ref="A1:BB178"/>
  <sheetViews>
    <sheetView showGridLines="0" showRowColHeaders="0" workbookViewId="0">
      <selection activeCell="AN23" sqref="AN23"/>
    </sheetView>
  </sheetViews>
  <sheetFormatPr defaultColWidth="8.28515625" defaultRowHeight="12" x14ac:dyDescent="0.2"/>
  <cols>
    <col min="1" max="1" width="1.28515625" style="37" customWidth="1"/>
    <col min="2" max="9" width="8.5703125" style="37" customWidth="1"/>
    <col min="10" max="10" width="6.7109375" style="37" customWidth="1"/>
    <col min="11" max="11" width="10.42578125" style="37" customWidth="1"/>
    <col min="12" max="12" width="17.28515625" style="37" customWidth="1"/>
    <col min="13" max="14" width="6.42578125" style="37" hidden="1" customWidth="1"/>
    <col min="15" max="15" width="6.42578125" style="118" hidden="1" customWidth="1"/>
    <col min="16" max="16" width="10" style="37" hidden="1" customWidth="1"/>
    <col min="17" max="17" width="6" style="118" hidden="1" customWidth="1"/>
    <col min="18" max="18" width="6.42578125" style="37" hidden="1" customWidth="1"/>
    <col min="19" max="20" width="7.7109375" style="37" hidden="1" customWidth="1"/>
    <col min="21" max="24" width="6.7109375" style="37" hidden="1" customWidth="1"/>
    <col min="25" max="25" width="37.28515625" style="37" hidden="1" customWidth="1"/>
    <col min="26" max="26" width="13.5703125" style="37" hidden="1" customWidth="1"/>
    <col min="27" max="29" width="6.7109375" style="37" hidden="1" customWidth="1"/>
    <col min="30" max="30" width="9.42578125" style="37" hidden="1" customWidth="1"/>
    <col min="31" max="36" width="7.7109375" style="37" hidden="1" customWidth="1"/>
    <col min="37" max="37" width="15.5703125" style="36" hidden="1" customWidth="1"/>
    <col min="38" max="38" width="3.28515625" style="36" hidden="1" customWidth="1"/>
    <col min="39" max="39" width="5.28515625" style="36" customWidth="1"/>
    <col min="40" max="40" width="23.42578125" style="36" customWidth="1"/>
    <col min="41" max="42" width="8.28515625" style="121"/>
    <col min="43" max="44" width="13.28515625" style="121" customWidth="1"/>
    <col min="45" max="46" width="19.7109375" style="121" customWidth="1"/>
    <col min="47" max="47" width="14.28515625" style="121" customWidth="1"/>
    <col min="48" max="16384" width="8.28515625" style="121"/>
  </cols>
  <sheetData>
    <row r="1" spans="1:47" ht="4.5" customHeight="1" thickBot="1" x14ac:dyDescent="0.25">
      <c r="A1" s="37">
        <v>1</v>
      </c>
      <c r="L1" s="121"/>
      <c r="AT1" s="1152"/>
      <c r="AU1" s="1152"/>
    </row>
    <row r="2" spans="1:47" s="36" customFormat="1" ht="19.5" customHeight="1" thickBot="1" x14ac:dyDescent="0.25">
      <c r="A2" s="108"/>
      <c r="B2" s="1048" t="s">
        <v>675</v>
      </c>
      <c r="C2" s="1048"/>
      <c r="D2" s="884"/>
      <c r="E2" s="884"/>
      <c r="F2" s="884"/>
      <c r="G2" s="884"/>
      <c r="H2" s="884"/>
      <c r="I2" s="884"/>
      <c r="J2" s="884"/>
      <c r="K2" s="884"/>
      <c r="L2" s="884"/>
      <c r="M2" s="108"/>
      <c r="N2" s="1136" t="s">
        <v>32</v>
      </c>
      <c r="O2" s="1137"/>
      <c r="P2" s="108" t="s">
        <v>708</v>
      </c>
      <c r="Q2" s="1136" t="s">
        <v>53</v>
      </c>
      <c r="R2" s="1137"/>
      <c r="S2" s="108" t="s">
        <v>708</v>
      </c>
      <c r="T2" s="342"/>
      <c r="U2" s="342"/>
      <c r="V2" s="108" t="s">
        <v>64</v>
      </c>
      <c r="W2" s="342"/>
      <c r="X2" s="342"/>
      <c r="Y2" s="342"/>
      <c r="Z2" s="342"/>
      <c r="AA2" s="342"/>
      <c r="AB2" s="342"/>
      <c r="AC2" s="342"/>
      <c r="AD2" s="342"/>
      <c r="AE2" s="342"/>
      <c r="AF2" s="342"/>
      <c r="AG2" s="342"/>
      <c r="AH2" s="342"/>
      <c r="AI2" s="37"/>
      <c r="AJ2" s="37"/>
      <c r="AK2" s="117">
        <v>3</v>
      </c>
      <c r="AL2" s="117"/>
      <c r="AM2" s="108"/>
      <c r="AN2" s="226" t="str">
        <f>ListAVS!$B$153</f>
        <v>Przejdź do</v>
      </c>
      <c r="AO2" s="108"/>
      <c r="AP2" s="108"/>
      <c r="AQ2" s="108"/>
      <c r="AR2" s="108"/>
      <c r="AS2" s="108"/>
    </row>
    <row r="3" spans="1:47" ht="3.75" customHeight="1" x14ac:dyDescent="0.2">
      <c r="B3" s="312"/>
      <c r="C3" s="306"/>
      <c r="D3" s="306"/>
      <c r="E3" s="306"/>
      <c r="F3" s="306"/>
      <c r="G3" s="306"/>
      <c r="H3" s="306"/>
      <c r="I3" s="306"/>
      <c r="J3" s="306"/>
      <c r="K3" s="306"/>
      <c r="L3" s="137"/>
      <c r="AI3" s="344"/>
      <c r="AK3" s="37"/>
      <c r="AL3" s="37"/>
      <c r="AM3" s="108"/>
      <c r="AN3" s="108"/>
      <c r="AO3" s="137"/>
      <c r="AP3" s="137"/>
      <c r="AQ3" s="137"/>
      <c r="AR3" s="137"/>
      <c r="AS3" s="137"/>
      <c r="AT3" s="122"/>
      <c r="AU3" s="122"/>
    </row>
    <row r="4" spans="1:47" ht="16.149999999999999" customHeight="1" thickBot="1" x14ac:dyDescent="0.25">
      <c r="B4" s="313" t="str">
        <f>ListAVS!$B$20&amp;" ***"</f>
        <v>Szeroka ramka aluminiowa ***</v>
      </c>
      <c r="C4" s="313"/>
      <c r="D4" s="266"/>
      <c r="E4" s="313"/>
      <c r="F4" s="269" t="str">
        <f>ListAVS!$B$180&amp;"  "</f>
        <v xml:space="preserve">Wykonanie frontów  </v>
      </c>
      <c r="J4" s="251"/>
      <c r="K4" s="593" t="str">
        <f>U80</f>
        <v xml:space="preserve"> </v>
      </c>
      <c r="L4" s="266"/>
      <c r="N4" s="936" t="s">
        <v>698</v>
      </c>
      <c r="O4" s="929">
        <f>IF(AND($H$11&gt;=$AC$51, $H$11&lt;$AD$51, $P$17&gt;=$AE$51, $P$17&lt;=$AF$51), 1, 0)</f>
        <v>0</v>
      </c>
      <c r="P4" s="935">
        <f>O4</f>
        <v>0</v>
      </c>
      <c r="Q4" s="936" t="s">
        <v>698</v>
      </c>
      <c r="R4" s="929">
        <f>IF(AND($H$22&gt;=$AC$51, $H$22&lt;$AD$51, $P$28&gt;=$AE$51, $P$28&lt;=$AF$51), 1, 0)</f>
        <v>0</v>
      </c>
      <c r="S4" s="935">
        <f>R4</f>
        <v>0</v>
      </c>
      <c r="T4" s="37" t="s">
        <v>706</v>
      </c>
      <c r="U4" s="344"/>
      <c r="V4" s="963">
        <v>1</v>
      </c>
      <c r="W4" s="344"/>
      <c r="X4" s="344"/>
      <c r="Y4" s="344"/>
      <c r="Z4" s="344"/>
      <c r="AA4" s="344"/>
      <c r="AB4" s="344"/>
      <c r="AC4" s="344"/>
      <c r="AD4" s="344"/>
      <c r="AE4" s="344"/>
      <c r="AF4" s="344"/>
      <c r="AG4" s="344"/>
      <c r="AH4" s="344"/>
      <c r="AI4" s="344"/>
      <c r="AK4" s="37" t="str">
        <f>" "&amp;ListAVS!$B$41&amp;" A "</f>
        <v xml:space="preserve"> Cena za korpus A </v>
      </c>
      <c r="AL4" s="37"/>
      <c r="AM4" s="108"/>
      <c r="AN4" s="383" t="s">
        <v>77</v>
      </c>
      <c r="AO4" s="137"/>
      <c r="AP4" s="137"/>
      <c r="AQ4" s="137"/>
      <c r="AR4" s="137"/>
      <c r="AS4" s="137"/>
      <c r="AT4" s="122"/>
      <c r="AU4" s="122"/>
    </row>
    <row r="5" spans="1:47" ht="16.149999999999999" customHeight="1" x14ac:dyDescent="0.2">
      <c r="B5" s="266"/>
      <c r="C5" s="313"/>
      <c r="D5" s="313"/>
      <c r="E5" s="313"/>
      <c r="F5" s="1027" t="str">
        <f>IF($AF$87&lt;&gt;3,$Y$81," ")&amp;"      "</f>
        <v xml:space="preserve"> Możesz zmienić wartości we Wstępie do planowania      </v>
      </c>
      <c r="G5" s="1027"/>
      <c r="H5" s="1027"/>
      <c r="I5" s="1027"/>
      <c r="J5" s="1027"/>
      <c r="K5" s="434"/>
      <c r="L5" s="266"/>
      <c r="N5" s="937" t="s">
        <v>701</v>
      </c>
      <c r="O5" s="929">
        <f>IF(AND($H$11&gt;=$AC$52, $H$11&lt;$AD$52, $P$17&gt;=$AE$52, $P$17&lt;=$AF$52), 1, 0)</f>
        <v>0</v>
      </c>
      <c r="P5" s="935">
        <f>IF(AND($O$5=1, $O$6=1, $P$17&lt;=5), O5, 0)+IF(AND($O$5=1, $O$6=0), 1, IF(AND(O5=1, O6=0), O5, 0))</f>
        <v>0</v>
      </c>
      <c r="Q5" s="924" t="s">
        <v>701</v>
      </c>
      <c r="R5" s="929">
        <f>IF(AND($H$22&gt;=$AC$52, $H$22&lt;$AD$52, $P$28&gt;=$AE$52, $P$28&lt;=$AF$52), 1, 0)</f>
        <v>0</v>
      </c>
      <c r="S5" s="935">
        <f>IF(AND($R$5=1, $R$6=1, $P$28&lt;=5), R5, 0)+IF(AND($R$5=1, $R$6=0), 1, IF(AND(R5=1, R6=0), R5, 0))</f>
        <v>0</v>
      </c>
      <c r="T5" s="37" t="s">
        <v>707</v>
      </c>
      <c r="U5" s="344"/>
      <c r="V5" s="344"/>
      <c r="W5" s="344"/>
      <c r="X5" s="344"/>
      <c r="Y5" s="344"/>
      <c r="Z5" s="344"/>
      <c r="AA5" s="344"/>
      <c r="AB5" s="344"/>
      <c r="AC5" s="344"/>
      <c r="AD5" s="344"/>
      <c r="AE5" s="344"/>
      <c r="AF5" s="344"/>
      <c r="AG5" s="344"/>
      <c r="AH5" s="344"/>
      <c r="AI5" s="344"/>
      <c r="AK5" s="37" t="str">
        <f>" "&amp;ListAVS!$B$41&amp;" B "</f>
        <v xml:space="preserve"> Cena za korpus B </v>
      </c>
      <c r="AL5" s="37"/>
      <c r="AM5" s="108"/>
      <c r="AN5" s="708" t="str">
        <f>" "&amp;ListAVS!$B$155</f>
        <v xml:space="preserve"> Pomoc</v>
      </c>
      <c r="AO5" s="137"/>
      <c r="AP5" s="137"/>
      <c r="AQ5" s="137"/>
      <c r="AR5" s="137"/>
      <c r="AS5" s="137"/>
      <c r="AT5" s="122"/>
      <c r="AU5" s="122"/>
    </row>
    <row r="6" spans="1:47" ht="22.5" customHeight="1" x14ac:dyDescent="0.2">
      <c r="B6" s="313"/>
      <c r="C6" s="313"/>
      <c r="D6" s="313"/>
      <c r="E6" s="313"/>
      <c r="F6" s="266"/>
      <c r="G6" s="434"/>
      <c r="H6" s="434"/>
      <c r="I6" s="434"/>
      <c r="J6" s="434"/>
      <c r="K6" s="434"/>
      <c r="L6" s="266"/>
      <c r="N6" s="936" t="s">
        <v>699</v>
      </c>
      <c r="O6" s="929">
        <f>IF(AND($H$11&gt;=$AC$53, $H$11&lt;$AD$53, $P$17&gt;=$AE$53, $P$17&lt;=$AF$53), 1, 0)</f>
        <v>0</v>
      </c>
      <c r="P6" s="935">
        <f>IF(AND($O$5=1, $O$6=1, $P$17&gt;5), O6, 0)+IF(AND($O$6=1, $O$7=1, $P$17&lt;7), O6, IF(AND(O5=0, O6=1, O7=0), O6, 0))</f>
        <v>0</v>
      </c>
      <c r="Q6" s="936" t="s">
        <v>699</v>
      </c>
      <c r="R6" s="929">
        <f>IF(AND($H$22&gt;=$AC$53, $H$22&lt;$AD$53, $P$28&gt;=$AE$53, $P$28&lt;=$AF$53), 1, 0)</f>
        <v>0</v>
      </c>
      <c r="S6" s="935">
        <f>IF(AND($R$5=1, $R$6=1, $P$28&gt;5), R6, 0)+IF(AND($R$6=1, $R$7=1, $P$28&lt;7), R6, IF(AND(R5=0, R6=1, R7=0), R6, 0))</f>
        <v>0</v>
      </c>
      <c r="T6" s="346"/>
      <c r="U6" s="344"/>
      <c r="V6" s="344"/>
      <c r="W6" s="344"/>
      <c r="X6" s="344"/>
      <c r="Y6" s="344"/>
      <c r="Z6" s="344"/>
      <c r="AA6" s="344"/>
      <c r="AB6" s="344"/>
      <c r="AC6" s="344"/>
      <c r="AD6" s="344"/>
      <c r="AE6" s="344"/>
      <c r="AF6" s="344"/>
      <c r="AG6" s="344"/>
      <c r="AH6" s="344"/>
      <c r="AI6" s="344"/>
      <c r="AK6" s="37" t="str">
        <f>" "&amp;ListAVS!$B$61</f>
        <v xml:space="preserve"> Cena całkowita bez VAT</v>
      </c>
      <c r="AL6" s="37"/>
      <c r="AM6" s="108"/>
      <c r="AN6" s="715"/>
      <c r="AO6" s="137"/>
      <c r="AP6" s="137"/>
      <c r="AQ6" s="137"/>
      <c r="AR6" s="137"/>
      <c r="AS6" s="137"/>
      <c r="AT6" s="122"/>
      <c r="AU6" s="122"/>
    </row>
    <row r="7" spans="1:47" ht="16.149999999999999" customHeight="1" x14ac:dyDescent="0.2">
      <c r="B7" s="1059" t="str">
        <f>ListAVS!$B$51&amp;":   "</f>
        <v xml:space="preserve">Cena okucia:   </v>
      </c>
      <c r="C7" s="1060"/>
      <c r="D7" s="255"/>
      <c r="E7" s="266"/>
      <c r="F7" s="266"/>
      <c r="G7" s="1061">
        <f>IF($AK$2=1,$AF$45,IF($AK$2=2,$AH$45,IF($AK$2=3,$AD$45,0)))</f>
        <v>0</v>
      </c>
      <c r="H7" s="1062"/>
      <c r="I7" s="255"/>
      <c r="J7" s="255"/>
      <c r="K7" s="255"/>
      <c r="L7" s="255"/>
      <c r="N7" s="936" t="s">
        <v>700</v>
      </c>
      <c r="O7" s="929">
        <f>IF(AND($H$11&gt;=$AC$54, $H$11&lt;=$AD$54, $P$17&gt;=$AE$54, $P$17&lt;=$AF$54), 1, 0)</f>
        <v>0</v>
      </c>
      <c r="P7" s="935">
        <f>IF(AND($O$6=1, $O$7=1, $P$17&gt;=7), O7, IF(AND(O6=0, O7=1), O7, 0))</f>
        <v>0</v>
      </c>
      <c r="Q7" s="936" t="s">
        <v>700</v>
      </c>
      <c r="R7" s="929">
        <f>IF(AND($H$22&gt;=$AC$54, $H$22&lt;=$AD$54, $P$28&gt;=$AE$54, $P$28&lt;=$AF$54), 1, 0)</f>
        <v>0</v>
      </c>
      <c r="S7" s="935">
        <f>IF(AND($R$6=1, $R$7=1, $P$28&gt;=7), R7, IF(AND(R6=0, R7=1), R7, 0))</f>
        <v>0</v>
      </c>
      <c r="T7" s="346"/>
      <c r="U7" s="344"/>
      <c r="V7" s="344"/>
      <c r="W7" s="344"/>
      <c r="X7" s="344"/>
      <c r="Y7" s="156" t="str">
        <f>$B$2</f>
        <v xml:space="preserve"> AVENTOS HS top</v>
      </c>
      <c r="Z7" s="157">
        <f>B5</f>
        <v>0</v>
      </c>
      <c r="AA7" s="157"/>
      <c r="AB7" s="157"/>
      <c r="AC7" s="157"/>
      <c r="AD7" s="158"/>
      <c r="AG7" s="118"/>
      <c r="AI7" s="344"/>
      <c r="AK7" s="108"/>
      <c r="AL7" s="37"/>
      <c r="AM7" s="108"/>
      <c r="AN7" s="675" t="str">
        <f>" "&amp;ListAVS!$B$160</f>
        <v xml:space="preserve"> Dodatki</v>
      </c>
      <c r="AO7" s="137"/>
      <c r="AP7" s="137"/>
      <c r="AQ7" s="137"/>
      <c r="AR7" s="137"/>
      <c r="AS7" s="137"/>
      <c r="AT7" s="122"/>
      <c r="AU7" s="122"/>
    </row>
    <row r="8" spans="1:47" ht="25.15" customHeight="1" thickBot="1" x14ac:dyDescent="0.25">
      <c r="B8" s="255"/>
      <c r="C8" s="255"/>
      <c r="D8" s="255"/>
      <c r="E8" s="255"/>
      <c r="F8" s="255"/>
      <c r="G8" s="255"/>
      <c r="H8" s="579" t="str">
        <f>IF(AND(OR($Q$16=2, $Q$27=2), $AD$45&gt;0), $N$35, " ")</f>
        <v xml:space="preserve"> </v>
      </c>
      <c r="I8" s="255"/>
      <c r="J8" s="255"/>
      <c r="K8" s="255"/>
      <c r="L8" s="255"/>
      <c r="N8" s="317"/>
      <c r="O8" s="344"/>
      <c r="P8" s="317"/>
      <c r="Q8" s="317"/>
      <c r="R8" s="344"/>
      <c r="T8" s="346"/>
      <c r="U8" s="344"/>
      <c r="V8" s="344"/>
      <c r="W8" s="344"/>
      <c r="X8" s="344"/>
      <c r="Y8" s="159" t="str">
        <f>ListAVS!B52</f>
        <v>Nazwa</v>
      </c>
      <c r="Z8" s="160" t="str">
        <f>ListAVS!$B$53</f>
        <v>Kod asortymentu</v>
      </c>
      <c r="AA8" s="161" t="str">
        <f>ListAVS!B54</f>
        <v>Kolor</v>
      </c>
      <c r="AB8" s="161" t="str">
        <f>ListAVS!B56</f>
        <v>Sztuka</v>
      </c>
      <c r="AC8" s="162" t="str">
        <f>ListAVS!B58</f>
        <v>Cena za sztukę</v>
      </c>
      <c r="AD8" s="161" t="str">
        <f>ListAVS!B59</f>
        <v>W sumie</v>
      </c>
      <c r="AE8" s="204" t="s">
        <v>29</v>
      </c>
      <c r="AF8" s="163" t="s">
        <v>30</v>
      </c>
      <c r="AG8" s="163" t="s">
        <v>31</v>
      </c>
      <c r="AH8" s="163" t="s">
        <v>30</v>
      </c>
      <c r="AI8" s="344"/>
      <c r="AK8" s="108"/>
      <c r="AL8" s="108"/>
      <c r="AM8" s="108"/>
      <c r="AN8" s="671"/>
      <c r="AO8" s="137"/>
      <c r="AP8" s="137"/>
      <c r="AQ8" s="953" t="str">
        <f>ListAVS!B75&amp;" KH (mm)"</f>
        <v>Wysokość korpusu KH (mm)</v>
      </c>
      <c r="AR8" s="953" t="str">
        <f>ListAVS!B76&amp;" FG (kg)"</f>
        <v>Waga frontu FG (kg)</v>
      </c>
      <c r="AS8" s="953" t="str">
        <f>ListAVS!$B$84&amp;" "&amp;ListAVS!$B$350</f>
        <v>Mechanizm podnoszący wkręty</v>
      </c>
      <c r="AT8" s="953" t="str">
        <f>ListAVS!$B$84&amp;" "&amp;ListAVS!$B$351</f>
        <v>Mechanizm podnoszący wstępnie zamontowane eurowkręty</v>
      </c>
      <c r="AU8" s="625"/>
    </row>
    <row r="9" spans="1:47" ht="16.149999999999999" customHeight="1" thickBot="1" x14ac:dyDescent="0.25">
      <c r="B9" s="1051" t="str">
        <f>"▼ "&amp;ListAVS!$B$318</f>
        <v>▼ Sposób otwierania</v>
      </c>
      <c r="C9" s="1052"/>
      <c r="D9" s="406" t="str">
        <f>IF($M$17&gt;0, ListAVS!$B$37&amp;": ", " ")</f>
        <v xml:space="preserve"> </v>
      </c>
      <c r="E9" s="688" t="str">
        <f>IF(SUM($AE$9:$AE$10)&gt;0,"22",IF(SUM($AE$11:$AE$12)&gt;0,"25",IF(SUM($AE$13:$AE$14)&gt;0,"28"," ")))</f>
        <v xml:space="preserve"> </v>
      </c>
      <c r="F9" s="1056" t="str">
        <f>ListAVS!$B$64&amp;" A"</f>
        <v>Korpus A</v>
      </c>
      <c r="G9" s="1057"/>
      <c r="H9" s="1058"/>
      <c r="I9" s="273"/>
      <c r="J9" s="255"/>
      <c r="K9" s="255"/>
      <c r="L9" s="255"/>
      <c r="N9" s="317"/>
      <c r="O9" s="344"/>
      <c r="P9" s="317"/>
      <c r="Q9" s="317"/>
      <c r="R9" s="344"/>
      <c r="S9" s="716"/>
      <c r="T9" s="346"/>
      <c r="U9" s="344"/>
      <c r="V9" s="344"/>
      <c r="W9" s="344"/>
      <c r="X9" s="344"/>
      <c r="Y9" s="890" t="str">
        <f>CenAVS!A28</f>
        <v xml:space="preserve">Aventos HS Top słaby, wkręty      </v>
      </c>
      <c r="Z9" s="890" t="str">
        <f>CenAVS!B28</f>
        <v>22S2200</v>
      </c>
      <c r="AA9" s="890" t="str">
        <f>CenAVS!C28</f>
        <v>ZN</v>
      </c>
      <c r="AB9" s="665">
        <f t="shared" ref="AB9:AB33" si="0">SUM(AE9,AG9)</f>
        <v>0</v>
      </c>
      <c r="AC9" s="907">
        <f>CenAVS!F28</f>
        <v>191.41126</v>
      </c>
      <c r="AD9" s="908">
        <f>AB9*AC9</f>
        <v>0</v>
      </c>
      <c r="AE9" s="901">
        <f>IF(AND($W$46=1, SUM($P$4:$P$5)=1), $M$17, 0)</f>
        <v>0</v>
      </c>
      <c r="AF9" s="909">
        <f t="shared" ref="AF9:AF25" si="1">$AC9*AE9</f>
        <v>0</v>
      </c>
      <c r="AG9" s="901">
        <f>IF(AND($W$46=1, SUM($S$4:$S$5)=1), $M$28, 0)</f>
        <v>0</v>
      </c>
      <c r="AH9" s="909">
        <f t="shared" ref="AH9:AH38" si="2">$AC9*AG9</f>
        <v>0</v>
      </c>
      <c r="AI9" s="344"/>
      <c r="AJ9" s="716"/>
      <c r="AK9" s="108"/>
      <c r="AL9" s="108"/>
      <c r="AM9" s="108"/>
      <c r="AN9" s="383" t="str">
        <f>" "&amp;ListAVS!$B$157</f>
        <v xml:space="preserve"> Rodzaje korpusów</v>
      </c>
      <c r="AO9" s="137"/>
      <c r="AP9" s="137"/>
      <c r="AQ9" s="954" t="s">
        <v>737</v>
      </c>
      <c r="AR9" s="954" t="s">
        <v>738</v>
      </c>
      <c r="AS9" s="1146" t="s">
        <v>687</v>
      </c>
      <c r="AT9" s="1146" t="s">
        <v>688</v>
      </c>
      <c r="AU9" s="122"/>
    </row>
    <row r="10" spans="1:47" s="122" customFormat="1" ht="16.149999999999999" customHeight="1" thickBot="1" x14ac:dyDescent="0.25">
      <c r="A10" s="37"/>
      <c r="B10" s="1011" t="str">
        <f>ListAVS!$B$74&amp;" KB [mm] "</f>
        <v xml:space="preserve">Szerokość korpusu KB [mm] </v>
      </c>
      <c r="C10" s="1012"/>
      <c r="D10" s="1012"/>
      <c r="E10" s="1012"/>
      <c r="F10" s="1012"/>
      <c r="G10" s="1013"/>
      <c r="H10" s="257"/>
      <c r="I10" s="256" t="str">
        <f>IF($H10=0," ",IF($H10&lt;220," min. 220mm",IF($H10&gt;1800," max. 1 800mm"," ")))&amp;IF(H17&gt;0,IF(H10=0,"● "&amp;ListAVS!$B$129," ")," ")</f>
        <v xml:space="preserve">  </v>
      </c>
      <c r="J10" s="255"/>
      <c r="K10" s="255"/>
      <c r="L10" s="255"/>
      <c r="M10" s="37"/>
      <c r="N10" s="317"/>
      <c r="O10" s="344"/>
      <c r="P10" s="317"/>
      <c r="Q10" s="317"/>
      <c r="R10" s="344"/>
      <c r="S10" s="717"/>
      <c r="T10" s="346"/>
      <c r="U10" s="344"/>
      <c r="V10" s="344"/>
      <c r="W10" s="344"/>
      <c r="X10" s="344"/>
      <c r="Y10" s="890" t="str">
        <f>CenAVS!A29</f>
        <v xml:space="preserve">Aventos HS Top słaby, eurowkręty      </v>
      </c>
      <c r="Z10" s="890" t="str">
        <f>CenAVS!B29</f>
        <v>22S2210</v>
      </c>
      <c r="AA10" s="890" t="str">
        <f>CenAVS!C29</f>
        <v>ZN</v>
      </c>
      <c r="AB10" s="665">
        <f t="shared" si="0"/>
        <v>0</v>
      </c>
      <c r="AC10" s="907">
        <f>CenAVS!F29</f>
        <v>192.89991000000001</v>
      </c>
      <c r="AD10" s="908">
        <f t="shared" ref="AD10:AD43" si="3">AB10*AC10</f>
        <v>0</v>
      </c>
      <c r="AE10" s="901">
        <f>IF(AND($W$46=2, SUM($P$4:$P$5)=1), $M$17, 0)</f>
        <v>0</v>
      </c>
      <c r="AF10" s="909">
        <f t="shared" si="1"/>
        <v>0</v>
      </c>
      <c r="AG10" s="901">
        <f>IF(AND($W$46=2, SUM($S$4:$S$5)=1), $M$28, 0)</f>
        <v>0</v>
      </c>
      <c r="AH10" s="909">
        <f t="shared" si="2"/>
        <v>0</v>
      </c>
      <c r="AI10" s="344"/>
      <c r="AJ10" s="717"/>
      <c r="AK10" s="108"/>
      <c r="AL10" s="108"/>
      <c r="AM10" s="108"/>
      <c r="AN10" s="383" t="str">
        <f>" "&amp;ListAVS!$B$158</f>
        <v xml:space="preserve"> Zamówienie</v>
      </c>
      <c r="AO10" s="137"/>
      <c r="AP10" s="137"/>
      <c r="AQ10" s="954" t="s">
        <v>739</v>
      </c>
      <c r="AR10" s="954" t="s">
        <v>740</v>
      </c>
      <c r="AS10" s="1147"/>
      <c r="AT10" s="1147"/>
    </row>
    <row r="11" spans="1:47" s="122" customFormat="1" ht="16.149999999999999" customHeight="1" x14ac:dyDescent="0.2">
      <c r="A11" s="37"/>
      <c r="B11" s="1011" t="str">
        <f>ListAVS!$B$75&amp;" KH [mm]  "</f>
        <v xml:space="preserve">Wysokość korpusu KH [mm]  </v>
      </c>
      <c r="C11" s="1012"/>
      <c r="D11" s="1012"/>
      <c r="E11" s="1012"/>
      <c r="F11" s="1012"/>
      <c r="G11" s="1013"/>
      <c r="H11" s="257"/>
      <c r="I11" s="256" t="str">
        <f>IF($H11=0," ",IF($H11&lt;350," min. 350mm",IF($H11&gt;800," max. 800 mm"," ")))&amp;IF(H17&gt;0,IF(H11=0,"● "&amp;ListAVS!$B$129," ")," ")</f>
        <v xml:space="preserve">  </v>
      </c>
      <c r="J11" s="255"/>
      <c r="K11" s="255"/>
      <c r="L11" s="255"/>
      <c r="M11" s="37"/>
      <c r="N11" s="317"/>
      <c r="O11" s="344"/>
      <c r="P11" s="317"/>
      <c r="Q11" s="317"/>
      <c r="R11" s="344"/>
      <c r="S11" s="718"/>
      <c r="T11" s="346"/>
      <c r="U11" s="344"/>
      <c r="V11" s="344"/>
      <c r="W11" s="344"/>
      <c r="X11" s="344"/>
      <c r="Y11" s="890" t="str">
        <f>CenAVS!A30</f>
        <v xml:space="preserve">Aventos HS Top średni, wkręty      </v>
      </c>
      <c r="Z11" s="890" t="str">
        <f>CenAVS!B30</f>
        <v>22S2500</v>
      </c>
      <c r="AA11" s="890" t="str">
        <f>CenAVS!C30</f>
        <v>ZN</v>
      </c>
      <c r="AB11" s="665">
        <f t="shared" si="0"/>
        <v>0</v>
      </c>
      <c r="AC11" s="907">
        <f>CenAVS!F30</f>
        <v>202.58683000000002</v>
      </c>
      <c r="AD11" s="908">
        <f t="shared" si="3"/>
        <v>0</v>
      </c>
      <c r="AE11" s="901">
        <f>IF(AND($W$46=1, $P$6=1), $M$17, 0)</f>
        <v>0</v>
      </c>
      <c r="AF11" s="909">
        <f t="shared" si="1"/>
        <v>0</v>
      </c>
      <c r="AG11" s="901">
        <f>IF(AND($W$46=1, $S$6=1), $M$28, 0)</f>
        <v>0</v>
      </c>
      <c r="AH11" s="909">
        <f t="shared" si="2"/>
        <v>0</v>
      </c>
      <c r="AI11" s="344"/>
      <c r="AJ11" s="718"/>
      <c r="AK11" s="108"/>
      <c r="AL11" s="108"/>
      <c r="AM11" s="108"/>
      <c r="AN11" s="37"/>
      <c r="AO11" s="137"/>
      <c r="AP11" s="137"/>
      <c r="AQ11" s="954" t="s">
        <v>741</v>
      </c>
      <c r="AR11" s="954" t="s">
        <v>742</v>
      </c>
      <c r="AS11" s="955" t="s">
        <v>689</v>
      </c>
      <c r="AT11" s="955" t="s">
        <v>690</v>
      </c>
    </row>
    <row r="12" spans="1:47" s="122" customFormat="1" ht="16.149999999999999" customHeight="1" x14ac:dyDescent="0.2">
      <c r="A12" s="37"/>
      <c r="B12" s="1011" t="str">
        <f>ListAVS!$B$77&amp;" [kg] ** "</f>
        <v xml:space="preserve">Waga frontu wraz z uchwytem [kg] ** </v>
      </c>
      <c r="C12" s="1012"/>
      <c r="D12" s="1012"/>
      <c r="E12" s="1012"/>
      <c r="F12" s="1012"/>
      <c r="G12" s="1013"/>
      <c r="H12" s="258"/>
      <c r="I12" s="227" t="str">
        <f>IF($H17=0,  " ", IF(SUM($H12,$H15)=0,$N$54," "))&amp;IF(AND(SUM($O$4:$O$7)=0, T12="ano", $T13="ne", H12&gt;0),$N$58,IF(AND($H17&gt;0,$H12&gt;0, $M17&gt;0, $T13="ano"),$N$55," "))</f>
        <v xml:space="preserve">  </v>
      </c>
      <c r="J12" s="255"/>
      <c r="K12" s="255"/>
      <c r="L12" s="255"/>
      <c r="M12" s="37"/>
      <c r="N12" s="317"/>
      <c r="O12" s="344"/>
      <c r="P12" s="317"/>
      <c r="Q12" s="317"/>
      <c r="R12" s="344"/>
      <c r="S12" s="717" t="s">
        <v>79</v>
      </c>
      <c r="T12" s="928" t="str">
        <f>IF(AND(219&lt;H10,H10&lt;1801,349&lt;H11,H11&lt;801),"ano","ne")</f>
        <v>ne</v>
      </c>
      <c r="U12" s="344"/>
      <c r="V12" s="344"/>
      <c r="W12" s="344"/>
      <c r="X12" s="344"/>
      <c r="Y12" s="890" t="str">
        <f>CenAVS!A31</f>
        <v xml:space="preserve">Aventos HS Top średni, eurowkręty      </v>
      </c>
      <c r="Z12" s="890" t="str">
        <f>CenAVS!B31</f>
        <v>22S2510</v>
      </c>
      <c r="AA12" s="890" t="str">
        <f>CenAVS!C31</f>
        <v>ZN</v>
      </c>
      <c r="AB12" s="665">
        <f t="shared" si="0"/>
        <v>0</v>
      </c>
      <c r="AC12" s="907">
        <f>CenAVS!F31</f>
        <v>204.16206999999997</v>
      </c>
      <c r="AD12" s="908">
        <f t="shared" si="3"/>
        <v>0</v>
      </c>
      <c r="AE12" s="901">
        <f>IF(AND($W$46=2, $P$6=1), $M$17, 0)</f>
        <v>0</v>
      </c>
      <c r="AF12" s="909">
        <f t="shared" si="1"/>
        <v>0</v>
      </c>
      <c r="AG12" s="901">
        <f>IF(AND($W$46=2, $S$6=1), $M$28, 0)</f>
        <v>0</v>
      </c>
      <c r="AH12" s="909">
        <f t="shared" si="2"/>
        <v>0</v>
      </c>
      <c r="AI12" s="344"/>
      <c r="AJ12" s="718"/>
      <c r="AK12" s="108"/>
      <c r="AL12" s="108"/>
      <c r="AM12" s="108"/>
      <c r="AN12" s="108"/>
      <c r="AO12" s="137"/>
      <c r="AP12" s="137"/>
      <c r="AQ12" s="954" t="s">
        <v>743</v>
      </c>
      <c r="AR12" s="954" t="s">
        <v>744</v>
      </c>
      <c r="AS12" s="955" t="s">
        <v>691</v>
      </c>
      <c r="AT12" s="955" t="s">
        <v>692</v>
      </c>
    </row>
    <row r="13" spans="1:47" s="122" customFormat="1" ht="16.149999999999999" customHeight="1" x14ac:dyDescent="0.2">
      <c r="A13" s="37"/>
      <c r="B13" s="1055" t="str">
        <f>ListAVS!$B$293</f>
        <v>Obliczenie wagi</v>
      </c>
      <c r="C13" s="1055"/>
      <c r="D13" s="1153" t="str">
        <f>ListAVS!$B$80&amp;" TS [mm] "</f>
        <v xml:space="preserve">Grubość frontu TS [mm] </v>
      </c>
      <c r="E13" s="1153"/>
      <c r="F13" s="1153"/>
      <c r="G13" s="1154"/>
      <c r="H13" s="432"/>
      <c r="I13" s="256"/>
      <c r="J13" s="255"/>
      <c r="K13" s="255"/>
      <c r="L13" s="255"/>
      <c r="M13" s="37"/>
      <c r="N13" s="317"/>
      <c r="O13" s="344"/>
      <c r="P13" s="317"/>
      <c r="Q13" s="317"/>
      <c r="R13" s="344"/>
      <c r="S13" s="717" t="s">
        <v>710</v>
      </c>
      <c r="T13" s="928" t="str">
        <f>IF(AND($H$11&gt;=$AC$51, $H$11&lt;=$AD$51, $P$17&gt;=$AE$51, $P$17&lt;=$AF$51), "ano", IF(AND($H$11&gt;=$AC$52, $H$11&lt;=$AD$52, $P$17&gt;=$AE$52, $P$17&lt;=$AF$52), "ano", IF(AND($H$11&gt;=$AC$53, $H$11&lt;=$AD$53, $P$17&gt;=$AE$53, $P$17&lt;=$AF$53), "ano", IF(AND($H$11&gt;=$AC$54, $H$11&lt;=$AD$54, $P$17&gt;=$AE$54, $P$17&lt;=$AF$54), "ano", "ne"))))</f>
        <v>ne</v>
      </c>
      <c r="U13" s="344"/>
      <c r="V13" s="344"/>
      <c r="W13" s="344"/>
      <c r="X13" s="344"/>
      <c r="Y13" s="890" t="str">
        <f>CenAVS!A32</f>
        <v xml:space="preserve">Aventos HS Top mocny, wkręty      </v>
      </c>
      <c r="Z13" s="890" t="str">
        <f>CenAVS!B32</f>
        <v>22S2800</v>
      </c>
      <c r="AA13" s="890" t="str">
        <f>CenAVS!C32</f>
        <v>ZN</v>
      </c>
      <c r="AB13" s="665">
        <f t="shared" si="0"/>
        <v>0</v>
      </c>
      <c r="AC13" s="907">
        <f>CenAVS!F32</f>
        <v>215.15917999999999</v>
      </c>
      <c r="AD13" s="908">
        <f t="shared" si="3"/>
        <v>0</v>
      </c>
      <c r="AE13" s="901">
        <f>IF(AND($W$46=1, $P$7=1), $M$17, 0)</f>
        <v>0</v>
      </c>
      <c r="AF13" s="909">
        <f t="shared" si="1"/>
        <v>0</v>
      </c>
      <c r="AG13" s="901">
        <f>IF(AND($W$46=1, $S$7=1), $M$28, 0)</f>
        <v>0</v>
      </c>
      <c r="AH13" s="909">
        <f t="shared" si="2"/>
        <v>0</v>
      </c>
      <c r="AI13" s="344"/>
      <c r="AJ13" s="37"/>
      <c r="AK13" s="108"/>
      <c r="AL13" s="108"/>
      <c r="AM13" s="108"/>
      <c r="AN13" s="108"/>
      <c r="AO13" s="137"/>
      <c r="AP13" s="137"/>
      <c r="AQ13" s="951"/>
      <c r="AR13" s="951"/>
      <c r="AS13" s="952"/>
      <c r="AT13" s="952"/>
    </row>
    <row r="14" spans="1:47" s="122" customFormat="1" ht="16.149999999999999" customHeight="1" x14ac:dyDescent="0.2">
      <c r="A14" s="37"/>
      <c r="B14" s="1055"/>
      <c r="C14" s="1055"/>
      <c r="D14" s="1053" t="str">
        <f>ListAVS!$B$83&amp;" [kg] "</f>
        <v xml:space="preserve">Waga uchwytu [kg] </v>
      </c>
      <c r="E14" s="1053"/>
      <c r="F14" s="1053"/>
      <c r="G14" s="1054"/>
      <c r="H14" s="258"/>
      <c r="I14" s="256" t="str">
        <f>IF(H17=0, " ", IF(AND(H12=0, Q16=1, H14=0), " ● "&amp;ListAVS!$B$130," "))</f>
        <v xml:space="preserve"> </v>
      </c>
      <c r="J14" s="255"/>
      <c r="K14" s="255"/>
      <c r="L14" s="255"/>
      <c r="M14" s="37"/>
      <c r="N14" s="317"/>
      <c r="O14" s="344"/>
      <c r="P14" s="317"/>
      <c r="Q14" s="317"/>
      <c r="R14" s="344"/>
      <c r="S14" s="717"/>
      <c r="T14" s="346"/>
      <c r="U14" s="344"/>
      <c r="V14" s="344"/>
      <c r="W14" s="344"/>
      <c r="X14" s="344"/>
      <c r="Y14" s="890" t="str">
        <f>CenAVS!A33</f>
        <v xml:space="preserve">Aventos HS Top mocny, eurowkręty      </v>
      </c>
      <c r="Z14" s="890" t="str">
        <f>CenAVS!B33</f>
        <v>22S2810</v>
      </c>
      <c r="AA14" s="890" t="str">
        <f>CenAVS!C33</f>
        <v>ZN</v>
      </c>
      <c r="AB14" s="665">
        <f t="shared" si="0"/>
        <v>0</v>
      </c>
      <c r="AC14" s="907">
        <f>CenAVS!F33</f>
        <v>216.83244999999999</v>
      </c>
      <c r="AD14" s="908">
        <f t="shared" si="3"/>
        <v>0</v>
      </c>
      <c r="AE14" s="901">
        <f>IF(AND($W$46=2, $P$7=1), $M$17, 0)</f>
        <v>0</v>
      </c>
      <c r="AF14" s="909">
        <f t="shared" si="1"/>
        <v>0</v>
      </c>
      <c r="AG14" s="901">
        <f>IF(AND($W$46=2, $S$7=1), $M$28, 0)</f>
        <v>0</v>
      </c>
      <c r="AH14" s="909">
        <f t="shared" si="2"/>
        <v>0</v>
      </c>
      <c r="AI14" s="344"/>
      <c r="AJ14" s="37"/>
      <c r="AK14" s="108"/>
      <c r="AL14" s="108"/>
      <c r="AM14" s="108"/>
      <c r="AN14" s="108"/>
      <c r="AO14" s="137"/>
      <c r="AP14" s="137"/>
      <c r="AQ14" s="545" t="str">
        <f>ListAVS!B350&amp;" = "&amp;ListAVS!B352</f>
        <v>wkręty = podnośniki z zintegrowanym szablonem (nie ma potrzeby mierzenia)</v>
      </c>
      <c r="AR14" s="951"/>
      <c r="AS14" s="952"/>
      <c r="AT14" s="952"/>
    </row>
    <row r="15" spans="1:47" s="122" customFormat="1" ht="16.149999999999999" customHeight="1" x14ac:dyDescent="0.2">
      <c r="A15" s="37"/>
      <c r="B15" s="1055"/>
      <c r="C15" s="1055"/>
      <c r="D15" s="1053" t="str">
        <f>ListAVS!$B$79&amp;" [kg] "</f>
        <v xml:space="preserve">Obliczona waga frontu [kg] </v>
      </c>
      <c r="E15" s="1053"/>
      <c r="F15" s="1053"/>
      <c r="G15" s="1054"/>
      <c r="H15" s="597">
        <f>$T$90</f>
        <v>0</v>
      </c>
      <c r="I15" s="227" t="str">
        <f>IF(AND($H17&gt;0,$H15&gt;0,$H12=0,$M17&gt;0), $N$41," ")&amp;IF(AND(H17&gt;0, H12=0, Z87=3, $J$4=0), $N$39, " ")</f>
        <v xml:space="preserve">  </v>
      </c>
      <c r="J15" s="255"/>
      <c r="K15" s="255"/>
      <c r="L15" s="255"/>
      <c r="M15" s="37"/>
      <c r="N15" s="37"/>
      <c r="O15" s="718"/>
      <c r="P15" s="132" t="s">
        <v>80</v>
      </c>
      <c r="Q15" s="119"/>
      <c r="R15" s="718"/>
      <c r="S15" s="37"/>
      <c r="T15" s="37"/>
      <c r="U15" s="37"/>
      <c r="V15" s="37"/>
      <c r="W15" s="37"/>
      <c r="X15" s="37"/>
      <c r="Y15" s="890"/>
      <c r="Z15" s="890"/>
      <c r="AA15" s="890"/>
      <c r="AB15" s="665"/>
      <c r="AC15" s="907"/>
      <c r="AD15" s="908"/>
      <c r="AE15" s="901"/>
      <c r="AF15" s="909"/>
      <c r="AG15" s="901"/>
      <c r="AH15" s="909"/>
      <c r="AI15" s="344"/>
      <c r="AJ15" s="37"/>
      <c r="AK15" s="108"/>
      <c r="AL15" s="108"/>
      <c r="AM15" s="108"/>
      <c r="AN15" s="255"/>
      <c r="AO15" s="137"/>
      <c r="AP15" s="137"/>
      <c r="AQ15" s="545" t="str">
        <f>ListAVS!B351&amp;" = "&amp;ListAVS!B353</f>
        <v>wstępnie zamontowane eurowkręty = podnośniki ze wstępnie zamontowanymi wkrętami (wymagane wstępne nawiercenie)</v>
      </c>
      <c r="AR15" s="951"/>
      <c r="AS15" s="952"/>
      <c r="AT15" s="952"/>
    </row>
    <row r="16" spans="1:47" s="122" customFormat="1" ht="16.149999999999999" customHeight="1" thickBot="1" x14ac:dyDescent="0.25">
      <c r="A16" s="37"/>
      <c r="B16" s="1011"/>
      <c r="C16" s="1012"/>
      <c r="D16" s="1012"/>
      <c r="E16" s="1012"/>
      <c r="F16" s="1012"/>
      <c r="G16" s="1013"/>
      <c r="H16" s="432"/>
      <c r="I16" s="256" t="str">
        <f>IF(AND(H16&gt;0, Q16=2), $N$53, " ")</f>
        <v xml:space="preserve"> </v>
      </c>
      <c r="J16" s="255"/>
      <c r="K16" s="255"/>
      <c r="L16" s="255"/>
      <c r="M16" s="37"/>
      <c r="N16" s="37"/>
      <c r="O16" s="1141" t="b">
        <v>0</v>
      </c>
      <c r="P16" s="1142"/>
      <c r="Q16" s="131">
        <v>1</v>
      </c>
      <c r="R16" s="718"/>
      <c r="S16" s="37"/>
      <c r="T16" s="37"/>
      <c r="U16" s="37"/>
      <c r="V16" s="37"/>
      <c r="W16" s="37"/>
      <c r="X16" s="37"/>
      <c r="Y16" s="890" t="str">
        <f>CenAVS!A34</f>
        <v xml:space="preserve">ramiona HS Top        </v>
      </c>
      <c r="Z16" s="890" t="str">
        <f>CenAVS!B34</f>
        <v>22S3500</v>
      </c>
      <c r="AA16" s="890" t="str">
        <f>CenAVS!C34</f>
        <v>ZN</v>
      </c>
      <c r="AB16" s="665">
        <f>SUM(AE16,AG16)</f>
        <v>0</v>
      </c>
      <c r="AC16" s="907">
        <f>CenAVS!F34</f>
        <v>127.57276</v>
      </c>
      <c r="AD16" s="908">
        <f>AB16*AC16</f>
        <v>0</v>
      </c>
      <c r="AE16" s="903">
        <f>SUM($AE$9:$AE$14)</f>
        <v>0</v>
      </c>
      <c r="AF16" s="909">
        <f>$AC16*AE16</f>
        <v>0</v>
      </c>
      <c r="AG16" s="903">
        <f>SUM($AG$9:$AG$14)</f>
        <v>0</v>
      </c>
      <c r="AH16" s="909">
        <f>$AC16*AG16</f>
        <v>0</v>
      </c>
      <c r="AI16" s="344"/>
      <c r="AJ16" s="718"/>
      <c r="AK16" s="108"/>
      <c r="AL16" s="108"/>
      <c r="AM16" s="108"/>
      <c r="AN16" s="255"/>
      <c r="AO16" s="137"/>
      <c r="AP16" s="137"/>
      <c r="AQ16" s="137"/>
      <c r="AR16" s="137"/>
      <c r="AS16" s="37"/>
    </row>
    <row r="17" spans="1:54" s="122" customFormat="1" ht="16.149999999999999" customHeight="1" thickBot="1" x14ac:dyDescent="0.25">
      <c r="A17" s="37"/>
      <c r="B17" s="1155" t="str">
        <f>ListAVS!$B$71</f>
        <v>Ilość szafek</v>
      </c>
      <c r="C17" s="1156"/>
      <c r="D17" s="1156"/>
      <c r="E17" s="1156"/>
      <c r="F17" s="1156"/>
      <c r="G17" s="1156"/>
      <c r="H17" s="261"/>
      <c r="I17" s="273"/>
      <c r="J17" s="255"/>
      <c r="K17" s="255"/>
      <c r="L17" s="255"/>
      <c r="M17" s="315">
        <f>IF($H10*$H11*$P17=0,0,IF(SUM(O4:O7)=0,0,IF($H10&gt;1800,0, IF($H10&lt;220, 0, $H17))))</f>
        <v>0</v>
      </c>
      <c r="N17" s="37"/>
      <c r="O17" s="690" t="s">
        <v>51</v>
      </c>
      <c r="P17" s="691">
        <f>IF(H12&gt;0,H12,H15)</f>
        <v>0</v>
      </c>
      <c r="Q17" s="37">
        <f>IF(SUM(H12,H15)=0,0,IF(H12&gt;0,1,2))</f>
        <v>0</v>
      </c>
      <c r="R17" s="571" t="s">
        <v>52</v>
      </c>
      <c r="S17" s="37"/>
      <c r="T17" s="37"/>
      <c r="U17" s="37"/>
      <c r="V17" s="37"/>
      <c r="W17" s="37"/>
      <c r="X17" s="37"/>
      <c r="Y17" s="890"/>
      <c r="Z17" s="890"/>
      <c r="AA17" s="890"/>
      <c r="AB17" s="665"/>
      <c r="AC17" s="907"/>
      <c r="AD17" s="908"/>
      <c r="AE17" s="901"/>
      <c r="AF17" s="909"/>
      <c r="AG17" s="901"/>
      <c r="AH17" s="909"/>
      <c r="AI17" s="344"/>
      <c r="AJ17" s="718"/>
      <c r="AK17" s="108"/>
      <c r="AL17" s="108"/>
      <c r="AM17" s="108"/>
      <c r="AN17" s="719"/>
      <c r="AO17" s="137"/>
      <c r="AP17" s="137"/>
      <c r="AQ17" s="137"/>
      <c r="AR17" s="137"/>
      <c r="AS17" s="37"/>
    </row>
    <row r="18" spans="1:54" s="122" customFormat="1" ht="16.149999999999999" customHeight="1" x14ac:dyDescent="0.2">
      <c r="A18" s="37"/>
      <c r="B18" s="255" t="str">
        <f>IF(H17&gt;0,IF(OR(Q17=0,M17=0), " ",IF(Q17=1,$N$67,$N$68))," ")&amp;IF(H17&gt;0,IF(OR(Q17=0, M17=0), " ",IF(Q17=1,$N$69,$N$70))," ")</f>
        <v xml:space="preserve">  </v>
      </c>
      <c r="C18" s="255"/>
      <c r="D18" s="255"/>
      <c r="E18" s="255"/>
      <c r="F18" s="433"/>
      <c r="G18" s="433"/>
      <c r="H18" s="255"/>
      <c r="I18" s="255"/>
      <c r="J18" s="255"/>
      <c r="K18" s="255"/>
      <c r="L18" s="255"/>
      <c r="M18" s="118"/>
      <c r="N18" s="119"/>
      <c r="O18" s="132"/>
      <c r="P18" s="132"/>
      <c r="Q18" s="119"/>
      <c r="R18" s="37"/>
      <c r="S18" s="37"/>
      <c r="T18" s="37"/>
      <c r="U18" s="37"/>
      <c r="V18" s="37"/>
      <c r="W18" s="37"/>
      <c r="X18" s="37"/>
      <c r="Y18" s="890"/>
      <c r="Z18" s="890"/>
      <c r="AA18" s="890"/>
      <c r="AB18" s="665"/>
      <c r="AC18" s="907"/>
      <c r="AD18" s="908"/>
      <c r="AE18" s="903"/>
      <c r="AF18" s="909"/>
      <c r="AG18" s="903"/>
      <c r="AH18" s="909"/>
      <c r="AI18" s="344"/>
      <c r="AJ18" s="716"/>
      <c r="AK18" s="108"/>
      <c r="AL18" s="108"/>
      <c r="AM18" s="108"/>
      <c r="AN18" s="720"/>
      <c r="AO18" s="137"/>
      <c r="AP18" s="137"/>
      <c r="AQ18" s="137"/>
      <c r="AR18" s="137"/>
      <c r="AS18" s="37"/>
    </row>
    <row r="19" spans="1:54" s="122" customFormat="1" ht="25.15" customHeight="1" thickBot="1" x14ac:dyDescent="0.25">
      <c r="A19" s="37"/>
      <c r="B19" s="255"/>
      <c r="C19" s="255"/>
      <c r="D19" s="255"/>
      <c r="E19" s="255"/>
      <c r="F19" s="433"/>
      <c r="G19" s="433"/>
      <c r="H19" s="255"/>
      <c r="I19" s="255"/>
      <c r="J19" s="255"/>
      <c r="K19" s="255"/>
      <c r="L19" s="255"/>
      <c r="M19" s="118"/>
      <c r="N19" s="347" t="s">
        <v>81</v>
      </c>
      <c r="O19" s="344">
        <f>IF($H$10&gt;1360,1.5,IF($H$10&lt;610,0.5,1))</f>
        <v>0.5</v>
      </c>
      <c r="P19" s="317"/>
      <c r="Q19" s="347" t="s">
        <v>81</v>
      </c>
      <c r="R19" s="344">
        <f>IF($H$21&gt;1360,1.5,IF($H$21&lt;610,0.5,1))</f>
        <v>0.5</v>
      </c>
      <c r="S19" s="37"/>
      <c r="T19" s="37"/>
      <c r="U19" s="37"/>
      <c r="V19" s="37"/>
      <c r="W19" s="37"/>
      <c r="X19" s="37"/>
      <c r="Y19" s="890"/>
      <c r="Z19" s="890"/>
      <c r="AA19" s="890"/>
      <c r="AB19" s="665"/>
      <c r="AC19" s="907"/>
      <c r="AD19" s="908"/>
      <c r="AE19" s="903"/>
      <c r="AF19" s="909"/>
      <c r="AG19" s="903"/>
      <c r="AH19" s="909"/>
      <c r="AI19" s="344"/>
      <c r="AJ19" s="717"/>
      <c r="AK19" s="108"/>
      <c r="AL19" s="108"/>
      <c r="AM19" s="108"/>
      <c r="AN19" s="255"/>
      <c r="AO19" s="137"/>
      <c r="AP19" s="137"/>
      <c r="AQ19" s="137"/>
      <c r="AR19" s="137"/>
      <c r="AS19" s="37"/>
    </row>
    <row r="20" spans="1:54" s="122" customFormat="1" ht="16.149999999999999" customHeight="1" thickBot="1" x14ac:dyDescent="0.25">
      <c r="A20" s="37"/>
      <c r="B20" s="1051" t="str">
        <f>"▼ "&amp;ListAVS!$B$318</f>
        <v>▼ Sposób otwierania</v>
      </c>
      <c r="C20" s="1052"/>
      <c r="D20" s="406" t="str">
        <f>IF($M$28&gt;0, ListAVS!$B$37&amp;": ", " ")</f>
        <v xml:space="preserve"> </v>
      </c>
      <c r="E20" s="688" t="str">
        <f>IF(SUM($AG$9:$AG$10)&gt;0,"22",IF(SUM($AG$11:$AG$12)&gt;0,"25",IF(SUM($AG$13:$AG$14)&gt;0,"28"," ")))</f>
        <v xml:space="preserve"> </v>
      </c>
      <c r="F20" s="1056" t="str">
        <f>ListAVS!$B$64&amp;" B"</f>
        <v>Korpus B</v>
      </c>
      <c r="G20" s="1057"/>
      <c r="H20" s="1058"/>
      <c r="I20" s="273"/>
      <c r="J20" s="255"/>
      <c r="K20" s="255"/>
      <c r="L20" s="255"/>
      <c r="M20" s="37"/>
      <c r="N20" s="134" t="s">
        <v>82</v>
      </c>
      <c r="O20" s="132">
        <f>IF($H$16&gt;0,$H$16,IF($H$10&gt;1219,1,0))</f>
        <v>0</v>
      </c>
      <c r="P20" s="119"/>
      <c r="Q20" s="134" t="s">
        <v>82</v>
      </c>
      <c r="R20" s="132">
        <f>IF($H$27&gt;0,$H$27,IF($H$21&gt;1219,1,0))</f>
        <v>0</v>
      </c>
      <c r="S20" s="37"/>
      <c r="T20" s="37"/>
      <c r="U20" s="37"/>
      <c r="V20" s="37"/>
      <c r="W20" s="37"/>
      <c r="X20" s="37"/>
      <c r="Y20" s="890" t="str">
        <f>CenAVS!A47</f>
        <v xml:space="preserve">Zaślepki HF/HL/HS - Top bez SD jasnoszare HGR   </v>
      </c>
      <c r="Z20" s="890" t="str">
        <f>CenAVS!B47</f>
        <v>22.8000</v>
      </c>
      <c r="AA20" s="890" t="str">
        <f>CenAVS!C47</f>
        <v>HGR</v>
      </c>
      <c r="AB20" s="665">
        <f t="shared" si="0"/>
        <v>0</v>
      </c>
      <c r="AC20" s="907">
        <f>CenAVS!F47</f>
        <v>27.586120000000001</v>
      </c>
      <c r="AD20" s="908">
        <f t="shared" si="3"/>
        <v>0</v>
      </c>
      <c r="AE20" s="903">
        <f>IF(AND($Q$16=1,$T$46=1),SUM($AE$9:$AE$14),0)</f>
        <v>0</v>
      </c>
      <c r="AF20" s="909">
        <f t="shared" si="1"/>
        <v>0</v>
      </c>
      <c r="AG20" s="903">
        <f>IF(AND($Q$27=1,$T$46=1),SUM($AG$9:$AG$14),0)</f>
        <v>0</v>
      </c>
      <c r="AH20" s="909">
        <f t="shared" si="2"/>
        <v>0</v>
      </c>
      <c r="AI20" s="344"/>
      <c r="AJ20" s="718"/>
      <c r="AK20" s="108"/>
      <c r="AL20" s="108"/>
      <c r="AM20" s="108"/>
      <c r="AN20" s="255"/>
      <c r="AO20" s="137"/>
      <c r="AP20" s="137"/>
      <c r="AQ20" s="137"/>
      <c r="AR20" s="137"/>
      <c r="AS20" s="37"/>
    </row>
    <row r="21" spans="1:54" s="122" customFormat="1" ht="16.149999999999999" customHeight="1" x14ac:dyDescent="0.2">
      <c r="A21" s="37"/>
      <c r="B21" s="1011" t="str">
        <f>ListAVS!$B$74&amp;" KB [mm] "</f>
        <v xml:space="preserve">Szerokość korpusu KB [mm] </v>
      </c>
      <c r="C21" s="1012"/>
      <c r="D21" s="1012"/>
      <c r="E21" s="1012"/>
      <c r="F21" s="1012"/>
      <c r="G21" s="1013"/>
      <c r="H21" s="257"/>
      <c r="I21" s="256" t="str">
        <f>IF($H21=0," ",IF($H21&lt;220," min. 220mm",IF($H21&gt;1800," max. 1 800mm"," ")))&amp;IF(H28&gt;0,IF(H21=0,"● "&amp;ListAVS!$B$129," ")," ")</f>
        <v xml:space="preserve">  </v>
      </c>
      <c r="J21" s="255"/>
      <c r="K21" s="255"/>
      <c r="L21" s="255"/>
      <c r="M21" s="37"/>
      <c r="N21" s="135"/>
      <c r="O21" s="132"/>
      <c r="P21" s="136"/>
      <c r="Q21" s="119"/>
      <c r="R21" s="717"/>
      <c r="S21" s="717"/>
      <c r="T21" s="346"/>
      <c r="U21" s="37"/>
      <c r="V21" s="37"/>
      <c r="W21" s="37"/>
      <c r="X21" s="37"/>
      <c r="Y21" s="890" t="str">
        <f>CenAVS!A48</f>
        <v xml:space="preserve">zaślepki HF/HL/HS - Top bez SD ciemnoszare TGR   </v>
      </c>
      <c r="Z21" s="890" t="str">
        <f>CenAVS!B48</f>
        <v>22.8000</v>
      </c>
      <c r="AA21" s="890" t="str">
        <f>CenAVS!C48</f>
        <v>TGR</v>
      </c>
      <c r="AB21" s="665">
        <f t="shared" si="0"/>
        <v>0</v>
      </c>
      <c r="AC21" s="907">
        <f>CenAVS!F48</f>
        <v>30.106369999999998</v>
      </c>
      <c r="AD21" s="908">
        <f t="shared" si="3"/>
        <v>0</v>
      </c>
      <c r="AE21" s="903">
        <f>IF(AND($Q$16=1,$T$46=2),SUM($AE$9:$AE$14),0)</f>
        <v>0</v>
      </c>
      <c r="AF21" s="909">
        <f t="shared" si="1"/>
        <v>0</v>
      </c>
      <c r="AG21" s="903">
        <f>IF(AND($Q$27=1,$T$46=2),SUM($AG$9:$AG$14),0)</f>
        <v>0</v>
      </c>
      <c r="AH21" s="909">
        <f t="shared" si="2"/>
        <v>0</v>
      </c>
      <c r="AI21" s="344"/>
      <c r="AJ21" s="718"/>
      <c r="AK21" s="108"/>
      <c r="AL21" s="108"/>
      <c r="AM21" s="108"/>
      <c r="AN21" s="255"/>
      <c r="AO21" s="137"/>
      <c r="AP21" s="137"/>
      <c r="AQ21" s="137"/>
      <c r="AR21" s="137"/>
      <c r="AS21" s="37"/>
    </row>
    <row r="22" spans="1:54" s="122" customFormat="1" ht="16.149999999999999" customHeight="1" x14ac:dyDescent="0.2">
      <c r="A22" s="37"/>
      <c r="B22" s="1011" t="str">
        <f>ListAVS!$B$75&amp;" KH [mm] "</f>
        <v xml:space="preserve">Wysokość korpusu KH [mm] </v>
      </c>
      <c r="C22" s="1012"/>
      <c r="D22" s="1012"/>
      <c r="E22" s="1012"/>
      <c r="F22" s="1012"/>
      <c r="G22" s="1013"/>
      <c r="H22" s="257"/>
      <c r="I22" s="256" t="str">
        <f>IF($H22=0," ",IF($H22&lt;350," min. 350mm",IF($H22&gt;800," max. 800 mm"," ")))&amp;IF(H28&gt;0,IF(H22=0,"● "&amp;ListAVS!$B$129," ")," ")</f>
        <v xml:space="preserve">  </v>
      </c>
      <c r="J22" s="255"/>
      <c r="K22" s="255"/>
      <c r="L22" s="255"/>
      <c r="M22" s="37"/>
      <c r="N22" s="119"/>
      <c r="O22" s="132"/>
      <c r="P22" s="132"/>
      <c r="Q22" s="119"/>
      <c r="R22" s="718"/>
      <c r="S22" s="718"/>
      <c r="T22" s="346"/>
      <c r="U22" s="344"/>
      <c r="V22" s="344"/>
      <c r="W22" s="344"/>
      <c r="X22" s="344"/>
      <c r="Y22" s="890" t="str">
        <f>CenAVS!A49</f>
        <v xml:space="preserve">Zaślepki HF/HL/HS - Top bez SD białe SW   </v>
      </c>
      <c r="Z22" s="890" t="str">
        <f>CenAVS!B49</f>
        <v>22.8000</v>
      </c>
      <c r="AA22" s="890" t="str">
        <f>CenAVS!C49</f>
        <v>SW</v>
      </c>
      <c r="AB22" s="665">
        <f t="shared" si="0"/>
        <v>0</v>
      </c>
      <c r="AC22" s="907">
        <f>CenAVS!F49</f>
        <v>30.106369999999998</v>
      </c>
      <c r="AD22" s="908">
        <f t="shared" si="3"/>
        <v>0</v>
      </c>
      <c r="AE22" s="903">
        <f>IF(AND($Q$16=1,$T$46=3),SUM($AE$9:$AE$14),0)</f>
        <v>0</v>
      </c>
      <c r="AF22" s="909">
        <f t="shared" si="1"/>
        <v>0</v>
      </c>
      <c r="AG22" s="903">
        <f>IF(AND($Q$27=1,$T$46=3),SUM($AG$9:$AG$14),0)</f>
        <v>0</v>
      </c>
      <c r="AH22" s="909">
        <f t="shared" si="2"/>
        <v>0</v>
      </c>
      <c r="AI22" s="344"/>
      <c r="AJ22" s="37"/>
      <c r="AK22" s="108"/>
      <c r="AL22" s="108"/>
      <c r="AM22" s="108"/>
      <c r="AN22" s="692"/>
      <c r="AO22" s="137"/>
      <c r="AP22" s="137"/>
      <c r="AQ22" s="137"/>
      <c r="AR22" s="137"/>
      <c r="AS22" s="37"/>
    </row>
    <row r="23" spans="1:54" s="122" customFormat="1" ht="16.149999999999999" customHeight="1" x14ac:dyDescent="0.2">
      <c r="A23" s="37"/>
      <c r="B23" s="1011" t="str">
        <f>ListAVS!$B$77&amp;" [kg] ** "</f>
        <v xml:space="preserve">Waga frontu wraz z uchwytem [kg] ** </v>
      </c>
      <c r="C23" s="1012"/>
      <c r="D23" s="1012"/>
      <c r="E23" s="1012"/>
      <c r="F23" s="1012"/>
      <c r="G23" s="1013"/>
      <c r="H23" s="258"/>
      <c r="I23" s="227" t="str">
        <f>IF($H28=0," ",IF(SUM($H23,$H26)=0,$N$54," "))&amp;IF(AND(SUM($R$4:$R$7)=0, T23="ano", $T24="ne",H23&gt;0),$N$58,IF(AND($H28&gt;0,$H23&gt;0, $M28&gt;0, $T24="ano"),$N$55," "))</f>
        <v xml:space="preserve">  </v>
      </c>
      <c r="J23" s="255"/>
      <c r="K23" s="255"/>
      <c r="L23" s="255"/>
      <c r="M23" s="37"/>
      <c r="N23" s="119"/>
      <c r="O23" s="132"/>
      <c r="P23" s="132"/>
      <c r="Q23" s="119"/>
      <c r="R23" s="718"/>
      <c r="S23" s="717" t="s">
        <v>79</v>
      </c>
      <c r="T23" s="928" t="str">
        <f>IF(AND(219&lt;H21,H21&lt;1801,349&lt;H22,H22&lt;801),"ano","ne")</f>
        <v>ne</v>
      </c>
      <c r="U23" s="344"/>
      <c r="V23" s="344"/>
      <c r="W23" s="344"/>
      <c r="X23" s="344"/>
      <c r="Y23" s="890" t="str">
        <f>CenAVS!A50</f>
        <v xml:space="preserve">zaślepki HF/HL/HS - Top do SD jasnoszare HGR   </v>
      </c>
      <c r="Z23" s="890" t="str">
        <f>CenAVS!B50</f>
        <v>23.8000</v>
      </c>
      <c r="AA23" s="890" t="str">
        <f>CenAVS!C50</f>
        <v>HGR</v>
      </c>
      <c r="AB23" s="665">
        <f t="shared" si="0"/>
        <v>0</v>
      </c>
      <c r="AC23" s="907">
        <f>CenAVS!F50</f>
        <v>284.41748999999999</v>
      </c>
      <c r="AD23" s="908">
        <f t="shared" si="3"/>
        <v>0</v>
      </c>
      <c r="AE23" s="903">
        <f>IF(AND($Q$16=2,$T$46=1),SUM($AE$9:$AE$14),0)</f>
        <v>0</v>
      </c>
      <c r="AF23" s="909">
        <f t="shared" si="1"/>
        <v>0</v>
      </c>
      <c r="AG23" s="903">
        <f>IF(AND($Q$27=2,$T$46=1),SUM($AG$9:$AG$14),0)</f>
        <v>0</v>
      </c>
      <c r="AH23" s="909">
        <f t="shared" si="2"/>
        <v>0</v>
      </c>
      <c r="AI23" s="344"/>
      <c r="AJ23" s="37"/>
      <c r="AK23" s="108"/>
      <c r="AL23" s="108"/>
      <c r="AM23" s="108"/>
      <c r="AN23" s="37"/>
      <c r="AO23" s="137"/>
      <c r="AP23" s="37"/>
      <c r="AQ23" s="37"/>
      <c r="AR23" s="37"/>
      <c r="AS23" s="37"/>
    </row>
    <row r="24" spans="1:54" s="122" customFormat="1" ht="16.149999999999999" customHeight="1" x14ac:dyDescent="0.2">
      <c r="A24" s="37"/>
      <c r="B24" s="1055" t="str">
        <f>ListAVS!$B$293</f>
        <v>Obliczenie wagi</v>
      </c>
      <c r="C24" s="1055"/>
      <c r="D24" s="1153" t="str">
        <f>ListAVS!$B$80&amp;" TS [mm] "</f>
        <v xml:space="preserve">Grubość frontu TS [mm] </v>
      </c>
      <c r="E24" s="1153"/>
      <c r="F24" s="1153"/>
      <c r="G24" s="1154"/>
      <c r="H24" s="432"/>
      <c r="I24" s="256"/>
      <c r="J24" s="255"/>
      <c r="K24" s="255"/>
      <c r="L24" s="255"/>
      <c r="M24" s="37"/>
      <c r="N24" s="119"/>
      <c r="O24" s="132"/>
      <c r="P24" s="132"/>
      <c r="Q24" s="119"/>
      <c r="R24" s="718"/>
      <c r="S24" s="717" t="s">
        <v>710</v>
      </c>
      <c r="T24" s="928" t="str">
        <f>IF(AND($H$22&gt;=$AC$51, $H$22&lt;=$AD$51, $P$28&gt;=$AE$51, $P$28&lt;=$AF$51), "ano", IF(AND($H$22&gt;=$AC$52, $H$22&lt;=$AD$52, $P$28&gt;=$AE$52, $P$28&lt;=$AF$52), "ano", IF(AND($H$22&gt;=$AC$53, $H$22&lt;=$AD$53, $P$28&gt;=$AE$53, $P$28&lt;=$AF$53), "ano", IF(AND($H$22&gt;=$AC$54, $H$22&lt;=$AD$54, $P$28&gt;=$AE$54, $P$28&lt;=$AF$54), "ano", "ne"))))</f>
        <v>ne</v>
      </c>
      <c r="U24" s="344"/>
      <c r="V24" s="344"/>
      <c r="W24" s="344"/>
      <c r="X24" s="344"/>
      <c r="Y24" s="890" t="str">
        <f>CenAVS!A51</f>
        <v xml:space="preserve">Zaślepki HF/HL/HS - Top do SD ciemnoszare TGR   </v>
      </c>
      <c r="Z24" s="890" t="str">
        <f>CenAVS!B51</f>
        <v>23.8000</v>
      </c>
      <c r="AA24" s="890" t="str">
        <f>CenAVS!C51</f>
        <v>TGR</v>
      </c>
      <c r="AB24" s="665">
        <f t="shared" si="0"/>
        <v>0</v>
      </c>
      <c r="AC24" s="907">
        <f>CenAVS!F51</f>
        <v>295.60313000000002</v>
      </c>
      <c r="AD24" s="908">
        <f t="shared" si="3"/>
        <v>0</v>
      </c>
      <c r="AE24" s="901">
        <f>IF(AND($Q$16=2,$T$46=2),SUM($AE$9:$AE$14),0)</f>
        <v>0</v>
      </c>
      <c r="AF24" s="909">
        <f t="shared" si="1"/>
        <v>0</v>
      </c>
      <c r="AG24" s="901">
        <f>IF(AND($Q$27=2,$T$46=2),SUM($AG$9:$AG$14),0)</f>
        <v>0</v>
      </c>
      <c r="AH24" s="909">
        <f t="shared" si="2"/>
        <v>0</v>
      </c>
      <c r="AI24" s="344"/>
      <c r="AJ24" s="37"/>
      <c r="AK24" s="108"/>
      <c r="AL24" s="108"/>
      <c r="AM24" s="108"/>
      <c r="AN24" s="137"/>
      <c r="AO24" s="37"/>
      <c r="AP24" s="137"/>
      <c r="AQ24" s="137"/>
      <c r="AR24" s="137"/>
      <c r="AS24" s="137"/>
      <c r="AV24" s="121"/>
    </row>
    <row r="25" spans="1:54" s="122" customFormat="1" ht="16.149999999999999" customHeight="1" x14ac:dyDescent="0.2">
      <c r="A25" s="37"/>
      <c r="B25" s="1055"/>
      <c r="C25" s="1055"/>
      <c r="D25" s="1053" t="str">
        <f>ListAVS!$B$83&amp;" [kg] "</f>
        <v xml:space="preserve">Waga uchwytu [kg] </v>
      </c>
      <c r="E25" s="1053"/>
      <c r="F25" s="1053"/>
      <c r="G25" s="1054"/>
      <c r="H25" s="258"/>
      <c r="I25" s="256" t="str">
        <f>IF(H28=0, " ", IF(AND(H23=0, Q27=1, H25=0), " ● "&amp;ListAVS!$B$130," "))</f>
        <v xml:space="preserve"> </v>
      </c>
      <c r="J25" s="255"/>
      <c r="K25" s="255"/>
      <c r="L25" s="255"/>
      <c r="M25" s="37"/>
      <c r="N25" s="119"/>
      <c r="O25" s="132"/>
      <c r="P25" s="132"/>
      <c r="Q25" s="119"/>
      <c r="R25" s="718"/>
      <c r="S25" s="717"/>
      <c r="T25" s="346"/>
      <c r="U25" s="344"/>
      <c r="V25" s="344"/>
      <c r="W25" s="344"/>
      <c r="X25" s="344"/>
      <c r="Y25" s="890" t="str">
        <f>CenAVS!A52</f>
        <v xml:space="preserve">Zaślepki HF/HL/HS - Top do SD białe SW   </v>
      </c>
      <c r="Z25" s="890" t="str">
        <f>CenAVS!B52</f>
        <v>23.8000</v>
      </c>
      <c r="AA25" s="890" t="str">
        <f>CenAVS!C52</f>
        <v>SW</v>
      </c>
      <c r="AB25" s="665">
        <f t="shared" si="0"/>
        <v>0</v>
      </c>
      <c r="AC25" s="907">
        <f>CenAVS!F52</f>
        <v>295.60313000000002</v>
      </c>
      <c r="AD25" s="908">
        <f t="shared" si="3"/>
        <v>0</v>
      </c>
      <c r="AE25" s="901">
        <f>IF(AND($Q$16=2,$T$46=3),SUM($AE$9:$AE$14),0)</f>
        <v>0</v>
      </c>
      <c r="AF25" s="909">
        <f t="shared" si="1"/>
        <v>0</v>
      </c>
      <c r="AG25" s="901">
        <f>IF(AND($Q$27=2,$T$46=3),SUM($AG$9:$AG$14),0)</f>
        <v>0</v>
      </c>
      <c r="AH25" s="909">
        <f t="shared" si="2"/>
        <v>0</v>
      </c>
      <c r="AI25" s="344"/>
      <c r="AJ25" s="37"/>
      <c r="AK25" s="108"/>
      <c r="AL25" s="108"/>
      <c r="AM25" s="108"/>
      <c r="AN25" s="137"/>
      <c r="AO25" s="137"/>
      <c r="AP25" s="137"/>
      <c r="AQ25" s="137"/>
      <c r="AR25" s="137"/>
      <c r="AS25" s="137"/>
      <c r="AV25" s="121"/>
      <c r="AW25" s="121"/>
      <c r="AX25" s="121"/>
      <c r="AY25" s="121"/>
      <c r="AZ25" s="121"/>
      <c r="BA25" s="121"/>
      <c r="BB25" s="121"/>
    </row>
    <row r="26" spans="1:54" s="122" customFormat="1" ht="16.149999999999999" customHeight="1" x14ac:dyDescent="0.2">
      <c r="A26" s="37"/>
      <c r="B26" s="1055"/>
      <c r="C26" s="1055"/>
      <c r="D26" s="1053" t="str">
        <f>ListAVS!$B$79&amp;" [kg] "</f>
        <v xml:space="preserve">Obliczona waga frontu [kg] </v>
      </c>
      <c r="E26" s="1053"/>
      <c r="F26" s="1053"/>
      <c r="G26" s="1054"/>
      <c r="H26" s="259">
        <f>$T$101</f>
        <v>0</v>
      </c>
      <c r="I26" s="227" t="str">
        <f>IF(AND($H28&gt;0,$H26&gt;0,$H23=0,$M28&gt;0), $N$41," ")&amp;IF(AND(H28&gt;0, H23=0, Z98=3, $J$4=0), $N$39, " ")</f>
        <v xml:space="preserve">  </v>
      </c>
      <c r="J26" s="255"/>
      <c r="K26" s="255"/>
      <c r="L26" s="255"/>
      <c r="M26" s="37"/>
      <c r="N26" s="37"/>
      <c r="O26" s="718"/>
      <c r="P26" s="132" t="s">
        <v>80</v>
      </c>
      <c r="Q26" s="119"/>
      <c r="R26" s="718"/>
      <c r="S26" s="37"/>
      <c r="T26" s="346"/>
      <c r="U26" s="344"/>
      <c r="V26" s="344"/>
      <c r="W26" s="344"/>
      <c r="X26" s="344"/>
      <c r="Y26" s="890"/>
      <c r="Z26" s="890"/>
      <c r="AA26" s="890"/>
      <c r="AB26" s="665"/>
      <c r="AC26" s="907"/>
      <c r="AD26" s="908"/>
      <c r="AE26" s="903"/>
      <c r="AF26" s="909"/>
      <c r="AG26" s="903"/>
      <c r="AH26" s="909"/>
      <c r="AI26" s="344"/>
      <c r="AJ26" s="37"/>
      <c r="AK26" s="108"/>
      <c r="AL26" s="108"/>
      <c r="AM26" s="108"/>
      <c r="AN26" s="108"/>
      <c r="AO26" s="137"/>
      <c r="AP26" s="137"/>
      <c r="AQ26" s="137"/>
      <c r="AR26" s="137"/>
      <c r="AS26" s="137"/>
      <c r="AV26" s="121"/>
      <c r="AW26" s="121"/>
      <c r="AX26" s="121"/>
      <c r="AY26" s="121"/>
      <c r="AZ26" s="121"/>
      <c r="BA26" s="121"/>
      <c r="BB26" s="121"/>
    </row>
    <row r="27" spans="1:54" s="122" customFormat="1" ht="16.149999999999999" customHeight="1" thickBot="1" x14ac:dyDescent="0.25">
      <c r="A27" s="37"/>
      <c r="B27" s="1011"/>
      <c r="C27" s="1012"/>
      <c r="D27" s="1012"/>
      <c r="E27" s="1012"/>
      <c r="F27" s="1012"/>
      <c r="G27" s="1013"/>
      <c r="H27" s="432"/>
      <c r="I27" s="256" t="str">
        <f>IF(AND(H27&gt;0, Q27=2), $N$53, " ")</f>
        <v xml:space="preserve"> </v>
      </c>
      <c r="J27" s="255"/>
      <c r="K27" s="248"/>
      <c r="L27" s="255"/>
      <c r="M27" s="118"/>
      <c r="N27" s="37"/>
      <c r="O27" s="1141" t="b">
        <v>0</v>
      </c>
      <c r="P27" s="1142"/>
      <c r="Q27" s="131">
        <v>1</v>
      </c>
      <c r="R27" s="718"/>
      <c r="S27" s="37"/>
      <c r="T27" s="346"/>
      <c r="U27" s="344"/>
      <c r="V27" s="344"/>
      <c r="W27" s="344"/>
      <c r="X27" s="344"/>
      <c r="Y27" s="890"/>
      <c r="Z27" s="890"/>
      <c r="AA27" s="890"/>
      <c r="AB27" s="665"/>
      <c r="AC27" s="907"/>
      <c r="AD27" s="908"/>
      <c r="AE27" s="901"/>
      <c r="AF27" s="909"/>
      <c r="AG27" s="901"/>
      <c r="AH27" s="909"/>
      <c r="AI27" s="344"/>
      <c r="AJ27" s="37"/>
      <c r="AK27" s="108"/>
      <c r="AL27" s="108"/>
      <c r="AM27" s="108"/>
      <c r="AN27" s="693"/>
      <c r="AO27" s="137"/>
      <c r="AP27" s="137"/>
      <c r="AQ27" s="137"/>
      <c r="AR27" s="137"/>
      <c r="AS27" s="137"/>
      <c r="AV27" s="121"/>
      <c r="AW27" s="121"/>
      <c r="AX27" s="121"/>
      <c r="AY27" s="121"/>
      <c r="AZ27" s="121"/>
      <c r="BA27" s="121"/>
      <c r="BB27" s="121"/>
    </row>
    <row r="28" spans="1:54" s="122" customFormat="1" ht="16.149999999999999" customHeight="1" thickBot="1" x14ac:dyDescent="0.25">
      <c r="A28" s="37"/>
      <c r="B28" s="1155" t="str">
        <f>ListAVS!$B$71</f>
        <v>Ilość szafek</v>
      </c>
      <c r="C28" s="1156"/>
      <c r="D28" s="1156"/>
      <c r="E28" s="1156"/>
      <c r="F28" s="1156"/>
      <c r="G28" s="1156"/>
      <c r="H28" s="261"/>
      <c r="I28" s="273"/>
      <c r="J28" s="264"/>
      <c r="K28" s="396"/>
      <c r="L28" s="265"/>
      <c r="M28" s="315">
        <f>IF($H21*$H22*$P28=0,0,IF(SUM(R4:R7)=0,0,IF($H21&gt;1800,0, IF($H21&lt;220, 0, $H28))))</f>
        <v>0</v>
      </c>
      <c r="N28" s="37"/>
      <c r="O28" s="690" t="s">
        <v>51</v>
      </c>
      <c r="P28" s="691">
        <f>IF(H23&gt;0,H23,H26)</f>
        <v>0</v>
      </c>
      <c r="Q28" s="37">
        <f>IF(SUM(H23,H26)=0,0,IF(H23&gt;0,1,2))</f>
        <v>0</v>
      </c>
      <c r="R28" s="571" t="s">
        <v>52</v>
      </c>
      <c r="S28" s="37"/>
      <c r="T28" s="345"/>
      <c r="U28" s="344"/>
      <c r="V28" s="344"/>
      <c r="W28" s="344"/>
      <c r="X28" s="344"/>
      <c r="Y28" s="890"/>
      <c r="Z28" s="890"/>
      <c r="AA28" s="890"/>
      <c r="AB28" s="665"/>
      <c r="AC28" s="907"/>
      <c r="AD28" s="908"/>
      <c r="AE28" s="901"/>
      <c r="AF28" s="909"/>
      <c r="AG28" s="901"/>
      <c r="AH28" s="909"/>
      <c r="AI28" s="344"/>
      <c r="AJ28" s="37"/>
      <c r="AK28" s="108"/>
      <c r="AL28" s="108"/>
      <c r="AM28" s="108"/>
      <c r="AN28" s="693"/>
      <c r="AO28" s="137"/>
      <c r="AP28" s="137"/>
      <c r="AQ28" s="137"/>
      <c r="AR28" s="137"/>
      <c r="AS28" s="137"/>
      <c r="AV28" s="121"/>
      <c r="AW28" s="121"/>
      <c r="AX28" s="121"/>
      <c r="AY28" s="121"/>
      <c r="AZ28" s="121"/>
      <c r="BA28" s="121"/>
      <c r="BB28" s="121"/>
    </row>
    <row r="29" spans="1:54" ht="16.149999999999999" customHeight="1" x14ac:dyDescent="0.2">
      <c r="B29" s="255" t="str">
        <f>IF(H28&gt;0,IF(OR(Q28=0,M28=0), " ",IF(Q28=1,$N$67,$N$68))," ")&amp;IF(H28&gt;0,IF(OR(Q28=0, M28=0), " ",IF(Q28=1,$N$69,$N$70))," ")</f>
        <v xml:space="preserve">  </v>
      </c>
      <c r="C29" s="255"/>
      <c r="D29" s="255"/>
      <c r="E29" s="255"/>
      <c r="F29" s="255"/>
      <c r="G29" s="255"/>
      <c r="H29" s="273"/>
      <c r="I29" s="273"/>
      <c r="J29" s="266"/>
      <c r="K29" s="266"/>
      <c r="L29" s="266"/>
      <c r="N29" s="137"/>
      <c r="O29" s="137"/>
      <c r="P29" s="137"/>
      <c r="Q29" s="137"/>
      <c r="T29" s="346"/>
      <c r="U29" s="344"/>
      <c r="V29" s="344"/>
      <c r="W29" s="344"/>
      <c r="X29" s="344"/>
      <c r="Y29" s="890" t="str">
        <f>CenAVS!A78</f>
        <v xml:space="preserve">mocowanie frontu do HK Top, HS/Top, HL/Top    </v>
      </c>
      <c r="Z29" s="890" t="str">
        <f>CenAVS!B78</f>
        <v>20S4200</v>
      </c>
      <c r="AA29" s="890" t="str">
        <f>CenAVS!C78</f>
        <v>NI</v>
      </c>
      <c r="AB29" s="665">
        <f t="shared" si="0"/>
        <v>0</v>
      </c>
      <c r="AC29" s="907">
        <f>CenAVS!F78</f>
        <v>9.9925899999999999</v>
      </c>
      <c r="AD29" s="908">
        <f t="shared" si="3"/>
        <v>0</v>
      </c>
      <c r="AE29" s="901">
        <f>SUM(AE$16:AE$17)</f>
        <v>0</v>
      </c>
      <c r="AF29" s="909">
        <f t="shared" ref="AF29:AF38" si="4">$AC29*AE29</f>
        <v>0</v>
      </c>
      <c r="AG29" s="901">
        <f>SUM(AG$16:AG$17)</f>
        <v>0</v>
      </c>
      <c r="AH29" s="909">
        <f t="shared" si="2"/>
        <v>0</v>
      </c>
      <c r="AI29" s="344"/>
      <c r="AK29" s="108"/>
      <c r="AL29" s="108"/>
      <c r="AM29" s="108"/>
      <c r="AN29" s="693"/>
      <c r="AO29" s="137"/>
      <c r="AP29" s="137"/>
      <c r="AQ29" s="137"/>
      <c r="AR29" s="137"/>
      <c r="AS29" s="137"/>
      <c r="AT29" s="122"/>
      <c r="AU29" s="122"/>
    </row>
    <row r="30" spans="1:54" ht="16.149999999999999" customHeight="1" x14ac:dyDescent="0.2">
      <c r="A30" s="137"/>
      <c r="B30" s="396"/>
      <c r="C30" s="248"/>
      <c r="D30" s="396"/>
      <c r="E30" s="396"/>
      <c r="F30" s="274"/>
      <c r="G30" s="274"/>
      <c r="H30" s="396"/>
      <c r="I30" s="264"/>
      <c r="J30" s="264"/>
      <c r="K30" s="396"/>
      <c r="L30" s="265"/>
      <c r="N30" s="137"/>
      <c r="O30" s="137"/>
      <c r="P30" s="137"/>
      <c r="Q30" s="137"/>
      <c r="T30" s="346"/>
      <c r="U30" s="344"/>
      <c r="V30" s="344"/>
      <c r="W30" s="344"/>
      <c r="X30" s="344"/>
      <c r="Y30" s="890" t="str">
        <f>CenAVS!A79</f>
        <v xml:space="preserve">mocowanie frontu HS, HK top, HL Expando    </v>
      </c>
      <c r="Z30" s="890" t="str">
        <f>CenAVS!B79</f>
        <v>20S42E1</v>
      </c>
      <c r="AA30" s="890" t="str">
        <f>CenAVS!C79</f>
        <v>NI</v>
      </c>
      <c r="AB30" s="665">
        <f t="shared" si="0"/>
        <v>0</v>
      </c>
      <c r="AC30" s="907">
        <f>CenAVS!F79</f>
        <v>6.2138699999999991</v>
      </c>
      <c r="AD30" s="908">
        <f t="shared" si="3"/>
        <v>0</v>
      </c>
      <c r="AE30" s="901"/>
      <c r="AF30" s="909">
        <f t="shared" si="4"/>
        <v>0</v>
      </c>
      <c r="AG30" s="901"/>
      <c r="AH30" s="909">
        <f t="shared" si="2"/>
        <v>0</v>
      </c>
      <c r="AI30" s="344"/>
      <c r="AK30" s="108"/>
      <c r="AL30" s="108"/>
      <c r="AM30" s="108"/>
      <c r="AN30" s="108"/>
      <c r="AO30" s="137"/>
      <c r="AP30" s="137"/>
      <c r="AQ30" s="137"/>
      <c r="AR30" s="137"/>
      <c r="AS30" s="137"/>
      <c r="AT30" s="122"/>
      <c r="AU30" s="122"/>
    </row>
    <row r="31" spans="1:54" ht="16.149999999999999" customHeight="1" x14ac:dyDescent="0.2">
      <c r="B31" s="1109" t="str">
        <f>IF(OR(AND($Q$16=2, $M$17&gt;0), AND($Q$27=2, $M$28&gt;0)), ListAVS!$B$176, " ")</f>
        <v xml:space="preserve"> </v>
      </c>
      <c r="C31" s="1109"/>
      <c r="D31" s="1109"/>
      <c r="E31" s="1109"/>
      <c r="F31" s="1109"/>
      <c r="G31" s="1109"/>
      <c r="H31" s="1109"/>
      <c r="I31" s="1109"/>
      <c r="J31" s="1109"/>
      <c r="K31" s="397"/>
      <c r="L31" s="397"/>
      <c r="O31" s="138">
        <f>IF($P$31=FALSE,2,1)</f>
        <v>2</v>
      </c>
      <c r="P31" s="1063" t="b">
        <v>0</v>
      </c>
      <c r="Q31" s="1064"/>
      <c r="R31" s="139" t="s">
        <v>56</v>
      </c>
      <c r="S31" s="140"/>
      <c r="T31" s="346"/>
      <c r="U31" s="344"/>
      <c r="V31" s="344"/>
      <c r="W31" s="344"/>
      <c r="X31" s="344"/>
      <c r="Y31" s="890" t="str">
        <f>CenAVS!A80</f>
        <v>mocow. frontu do cienkich materiałów Aventos HK, HL, HS, Expando T</v>
      </c>
      <c r="Z31" s="890" t="str">
        <f>CenAVS!B80</f>
        <v>20S42T1</v>
      </c>
      <c r="AA31" s="890" t="str">
        <f>CenAVS!C80</f>
        <v>NI</v>
      </c>
      <c r="AB31" s="665">
        <f t="shared" si="0"/>
        <v>0</v>
      </c>
      <c r="AC31" s="907">
        <f>CenAVS!F80</f>
        <v>31.992830000000005</v>
      </c>
      <c r="AD31" s="908">
        <f t="shared" si="3"/>
        <v>0</v>
      </c>
      <c r="AE31" s="901"/>
      <c r="AF31" s="909">
        <f t="shared" si="4"/>
        <v>0</v>
      </c>
      <c r="AG31" s="901"/>
      <c r="AH31" s="909">
        <f t="shared" si="2"/>
        <v>0</v>
      </c>
      <c r="AK31" s="108"/>
      <c r="AL31" s="108"/>
      <c r="AM31" s="108"/>
      <c r="AN31" s="710"/>
      <c r="AO31" s="137"/>
      <c r="AP31" s="137"/>
      <c r="AQ31" s="137"/>
      <c r="AR31" s="137"/>
      <c r="AS31" s="137"/>
      <c r="AT31" s="122"/>
      <c r="AU31" s="122"/>
    </row>
    <row r="32" spans="1:54" ht="13.5" customHeight="1" x14ac:dyDescent="0.2">
      <c r="B32" s="1109"/>
      <c r="C32" s="1109"/>
      <c r="D32" s="1109"/>
      <c r="E32" s="1109"/>
      <c r="F32" s="1109"/>
      <c r="G32" s="1109"/>
      <c r="H32" s="1109"/>
      <c r="I32" s="1109"/>
      <c r="J32" s="1109"/>
      <c r="K32" s="397"/>
      <c r="L32" s="397"/>
      <c r="T32" s="346"/>
      <c r="U32" s="344"/>
      <c r="V32" s="344"/>
      <c r="W32" s="344"/>
      <c r="X32" s="344"/>
      <c r="Y32" s="890" t="str">
        <f>CenAVS!A81</f>
        <v xml:space="preserve">mocowanie frontu alu HK Top, HS/Top, HL/Top    </v>
      </c>
      <c r="Z32" s="890" t="str">
        <f>CenAVS!B81</f>
        <v>20S4200A</v>
      </c>
      <c r="AA32" s="890" t="str">
        <f>CenAVS!C81</f>
        <v>NI</v>
      </c>
      <c r="AB32" s="665">
        <f t="shared" si="0"/>
        <v>0</v>
      </c>
      <c r="AC32" s="907">
        <f>CenAVS!F81</f>
        <v>43.392219999999995</v>
      </c>
      <c r="AD32" s="908">
        <f t="shared" si="3"/>
        <v>0</v>
      </c>
      <c r="AE32" s="901"/>
      <c r="AF32" s="909">
        <f t="shared" si="4"/>
        <v>0</v>
      </c>
      <c r="AG32" s="901"/>
      <c r="AH32" s="909">
        <f t="shared" si="2"/>
        <v>0</v>
      </c>
      <c r="AK32" s="108"/>
      <c r="AL32" s="108"/>
      <c r="AM32" s="108"/>
      <c r="AN32" s="108"/>
      <c r="AO32" s="137"/>
      <c r="AP32" s="137"/>
      <c r="AQ32" s="137"/>
      <c r="AR32" s="137"/>
      <c r="AS32" s="137"/>
      <c r="AT32" s="122"/>
      <c r="AU32" s="122"/>
    </row>
    <row r="33" spans="2:54" ht="13.5" customHeight="1" x14ac:dyDescent="0.2">
      <c r="B33" s="1109"/>
      <c r="C33" s="1109"/>
      <c r="D33" s="1109"/>
      <c r="E33" s="1109"/>
      <c r="F33" s="1109"/>
      <c r="G33" s="1109"/>
      <c r="H33" s="1109"/>
      <c r="I33" s="1109"/>
      <c r="J33" s="1109"/>
      <c r="K33" s="266"/>
      <c r="L33" s="255"/>
      <c r="T33" s="346"/>
      <c r="U33" s="344"/>
      <c r="V33" s="344"/>
      <c r="W33" s="344"/>
      <c r="X33" s="344"/>
      <c r="Y33" s="890" t="str">
        <f>CenAVS!A82</f>
        <v xml:space="preserve">          </v>
      </c>
      <c r="Z33" s="890">
        <f>CenAVS!B82</f>
        <v>0</v>
      </c>
      <c r="AA33" s="890">
        <f>CenAVS!C82</f>
        <v>0</v>
      </c>
      <c r="AB33" s="665">
        <f t="shared" si="0"/>
        <v>0</v>
      </c>
      <c r="AC33" s="907">
        <f>CenAVS!F82</f>
        <v>0</v>
      </c>
      <c r="AD33" s="908">
        <f t="shared" si="3"/>
        <v>0</v>
      </c>
      <c r="AE33" s="901"/>
      <c r="AF33" s="909">
        <f t="shared" si="4"/>
        <v>0</v>
      </c>
      <c r="AG33" s="901"/>
      <c r="AH33" s="909">
        <f t="shared" si="2"/>
        <v>0</v>
      </c>
      <c r="AK33" s="108"/>
      <c r="AL33" s="108"/>
      <c r="AM33" s="108"/>
      <c r="AN33" s="108"/>
      <c r="AO33" s="137"/>
      <c r="AP33" s="137"/>
      <c r="AQ33" s="137"/>
      <c r="AR33" s="137"/>
      <c r="AS33" s="137"/>
      <c r="AT33" s="122"/>
      <c r="AU33" s="122"/>
    </row>
    <row r="34" spans="2:54" ht="13.5" customHeight="1" x14ac:dyDescent="0.2">
      <c r="B34" s="272"/>
      <c r="C34" s="255"/>
      <c r="D34" s="266"/>
      <c r="E34" s="266"/>
      <c r="F34" s="266"/>
      <c r="G34" s="266"/>
      <c r="H34" s="266"/>
      <c r="I34" s="255"/>
      <c r="J34" s="266"/>
      <c r="K34" s="266"/>
      <c r="L34" s="255"/>
      <c r="U34" s="344"/>
      <c r="V34" s="344"/>
      <c r="W34" s="344"/>
      <c r="X34" s="344"/>
      <c r="Y34" s="890"/>
      <c r="Z34" s="890"/>
      <c r="AA34" s="890"/>
      <c r="AB34" s="665"/>
      <c r="AC34" s="907"/>
      <c r="AD34" s="908"/>
      <c r="AE34" s="901"/>
      <c r="AF34" s="909">
        <f t="shared" si="4"/>
        <v>0</v>
      </c>
      <c r="AG34" s="901"/>
      <c r="AH34" s="909">
        <f t="shared" si="2"/>
        <v>0</v>
      </c>
      <c r="AI34" s="344"/>
      <c r="AK34" s="108"/>
      <c r="AL34" s="37"/>
      <c r="AM34" s="108"/>
      <c r="AN34" s="108"/>
      <c r="AO34" s="137"/>
      <c r="AP34" s="137"/>
      <c r="AQ34" s="137"/>
      <c r="AR34" s="137"/>
      <c r="AS34" s="137"/>
      <c r="AT34" s="122"/>
      <c r="AU34" s="122"/>
    </row>
    <row r="35" spans="2:54" ht="13.5" customHeight="1" x14ac:dyDescent="0.2">
      <c r="B35" s="272"/>
      <c r="C35" s="273"/>
      <c r="D35" s="266"/>
      <c r="E35" s="266"/>
      <c r="F35" s="266"/>
      <c r="G35" s="266"/>
      <c r="H35" s="266"/>
      <c r="I35" s="255"/>
      <c r="J35" s="266"/>
      <c r="K35" s="266"/>
      <c r="L35" s="255"/>
      <c r="N35" s="37" t="str">
        <f>ListAVS!B177</f>
        <v>Cena bez zasilacza!</v>
      </c>
      <c r="Y35" s="890"/>
      <c r="Z35" s="890"/>
      <c r="AA35" s="890"/>
      <c r="AB35" s="665"/>
      <c r="AC35" s="907"/>
      <c r="AD35" s="908"/>
      <c r="AE35" s="903"/>
      <c r="AF35" s="909">
        <f t="shared" si="4"/>
        <v>0</v>
      </c>
      <c r="AG35" s="903"/>
      <c r="AH35" s="909">
        <f t="shared" si="2"/>
        <v>0</v>
      </c>
      <c r="AI35" s="344"/>
      <c r="AK35" s="108"/>
      <c r="AL35" s="37"/>
      <c r="AM35" s="108"/>
      <c r="AN35" s="108"/>
      <c r="AO35" s="137"/>
      <c r="AP35" s="137"/>
      <c r="AQ35" s="137"/>
      <c r="AR35" s="137"/>
      <c r="AS35" s="137"/>
      <c r="AT35" s="122"/>
      <c r="AU35" s="122"/>
    </row>
    <row r="36" spans="2:54" ht="13.5" customHeight="1" x14ac:dyDescent="0.2">
      <c r="B36" s="272"/>
      <c r="C36" s="255"/>
      <c r="D36" s="266"/>
      <c r="E36" s="266"/>
      <c r="F36" s="266"/>
      <c r="G36" s="266"/>
      <c r="H36" s="266"/>
      <c r="I36" s="255"/>
      <c r="J36" s="266"/>
      <c r="K36" s="266"/>
      <c r="L36" s="255"/>
      <c r="Y36" s="890"/>
      <c r="Z36" s="890"/>
      <c r="AA36" s="890"/>
      <c r="AB36" s="665"/>
      <c r="AC36" s="907"/>
      <c r="AD36" s="908"/>
      <c r="AE36" s="903"/>
      <c r="AF36" s="909">
        <f t="shared" si="4"/>
        <v>0</v>
      </c>
      <c r="AG36" s="903"/>
      <c r="AH36" s="909">
        <f t="shared" si="2"/>
        <v>0</v>
      </c>
      <c r="AI36" s="344"/>
      <c r="AK36" s="108"/>
      <c r="AL36" s="37"/>
      <c r="AM36" s="108"/>
      <c r="AN36" s="108"/>
      <c r="AO36" s="137"/>
      <c r="AP36" s="137"/>
      <c r="AQ36" s="137"/>
      <c r="AR36" s="137"/>
      <c r="AS36" s="137"/>
      <c r="AT36" s="122"/>
      <c r="AU36" s="122"/>
    </row>
    <row r="37" spans="2:54" ht="13.5" customHeight="1" x14ac:dyDescent="0.2">
      <c r="B37" s="274"/>
      <c r="C37" s="275" t="str">
        <f>"* "&amp;ListAVS!$B$234</f>
        <v>* Podaj liczbę ścianek środkowych w korpusie.</v>
      </c>
      <c r="D37" s="276"/>
      <c r="E37" s="276"/>
      <c r="F37" s="276"/>
      <c r="G37" s="276"/>
      <c r="H37" s="276"/>
      <c r="I37" s="276"/>
      <c r="J37" s="276"/>
      <c r="K37" s="276"/>
      <c r="L37" s="276"/>
      <c r="N37" s="37" t="str">
        <f>" "&amp;ListAVS!$B$116</f>
        <v xml:space="preserve"> Wprowadź wagę lub wypełnij wszystkie komórki</v>
      </c>
      <c r="T37" s="344"/>
      <c r="Y37" s="890"/>
      <c r="Z37" s="890"/>
      <c r="AA37" s="890"/>
      <c r="AB37" s="665"/>
      <c r="AC37" s="907"/>
      <c r="AD37" s="908"/>
      <c r="AE37" s="903"/>
      <c r="AF37" s="909">
        <f t="shared" si="4"/>
        <v>0</v>
      </c>
      <c r="AG37" s="903"/>
      <c r="AH37" s="909">
        <f t="shared" si="2"/>
        <v>0</v>
      </c>
      <c r="AI37" s="344"/>
      <c r="AK37" s="108"/>
      <c r="AL37" s="37"/>
      <c r="AM37" s="108"/>
      <c r="AN37" s="108"/>
      <c r="AO37" s="137"/>
      <c r="AP37" s="137"/>
      <c r="AQ37" s="137"/>
      <c r="AR37" s="137"/>
      <c r="AS37" s="137"/>
      <c r="AT37" s="122"/>
      <c r="AU37" s="122"/>
    </row>
    <row r="38" spans="2:54" ht="13.5" customHeight="1" x14ac:dyDescent="0.2">
      <c r="B38" s="255"/>
      <c r="C38" s="255" t="str">
        <f>"** "&amp;ListAVS!$B$187</f>
        <v>** Jeżeli znasz wagę i nie chcesz skorzystać z "obliczenie wagi"</v>
      </c>
      <c r="D38" s="276"/>
      <c r="E38" s="276"/>
      <c r="F38" s="276"/>
      <c r="G38" s="276"/>
      <c r="H38" s="276"/>
      <c r="I38" s="276"/>
      <c r="J38" s="276"/>
      <c r="K38" s="276"/>
      <c r="L38" s="276"/>
      <c r="N38" s="37" t="str">
        <f>" "&amp;ListAVS!$B$117</f>
        <v xml:space="preserve"> Wprowadź wagę lub wypełnij na górze grubość szkła</v>
      </c>
      <c r="T38" s="317"/>
      <c r="U38" s="344"/>
      <c r="V38" s="344"/>
      <c r="W38" s="344"/>
      <c r="X38" s="344"/>
      <c r="Y38" s="890"/>
      <c r="Z38" s="890"/>
      <c r="AA38" s="890"/>
      <c r="AB38" s="665"/>
      <c r="AC38" s="907"/>
      <c r="AD38" s="908"/>
      <c r="AE38" s="903"/>
      <c r="AF38" s="909">
        <f t="shared" si="4"/>
        <v>0</v>
      </c>
      <c r="AG38" s="903"/>
      <c r="AH38" s="909">
        <f t="shared" si="2"/>
        <v>0</v>
      </c>
      <c r="AI38" s="344"/>
      <c r="AK38" s="108"/>
      <c r="AL38" s="37"/>
      <c r="AM38" s="108"/>
      <c r="AN38" s="108"/>
      <c r="AO38" s="137"/>
      <c r="AP38" s="37"/>
      <c r="AQ38" s="37"/>
      <c r="AR38" s="37"/>
      <c r="AS38" s="37"/>
      <c r="AT38" s="37"/>
      <c r="AU38" s="37"/>
      <c r="AV38" s="37"/>
    </row>
    <row r="39" spans="2:54" ht="13.5" customHeight="1" x14ac:dyDescent="0.2">
      <c r="B39" s="255"/>
      <c r="C39" s="273" t="str">
        <f>"*** "&amp;ListAVS!$B$403</f>
        <v>*** Wybierz rodzaj ramki aluminiowej!</v>
      </c>
      <c r="D39" s="266"/>
      <c r="E39" s="266"/>
      <c r="F39" s="266"/>
      <c r="G39" s="266"/>
      <c r="H39" s="276"/>
      <c r="I39" s="276"/>
      <c r="J39" s="276"/>
      <c r="K39" s="276"/>
      <c r="L39" s="255"/>
      <c r="N39" s="37" t="str">
        <f>" "&amp;ListAVS!$B$118</f>
        <v xml:space="preserve"> Wprowadź na górze masę objętościową </v>
      </c>
      <c r="T39" s="344"/>
      <c r="U39" s="317"/>
      <c r="V39" s="317"/>
      <c r="W39" s="317"/>
      <c r="X39" s="317"/>
      <c r="Y39" s="890"/>
      <c r="Z39" s="890"/>
      <c r="AA39" s="890"/>
      <c r="AB39" s="665"/>
      <c r="AC39" s="907"/>
      <c r="AD39" s="908"/>
      <c r="AE39" s="903"/>
      <c r="AF39" s="909"/>
      <c r="AG39" s="903"/>
      <c r="AH39" s="909"/>
      <c r="AI39" s="344"/>
      <c r="AK39" s="108"/>
      <c r="AL39" s="37"/>
      <c r="AM39" s="108"/>
      <c r="AN39" s="108"/>
      <c r="AO39" s="37"/>
      <c r="AP39" s="37"/>
      <c r="AQ39" s="37"/>
      <c r="AR39" s="37"/>
      <c r="AS39" s="37"/>
      <c r="AT39" s="37"/>
      <c r="AU39" s="37"/>
      <c r="AV39" s="37"/>
      <c r="AW39" s="37"/>
      <c r="AX39" s="37"/>
      <c r="AY39" s="37"/>
      <c r="AZ39" s="37"/>
      <c r="BA39" s="37"/>
      <c r="BB39" s="37"/>
    </row>
    <row r="40" spans="2:54" ht="13.5" customHeight="1" x14ac:dyDescent="0.2">
      <c r="B40" s="274"/>
      <c r="C40" s="670" t="str">
        <f>"      "&amp;ListAVS!$B$404</f>
        <v xml:space="preserve">      Więcej informacji o wyborze ramki aluminiowej w Pomocy</v>
      </c>
      <c r="D40" s="255"/>
      <c r="E40" s="255"/>
      <c r="F40" s="255"/>
      <c r="G40" s="255"/>
      <c r="H40" s="276"/>
      <c r="I40" s="276"/>
      <c r="J40" s="276"/>
      <c r="K40" s="276"/>
      <c r="L40" s="255"/>
      <c r="T40" s="344"/>
      <c r="U40" s="344"/>
      <c r="V40" s="344"/>
      <c r="W40" s="344"/>
      <c r="X40" s="344"/>
      <c r="Y40" s="890"/>
      <c r="Z40" s="890"/>
      <c r="AA40" s="890"/>
      <c r="AB40" s="665"/>
      <c r="AC40" s="907"/>
      <c r="AD40" s="908"/>
      <c r="AE40" s="903"/>
      <c r="AF40" s="909">
        <f>$AC40*AE40</f>
        <v>0</v>
      </c>
      <c r="AG40" s="903"/>
      <c r="AH40" s="909">
        <f>$AC40*AG40</f>
        <v>0</v>
      </c>
      <c r="AI40" s="344"/>
      <c r="AK40" s="108"/>
      <c r="AL40" s="149"/>
      <c r="AM40" s="108"/>
      <c r="AN40" s="108"/>
      <c r="AO40" s="37"/>
      <c r="AP40" s="37"/>
      <c r="AQ40" s="37"/>
      <c r="AR40" s="37"/>
      <c r="AS40" s="37"/>
      <c r="AT40" s="37"/>
      <c r="AU40" s="37"/>
      <c r="AV40" s="37"/>
      <c r="AW40" s="37"/>
      <c r="AX40" s="37"/>
      <c r="AY40" s="37"/>
      <c r="AZ40" s="37"/>
      <c r="BA40" s="37"/>
      <c r="BB40" s="37"/>
    </row>
    <row r="41" spans="2:54" ht="13.5" customHeight="1" x14ac:dyDescent="0.2">
      <c r="D41" s="338"/>
      <c r="E41" s="338"/>
      <c r="F41" s="338"/>
      <c r="G41" s="338"/>
      <c r="N41" s="37" t="str">
        <f>"◄ "&amp;ListAVS!$B$112</f>
        <v>◄ wartość będzie wykorzystana do obliczenia LF</v>
      </c>
      <c r="T41" s="344"/>
      <c r="U41" s="344"/>
      <c r="V41" s="344"/>
      <c r="W41" s="344"/>
      <c r="X41" s="344"/>
      <c r="Y41" s="890"/>
      <c r="Z41" s="890"/>
      <c r="AA41" s="890"/>
      <c r="AB41" s="665"/>
      <c r="AC41" s="907"/>
      <c r="AD41" s="908"/>
      <c r="AE41" s="903"/>
      <c r="AF41" s="909">
        <f>$AC41*AE43</f>
        <v>0</v>
      </c>
      <c r="AG41" s="903"/>
      <c r="AH41" s="909">
        <f>$AC41*AG41</f>
        <v>0</v>
      </c>
      <c r="AI41" s="344"/>
      <c r="AK41" s="108"/>
      <c r="AL41" s="108"/>
      <c r="AM41" s="108"/>
      <c r="AN41" s="108"/>
      <c r="AO41" s="37"/>
      <c r="AP41" s="137"/>
      <c r="AQ41" s="137"/>
      <c r="AR41" s="137"/>
      <c r="AS41" s="137"/>
      <c r="AT41" s="122"/>
      <c r="AU41" s="122"/>
      <c r="AW41" s="37"/>
      <c r="AX41" s="37"/>
      <c r="AY41" s="37"/>
      <c r="AZ41" s="37"/>
      <c r="BA41" s="37"/>
      <c r="BB41" s="37"/>
    </row>
    <row r="42" spans="2:54" ht="13.5" customHeight="1" x14ac:dyDescent="0.2">
      <c r="J42" s="145"/>
      <c r="K42" s="145"/>
      <c r="N42" s="37" t="str">
        <f>" * "&amp;ListAVS!$B$128</f>
        <v xml:space="preserve"> * Wypełnij wartości</v>
      </c>
      <c r="O42" s="37"/>
      <c r="Q42" s="37"/>
      <c r="T42" s="348"/>
      <c r="U42" s="344"/>
      <c r="V42" s="344"/>
      <c r="W42" s="344"/>
      <c r="X42" s="344"/>
      <c r="Y42" s="890">
        <f>CenAVS!A169</f>
        <v>0</v>
      </c>
      <c r="Z42" s="890">
        <f>CenAVS!B169</f>
        <v>0</v>
      </c>
      <c r="AA42" s="890">
        <f>CenAVS!C169</f>
        <v>0</v>
      </c>
      <c r="AB42" s="665"/>
      <c r="AC42" s="907">
        <f>CenAVS!F169</f>
        <v>0</v>
      </c>
      <c r="AD42" s="908">
        <f t="shared" si="3"/>
        <v>0</v>
      </c>
      <c r="AE42" s="903"/>
      <c r="AF42" s="909">
        <f>$AC42*AE42</f>
        <v>0</v>
      </c>
      <c r="AG42" s="903"/>
      <c r="AH42" s="909">
        <f>$AC42*AG42</f>
        <v>0</v>
      </c>
      <c r="AI42" s="344"/>
      <c r="AK42" s="37"/>
      <c r="AL42" s="108"/>
      <c r="AM42" s="108"/>
      <c r="AN42" s="108"/>
      <c r="AO42" s="137"/>
      <c r="AP42" s="137"/>
      <c r="AQ42" s="137"/>
      <c r="AR42" s="137"/>
      <c r="AS42" s="137"/>
      <c r="AT42" s="122"/>
      <c r="AU42" s="122"/>
    </row>
    <row r="43" spans="2:54" s="37" customFormat="1" ht="13.5" customHeight="1" x14ac:dyDescent="0.2">
      <c r="B43" s="147"/>
      <c r="C43" s="148"/>
      <c r="D43" s="148"/>
      <c r="E43" s="148"/>
      <c r="F43" s="148"/>
      <c r="G43" s="148"/>
      <c r="H43" s="148"/>
      <c r="I43" s="148"/>
      <c r="J43" s="148"/>
      <c r="K43" s="148"/>
      <c r="O43" s="118"/>
      <c r="Q43" s="118"/>
      <c r="T43" s="344"/>
      <c r="U43" s="344"/>
      <c r="V43" s="344"/>
      <c r="W43" s="344"/>
      <c r="X43" s="344"/>
      <c r="Y43" s="890" t="str">
        <f>CenAVS!A171</f>
        <v xml:space="preserve">Aventos HF/HL/HS - Top Servo-Drive      </v>
      </c>
      <c r="Z43" s="890" t="str">
        <f>CenAVS!B171</f>
        <v>23.A000</v>
      </c>
      <c r="AA43" s="890" t="str">
        <f>CenAVS!C171</f>
        <v>R7037</v>
      </c>
      <c r="AB43" s="665">
        <f>SUM(AE43,AG43)</f>
        <v>0</v>
      </c>
      <c r="AC43" s="907">
        <f>CenAVS!F171</f>
        <v>905.30219999999997</v>
      </c>
      <c r="AD43" s="908">
        <f t="shared" si="3"/>
        <v>0</v>
      </c>
      <c r="AE43" s="903">
        <f>IF($Q$16=1, 0, $M$17)</f>
        <v>0</v>
      </c>
      <c r="AF43" s="909">
        <f>$AC43*AE43</f>
        <v>0</v>
      </c>
      <c r="AG43" s="903">
        <f>IF($Q$27=1, 0, $M$28)</f>
        <v>0</v>
      </c>
      <c r="AH43" s="909">
        <f>$AC43*AG43</f>
        <v>0</v>
      </c>
      <c r="AI43" s="344"/>
      <c r="AL43" s="108"/>
      <c r="AM43" s="108"/>
      <c r="AN43" s="108"/>
      <c r="AO43" s="137"/>
      <c r="AP43" s="137"/>
      <c r="AQ43" s="137"/>
      <c r="AR43" s="137"/>
      <c r="AS43" s="137"/>
      <c r="AT43" s="122"/>
      <c r="AU43" s="122"/>
      <c r="AV43" s="121"/>
      <c r="AW43" s="121"/>
      <c r="AX43" s="121"/>
      <c r="AY43" s="121"/>
      <c r="AZ43" s="121"/>
      <c r="BA43" s="121"/>
      <c r="BB43" s="121"/>
    </row>
    <row r="44" spans="2:54" s="37" customFormat="1" ht="13.5" customHeight="1" x14ac:dyDescent="0.2">
      <c r="B44" s="142"/>
      <c r="C44" s="148"/>
      <c r="D44" s="148"/>
      <c r="E44" s="148"/>
      <c r="F44" s="148"/>
      <c r="G44" s="148"/>
      <c r="H44" s="148"/>
      <c r="I44" s="148"/>
      <c r="J44" s="148"/>
      <c r="K44" s="148"/>
      <c r="O44" s="118"/>
      <c r="Q44" s="118"/>
      <c r="T44" s="344"/>
      <c r="U44" s="344"/>
      <c r="V44" s="344"/>
      <c r="W44" s="344"/>
      <c r="X44" s="344"/>
      <c r="AG44" s="118"/>
      <c r="AI44" s="344"/>
      <c r="AL44" s="108"/>
      <c r="AM44" s="108"/>
      <c r="AN44" s="108"/>
      <c r="AO44" s="137"/>
      <c r="AP44" s="137"/>
      <c r="AQ44" s="137"/>
      <c r="AR44" s="137"/>
      <c r="AS44" s="137"/>
      <c r="AT44" s="122"/>
      <c r="AU44" s="122"/>
      <c r="AV44" s="121"/>
      <c r="AW44" s="121"/>
      <c r="AX44" s="121"/>
      <c r="AY44" s="121"/>
      <c r="AZ44" s="121"/>
      <c r="BA44" s="121"/>
      <c r="BB44" s="121"/>
    </row>
    <row r="45" spans="2:54" s="37" customFormat="1" ht="13.5" customHeight="1" x14ac:dyDescent="0.2">
      <c r="B45" s="349"/>
      <c r="C45" s="148"/>
      <c r="D45" s="148"/>
      <c r="E45" s="148"/>
      <c r="F45" s="148"/>
      <c r="G45" s="148"/>
      <c r="H45" s="148"/>
      <c r="I45" s="148"/>
      <c r="J45" s="148"/>
      <c r="K45" s="148"/>
      <c r="O45" s="118"/>
      <c r="Q45" s="118"/>
      <c r="T45" s="342"/>
      <c r="U45" s="344"/>
      <c r="V45" s="344"/>
      <c r="W45" s="344"/>
      <c r="X45" s="344"/>
      <c r="AC45" s="144" t="str">
        <f>ListAVS!$B$61&amp;" "</f>
        <v xml:space="preserve">Cena całkowita bez VAT </v>
      </c>
      <c r="AD45" s="171">
        <f>SUM(AD9:AD43)</f>
        <v>0</v>
      </c>
      <c r="AF45" s="201">
        <f>SUM(AF9:AF44)</f>
        <v>0</v>
      </c>
      <c r="AH45" s="201">
        <f>SUM(AH9:AH44)</f>
        <v>0</v>
      </c>
      <c r="AI45" s="344"/>
      <c r="AK45" s="108"/>
      <c r="AL45" s="108"/>
      <c r="AM45" s="108"/>
      <c r="AN45" s="108"/>
      <c r="AO45" s="137"/>
      <c r="AP45" s="137"/>
      <c r="AQ45" s="137"/>
      <c r="AR45" s="137"/>
      <c r="AS45" s="137"/>
      <c r="AT45" s="122"/>
      <c r="AU45" s="122"/>
      <c r="AV45" s="121"/>
      <c r="AW45" s="121"/>
      <c r="AX45" s="121"/>
      <c r="AY45" s="121"/>
      <c r="AZ45" s="121"/>
      <c r="BA45" s="121"/>
      <c r="BB45" s="121"/>
    </row>
    <row r="46" spans="2:54" ht="13.5" customHeight="1" x14ac:dyDescent="0.2">
      <c r="B46" s="350"/>
      <c r="C46" s="148"/>
      <c r="D46" s="148"/>
      <c r="E46" s="148"/>
      <c r="F46" s="148"/>
      <c r="G46" s="148"/>
      <c r="H46" s="148"/>
      <c r="I46" s="148"/>
      <c r="J46" s="148"/>
      <c r="K46" s="148"/>
      <c r="N46" s="151"/>
      <c r="O46" s="117">
        <f>HS!$N$26</f>
        <v>2</v>
      </c>
      <c r="P46" s="151"/>
      <c r="S46" s="298">
        <v>2</v>
      </c>
      <c r="T46" s="117">
        <f>MenuAVS!$P$28</f>
        <v>1</v>
      </c>
      <c r="U46" s="342"/>
      <c r="V46" s="342"/>
      <c r="W46" s="117">
        <f>HS!$P$26</f>
        <v>1</v>
      </c>
      <c r="X46" s="342"/>
      <c r="Y46" s="344"/>
      <c r="Z46" s="344"/>
      <c r="AA46" s="344"/>
      <c r="AB46" s="344"/>
      <c r="AC46" s="344"/>
      <c r="AD46" s="344"/>
      <c r="AE46" s="344"/>
      <c r="AF46" s="344"/>
      <c r="AG46" s="344"/>
      <c r="AH46" s="344"/>
      <c r="AI46" s="344"/>
      <c r="AK46" s="108"/>
      <c r="AL46" s="108"/>
      <c r="AM46" s="108"/>
      <c r="AN46" s="108"/>
      <c r="AO46" s="137"/>
      <c r="AP46" s="137"/>
      <c r="AQ46" s="137"/>
      <c r="AR46" s="137"/>
      <c r="AS46" s="137"/>
      <c r="AT46" s="122"/>
      <c r="AU46" s="122"/>
    </row>
    <row r="47" spans="2:54" ht="13.5" customHeight="1" x14ac:dyDescent="0.2">
      <c r="B47" s="316"/>
      <c r="C47" s="317"/>
      <c r="D47" s="317"/>
      <c r="E47" s="317"/>
      <c r="F47" s="317"/>
      <c r="G47" s="317"/>
      <c r="I47" s="317"/>
      <c r="J47" s="317"/>
      <c r="N47" s="153"/>
      <c r="O47" s="153" t="s">
        <v>84</v>
      </c>
      <c r="P47" s="153"/>
      <c r="Q47" s="154" t="s">
        <v>57</v>
      </c>
      <c r="S47" s="39" t="s">
        <v>67</v>
      </c>
      <c r="T47" s="154" t="s">
        <v>6</v>
      </c>
      <c r="U47" s="344"/>
      <c r="V47" s="344"/>
      <c r="W47" s="154" t="str">
        <f>HS!P27</f>
        <v>mont.</v>
      </c>
      <c r="X47" s="344"/>
      <c r="Y47" s="344"/>
      <c r="Z47" s="344"/>
      <c r="AA47" s="344"/>
      <c r="AB47" s="344"/>
      <c r="AC47" s="344"/>
      <c r="AD47" s="344"/>
      <c r="AE47" s="344"/>
      <c r="AF47" s="344"/>
      <c r="AG47" s="344"/>
      <c r="AH47" s="344"/>
      <c r="AI47" s="344"/>
      <c r="AK47" s="108"/>
      <c r="AL47" s="37"/>
      <c r="AM47" s="108"/>
      <c r="AN47" s="108"/>
      <c r="AO47" s="137"/>
      <c r="AP47" s="137"/>
      <c r="AQ47" s="137"/>
      <c r="AR47" s="137"/>
      <c r="AS47" s="137"/>
      <c r="AT47" s="122"/>
      <c r="AU47" s="122"/>
    </row>
    <row r="48" spans="2:54" ht="13.5" customHeight="1" x14ac:dyDescent="0.2">
      <c r="B48" s="317"/>
      <c r="C48" s="317"/>
      <c r="D48" s="317"/>
      <c r="E48" s="317"/>
      <c r="F48" s="317"/>
      <c r="G48" s="317"/>
      <c r="I48" s="317"/>
      <c r="J48" s="317"/>
      <c r="O48" s="118" t="str">
        <f>ListAVS!$B$143</f>
        <v>Expando</v>
      </c>
      <c r="Q48" s="149" t="s">
        <v>58</v>
      </c>
      <c r="T48" s="37" t="str">
        <f>ListAVS!$B$146</f>
        <v>Jasnoszary (HGR)</v>
      </c>
      <c r="U48" s="344"/>
      <c r="V48" s="344"/>
      <c r="W48" s="37" t="str">
        <f>HS!P28</f>
        <v>wkręty</v>
      </c>
      <c r="X48" s="344"/>
      <c r="Y48" s="344"/>
      <c r="Z48" s="344"/>
      <c r="AA48" s="344"/>
      <c r="AB48" s="344"/>
      <c r="AC48" s="344"/>
      <c r="AD48" s="344"/>
      <c r="AE48" s="344"/>
      <c r="AF48" s="344"/>
      <c r="AG48" s="344"/>
      <c r="AH48" s="344"/>
      <c r="AI48" s="344"/>
      <c r="AK48" s="108"/>
      <c r="AL48" s="37"/>
      <c r="AM48" s="108"/>
      <c r="AN48" s="108"/>
      <c r="AO48" s="137"/>
      <c r="AP48" s="137"/>
      <c r="AQ48" s="137"/>
      <c r="AR48" s="137"/>
      <c r="AS48" s="137"/>
      <c r="AT48" s="122"/>
      <c r="AU48" s="122"/>
    </row>
    <row r="49" spans="2:54" ht="13.5" customHeight="1" x14ac:dyDescent="0.2">
      <c r="B49" s="316"/>
      <c r="C49" s="317"/>
      <c r="D49" s="317"/>
      <c r="E49" s="317"/>
      <c r="F49" s="317"/>
      <c r="G49" s="317"/>
      <c r="I49" s="317"/>
      <c r="J49" s="317"/>
      <c r="O49" s="118" t="str">
        <f>ListAVS!$B$144</f>
        <v>na wkręty</v>
      </c>
      <c r="Q49" s="149" t="s">
        <v>59</v>
      </c>
      <c r="T49" s="37" t="str">
        <f>ListAVS!$B$147</f>
        <v>Ciemnoszary (TGR)</v>
      </c>
      <c r="U49" s="344"/>
      <c r="V49" s="344"/>
      <c r="W49" s="37" t="str">
        <f>HS!P29</f>
        <v>wstępnie zamontowane eurowkręty</v>
      </c>
      <c r="X49" s="344"/>
      <c r="Y49" s="344"/>
      <c r="Z49" s="344"/>
      <c r="AA49" s="905" t="str">
        <f>Param!M22</f>
        <v>Parametry HS</v>
      </c>
      <c r="AB49" s="904"/>
      <c r="AC49" s="904"/>
      <c r="AD49" s="904"/>
      <c r="AE49" s="904"/>
      <c r="AF49" s="904"/>
      <c r="AG49" s="904"/>
      <c r="AH49" s="904"/>
      <c r="AI49" s="344"/>
      <c r="AK49" s="108"/>
      <c r="AL49" s="37"/>
      <c r="AM49" s="108"/>
      <c r="AN49" s="108"/>
      <c r="AO49" s="137"/>
      <c r="AP49" s="137"/>
      <c r="AQ49" s="137"/>
      <c r="AR49" s="137"/>
      <c r="AS49" s="137"/>
      <c r="AT49" s="122"/>
      <c r="AU49" s="122"/>
    </row>
    <row r="50" spans="2:54" ht="13.5" customHeight="1" x14ac:dyDescent="0.2">
      <c r="B50" s="144"/>
      <c r="C50" s="317"/>
      <c r="O50" s="37"/>
      <c r="T50" s="37" t="str">
        <f>ListAVS!$B$148</f>
        <v>Jedwabiście biały (SW)</v>
      </c>
      <c r="U50" s="344"/>
      <c r="V50" s="344"/>
      <c r="W50" s="344"/>
      <c r="X50" s="344"/>
      <c r="Y50" s="344"/>
      <c r="Z50" s="344"/>
      <c r="AA50" s="904" t="str">
        <f>Param!M23</f>
        <v>Zdvihač</v>
      </c>
      <c r="AB50" s="904" t="str">
        <f>Param!N23</f>
        <v>ks</v>
      </c>
      <c r="AC50" s="904" t="str">
        <f>Param!O23</f>
        <v>min</v>
      </c>
      <c r="AD50" s="904" t="str">
        <f>Param!P23</f>
        <v>max</v>
      </c>
      <c r="AE50" s="904" t="str">
        <f>Param!Q23</f>
        <v>hmot. min.</v>
      </c>
      <c r="AF50" s="904" t="str">
        <f>Param!R23</f>
        <v>hmot. max.</v>
      </c>
      <c r="AG50" s="904"/>
      <c r="AH50" s="904"/>
      <c r="AI50" s="344"/>
      <c r="AK50" s="108"/>
      <c r="AL50" s="37"/>
      <c r="AM50" s="108"/>
      <c r="AN50" s="108"/>
      <c r="AO50" s="137"/>
      <c r="AP50" s="137"/>
      <c r="AQ50" s="137"/>
      <c r="AR50" s="137"/>
      <c r="AS50" s="137"/>
      <c r="AT50" s="122"/>
      <c r="AU50" s="122"/>
    </row>
    <row r="51" spans="2:54" ht="13.5" customHeight="1" x14ac:dyDescent="0.2">
      <c r="B51" s="144"/>
      <c r="T51" s="346"/>
      <c r="U51" s="344"/>
      <c r="V51" s="344"/>
      <c r="W51" s="344"/>
      <c r="X51" s="344"/>
      <c r="Y51" s="344"/>
      <c r="Z51" s="344"/>
      <c r="AA51" s="904" t="str">
        <f>Param!M24</f>
        <v>22S2200</v>
      </c>
      <c r="AB51" s="904"/>
      <c r="AC51" s="904">
        <f>Param!O24</f>
        <v>350</v>
      </c>
      <c r="AD51" s="904">
        <f>Param!P24</f>
        <v>450</v>
      </c>
      <c r="AE51" s="904">
        <f>Param!Q24</f>
        <v>2</v>
      </c>
      <c r="AF51" s="904">
        <f>Param!R24</f>
        <v>11.5</v>
      </c>
      <c r="AG51" s="904"/>
      <c r="AH51" s="904"/>
      <c r="AI51" s="344"/>
      <c r="AK51" s="108"/>
      <c r="AL51" s="108"/>
      <c r="AM51" s="108"/>
      <c r="AN51" s="108"/>
      <c r="AO51" s="137"/>
      <c r="AP51" s="137"/>
      <c r="AQ51" s="137"/>
      <c r="AR51" s="137"/>
      <c r="AS51" s="137"/>
      <c r="AT51" s="122"/>
      <c r="AU51" s="122"/>
    </row>
    <row r="52" spans="2:54" ht="13.5" customHeight="1" x14ac:dyDescent="0.2">
      <c r="B52" s="155"/>
      <c r="D52" s="155"/>
      <c r="E52" s="155"/>
      <c r="F52" s="155"/>
      <c r="G52" s="155"/>
      <c r="I52" s="155"/>
      <c r="J52" s="155"/>
      <c r="N52" s="37" t="str">
        <f>" "&amp;ListAVS!$B$109</f>
        <v xml:space="preserve"> w połączeniu z SERVO-DRIVE</v>
      </c>
      <c r="T52" s="346"/>
      <c r="U52" s="344"/>
      <c r="V52" s="344"/>
      <c r="W52" s="344"/>
      <c r="X52" s="344"/>
      <c r="Y52" s="344"/>
      <c r="Z52" s="344"/>
      <c r="AA52" s="904" t="str">
        <f>Param!M25</f>
        <v>22S2200 v</v>
      </c>
      <c r="AB52" s="904"/>
      <c r="AC52" s="904">
        <f>Param!O25</f>
        <v>450</v>
      </c>
      <c r="AD52" s="904">
        <f>Param!P25</f>
        <v>540</v>
      </c>
      <c r="AE52" s="904">
        <f>Param!Q25</f>
        <v>2.5</v>
      </c>
      <c r="AF52" s="904">
        <f>Param!R25</f>
        <v>12.5</v>
      </c>
      <c r="AG52" s="904"/>
      <c r="AH52" s="904"/>
      <c r="AI52" s="344"/>
      <c r="AK52" s="108"/>
      <c r="AL52" s="108"/>
      <c r="AM52" s="108"/>
      <c r="AN52" s="108"/>
      <c r="AO52" s="137"/>
      <c r="AP52" s="137"/>
      <c r="AQ52" s="137"/>
      <c r="AR52" s="137"/>
      <c r="AS52" s="137"/>
      <c r="AT52" s="122"/>
      <c r="AU52" s="122"/>
    </row>
    <row r="53" spans="2:54" ht="13.5" customHeight="1" x14ac:dyDescent="0.2">
      <c r="N53" s="37" t="str">
        <f>" "&amp;ListAVS!$B$110</f>
        <v xml:space="preserve"> niemożliwe w połączeniu z SERVO-DRIVE</v>
      </c>
      <c r="T53" s="346"/>
      <c r="U53" s="344"/>
      <c r="V53" s="344"/>
      <c r="W53" s="344"/>
      <c r="X53" s="344"/>
      <c r="Y53" s="344"/>
      <c r="Z53" s="344"/>
      <c r="AA53" s="904" t="str">
        <f>Param!M26</f>
        <v>22S2500</v>
      </c>
      <c r="AB53" s="904"/>
      <c r="AC53" s="904">
        <f>Param!O26</f>
        <v>480</v>
      </c>
      <c r="AD53" s="904">
        <f>Param!P26</f>
        <v>660</v>
      </c>
      <c r="AE53" s="904">
        <f>Param!Q26</f>
        <v>2.75</v>
      </c>
      <c r="AF53" s="904">
        <f>Param!R26</f>
        <v>15.25</v>
      </c>
      <c r="AG53" s="904"/>
      <c r="AH53" s="904"/>
      <c r="AI53" s="344"/>
      <c r="AK53" s="108"/>
      <c r="AL53" s="108"/>
      <c r="AM53" s="108"/>
      <c r="AN53" s="108"/>
      <c r="AO53" s="137"/>
      <c r="AP53" s="137"/>
      <c r="AQ53" s="137"/>
      <c r="AR53" s="137"/>
      <c r="AS53" s="137"/>
      <c r="AT53" s="122"/>
      <c r="AU53" s="122"/>
    </row>
    <row r="54" spans="2:54" ht="13.5" customHeight="1" x14ac:dyDescent="0.2">
      <c r="N54" s="37" t="str">
        <f>" "&amp;ListAVS!$B$116</f>
        <v xml:space="preserve"> Wprowadź wagę lub wypełnij wszystkie komórki</v>
      </c>
      <c r="T54" s="346"/>
      <c r="U54" s="344"/>
      <c r="V54" s="344"/>
      <c r="W54" s="344"/>
      <c r="X54" s="344"/>
      <c r="Y54" s="344"/>
      <c r="Z54" s="344"/>
      <c r="AA54" s="904" t="str">
        <f>Param!M27</f>
        <v>22S2800</v>
      </c>
      <c r="AB54" s="904"/>
      <c r="AC54" s="904">
        <f>Param!O27</f>
        <v>650</v>
      </c>
      <c r="AD54" s="904">
        <f>Param!P27</f>
        <v>800</v>
      </c>
      <c r="AE54" s="904">
        <f>Param!Q27</f>
        <v>3.5</v>
      </c>
      <c r="AF54" s="904">
        <f>Param!R27</f>
        <v>18.5</v>
      </c>
      <c r="AG54" s="904"/>
      <c r="AH54" s="904"/>
      <c r="AI54" s="344"/>
      <c r="AK54" s="108"/>
      <c r="AL54" s="108"/>
      <c r="AM54" s="108"/>
      <c r="AN54" s="108"/>
      <c r="AO54" s="137"/>
      <c r="AP54" s="137"/>
      <c r="AQ54" s="137"/>
      <c r="AR54" s="137"/>
      <c r="AS54" s="137"/>
      <c r="AT54" s="122"/>
      <c r="AU54" s="122"/>
    </row>
    <row r="55" spans="2:54" ht="13.5" customHeight="1" x14ac:dyDescent="0.2">
      <c r="N55" s="37" t="str">
        <f>"◄ "&amp;ListAVS!$B$113</f>
        <v>◄ wartość będzie wykorzystana w celu wyboru siłownika</v>
      </c>
      <c r="T55" s="346"/>
      <c r="U55" s="344"/>
      <c r="V55" s="344"/>
      <c r="W55" s="344"/>
      <c r="X55" s="344"/>
      <c r="Y55" s="344"/>
      <c r="Z55" s="344"/>
      <c r="AA55" s="904"/>
      <c r="AB55" s="904"/>
      <c r="AC55" s="904"/>
      <c r="AD55" s="904"/>
      <c r="AE55" s="904"/>
      <c r="AF55" s="904"/>
      <c r="AG55" s="904"/>
      <c r="AH55" s="904"/>
      <c r="AI55" s="344"/>
      <c r="AK55" s="108"/>
      <c r="AL55" s="108"/>
      <c r="AM55" s="108"/>
      <c r="AN55" s="108"/>
      <c r="AO55" s="137"/>
      <c r="AP55" s="137"/>
      <c r="AQ55" s="137"/>
      <c r="AR55" s="137"/>
      <c r="AS55" s="37"/>
      <c r="AT55" s="37"/>
      <c r="AU55" s="37"/>
      <c r="AV55" s="37"/>
    </row>
    <row r="56" spans="2:54" ht="13.5" customHeight="1" x14ac:dyDescent="0.2">
      <c r="N56" s="37" t="str">
        <f>" * "&amp;ListAVS!$B$128</f>
        <v xml:space="preserve"> * Wypełnij wartości</v>
      </c>
      <c r="T56" s="345"/>
      <c r="U56" s="344"/>
      <c r="V56" s="344"/>
      <c r="W56" s="344"/>
      <c r="X56" s="344"/>
      <c r="Y56" s="344"/>
      <c r="Z56" s="344"/>
      <c r="AA56" s="344"/>
      <c r="AB56" s="344"/>
      <c r="AC56" s="344"/>
      <c r="AD56" s="344"/>
      <c r="AE56" s="344"/>
      <c r="AF56" s="344"/>
      <c r="AG56" s="344"/>
      <c r="AH56" s="344"/>
      <c r="AI56" s="344"/>
      <c r="AK56" s="108"/>
      <c r="AL56" s="108"/>
      <c r="AM56" s="108"/>
      <c r="AN56" s="108"/>
      <c r="AO56" s="137"/>
      <c r="AP56" s="137"/>
      <c r="AQ56" s="137"/>
      <c r="AR56" s="137"/>
      <c r="AS56" s="37"/>
      <c r="AT56" s="37"/>
      <c r="AU56" s="37"/>
      <c r="AV56" s="37"/>
      <c r="AW56" s="37"/>
      <c r="AX56" s="37"/>
      <c r="AY56" s="37"/>
      <c r="AZ56" s="37"/>
      <c r="BA56" s="37"/>
      <c r="BB56" s="37"/>
    </row>
    <row r="57" spans="2:54" ht="13.5" customHeight="1" x14ac:dyDescent="0.2">
      <c r="T57" s="346"/>
      <c r="U57" s="344"/>
      <c r="V57" s="344"/>
      <c r="W57" s="344"/>
      <c r="X57" s="344"/>
      <c r="Y57" s="344"/>
      <c r="Z57" s="344"/>
      <c r="AA57" s="344"/>
      <c r="AB57" s="344"/>
      <c r="AC57" s="344"/>
      <c r="AD57" s="344"/>
      <c r="AE57" s="344"/>
      <c r="AF57" s="344"/>
      <c r="AG57" s="344"/>
      <c r="AH57" s="344"/>
      <c r="AI57" s="344"/>
      <c r="AK57" s="108"/>
      <c r="AL57" s="108"/>
      <c r="AM57" s="108"/>
      <c r="AN57" s="108"/>
      <c r="AO57" s="137"/>
      <c r="AP57" s="137"/>
      <c r="AQ57" s="137"/>
      <c r="AR57" s="137"/>
      <c r="AS57" s="137"/>
      <c r="AT57" s="122"/>
      <c r="AU57" s="122"/>
      <c r="AW57" s="37"/>
      <c r="AX57" s="37"/>
      <c r="AY57" s="37"/>
      <c r="AZ57" s="37"/>
      <c r="BA57" s="37"/>
      <c r="BB57" s="37"/>
    </row>
    <row r="58" spans="2:54" ht="13.5" customHeight="1" x14ac:dyDescent="0.2">
      <c r="N58" s="37" t="str">
        <f>" "&amp;ListAVS!$B$125&amp;"!"</f>
        <v xml:space="preserve"> Waga poza dozwolonym zakresem!</v>
      </c>
      <c r="T58" s="346"/>
      <c r="U58" s="344"/>
      <c r="V58" s="344"/>
      <c r="W58" s="344"/>
      <c r="X58" s="344"/>
      <c r="Y58" s="344"/>
      <c r="Z58" s="344"/>
      <c r="AA58" s="344"/>
      <c r="AB58" s="344"/>
      <c r="AC58" s="344"/>
      <c r="AD58" s="344"/>
      <c r="AE58" s="344"/>
      <c r="AF58" s="344"/>
      <c r="AG58" s="344"/>
      <c r="AH58" s="344"/>
      <c r="AI58" s="344"/>
      <c r="AK58" s="108"/>
      <c r="AL58" s="108"/>
      <c r="AM58" s="108"/>
      <c r="AN58" s="108"/>
      <c r="AO58" s="137"/>
      <c r="AP58" s="137"/>
      <c r="AQ58" s="137"/>
      <c r="AR58" s="137"/>
      <c r="AS58" s="137"/>
      <c r="AT58" s="122"/>
      <c r="AU58" s="122"/>
    </row>
    <row r="59" spans="2:54" ht="13.5" customHeight="1" x14ac:dyDescent="0.2">
      <c r="N59" s="37" t="str">
        <f>" max. 9 000! "&amp;ListAVS!$B$122</f>
        <v xml:space="preserve"> max. 9 000! Popraw wagę albo wysokość</v>
      </c>
      <c r="O59" s="37"/>
      <c r="Q59" s="37"/>
      <c r="T59" s="346"/>
      <c r="U59" s="344"/>
      <c r="V59" s="344"/>
      <c r="W59" s="344"/>
      <c r="X59" s="344"/>
      <c r="Y59" s="344"/>
      <c r="Z59" s="344"/>
      <c r="AA59" s="344"/>
      <c r="AB59" s="344"/>
      <c r="AC59" s="344"/>
      <c r="AD59" s="344"/>
      <c r="AE59" s="344"/>
      <c r="AF59" s="344"/>
      <c r="AG59" s="344"/>
      <c r="AH59" s="344"/>
      <c r="AI59" s="344"/>
      <c r="AK59" s="108"/>
      <c r="AL59" s="108"/>
      <c r="AM59" s="108"/>
      <c r="AN59" s="108"/>
      <c r="AO59" s="137"/>
      <c r="AP59" s="137"/>
      <c r="AQ59" s="137"/>
      <c r="AR59" s="137"/>
      <c r="AS59" s="137"/>
      <c r="AT59" s="122"/>
      <c r="AU59" s="122"/>
    </row>
    <row r="60" spans="2:54" s="37" customFormat="1" ht="13.5" customHeight="1" x14ac:dyDescent="0.2">
      <c r="N60" s="149" t="str">
        <f>" "&amp;ListAVS!$B$235</f>
        <v xml:space="preserve"> Konieczna ścianka środkowa</v>
      </c>
      <c r="T60" s="346"/>
      <c r="U60" s="344"/>
      <c r="V60" s="344"/>
      <c r="W60" s="344"/>
      <c r="X60" s="344"/>
      <c r="Y60" s="344"/>
      <c r="Z60" s="344"/>
      <c r="AA60" s="344"/>
      <c r="AB60" s="344"/>
      <c r="AC60" s="344"/>
      <c r="AD60" s="344"/>
      <c r="AE60" s="344"/>
      <c r="AF60" s="344"/>
      <c r="AG60" s="344"/>
      <c r="AH60" s="344"/>
      <c r="AI60" s="344"/>
      <c r="AK60" s="108"/>
      <c r="AL60" s="108"/>
      <c r="AM60" s="108"/>
      <c r="AN60" s="108"/>
      <c r="AO60" s="137"/>
      <c r="AP60" s="137"/>
      <c r="AQ60" s="137"/>
      <c r="AR60" s="137"/>
      <c r="AS60" s="137"/>
      <c r="AT60" s="122"/>
      <c r="AU60" s="122"/>
      <c r="AV60" s="121"/>
      <c r="AW60" s="121"/>
      <c r="AX60" s="121"/>
      <c r="AY60" s="121"/>
      <c r="AZ60" s="121"/>
      <c r="BA60" s="121"/>
      <c r="BB60" s="121"/>
    </row>
    <row r="61" spans="2:54" s="37" customFormat="1" ht="13.5" customHeight="1" x14ac:dyDescent="0.2">
      <c r="N61" s="108"/>
      <c r="O61" s="118"/>
      <c r="Q61" s="118"/>
      <c r="T61" s="346"/>
      <c r="U61" s="344"/>
      <c r="V61" s="344"/>
      <c r="W61" s="344"/>
      <c r="X61" s="344"/>
      <c r="Y61" s="344"/>
      <c r="Z61" s="344"/>
      <c r="AA61" s="344"/>
      <c r="AB61" s="344"/>
      <c r="AC61" s="344"/>
      <c r="AD61" s="344"/>
      <c r="AE61" s="344"/>
      <c r="AF61" s="344"/>
      <c r="AG61" s="344"/>
      <c r="AH61" s="344"/>
      <c r="AI61" s="344"/>
      <c r="AK61" s="108"/>
      <c r="AL61" s="108"/>
      <c r="AM61" s="108"/>
      <c r="AN61" s="108"/>
      <c r="AO61" s="137"/>
      <c r="AP61" s="137"/>
      <c r="AQ61" s="137"/>
      <c r="AR61" s="137"/>
      <c r="AS61" s="137"/>
      <c r="AT61" s="122"/>
      <c r="AU61" s="122"/>
      <c r="AV61" s="121"/>
      <c r="AW61" s="121"/>
      <c r="AX61" s="121"/>
      <c r="AY61" s="121"/>
      <c r="AZ61" s="121"/>
      <c r="BA61" s="121"/>
      <c r="BB61" s="121"/>
    </row>
    <row r="62" spans="2:54" ht="13.5" customHeight="1" x14ac:dyDescent="0.2">
      <c r="N62" s="108"/>
      <c r="T62" s="346"/>
      <c r="U62" s="344"/>
      <c r="V62" s="344"/>
      <c r="W62" s="344"/>
      <c r="X62" s="344"/>
      <c r="Y62" s="344"/>
      <c r="Z62" s="344"/>
      <c r="AA62" s="344"/>
      <c r="AB62" s="344"/>
      <c r="AC62" s="344"/>
      <c r="AD62" s="344"/>
      <c r="AE62" s="344"/>
      <c r="AF62" s="344"/>
      <c r="AG62" s="344"/>
      <c r="AH62" s="344"/>
      <c r="AI62" s="344"/>
      <c r="AK62" s="108"/>
      <c r="AL62" s="108"/>
      <c r="AM62" s="108"/>
      <c r="AN62" s="108"/>
      <c r="AO62" s="137"/>
      <c r="AP62" s="137"/>
      <c r="AQ62" s="137"/>
      <c r="AR62" s="137"/>
      <c r="AS62" s="137"/>
    </row>
    <row r="63" spans="2:54" ht="13.5" customHeight="1" x14ac:dyDescent="0.2">
      <c r="N63" s="108"/>
      <c r="T63" s="346"/>
      <c r="U63" s="344"/>
      <c r="V63" s="344"/>
      <c r="W63" s="344"/>
      <c r="X63" s="344"/>
      <c r="Y63" s="344"/>
      <c r="Z63" s="344"/>
      <c r="AA63" s="344"/>
      <c r="AB63" s="344"/>
      <c r="AC63" s="344"/>
      <c r="AD63" s="344"/>
      <c r="AE63" s="344"/>
      <c r="AF63" s="344"/>
      <c r="AG63" s="344"/>
      <c r="AH63" s="344"/>
      <c r="AI63" s="344"/>
      <c r="AK63" s="108"/>
      <c r="AL63" s="108"/>
      <c r="AM63" s="108"/>
      <c r="AN63" s="108"/>
      <c r="AO63" s="137"/>
      <c r="AP63" s="137"/>
      <c r="AQ63" s="137"/>
      <c r="AR63" s="137"/>
      <c r="AS63" s="137"/>
    </row>
    <row r="64" spans="2:54" ht="13.5" customHeight="1" x14ac:dyDescent="0.2">
      <c r="N64" s="108"/>
      <c r="T64" s="346"/>
      <c r="U64" s="344"/>
      <c r="V64" s="344"/>
      <c r="W64" s="344"/>
      <c r="X64" s="344"/>
      <c r="Y64" s="344"/>
      <c r="Z64" s="344"/>
      <c r="AA64" s="344"/>
      <c r="AB64" s="344"/>
      <c r="AC64" s="344"/>
      <c r="AD64" s="344"/>
      <c r="AE64" s="344"/>
      <c r="AF64" s="344"/>
      <c r="AG64" s="344"/>
      <c r="AH64" s="344"/>
      <c r="AI64" s="344"/>
      <c r="AK64" s="108"/>
      <c r="AL64" s="108"/>
      <c r="AM64" s="108"/>
      <c r="AN64" s="108"/>
      <c r="AO64" s="137"/>
      <c r="AP64" s="137"/>
      <c r="AQ64" s="137"/>
      <c r="AR64" s="137"/>
      <c r="AS64" s="137"/>
    </row>
    <row r="65" spans="9:45" ht="13.5" customHeight="1" x14ac:dyDescent="0.2">
      <c r="N65" s="108"/>
      <c r="T65" s="346"/>
      <c r="U65" s="344"/>
      <c r="V65" s="344"/>
      <c r="W65" s="344"/>
      <c r="X65" s="344"/>
      <c r="Y65" s="344"/>
      <c r="Z65" s="344"/>
      <c r="AA65" s="344"/>
      <c r="AB65" s="344"/>
      <c r="AC65" s="344"/>
      <c r="AD65" s="344"/>
      <c r="AE65" s="344"/>
      <c r="AF65" s="344"/>
      <c r="AG65" s="344"/>
      <c r="AH65" s="344"/>
      <c r="AI65" s="344"/>
      <c r="AK65" s="108"/>
      <c r="AL65" s="108"/>
      <c r="AM65" s="108"/>
      <c r="AN65" s="108"/>
      <c r="AO65" s="137"/>
      <c r="AP65" s="137"/>
      <c r="AQ65" s="137"/>
      <c r="AR65" s="137"/>
      <c r="AS65" s="137"/>
    </row>
    <row r="66" spans="9:45" ht="13.5" customHeight="1" x14ac:dyDescent="0.2">
      <c r="N66" s="108"/>
      <c r="T66" s="345"/>
      <c r="U66" s="344"/>
      <c r="V66" s="344"/>
      <c r="W66" s="344"/>
      <c r="X66" s="344"/>
      <c r="Y66" s="344"/>
      <c r="Z66" s="344"/>
      <c r="AA66" s="344"/>
      <c r="AB66" s="344"/>
      <c r="AC66" s="344"/>
      <c r="AD66" s="344"/>
      <c r="AE66" s="344"/>
      <c r="AF66" s="344"/>
      <c r="AG66" s="344"/>
      <c r="AH66" s="344"/>
      <c r="AI66" s="344"/>
      <c r="AK66" s="108"/>
      <c r="AL66" s="108"/>
      <c r="AM66" s="108"/>
      <c r="AN66" s="108"/>
      <c r="AO66" s="137"/>
      <c r="AP66" s="137"/>
      <c r="AQ66" s="137"/>
      <c r="AR66" s="137"/>
      <c r="AS66" s="137"/>
    </row>
    <row r="67" spans="9:45" x14ac:dyDescent="0.2">
      <c r="N67" s="37" t="str">
        <f>ListAVS!B188&amp;". "</f>
        <v xml:space="preserve">W celu określenia rodzaju siłownika będzie wykorzystana podana waga. </v>
      </c>
      <c r="T67" s="346"/>
      <c r="U67" s="344"/>
      <c r="V67" s="344"/>
      <c r="W67" s="344"/>
      <c r="X67" s="344"/>
      <c r="Y67" s="344"/>
      <c r="Z67" s="344"/>
      <c r="AA67" s="344"/>
      <c r="AB67" s="344"/>
      <c r="AC67" s="344"/>
      <c r="AD67" s="344"/>
      <c r="AE67" s="344"/>
      <c r="AF67" s="344"/>
      <c r="AG67" s="344"/>
      <c r="AH67" s="344"/>
      <c r="AI67" s="344"/>
      <c r="AK67" s="108"/>
      <c r="AL67" s="108"/>
      <c r="AM67" s="108"/>
      <c r="AN67" s="108"/>
      <c r="AO67" s="137"/>
      <c r="AP67" s="137"/>
      <c r="AQ67" s="137"/>
      <c r="AR67" s="137"/>
      <c r="AS67" s="137"/>
    </row>
    <row r="68" spans="9:45" x14ac:dyDescent="0.2">
      <c r="N68" s="37" t="str">
        <f>ListAVS!B189&amp;". "</f>
        <v xml:space="preserve">W celu określenia rodzaju siłownika będzie wykorzystana obliczona waga. </v>
      </c>
      <c r="T68" s="346"/>
      <c r="U68" s="344"/>
      <c r="V68" s="344"/>
      <c r="W68" s="344"/>
      <c r="X68" s="344"/>
      <c r="Y68" s="344"/>
      <c r="Z68" s="344"/>
      <c r="AA68" s="344"/>
      <c r="AB68" s="344"/>
      <c r="AC68" s="344"/>
      <c r="AD68" s="344"/>
      <c r="AE68" s="344"/>
      <c r="AF68" s="344"/>
      <c r="AG68" s="344"/>
      <c r="AH68" s="344"/>
      <c r="AI68" s="344"/>
      <c r="AK68" s="108"/>
      <c r="AL68" s="108"/>
      <c r="AM68" s="108"/>
      <c r="AN68" s="108"/>
      <c r="AO68" s="137"/>
      <c r="AP68" s="137"/>
      <c r="AQ68" s="137"/>
      <c r="AR68" s="137"/>
      <c r="AS68" s="137"/>
    </row>
    <row r="69" spans="9:45" x14ac:dyDescent="0.2">
      <c r="N69" s="37" t="str">
        <f>ListAVS!B190</f>
        <v>Jeżeli chcesz wykorzystać obliczoną wagę, zmaż podaną wartość</v>
      </c>
      <c r="T69" s="346"/>
      <c r="U69" s="344"/>
      <c r="V69" s="344"/>
      <c r="W69" s="344"/>
      <c r="X69" s="344"/>
      <c r="Y69" s="344"/>
      <c r="Z69" s="344"/>
      <c r="AA69" s="344"/>
      <c r="AB69" s="344"/>
      <c r="AC69" s="344"/>
      <c r="AD69" s="344"/>
      <c r="AE69" s="344"/>
      <c r="AF69" s="344"/>
      <c r="AG69" s="344"/>
      <c r="AH69" s="344"/>
      <c r="AI69" s="344"/>
      <c r="AK69" s="108"/>
      <c r="AL69" s="108"/>
      <c r="AM69" s="108"/>
      <c r="AN69" s="108"/>
      <c r="AO69" s="137"/>
      <c r="AP69" s="137"/>
      <c r="AQ69" s="137"/>
      <c r="AR69" s="137"/>
      <c r="AS69" s="137"/>
    </row>
    <row r="70" spans="9:45" x14ac:dyDescent="0.2">
      <c r="N70" s="37" t="str">
        <f>ListAVS!B191</f>
        <v>Jeżeli chcesz wykorzystać podaną wagą, wpisz ją w pole</v>
      </c>
      <c r="T70" s="346"/>
      <c r="U70" s="344"/>
      <c r="V70" s="344"/>
      <c r="W70" s="344"/>
      <c r="X70" s="344"/>
      <c r="Y70" s="344"/>
      <c r="Z70" s="344"/>
      <c r="AA70" s="344"/>
      <c r="AB70" s="344"/>
      <c r="AC70" s="344"/>
      <c r="AD70" s="344"/>
      <c r="AE70" s="344"/>
      <c r="AF70" s="344"/>
      <c r="AG70" s="344"/>
      <c r="AH70" s="344"/>
      <c r="AI70" s="344"/>
      <c r="AK70" s="108"/>
      <c r="AL70" s="108"/>
      <c r="AM70" s="108"/>
      <c r="AN70" s="108"/>
      <c r="AO70" s="137"/>
      <c r="AP70" s="137"/>
      <c r="AQ70" s="137"/>
      <c r="AR70" s="137"/>
      <c r="AS70" s="137"/>
    </row>
    <row r="71" spans="9:45" x14ac:dyDescent="0.2">
      <c r="I71" s="144"/>
      <c r="AK71" s="108"/>
      <c r="AL71" s="108"/>
      <c r="AM71" s="108"/>
      <c r="AN71" s="108"/>
      <c r="AO71" s="137"/>
      <c r="AP71" s="137"/>
      <c r="AQ71" s="137"/>
      <c r="AR71" s="137"/>
      <c r="AS71" s="137"/>
    </row>
    <row r="72" spans="9:45" x14ac:dyDescent="0.2">
      <c r="I72" s="144"/>
      <c r="AK72" s="108"/>
      <c r="AL72" s="108"/>
      <c r="AM72" s="108"/>
      <c r="AN72" s="108"/>
      <c r="AO72" s="137"/>
      <c r="AP72" s="137"/>
      <c r="AQ72" s="137"/>
      <c r="AR72" s="137"/>
      <c r="AS72" s="137"/>
    </row>
    <row r="73" spans="9:45" x14ac:dyDescent="0.2">
      <c r="AK73" s="108"/>
      <c r="AL73" s="108"/>
      <c r="AM73" s="108"/>
      <c r="AN73" s="108"/>
      <c r="AO73" s="137"/>
      <c r="AP73" s="137"/>
      <c r="AQ73" s="137"/>
      <c r="AR73" s="137"/>
      <c r="AS73" s="137"/>
    </row>
    <row r="74" spans="9:45" x14ac:dyDescent="0.2">
      <c r="AK74" s="108"/>
      <c r="AL74" s="108"/>
      <c r="AM74" s="108"/>
      <c r="AN74" s="108"/>
      <c r="AO74" s="137"/>
      <c r="AP74" s="137"/>
      <c r="AQ74" s="137"/>
      <c r="AR74" s="137"/>
      <c r="AS74" s="137"/>
    </row>
    <row r="75" spans="9:45" x14ac:dyDescent="0.2">
      <c r="AK75" s="108"/>
      <c r="AL75" s="108"/>
      <c r="AM75" s="108"/>
      <c r="AN75" s="108"/>
      <c r="AO75" s="137"/>
      <c r="AP75" s="137"/>
      <c r="AQ75" s="137"/>
      <c r="AR75" s="137"/>
      <c r="AS75" s="137"/>
    </row>
    <row r="76" spans="9:45" x14ac:dyDescent="0.2">
      <c r="AK76" s="108"/>
      <c r="AL76" s="108"/>
      <c r="AM76" s="108"/>
      <c r="AN76" s="108"/>
      <c r="AO76" s="137"/>
      <c r="AP76" s="137"/>
      <c r="AQ76" s="137"/>
      <c r="AR76" s="137"/>
      <c r="AS76" s="137"/>
    </row>
    <row r="77" spans="9:45" x14ac:dyDescent="0.2">
      <c r="AK77" s="108"/>
      <c r="AL77" s="108"/>
      <c r="AM77" s="108"/>
      <c r="AN77" s="108"/>
      <c r="AO77" s="137"/>
      <c r="AP77" s="137"/>
      <c r="AQ77" s="137"/>
      <c r="AR77" s="137"/>
      <c r="AS77" s="137"/>
    </row>
    <row r="78" spans="9:45" x14ac:dyDescent="0.2">
      <c r="AK78" s="108"/>
      <c r="AL78" s="108"/>
      <c r="AM78" s="108"/>
      <c r="AN78" s="108"/>
      <c r="AO78" s="137"/>
      <c r="AP78" s="137"/>
      <c r="AQ78" s="137"/>
      <c r="AR78" s="137"/>
      <c r="AS78" s="137"/>
    </row>
    <row r="79" spans="9:45" x14ac:dyDescent="0.2">
      <c r="N79" s="172" t="str">
        <f>ListAVS!$B$73</f>
        <v>Obliczanie wagi frontów</v>
      </c>
      <c r="O79" s="173"/>
      <c r="P79" s="173"/>
      <c r="Q79" s="173"/>
      <c r="R79" s="173"/>
      <c r="AA79" s="118"/>
      <c r="AC79" s="118"/>
      <c r="AK79" s="108"/>
      <c r="AL79" s="108"/>
      <c r="AM79" s="108"/>
      <c r="AN79" s="108"/>
      <c r="AO79" s="137"/>
      <c r="AP79" s="137"/>
      <c r="AQ79" s="137"/>
      <c r="AR79" s="137"/>
      <c r="AS79" s="137"/>
    </row>
    <row r="80" spans="9:45" ht="15.6" customHeight="1" x14ac:dyDescent="0.2">
      <c r="O80" s="174" t="str">
        <f>ListAVS!$B$180&amp;"  "</f>
        <v xml:space="preserve">Wykonanie frontów  </v>
      </c>
      <c r="Q80" s="37"/>
      <c r="T80" s="596">
        <f>J4</f>
        <v>0</v>
      </c>
      <c r="U80" s="175" t="str">
        <f>IF(AF87=3,IF(T80=0,Y82," "),IF(T80&gt;0,Y83," "))</f>
        <v xml:space="preserve"> </v>
      </c>
      <c r="Y80" s="335" t="str">
        <f>IF($AF$87=1,$AF$105,IF($AF$87=2,$AF$106,$AF$107&amp;" - "&amp;$Y$90&amp;"mm"))</f>
        <v>Ramki aluminiowe z 4mm szkłem</v>
      </c>
      <c r="Z80" s="118"/>
      <c r="AB80" s="118"/>
      <c r="AD80" s="209">
        <f>MenuAVS!$Q$81</f>
        <v>2500</v>
      </c>
      <c r="AK80" s="108"/>
      <c r="AL80" s="108"/>
      <c r="AM80" s="108"/>
      <c r="AN80" s="108"/>
      <c r="AO80" s="137"/>
      <c r="AP80" s="137"/>
      <c r="AQ80" s="137"/>
      <c r="AR80" s="137"/>
      <c r="AS80" s="137"/>
    </row>
    <row r="81" spans="1:54" ht="15.75" customHeight="1" x14ac:dyDescent="0.2">
      <c r="O81" s="37"/>
      <c r="Q81" s="37"/>
      <c r="Y81" s="37" t="str">
        <f>" "&amp;ListAVS!$B$410</f>
        <v xml:space="preserve"> Możesz zmienić wartości we Wstępie do planowania</v>
      </c>
      <c r="Z81" s="118"/>
      <c r="AB81" s="118"/>
      <c r="AK81" s="108"/>
      <c r="AL81" s="108"/>
      <c r="AM81" s="108"/>
      <c r="AN81" s="108"/>
      <c r="AO81" s="137"/>
      <c r="AP81" s="137"/>
      <c r="AQ81" s="137"/>
      <c r="AR81" s="137"/>
      <c r="AS81" s="137"/>
    </row>
    <row r="82" spans="1:54" ht="15.75" customHeight="1" x14ac:dyDescent="0.2">
      <c r="N82" s="137"/>
      <c r="O82" s="37"/>
      <c r="Q82" s="37"/>
      <c r="Y82" s="37" t="str">
        <f>" "&amp;ListAVS!$B$246&amp;" [mm]"</f>
        <v xml:space="preserve"> Podaj grubość szkła [mm]</v>
      </c>
      <c r="Z82" s="118"/>
      <c r="AB82" s="118"/>
      <c r="AK82" s="108"/>
      <c r="AL82" s="108"/>
      <c r="AM82" s="108"/>
      <c r="AN82" s="108"/>
      <c r="AO82" s="137"/>
      <c r="AP82" s="137"/>
      <c r="AQ82" s="137"/>
      <c r="AR82" s="137"/>
      <c r="AS82" s="118"/>
      <c r="AT82" s="118"/>
      <c r="AU82" s="118"/>
      <c r="AV82" s="118"/>
    </row>
    <row r="83" spans="1:54" ht="15" customHeight="1" x14ac:dyDescent="0.2">
      <c r="N83" s="137"/>
      <c r="O83" s="37"/>
      <c r="Q83" s="37"/>
      <c r="Y83" s="37" t="str">
        <f>" "&amp;ListAVS!$B$241&amp;" '"&amp;ListAVS!$B$95&amp;"'"</f>
        <v xml:space="preserve"> Wartość obowiązuje tylko dla opcji 'Ramki aluminiowe z innym szkłem'</v>
      </c>
      <c r="Z83" s="118"/>
      <c r="AB83" s="118"/>
      <c r="AK83" s="108"/>
      <c r="AL83" s="108"/>
      <c r="AM83" s="108"/>
      <c r="AN83" s="108"/>
      <c r="AO83" s="137"/>
      <c r="AP83" s="137"/>
      <c r="AQ83" s="137"/>
      <c r="AR83" s="137"/>
      <c r="AS83" s="118"/>
      <c r="AT83" s="118"/>
      <c r="AU83" s="118"/>
      <c r="AV83" s="118"/>
      <c r="AW83" s="118"/>
      <c r="AX83" s="118"/>
      <c r="AY83" s="118"/>
      <c r="AZ83" s="118"/>
      <c r="BA83" s="118"/>
      <c r="BB83" s="118"/>
    </row>
    <row r="84" spans="1:54" ht="15" customHeight="1" x14ac:dyDescent="0.2">
      <c r="O84" s="37"/>
      <c r="Q84" s="37"/>
      <c r="Y84" s="137"/>
      <c r="Z84" s="118"/>
      <c r="AB84" s="118"/>
      <c r="AK84" s="108"/>
      <c r="AL84" s="108"/>
      <c r="AM84" s="108"/>
      <c r="AN84" s="108"/>
      <c r="AO84" s="137"/>
      <c r="AP84" s="137"/>
      <c r="AQ84" s="137"/>
      <c r="AR84" s="137"/>
      <c r="AS84" s="118"/>
      <c r="AT84" s="118"/>
      <c r="AU84" s="118"/>
      <c r="AV84" s="118"/>
      <c r="AW84" s="118"/>
      <c r="AX84" s="118"/>
      <c r="AY84" s="118"/>
      <c r="AZ84" s="118"/>
      <c r="BA84" s="118"/>
      <c r="BB84" s="118"/>
    </row>
    <row r="85" spans="1:54" ht="15" customHeight="1" x14ac:dyDescent="0.2">
      <c r="N85" s="137"/>
      <c r="O85" s="137"/>
      <c r="P85" s="137"/>
      <c r="Q85" s="37"/>
      <c r="R85" s="1082" t="str">
        <f>D9</f>
        <v xml:space="preserve"> </v>
      </c>
      <c r="S85" s="1083"/>
      <c r="T85" s="1084"/>
      <c r="Z85" s="118"/>
      <c r="AB85" s="118"/>
      <c r="AD85" s="209"/>
      <c r="AE85" s="601" t="s">
        <v>68</v>
      </c>
      <c r="AK85" s="108"/>
      <c r="AL85" s="108"/>
      <c r="AM85" s="108"/>
      <c r="AN85" s="108"/>
      <c r="AO85" s="137"/>
      <c r="AP85" s="137"/>
      <c r="AQ85" s="137"/>
      <c r="AR85" s="137"/>
      <c r="AS85" s="118"/>
      <c r="AT85" s="118"/>
      <c r="AU85" s="118"/>
      <c r="AV85" s="118"/>
      <c r="AW85" s="118"/>
      <c r="AX85" s="118"/>
      <c r="AY85" s="118"/>
      <c r="AZ85" s="118"/>
      <c r="BA85" s="118"/>
      <c r="BB85" s="118"/>
    </row>
    <row r="86" spans="1:54" ht="15" customHeight="1" x14ac:dyDescent="0.2">
      <c r="N86" s="1125" t="str">
        <f>ListAVS!$B$74&amp;" KB [mm]       "</f>
        <v xml:space="preserve">Szerokość korpusu KB [mm]       </v>
      </c>
      <c r="O86" s="1126"/>
      <c r="P86" s="1126"/>
      <c r="Q86" s="1126"/>
      <c r="R86" s="1126"/>
      <c r="S86" s="1127"/>
      <c r="T86" s="300">
        <f>H10</f>
        <v>0</v>
      </c>
      <c r="U86" s="108"/>
      <c r="V86" s="118"/>
      <c r="Y86" s="37">
        <f>T86*T87*T88</f>
        <v>0</v>
      </c>
      <c r="AB86" s="118"/>
      <c r="AD86" s="325">
        <f>IF($AG$87=1,$X$105,$X$106)</f>
        <v>0.62</v>
      </c>
      <c r="AE86" s="339">
        <f>$X$107</f>
        <v>0.61</v>
      </c>
      <c r="AF86" s="601" t="s">
        <v>69</v>
      </c>
      <c r="AG86" s="601" t="s">
        <v>70</v>
      </c>
      <c r="AI86" s="39"/>
      <c r="AK86" s="108"/>
      <c r="AL86" s="108"/>
      <c r="AM86" s="108"/>
      <c r="AN86" s="108"/>
      <c r="AO86" s="137"/>
      <c r="AP86" s="137"/>
      <c r="AQ86" s="137"/>
      <c r="AR86" s="137"/>
      <c r="AS86" s="118"/>
      <c r="AT86" s="118"/>
      <c r="AU86" s="118"/>
      <c r="AV86" s="118"/>
      <c r="AW86" s="118"/>
      <c r="AX86" s="118"/>
      <c r="AY86" s="118"/>
      <c r="AZ86" s="118"/>
      <c r="BA86" s="118"/>
      <c r="BB86" s="118"/>
    </row>
    <row r="87" spans="1:54" s="118" customFormat="1" ht="15" customHeight="1" x14ac:dyDescent="0.2">
      <c r="A87" s="37"/>
      <c r="N87" s="1125" t="str">
        <f>ListAVS!$B$75&amp;" KH [mm]       "</f>
        <v xml:space="preserve">Wysokość korpusu KH [mm]       </v>
      </c>
      <c r="O87" s="1126"/>
      <c r="P87" s="1126"/>
      <c r="Q87" s="1126"/>
      <c r="R87" s="1126"/>
      <c r="S87" s="1127"/>
      <c r="T87" s="300">
        <f>H11</f>
        <v>0</v>
      </c>
      <c r="U87" s="108"/>
      <c r="W87" s="37"/>
      <c r="X87" s="37"/>
      <c r="Y87" s="37">
        <f>Y86/1000000000</f>
        <v>0</v>
      </c>
      <c r="Z87" s="117">
        <v>2</v>
      </c>
      <c r="AC87" s="37"/>
      <c r="AD87" s="153" t="s">
        <v>71</v>
      </c>
      <c r="AE87" s="209">
        <f>SUM(T86*2,(T87-90)*2)*AD86/1000</f>
        <v>-0.11159999999999999</v>
      </c>
      <c r="AF87" s="327">
        <v>1</v>
      </c>
      <c r="AG87" s="328">
        <f>$V$4</f>
        <v>1</v>
      </c>
      <c r="AH87" s="37"/>
      <c r="AI87" s="117"/>
      <c r="AJ87" s="37"/>
      <c r="AK87" s="108"/>
      <c r="AL87" s="108"/>
      <c r="AM87" s="108"/>
      <c r="AN87" s="108"/>
      <c r="AO87" s="137"/>
      <c r="AP87" s="137"/>
      <c r="AQ87" s="137"/>
      <c r="AR87" s="137"/>
      <c r="AS87" s="137"/>
      <c r="AT87" s="121"/>
      <c r="AU87" s="121"/>
      <c r="AV87" s="121"/>
    </row>
    <row r="88" spans="1:54" s="118" customFormat="1" ht="15" customHeight="1" x14ac:dyDescent="0.2">
      <c r="A88" s="37"/>
      <c r="N88" s="1131" t="str">
        <f>ListAVS!$B$80&amp;" TS [mm] "</f>
        <v xml:space="preserve">Grubość frontu TS [mm] </v>
      </c>
      <c r="O88" s="1132"/>
      <c r="P88" s="1132"/>
      <c r="Q88" s="1132"/>
      <c r="R88" s="1132"/>
      <c r="S88" s="1133"/>
      <c r="T88" s="300"/>
      <c r="U88" s="119"/>
      <c r="W88" s="37"/>
      <c r="X88" s="37"/>
      <c r="Y88" s="319">
        <f>MenuAVS!$C$31</f>
        <v>760</v>
      </c>
      <c r="Z88" s="175" t="str">
        <f>ListAVS!$B$90&amp;" ("&amp;Y88&amp;" kg/m3)"</f>
        <v>MDF (760 kg/m3)</v>
      </c>
      <c r="AC88" s="37"/>
      <c r="AD88" s="209">
        <f>$AD$80*4/1000</f>
        <v>10</v>
      </c>
      <c r="AE88" s="330">
        <f>IF($AG$87=1,AF89*AD88,AG89*AD88)</f>
        <v>6.4000000000000001E-2</v>
      </c>
      <c r="AF88" s="601" t="s">
        <v>72</v>
      </c>
      <c r="AG88" s="601"/>
      <c r="AH88" s="37"/>
      <c r="AI88" s="203"/>
      <c r="AJ88" s="37"/>
      <c r="AK88" s="108"/>
      <c r="AL88" s="108"/>
      <c r="AM88" s="108"/>
      <c r="AN88" s="108"/>
      <c r="AO88" s="137"/>
      <c r="AP88" s="137"/>
      <c r="AQ88" s="137"/>
      <c r="AR88" s="137"/>
      <c r="AS88" s="137"/>
      <c r="AT88" s="121"/>
      <c r="AU88" s="121"/>
      <c r="AV88" s="121"/>
      <c r="AW88" s="121"/>
      <c r="AX88" s="121"/>
      <c r="AY88" s="121"/>
      <c r="AZ88" s="121"/>
      <c r="BA88" s="121"/>
      <c r="BB88" s="121"/>
    </row>
    <row r="89" spans="1:54" s="118" customFormat="1" ht="15" customHeight="1" x14ac:dyDescent="0.2">
      <c r="A89" s="37"/>
      <c r="N89" s="1079" t="str">
        <f>ListAVS!$B$83&amp;" [kg] "</f>
        <v xml:space="preserve">Waga uchwytu [kg] </v>
      </c>
      <c r="O89" s="1080"/>
      <c r="P89" s="1080"/>
      <c r="Q89" s="1080"/>
      <c r="R89" s="1080"/>
      <c r="S89" s="1081"/>
      <c r="T89" s="300">
        <f>H14</f>
        <v>0</v>
      </c>
      <c r="U89" s="130" t="str">
        <f>IF(SUM(T86,T87)=0," ",IF(T89=0," ● "&amp;ListAVS!$B$130," "))</f>
        <v xml:space="preserve"> </v>
      </c>
      <c r="W89" s="37"/>
      <c r="X89" s="37"/>
      <c r="Y89" s="319">
        <f>MenuAVS!$C$32</f>
        <v>680</v>
      </c>
      <c r="Z89" s="175" t="str">
        <f>ListAVS!$B$91&amp;" ("&amp;Y89&amp;" kg/m3)"</f>
        <v>Płyta wiórowa (680 kg/m3)</v>
      </c>
      <c r="AC89" s="37"/>
      <c r="AD89" s="209">
        <f>$AD$80*5/1000</f>
        <v>12.5</v>
      </c>
      <c r="AE89" s="330">
        <f>IF($AG$87=1,AF90*AD89,AG90*AD89)</f>
        <v>0.08</v>
      </c>
      <c r="AF89" s="209">
        <f>SUM(($T$86-80)*($T$87-80)/1000000)</f>
        <v>6.4000000000000003E-3</v>
      </c>
      <c r="AG89" s="351">
        <f>SUM(($T$86-6)*($T$87-6)/1000000)</f>
        <v>3.6000000000000001E-5</v>
      </c>
      <c r="AH89" s="208" t="s">
        <v>73</v>
      </c>
      <c r="AI89" s="37"/>
      <c r="AJ89" s="37"/>
      <c r="AK89" s="108"/>
      <c r="AL89" s="108"/>
      <c r="AM89" s="108"/>
      <c r="AN89" s="108"/>
      <c r="AO89" s="137"/>
      <c r="AP89" s="137"/>
      <c r="AQ89" s="137"/>
      <c r="AR89" s="137"/>
      <c r="AW89" s="121"/>
      <c r="AX89" s="121"/>
      <c r="AY89" s="121"/>
      <c r="AZ89" s="121"/>
      <c r="BA89" s="121"/>
      <c r="BB89" s="121"/>
    </row>
    <row r="90" spans="1:54" s="118" customFormat="1" ht="15" customHeight="1" x14ac:dyDescent="0.2">
      <c r="A90" s="37"/>
      <c r="N90" s="1079" t="str">
        <f>ListAVS!$B$79&amp;" [kg] "</f>
        <v xml:space="preserve">Obliczona waga frontu [kg] </v>
      </c>
      <c r="O90" s="1080"/>
      <c r="P90" s="1080"/>
      <c r="Q90" s="1080"/>
      <c r="R90" s="1080"/>
      <c r="S90" s="1081"/>
      <c r="T90" s="185">
        <f>IF(AD91=0,0,AD91+T89)</f>
        <v>0</v>
      </c>
      <c r="U90" s="119"/>
      <c r="W90" s="37"/>
      <c r="X90" s="186">
        <f>IF(T86*T87*T88=0,0,IF(Z87=1,Y87*Y88,IF(Z87=2,Y87*Y89,Y87*Y90)))</f>
        <v>0</v>
      </c>
      <c r="Y90" s="37">
        <f>$T$80</f>
        <v>0</v>
      </c>
      <c r="Z90" s="175" t="str">
        <f>ListAVS!$B$92</f>
        <v>Inne – wybrana gęstość materiału</v>
      </c>
      <c r="AC90" s="37"/>
      <c r="AD90" s="209">
        <f>$AD$80*$T$80/1000</f>
        <v>0</v>
      </c>
      <c r="AE90" s="330">
        <f>IF($AG$87=1,AF91*AD90,AG91*AD90)</f>
        <v>0</v>
      </c>
      <c r="AF90" s="209">
        <f>SUM(($T$86-80)*($T$87-80)/1000000)</f>
        <v>6.4000000000000003E-3</v>
      </c>
      <c r="AG90" s="351">
        <f>SUM(($T$86-6)*($T$87-6)/1000000)</f>
        <v>3.6000000000000001E-5</v>
      </c>
      <c r="AH90" s="208" t="s">
        <v>74</v>
      </c>
      <c r="AI90" s="37"/>
      <c r="AJ90" s="37"/>
      <c r="AK90" s="108"/>
      <c r="AL90" s="108"/>
      <c r="AM90" s="108"/>
      <c r="AN90" s="108"/>
      <c r="AO90" s="137"/>
      <c r="AP90" s="137"/>
      <c r="AQ90" s="137"/>
      <c r="AR90" s="137"/>
    </row>
    <row r="91" spans="1:54" s="118" customFormat="1" ht="15" customHeight="1" x14ac:dyDescent="0.2">
      <c r="A91" s="37"/>
      <c r="N91" s="37"/>
      <c r="O91" s="142" t="str">
        <f>IF(T90&gt;0,IF(T89=0,$Z$105," ")," ")</f>
        <v xml:space="preserve"> </v>
      </c>
      <c r="P91" s="37"/>
      <c r="Q91" s="37"/>
      <c r="R91" s="37"/>
      <c r="S91" s="37"/>
      <c r="T91" s="37"/>
      <c r="U91" s="37"/>
      <c r="V91" s="37"/>
      <c r="W91" s="37"/>
      <c r="X91" s="37"/>
      <c r="Y91" s="37"/>
      <c r="AA91" s="37"/>
      <c r="AC91" s="37"/>
      <c r="AD91" s="332">
        <f>IF(OR(AND(AF87=3, $T$80=0), T86*T87=0), 0, SUM(IF(AF87=1,AE88,IF(AF87=2,AE89,AE90)),AE87,AE86))</f>
        <v>0</v>
      </c>
      <c r="AE91" s="37"/>
      <c r="AF91" s="209">
        <f>SUM(($T$86-80)*($T$87-80)/1000000)</f>
        <v>6.4000000000000003E-3</v>
      </c>
      <c r="AG91" s="351">
        <f>SUM(($T$86-6)*($T$87-6)/1000000)</f>
        <v>3.6000000000000001E-5</v>
      </c>
      <c r="AH91" s="208" t="s">
        <v>75</v>
      </c>
      <c r="AI91" s="37"/>
      <c r="AJ91" s="37"/>
      <c r="AK91" s="108"/>
      <c r="AL91" s="108"/>
      <c r="AM91" s="108"/>
      <c r="AN91" s="108"/>
      <c r="AO91" s="137"/>
      <c r="AP91" s="137"/>
      <c r="AQ91" s="137"/>
      <c r="AR91" s="137"/>
    </row>
    <row r="92" spans="1:54" s="118" customFormat="1" ht="15" customHeight="1" x14ac:dyDescent="0.2">
      <c r="A92" s="37"/>
      <c r="N92" s="37"/>
      <c r="O92" s="142"/>
      <c r="P92" s="37"/>
      <c r="Q92" s="37"/>
      <c r="R92" s="37"/>
      <c r="S92" s="37"/>
      <c r="T92" s="37"/>
      <c r="U92" s="37"/>
      <c r="V92" s="37"/>
      <c r="W92" s="37"/>
      <c r="X92" s="37"/>
      <c r="Y92" s="37"/>
      <c r="AA92" s="37"/>
      <c r="AC92" s="37"/>
      <c r="AD92" s="595"/>
      <c r="AE92" s="37"/>
      <c r="AF92" s="209"/>
      <c r="AG92" s="351"/>
      <c r="AH92" s="208"/>
      <c r="AI92" s="37"/>
      <c r="AJ92" s="37"/>
      <c r="AK92" s="108"/>
      <c r="AL92" s="108"/>
      <c r="AM92" s="108"/>
      <c r="AN92" s="108"/>
      <c r="AO92" s="137"/>
      <c r="AP92" s="137"/>
      <c r="AQ92" s="137"/>
      <c r="AR92" s="137"/>
    </row>
    <row r="93" spans="1:54" s="118" customFormat="1" ht="15" customHeight="1" x14ac:dyDescent="0.2">
      <c r="A93" s="37"/>
      <c r="N93" s="37"/>
      <c r="O93" s="142"/>
      <c r="P93" s="37"/>
      <c r="Q93" s="37"/>
      <c r="R93" s="37"/>
      <c r="S93" s="37"/>
      <c r="T93" s="37"/>
      <c r="U93" s="37"/>
      <c r="V93" s="37"/>
      <c r="W93" s="37"/>
      <c r="X93" s="37"/>
      <c r="Y93" s="37"/>
      <c r="AA93" s="37"/>
      <c r="AC93" s="37"/>
      <c r="AD93" s="595"/>
      <c r="AE93" s="37"/>
      <c r="AF93" s="209"/>
      <c r="AG93" s="351"/>
      <c r="AH93" s="208"/>
      <c r="AI93" s="37"/>
      <c r="AJ93" s="37"/>
      <c r="AK93" s="108"/>
      <c r="AL93" s="108"/>
      <c r="AM93" s="108"/>
      <c r="AN93" s="108"/>
      <c r="AO93" s="137"/>
      <c r="AP93" s="137"/>
      <c r="AQ93" s="137"/>
      <c r="AR93" s="137"/>
    </row>
    <row r="94" spans="1:54" ht="15" customHeight="1" x14ac:dyDescent="0.2">
      <c r="O94" s="37"/>
      <c r="Q94" s="37"/>
      <c r="Z94" s="118"/>
      <c r="AB94" s="118"/>
      <c r="AK94" s="108"/>
      <c r="AL94" s="108"/>
      <c r="AM94" s="108"/>
      <c r="AN94" s="108"/>
      <c r="AO94" s="137"/>
      <c r="AP94" s="137"/>
      <c r="AQ94" s="137"/>
      <c r="AR94" s="137"/>
      <c r="AS94" s="118"/>
      <c r="AT94" s="118"/>
      <c r="AU94" s="118"/>
      <c r="AV94" s="118"/>
      <c r="AW94" s="118"/>
      <c r="AX94" s="118"/>
      <c r="AY94" s="118"/>
      <c r="AZ94" s="118"/>
      <c r="BA94" s="118"/>
      <c r="BB94" s="118"/>
    </row>
    <row r="95" spans="1:54" ht="15" customHeight="1" x14ac:dyDescent="0.2">
      <c r="O95" s="37"/>
      <c r="Q95" s="37"/>
      <c r="Z95" s="118"/>
      <c r="AB95" s="118"/>
      <c r="AK95" s="108"/>
      <c r="AL95" s="108"/>
      <c r="AM95" s="108"/>
      <c r="AN95" s="108"/>
      <c r="AO95" s="137"/>
      <c r="AP95" s="137"/>
      <c r="AQ95" s="137"/>
      <c r="AR95" s="137"/>
      <c r="AS95" s="118"/>
      <c r="AT95" s="118"/>
      <c r="AU95" s="118"/>
      <c r="AV95" s="118"/>
      <c r="AW95" s="118"/>
      <c r="AX95" s="118"/>
      <c r="AY95" s="118"/>
      <c r="AZ95" s="118"/>
      <c r="BA95" s="118"/>
      <c r="BB95" s="118"/>
    </row>
    <row r="96" spans="1:54" s="118" customFormat="1" ht="15" customHeight="1" x14ac:dyDescent="0.2">
      <c r="A96" s="37"/>
      <c r="Q96" s="37"/>
      <c r="R96" s="1082" t="str">
        <f>D20</f>
        <v xml:space="preserve"> </v>
      </c>
      <c r="S96" s="1083"/>
      <c r="T96" s="1084"/>
      <c r="U96" s="37"/>
      <c r="V96" s="37"/>
      <c r="W96" s="37"/>
      <c r="X96" s="37"/>
      <c r="AA96" s="37"/>
      <c r="AC96" s="37"/>
      <c r="AD96" s="209"/>
      <c r="AE96" s="601" t="s">
        <v>68</v>
      </c>
      <c r="AF96" s="37"/>
      <c r="AG96" s="37"/>
      <c r="AH96" s="37"/>
      <c r="AI96" s="37"/>
      <c r="AJ96" s="37"/>
      <c r="AK96" s="108"/>
      <c r="AL96" s="108"/>
      <c r="AM96" s="108"/>
      <c r="AN96" s="108"/>
      <c r="AO96" s="137"/>
      <c r="AP96" s="137"/>
      <c r="AQ96" s="137"/>
      <c r="AR96" s="137"/>
    </row>
    <row r="97" spans="1:54" s="118" customFormat="1" ht="15" customHeight="1" x14ac:dyDescent="0.2">
      <c r="A97" s="37"/>
      <c r="N97" s="1125" t="str">
        <f>ListAVS!$B$74&amp;" KB [mm]       "</f>
        <v xml:space="preserve">Szerokość korpusu KB [mm]       </v>
      </c>
      <c r="O97" s="1126"/>
      <c r="P97" s="1126"/>
      <c r="Q97" s="1126"/>
      <c r="R97" s="1126"/>
      <c r="S97" s="1127"/>
      <c r="T97" s="300">
        <f>H21</f>
        <v>0</v>
      </c>
      <c r="U97" s="108"/>
      <c r="V97" s="37"/>
      <c r="W97" s="37"/>
      <c r="X97" s="37"/>
      <c r="Y97" s="37">
        <f>T97*T98*T99</f>
        <v>0</v>
      </c>
      <c r="Z97" s="37"/>
      <c r="AA97" s="37"/>
      <c r="AC97" s="37"/>
      <c r="AD97" s="325">
        <f>IF($AG$87=1,$X$105,$X$106)</f>
        <v>0.62</v>
      </c>
      <c r="AE97" s="339">
        <f>$X$107</f>
        <v>0.61</v>
      </c>
      <c r="AF97" s="601" t="s">
        <v>69</v>
      </c>
      <c r="AG97" s="601" t="s">
        <v>70</v>
      </c>
      <c r="AH97" s="37"/>
      <c r="AI97" s="203"/>
      <c r="AJ97" s="37"/>
      <c r="AK97" s="108"/>
      <c r="AL97" s="108"/>
      <c r="AM97" s="108"/>
      <c r="AN97" s="108"/>
      <c r="AO97" s="137"/>
      <c r="AP97" s="137"/>
      <c r="AQ97" s="137"/>
      <c r="AR97" s="137"/>
    </row>
    <row r="98" spans="1:54" s="118" customFormat="1" ht="15" customHeight="1" x14ac:dyDescent="0.2">
      <c r="A98" s="37"/>
      <c r="N98" s="1125" t="str">
        <f>ListAVS!$B$75&amp;" KH [mm]       "</f>
        <v xml:space="preserve">Wysokość korpusu KH [mm]       </v>
      </c>
      <c r="O98" s="1126"/>
      <c r="P98" s="1126"/>
      <c r="Q98" s="1126"/>
      <c r="R98" s="1126"/>
      <c r="S98" s="1127"/>
      <c r="T98" s="300">
        <f>H22</f>
        <v>0</v>
      </c>
      <c r="U98" s="108"/>
      <c r="V98" s="37"/>
      <c r="W98" s="37"/>
      <c r="X98" s="37"/>
      <c r="Y98" s="37">
        <f>Y97/1000000000</f>
        <v>0</v>
      </c>
      <c r="Z98" s="182">
        <f>Z87</f>
        <v>2</v>
      </c>
      <c r="AC98" s="37"/>
      <c r="AD98" s="144" t="s">
        <v>71</v>
      </c>
      <c r="AE98" s="209">
        <f>SUM(T97*2,(T98-90)*2)*AD97/1000</f>
        <v>-0.11159999999999999</v>
      </c>
      <c r="AF98" s="333">
        <f>$AF$87</f>
        <v>1</v>
      </c>
      <c r="AG98" s="328">
        <f>$AG$87</f>
        <v>1</v>
      </c>
      <c r="AH98" s="37"/>
      <c r="AI98" s="203"/>
      <c r="AJ98" s="37"/>
      <c r="AK98" s="108"/>
      <c r="AL98" s="108"/>
      <c r="AM98" s="108"/>
      <c r="AN98" s="108"/>
      <c r="AO98" s="137"/>
      <c r="AP98" s="137"/>
      <c r="AQ98" s="137"/>
      <c r="AR98" s="137"/>
    </row>
    <row r="99" spans="1:54" s="118" customFormat="1" ht="15" customHeight="1" x14ac:dyDescent="0.2">
      <c r="A99" s="37"/>
      <c r="N99" s="1131" t="str">
        <f>ListAVS!$B$80&amp;" TS [mm] "</f>
        <v xml:space="preserve">Grubość frontu TS [mm] </v>
      </c>
      <c r="O99" s="1132"/>
      <c r="P99" s="1132"/>
      <c r="Q99" s="1132"/>
      <c r="R99" s="1132"/>
      <c r="S99" s="1133"/>
      <c r="T99" s="300"/>
      <c r="U99" s="119"/>
      <c r="X99" s="37"/>
      <c r="Y99" s="319">
        <f>$Y$88</f>
        <v>760</v>
      </c>
      <c r="Z99" s="37" t="str">
        <f>$Z$88</f>
        <v>MDF (760 kg/m3)</v>
      </c>
      <c r="AC99" s="37"/>
      <c r="AD99" s="37">
        <f>AD88</f>
        <v>10</v>
      </c>
      <c r="AE99" s="330">
        <f>IF($AG$87=1,AF100*AD99,AG100*AD99)</f>
        <v>6.4000000000000001E-2</v>
      </c>
      <c r="AF99" s="601" t="s">
        <v>72</v>
      </c>
      <c r="AG99" s="601"/>
      <c r="AH99" s="37"/>
      <c r="AI99" s="203"/>
      <c r="AJ99" s="37"/>
      <c r="AK99" s="108"/>
      <c r="AL99" s="108"/>
      <c r="AM99" s="108"/>
      <c r="AN99" s="108"/>
      <c r="AO99" s="137"/>
      <c r="AP99" s="137"/>
      <c r="AQ99" s="137"/>
      <c r="AR99" s="137"/>
    </row>
    <row r="100" spans="1:54" s="118" customFormat="1" ht="15" customHeight="1" x14ac:dyDescent="0.2">
      <c r="A100" s="37"/>
      <c r="N100" s="1079" t="str">
        <f>ListAVS!$B$83&amp;" [kg] "</f>
        <v xml:space="preserve">Waga uchwytu [kg] </v>
      </c>
      <c r="O100" s="1080"/>
      <c r="P100" s="1080"/>
      <c r="Q100" s="1080"/>
      <c r="R100" s="1080"/>
      <c r="S100" s="1081"/>
      <c r="T100" s="300">
        <f>H25</f>
        <v>0</v>
      </c>
      <c r="U100" s="130" t="str">
        <f>IF(SUM(T97,T98)=0," ",IF(T100=0," ● "&amp;ListAVS!$B$130," "))</f>
        <v xml:space="preserve"> </v>
      </c>
      <c r="X100" s="37"/>
      <c r="Y100" s="319">
        <f>$Y$89</f>
        <v>680</v>
      </c>
      <c r="Z100" s="37" t="str">
        <f>$Z$89</f>
        <v>Płyta wiórowa (680 kg/m3)</v>
      </c>
      <c r="AC100" s="37"/>
      <c r="AD100" s="37">
        <f>AD89</f>
        <v>12.5</v>
      </c>
      <c r="AE100" s="330">
        <f>IF($AG$87=1,AF101*AD100,AG101*AD100)</f>
        <v>0.08</v>
      </c>
      <c r="AF100" s="209">
        <f>SUM(($T$97-80)*($T$98-80)/1000000)</f>
        <v>6.4000000000000003E-3</v>
      </c>
      <c r="AG100" s="351">
        <f>SUM(($T$97-6)*($T$98-6)/1000000)</f>
        <v>3.6000000000000001E-5</v>
      </c>
      <c r="AH100" s="208" t="s">
        <v>73</v>
      </c>
      <c r="AI100" s="203"/>
      <c r="AJ100" s="37"/>
      <c r="AK100" s="108"/>
      <c r="AL100" s="108"/>
      <c r="AM100" s="108"/>
      <c r="AN100" s="108"/>
      <c r="AO100" s="137"/>
      <c r="AP100" s="137"/>
      <c r="AQ100" s="137"/>
      <c r="AR100" s="137"/>
    </row>
    <row r="101" spans="1:54" s="118" customFormat="1" ht="15" customHeight="1" x14ac:dyDescent="0.2">
      <c r="A101" s="37"/>
      <c r="N101" s="1079" t="str">
        <f>ListAVS!$B$79&amp;" [kg] "</f>
        <v xml:space="preserve">Obliczona waga frontu [kg] </v>
      </c>
      <c r="O101" s="1080"/>
      <c r="P101" s="1080"/>
      <c r="Q101" s="1080"/>
      <c r="R101" s="1080"/>
      <c r="S101" s="1081"/>
      <c r="T101" s="185">
        <f>IF(AD102=0,0,AD102+T100)</f>
        <v>0</v>
      </c>
      <c r="U101" s="119"/>
      <c r="X101" s="186">
        <f>IF(T97*T98*T99=0,0,IF(Z98=1,Y98*Y99,IF(Z98=2,Y98*Y100,Y98*Y101)))</f>
        <v>0</v>
      </c>
      <c r="Y101" s="37">
        <f>$Y$90</f>
        <v>0</v>
      </c>
      <c r="Z101" s="37" t="str">
        <f>$Z$90</f>
        <v>Inne – wybrana gęstość materiału</v>
      </c>
      <c r="AC101" s="37"/>
      <c r="AD101" s="340">
        <f>AD90</f>
        <v>0</v>
      </c>
      <c r="AE101" s="330">
        <f>IF($AG$87=1,AF102*AD101,AG102*AD101)</f>
        <v>0</v>
      </c>
      <c r="AF101" s="209">
        <f>SUM(($T$97-80)*($T$98-80)/1000000)</f>
        <v>6.4000000000000003E-3</v>
      </c>
      <c r="AG101" s="351">
        <f>SUM(($T$97-6)*($T$98-6)/1000000)</f>
        <v>3.6000000000000001E-5</v>
      </c>
      <c r="AH101" s="208" t="s">
        <v>74</v>
      </c>
      <c r="AI101" s="203"/>
      <c r="AJ101" s="37"/>
      <c r="AK101" s="108"/>
      <c r="AL101" s="108"/>
      <c r="AM101" s="108"/>
      <c r="AN101" s="108"/>
      <c r="AO101" s="137"/>
      <c r="AP101" s="137"/>
      <c r="AQ101" s="137"/>
      <c r="AR101" s="137"/>
    </row>
    <row r="102" spans="1:54" s="118" customFormat="1" ht="15" customHeight="1" x14ac:dyDescent="0.2">
      <c r="A102" s="37"/>
      <c r="N102" s="37"/>
      <c r="O102" s="142" t="str">
        <f>IF(T101&gt;0,IF(T100=0,$Z$105," ")," ")</f>
        <v xml:space="preserve"> </v>
      </c>
      <c r="P102" s="37"/>
      <c r="Q102" s="37"/>
      <c r="R102" s="37"/>
      <c r="S102" s="37"/>
      <c r="T102" s="37"/>
      <c r="U102" s="37"/>
      <c r="V102" s="37"/>
      <c r="W102" s="37"/>
      <c r="X102" s="37"/>
      <c r="Y102" s="37"/>
      <c r="AA102" s="37"/>
      <c r="AC102" s="37"/>
      <c r="AD102" s="332">
        <f>IF(OR(AND(AF98=3, $T$80=0), T97*T98=0), 0, SUM(IF(AF98=1,AE99,IF(AF98=2,AE100,AE101)),AE98,AE97))</f>
        <v>0</v>
      </c>
      <c r="AE102" s="37"/>
      <c r="AF102" s="209">
        <f>SUM(($T$97-80)*($T$98-80)/1000000)</f>
        <v>6.4000000000000003E-3</v>
      </c>
      <c r="AG102" s="351">
        <f>SUM(($T$97-6)*($T$98-6)/1000000)</f>
        <v>3.6000000000000001E-5</v>
      </c>
      <c r="AH102" s="208" t="s">
        <v>75</v>
      </c>
      <c r="AI102" s="203"/>
      <c r="AJ102" s="37"/>
      <c r="AK102" s="108"/>
      <c r="AL102" s="108"/>
      <c r="AM102" s="108"/>
      <c r="AN102" s="108"/>
      <c r="AO102" s="137"/>
      <c r="AP102" s="137"/>
      <c r="AQ102" s="137"/>
      <c r="AR102" s="137"/>
    </row>
    <row r="103" spans="1:54" s="118" customFormat="1" ht="15" customHeight="1" x14ac:dyDescent="0.2">
      <c r="A103" s="37"/>
      <c r="N103" s="37"/>
      <c r="O103" s="37"/>
      <c r="P103" s="37"/>
      <c r="Q103" s="37"/>
      <c r="R103" s="37"/>
      <c r="S103" s="37"/>
      <c r="T103" s="37"/>
      <c r="U103" s="37"/>
      <c r="V103" s="37"/>
      <c r="W103" s="37"/>
      <c r="X103" s="37"/>
      <c r="Y103" s="37"/>
      <c r="AA103" s="37"/>
      <c r="AC103" s="37"/>
      <c r="AD103" s="37"/>
      <c r="AE103" s="37"/>
      <c r="AF103" s="37"/>
      <c r="AG103" s="37"/>
      <c r="AH103" s="37"/>
      <c r="AI103" s="37"/>
      <c r="AJ103" s="37"/>
      <c r="AK103" s="108"/>
      <c r="AL103" s="108"/>
      <c r="AM103" s="108"/>
      <c r="AN103" s="108"/>
      <c r="AO103" s="137"/>
      <c r="AP103" s="137"/>
      <c r="AQ103" s="137"/>
      <c r="AR103" s="137"/>
    </row>
    <row r="104" spans="1:54" s="118" customFormat="1" ht="15" customHeight="1" x14ac:dyDescent="0.2">
      <c r="A104" s="37"/>
      <c r="N104" s="37"/>
      <c r="O104" s="37"/>
      <c r="P104" s="37"/>
      <c r="Q104" s="37"/>
      <c r="R104" s="37"/>
      <c r="S104" s="37"/>
      <c r="T104" s="37"/>
      <c r="U104" s="37"/>
      <c r="V104" s="37"/>
      <c r="W104" s="37"/>
      <c r="X104" s="37"/>
      <c r="AA104" s="37"/>
      <c r="AC104" s="37"/>
      <c r="AD104" s="37"/>
      <c r="AE104" s="37"/>
      <c r="AF104" s="37"/>
      <c r="AG104" s="37"/>
      <c r="AH104" s="37"/>
      <c r="AI104" s="37"/>
      <c r="AJ104" s="37"/>
      <c r="AK104" s="108"/>
      <c r="AL104" s="108"/>
      <c r="AM104" s="108"/>
      <c r="AN104" s="108"/>
      <c r="AO104" s="137"/>
      <c r="AP104" s="137"/>
      <c r="AQ104" s="137"/>
      <c r="AR104" s="137"/>
    </row>
    <row r="105" spans="1:54" s="118" customFormat="1" ht="15" customHeight="1" x14ac:dyDescent="0.2">
      <c r="A105" s="37"/>
      <c r="N105" s="37"/>
      <c r="O105" s="37"/>
      <c r="P105" s="37"/>
      <c r="Q105" s="37"/>
      <c r="R105" s="37"/>
      <c r="S105" s="37"/>
      <c r="T105" s="37"/>
      <c r="U105" s="37"/>
      <c r="V105" s="37"/>
      <c r="W105" s="816" t="str">
        <f>ListAVS!$B$422&amp;"  "</f>
        <v xml:space="preserve">z wpuszczanym szkłem  </v>
      </c>
      <c r="X105" s="711">
        <f>MenuAVS!$I$86</f>
        <v>0.62</v>
      </c>
      <c r="Y105" s="37"/>
      <c r="Z105" s="37" t="str">
        <f>ListAVS!$B$103&amp;"!"</f>
        <v>Bez wagi uchwytu!</v>
      </c>
      <c r="AA105" s="37"/>
      <c r="AC105" s="37"/>
      <c r="AD105" s="37"/>
      <c r="AE105" s="37"/>
      <c r="AF105" s="335" t="str">
        <f>ListAVS!$B$93</f>
        <v>Ramki aluminiowe z 4mm szkłem</v>
      </c>
      <c r="AG105" s="335"/>
      <c r="AH105" s="335"/>
      <c r="AI105" s="335"/>
      <c r="AJ105" s="37"/>
      <c r="AK105" s="108"/>
      <c r="AL105" s="108"/>
      <c r="AM105" s="108"/>
      <c r="AN105" s="108"/>
      <c r="AO105" s="137"/>
      <c r="AP105" s="137"/>
      <c r="AQ105" s="137"/>
      <c r="AR105" s="137"/>
    </row>
    <row r="106" spans="1:54" s="118" customFormat="1" ht="15" customHeight="1" x14ac:dyDescent="0.2">
      <c r="A106" s="37"/>
      <c r="N106" s="37"/>
      <c r="O106" s="37"/>
      <c r="P106" s="37"/>
      <c r="Q106" s="37"/>
      <c r="R106" s="37"/>
      <c r="S106" s="37"/>
      <c r="T106" s="37"/>
      <c r="U106" s="37"/>
      <c r="V106" s="37"/>
      <c r="W106" s="816" t="str">
        <f>ListAVS!$B$423&amp;"  "</f>
        <v xml:space="preserve">ze szkłem nakładanym lub przyklejanym  </v>
      </c>
      <c r="X106" s="711">
        <f>MenuAVS!$I$87</f>
        <v>0.63</v>
      </c>
      <c r="Y106" s="37"/>
      <c r="AA106" s="37"/>
      <c r="AC106" s="37"/>
      <c r="AD106" s="37"/>
      <c r="AE106" s="37"/>
      <c r="AF106" s="335" t="str">
        <f>ListAVS!$B$94</f>
        <v>Ramki aluminiowe z 5mm szkłem</v>
      </c>
      <c r="AG106" s="335"/>
      <c r="AH106" s="335"/>
      <c r="AI106" s="335"/>
      <c r="AJ106" s="37"/>
      <c r="AK106" s="108"/>
      <c r="AL106" s="108"/>
      <c r="AM106" s="108"/>
      <c r="AN106" s="108"/>
      <c r="AO106" s="137"/>
      <c r="AP106" s="137"/>
      <c r="AQ106" s="137"/>
      <c r="AR106" s="137"/>
    </row>
    <row r="107" spans="1:54" s="118" customFormat="1" ht="15" customHeight="1" x14ac:dyDescent="0.2">
      <c r="A107" s="37"/>
      <c r="N107" s="37"/>
      <c r="O107" s="37"/>
      <c r="P107" s="37"/>
      <c r="Q107" s="37"/>
      <c r="R107" s="37"/>
      <c r="S107" s="37"/>
      <c r="T107" s="37"/>
      <c r="U107" s="37"/>
      <c r="V107" s="37"/>
      <c r="W107" s="816" t="str">
        <f>ListAVS!$B$405&amp;" [kg/set] *  "</f>
        <v xml:space="preserve">Waga materiału łączącego  [kg/set] *  </v>
      </c>
      <c r="X107" s="711">
        <f>MenuAVS!$I$88</f>
        <v>0.61</v>
      </c>
      <c r="Y107" s="37"/>
      <c r="AA107" s="37"/>
      <c r="AC107" s="37"/>
      <c r="AD107" s="37"/>
      <c r="AE107" s="37"/>
      <c r="AF107" s="335" t="str">
        <f>ListAVS!$B$95</f>
        <v>Ramki aluminiowe z innym szkłem</v>
      </c>
      <c r="AG107" s="335"/>
      <c r="AH107" s="335"/>
      <c r="AI107" s="335"/>
      <c r="AJ107" s="37"/>
      <c r="AK107" s="108"/>
      <c r="AL107" s="108"/>
      <c r="AM107" s="108"/>
      <c r="AN107" s="108"/>
      <c r="AO107" s="137"/>
      <c r="AP107" s="137"/>
      <c r="AQ107" s="137"/>
      <c r="AR107" s="137"/>
      <c r="AS107" s="37"/>
      <c r="AT107" s="37"/>
      <c r="AU107" s="37"/>
      <c r="AV107" s="37"/>
    </row>
    <row r="108" spans="1:54" s="118" customFormat="1" ht="15" customHeight="1" x14ac:dyDescent="0.2">
      <c r="A108" s="37"/>
      <c r="N108" s="37"/>
      <c r="O108" s="37"/>
      <c r="P108" s="37"/>
      <c r="Q108" s="37"/>
      <c r="R108" s="37"/>
      <c r="U108" s="37"/>
      <c r="V108" s="37"/>
      <c r="W108" s="37"/>
      <c r="X108" s="37"/>
      <c r="Y108" s="37"/>
      <c r="AA108" s="37"/>
      <c r="AC108" s="37"/>
      <c r="AD108" s="37"/>
      <c r="AE108" s="37"/>
      <c r="AF108" s="37"/>
      <c r="AG108" s="37"/>
      <c r="AH108" s="37"/>
      <c r="AI108" s="37"/>
      <c r="AJ108" s="37"/>
      <c r="AK108" s="108"/>
      <c r="AL108" s="108"/>
      <c r="AM108" s="108"/>
      <c r="AN108" s="108"/>
      <c r="AO108" s="137"/>
      <c r="AP108" s="137"/>
      <c r="AQ108" s="137"/>
      <c r="AR108" s="137"/>
      <c r="AS108" s="37"/>
      <c r="AT108" s="37"/>
      <c r="AU108" s="37"/>
      <c r="AV108" s="37"/>
      <c r="AW108" s="37"/>
      <c r="AX108" s="37"/>
      <c r="AY108" s="37"/>
      <c r="AZ108" s="37"/>
      <c r="BA108" s="37"/>
      <c r="BB108" s="37"/>
    </row>
    <row r="109" spans="1:54" s="118" customFormat="1" ht="15" customHeight="1" x14ac:dyDescent="0.2">
      <c r="A109" s="37"/>
      <c r="N109" s="37"/>
      <c r="O109" s="148"/>
      <c r="P109" s="148"/>
      <c r="Q109" s="148"/>
      <c r="R109" s="148"/>
      <c r="S109" s="148"/>
      <c r="T109" s="148"/>
      <c r="U109" s="148"/>
      <c r="V109" s="148"/>
      <c r="W109" s="148"/>
      <c r="X109" s="37"/>
      <c r="AJ109" s="37"/>
      <c r="AK109" s="108"/>
      <c r="AL109" s="108"/>
      <c r="AM109" s="108"/>
      <c r="AN109" s="108"/>
      <c r="AO109" s="137"/>
      <c r="AP109" s="137"/>
      <c r="AQ109" s="137"/>
      <c r="AR109" s="137"/>
      <c r="AS109" s="37"/>
      <c r="AT109" s="37"/>
      <c r="AU109" s="37"/>
      <c r="AV109" s="37"/>
      <c r="AW109" s="37"/>
      <c r="AX109" s="37"/>
      <c r="AY109" s="37"/>
      <c r="AZ109" s="37"/>
      <c r="BA109" s="37"/>
      <c r="BB109" s="37"/>
    </row>
    <row r="110" spans="1:54" ht="18" x14ac:dyDescent="0.2">
      <c r="A110" s="1045"/>
      <c r="B110" s="308" t="s">
        <v>14</v>
      </c>
      <c r="C110" s="321"/>
      <c r="D110" s="308"/>
      <c r="E110" s="308"/>
      <c r="F110" s="308"/>
      <c r="G110" s="308"/>
      <c r="H110" s="308"/>
      <c r="I110" s="308"/>
      <c r="J110" s="308"/>
      <c r="K110" s="308"/>
      <c r="L110" s="308"/>
      <c r="AK110" s="108"/>
      <c r="AL110" s="108"/>
      <c r="AM110" s="108"/>
      <c r="AN110" s="108"/>
      <c r="AO110" s="137"/>
      <c r="AP110" s="137"/>
      <c r="AQ110" s="137"/>
      <c r="AR110" s="137"/>
      <c r="AS110" s="137"/>
    </row>
    <row r="111" spans="1:54" ht="15" customHeight="1" x14ac:dyDescent="0.2">
      <c r="A111" s="1045"/>
      <c r="B111" s="255"/>
      <c r="C111" s="255"/>
      <c r="D111" s="255"/>
      <c r="E111" s="255"/>
      <c r="F111" s="255"/>
      <c r="G111" s="255"/>
      <c r="H111" s="255"/>
      <c r="I111" s="255"/>
      <c r="J111" s="255"/>
      <c r="K111" s="255"/>
      <c r="L111" s="255"/>
      <c r="M111" s="255"/>
      <c r="N111" s="255"/>
      <c r="AK111" s="108"/>
      <c r="AL111" s="108"/>
      <c r="AM111" s="108"/>
      <c r="AN111" s="108"/>
      <c r="AO111" s="137"/>
      <c r="AP111" s="137"/>
      <c r="AQ111" s="137"/>
      <c r="AR111" s="137"/>
      <c r="AS111" s="137"/>
    </row>
    <row r="112" spans="1:54" ht="15" customHeight="1" x14ac:dyDescent="0.2">
      <c r="A112" s="1045"/>
      <c r="B112" s="255" t="str">
        <f>ListAVS!$B$333</f>
        <v>Aby wybrać odpowiedni siłownik potrzebujesz znać wysokość korpusu i wagę frontu</v>
      </c>
      <c r="C112" s="255"/>
      <c r="D112" s="255"/>
      <c r="E112" s="255"/>
      <c r="F112" s="255"/>
      <c r="G112" s="255"/>
      <c r="H112" s="255"/>
      <c r="I112" s="255"/>
      <c r="J112" s="255"/>
      <c r="K112" s="255"/>
      <c r="L112" s="255"/>
      <c r="M112" s="255"/>
      <c r="N112" s="255"/>
      <c r="AK112" s="108"/>
      <c r="AL112" s="108"/>
      <c r="AM112" s="108"/>
      <c r="AN112" s="108"/>
      <c r="AO112" s="137"/>
      <c r="AP112" s="137"/>
      <c r="AQ112" s="137"/>
      <c r="AR112" s="137"/>
      <c r="AS112" s="137"/>
    </row>
    <row r="113" spans="1:45" ht="15" customHeight="1" x14ac:dyDescent="0.2">
      <c r="A113" s="1045"/>
      <c r="B113" s="255"/>
      <c r="C113" s="255"/>
      <c r="D113" s="255"/>
      <c r="E113" s="255"/>
      <c r="F113" s="255"/>
      <c r="G113" s="255"/>
      <c r="H113" s="255"/>
      <c r="I113" s="255"/>
      <c r="J113" s="255"/>
      <c r="K113" s="255"/>
      <c r="L113" s="255"/>
      <c r="M113" s="255"/>
      <c r="N113" s="255"/>
      <c r="AK113" s="108"/>
      <c r="AL113" s="108"/>
      <c r="AM113" s="108"/>
      <c r="AN113" s="108"/>
      <c r="AO113" s="137"/>
      <c r="AP113" s="137"/>
      <c r="AQ113" s="137"/>
      <c r="AR113" s="137"/>
      <c r="AS113" s="137"/>
    </row>
    <row r="114" spans="1:45" ht="15" customHeight="1" x14ac:dyDescent="0.2">
      <c r="A114" s="1045"/>
      <c r="B114" s="255" t="str">
        <f>ListAVS!$B$335</f>
        <v>Wysokość korpusu KH = 602 mm należy zaokrąglić do KH = 600 mm</v>
      </c>
      <c r="C114" s="255"/>
      <c r="D114" s="255"/>
      <c r="E114" s="255"/>
      <c r="F114" s="255"/>
      <c r="G114" s="255"/>
      <c r="H114" s="255"/>
      <c r="I114" s="255"/>
      <c r="J114" s="255"/>
      <c r="K114" s="255"/>
      <c r="L114" s="255"/>
      <c r="M114" s="255"/>
      <c r="N114" s="255"/>
      <c r="AK114" s="108"/>
      <c r="AL114" s="108"/>
      <c r="AM114" s="108"/>
      <c r="AN114" s="108"/>
      <c r="AO114" s="137"/>
      <c r="AP114" s="137"/>
      <c r="AQ114" s="137"/>
      <c r="AR114" s="137"/>
      <c r="AS114" s="137"/>
    </row>
    <row r="115" spans="1:45" ht="15" customHeight="1" x14ac:dyDescent="0.2">
      <c r="A115" s="1045"/>
      <c r="B115" s="255" t="str">
        <f>ListAVS!$B$336</f>
        <v>Wysokość korpusu KH = 603 mm należy zaokrąglić do KH = 605 mm</v>
      </c>
      <c r="C115" s="255"/>
      <c r="D115" s="255"/>
      <c r="E115" s="255"/>
      <c r="F115" s="255"/>
      <c r="G115" s="255"/>
      <c r="H115" s="255"/>
      <c r="I115" s="255"/>
      <c r="J115" s="255"/>
      <c r="K115" s="255"/>
      <c r="L115" s="255"/>
      <c r="M115" s="255"/>
      <c r="N115" s="255"/>
      <c r="AK115" s="108"/>
      <c r="AL115" s="108"/>
      <c r="AM115" s="108"/>
      <c r="AN115" s="108"/>
      <c r="AO115" s="137"/>
      <c r="AP115" s="137"/>
      <c r="AQ115" s="137"/>
      <c r="AR115" s="137"/>
      <c r="AS115" s="137"/>
    </row>
    <row r="116" spans="1:45" ht="15" customHeight="1" x14ac:dyDescent="0.2">
      <c r="A116" s="1045"/>
      <c r="B116" s="255"/>
      <c r="C116" s="255"/>
      <c r="D116" s="255"/>
      <c r="E116" s="255"/>
      <c r="F116" s="255"/>
      <c r="G116" s="255"/>
      <c r="H116" s="255"/>
      <c r="I116" s="255"/>
      <c r="J116" s="255"/>
      <c r="K116" s="255"/>
      <c r="L116" s="255"/>
      <c r="M116" s="255"/>
      <c r="N116" s="255"/>
      <c r="AK116" s="108"/>
      <c r="AL116" s="108"/>
      <c r="AM116" s="108"/>
      <c r="AN116" s="108"/>
      <c r="AO116" s="137"/>
      <c r="AP116" s="137"/>
      <c r="AQ116" s="137"/>
      <c r="AR116" s="137"/>
      <c r="AS116" s="137"/>
    </row>
    <row r="117" spans="1:45" ht="15" customHeight="1" x14ac:dyDescent="0.2">
      <c r="A117" s="1045"/>
      <c r="B117" s="255" t="str">
        <f>ListAVS!$B$312</f>
        <v>Jeśli znasz wagę frontu, możesz ją wprowadzić, w przeciwnym razie skorzystaj z „Obliczenia wagi”.</v>
      </c>
      <c r="C117" s="255"/>
      <c r="D117" s="255"/>
      <c r="E117" s="255"/>
      <c r="F117" s="255"/>
      <c r="G117" s="255"/>
      <c r="H117" s="255"/>
      <c r="I117" s="255"/>
      <c r="J117" s="255"/>
      <c r="K117" s="255"/>
      <c r="L117" s="255"/>
      <c r="M117" s="255"/>
      <c r="N117" s="255"/>
      <c r="AK117" s="108"/>
      <c r="AL117" s="108"/>
      <c r="AM117" s="108"/>
      <c r="AN117" s="108"/>
      <c r="AO117" s="137"/>
      <c r="AP117" s="137"/>
      <c r="AQ117" s="137"/>
      <c r="AR117" s="137"/>
      <c r="AS117" s="137"/>
    </row>
    <row r="118" spans="1:45" ht="15" customHeight="1" x14ac:dyDescent="0.2">
      <c r="A118" s="1045"/>
      <c r="B118" s="255" t="str">
        <f>ListAVS!$B$313</f>
        <v>W tabeli wprowadzona wartość ma pierwszeństwo aby skorzystać z wagi obliczeniowej, należy usunąć wprowadzoną wartość.</v>
      </c>
      <c r="C118" s="255"/>
      <c r="D118" s="255"/>
      <c r="E118" s="255"/>
      <c r="F118" s="255"/>
      <c r="G118" s="255"/>
      <c r="H118" s="255"/>
      <c r="I118" s="255"/>
      <c r="J118" s="255"/>
      <c r="K118" s="255"/>
      <c r="L118" s="255"/>
      <c r="M118" s="255"/>
      <c r="N118" s="255"/>
      <c r="AK118" s="108"/>
      <c r="AL118" s="108"/>
      <c r="AM118" s="108"/>
      <c r="AN118" s="108"/>
      <c r="AO118" s="137"/>
      <c r="AP118" s="137"/>
      <c r="AQ118" s="137"/>
      <c r="AR118" s="137"/>
      <c r="AS118" s="137"/>
    </row>
    <row r="119" spans="1:45" ht="15" customHeight="1" x14ac:dyDescent="0.2">
      <c r="A119" s="1045"/>
      <c r="B119" s="255"/>
      <c r="C119" s="255"/>
      <c r="D119" s="255"/>
      <c r="E119" s="255"/>
      <c r="F119" s="255"/>
      <c r="G119" s="255"/>
      <c r="H119" s="255"/>
      <c r="I119" s="255"/>
      <c r="J119" s="255"/>
      <c r="K119" s="255"/>
      <c r="L119" s="255"/>
      <c r="M119" s="255"/>
      <c r="N119" s="255"/>
      <c r="AK119" s="108"/>
      <c r="AL119" s="108"/>
      <c r="AM119" s="108"/>
      <c r="AN119" s="108"/>
      <c r="AO119" s="137"/>
      <c r="AP119" s="137"/>
      <c r="AQ119" s="137"/>
      <c r="AR119" s="137"/>
      <c r="AS119" s="137"/>
    </row>
    <row r="120" spans="1:45" ht="15" customHeight="1" x14ac:dyDescent="0.2">
      <c r="A120" s="1045"/>
      <c r="B120" s="255"/>
      <c r="C120" s="255"/>
      <c r="D120" s="255"/>
      <c r="E120" s="255"/>
      <c r="F120" s="255"/>
      <c r="G120" s="255"/>
      <c r="H120" s="255"/>
      <c r="I120" s="255"/>
      <c r="J120" s="255"/>
      <c r="K120" s="255"/>
      <c r="L120" s="255"/>
      <c r="M120" s="255"/>
      <c r="N120" s="255"/>
      <c r="AK120" s="108"/>
      <c r="AL120" s="108"/>
      <c r="AM120" s="108"/>
      <c r="AN120" s="108"/>
      <c r="AO120" s="137"/>
      <c r="AP120" s="137"/>
      <c r="AQ120" s="137"/>
      <c r="AR120" s="137"/>
      <c r="AS120" s="137"/>
    </row>
    <row r="121" spans="1:45" ht="15" customHeight="1" x14ac:dyDescent="0.2">
      <c r="A121" s="1045"/>
      <c r="B121" s="255" t="str">
        <f>ListAVS!$B$306</f>
        <v>Aby zmienić kolor zaślepek przejdź do „Wprowadzenie do planowania”</v>
      </c>
      <c r="C121" s="255"/>
      <c r="D121" s="255"/>
      <c r="E121" s="255"/>
      <c r="F121" s="255"/>
      <c r="G121" s="255"/>
      <c r="H121" s="255"/>
      <c r="I121" s="255"/>
      <c r="J121" s="255"/>
      <c r="K121" s="255"/>
      <c r="L121" s="255"/>
      <c r="M121" s="255"/>
      <c r="N121" s="255"/>
      <c r="AK121" s="108"/>
      <c r="AL121" s="108"/>
      <c r="AM121" s="108"/>
      <c r="AN121" s="108"/>
      <c r="AO121" s="137"/>
      <c r="AP121" s="137"/>
      <c r="AQ121" s="137"/>
      <c r="AR121" s="137"/>
      <c r="AS121" s="137"/>
    </row>
    <row r="122" spans="1:45" ht="15" customHeight="1" x14ac:dyDescent="0.2">
      <c r="A122" s="1045"/>
      <c r="B122" s="255"/>
      <c r="C122" s="255"/>
      <c r="D122" s="255"/>
      <c r="E122" s="255"/>
      <c r="F122" s="255"/>
      <c r="G122" s="255"/>
      <c r="H122" s="255"/>
      <c r="I122" s="255"/>
      <c r="J122" s="255"/>
      <c r="K122" s="255"/>
      <c r="L122" s="255"/>
      <c r="M122" s="255"/>
      <c r="N122" s="255"/>
      <c r="AK122" s="108"/>
      <c r="AL122" s="108"/>
      <c r="AM122" s="108"/>
      <c r="AN122" s="108"/>
      <c r="AO122" s="137"/>
      <c r="AP122" s="137"/>
      <c r="AQ122" s="137"/>
      <c r="AR122" s="137"/>
      <c r="AS122" s="137"/>
    </row>
    <row r="123" spans="1:45" ht="15" customHeight="1" x14ac:dyDescent="0.2">
      <c r="A123" s="1045"/>
      <c r="B123" s="255" t="str">
        <f>ListAVS!$B$411</f>
        <v>Zwróć uwagę na wybór ramek aluminiowych</v>
      </c>
      <c r="C123" s="255"/>
      <c r="D123" s="255"/>
      <c r="E123" s="255"/>
      <c r="F123" s="255"/>
      <c r="G123" s="255"/>
      <c r="H123" s="255"/>
      <c r="I123" s="255"/>
      <c r="J123" s="255"/>
      <c r="K123" s="255"/>
      <c r="L123" s="255"/>
      <c r="M123" s="255"/>
      <c r="N123" s="255"/>
      <c r="AK123" s="108"/>
      <c r="AL123" s="108"/>
      <c r="AM123" s="108"/>
      <c r="AN123" s="108"/>
      <c r="AO123" s="137"/>
      <c r="AP123" s="137"/>
      <c r="AQ123" s="137"/>
      <c r="AR123" s="137"/>
      <c r="AS123" s="137"/>
    </row>
    <row r="124" spans="1:45" ht="15" customHeight="1" x14ac:dyDescent="0.2">
      <c r="A124" s="1045"/>
      <c r="B124" s="255" t="str">
        <f>ListAVS!$B$412</f>
        <v>Wybierz, rodzaj, który lepiej pasuje do kształtu zastosowanej ramki aluminiowej.</v>
      </c>
      <c r="C124" s="255"/>
      <c r="D124" s="255"/>
      <c r="E124" s="255"/>
      <c r="F124" s="255"/>
      <c r="G124" s="255"/>
      <c r="H124" s="255"/>
      <c r="I124" s="255"/>
      <c r="J124" s="255"/>
      <c r="K124" s="255"/>
      <c r="L124" s="266"/>
      <c r="M124" s="255"/>
      <c r="N124" s="255"/>
      <c r="AK124" s="108"/>
      <c r="AL124" s="108"/>
      <c r="AM124" s="108"/>
      <c r="AN124" s="108"/>
      <c r="AO124" s="137"/>
      <c r="AP124" s="137"/>
      <c r="AQ124" s="137"/>
      <c r="AR124" s="137"/>
      <c r="AS124" s="137"/>
    </row>
    <row r="125" spans="1:45" ht="15" customHeight="1" x14ac:dyDescent="0.2">
      <c r="A125" s="1045"/>
      <c r="B125" s="255" t="str">
        <f>ListAVS!$B$413</f>
        <v>Sposób mocowania szkła w ramkę znacząco wpływa na powierzchnię szkła, a co za tym idzie na jego wagę!</v>
      </c>
      <c r="C125" s="255"/>
      <c r="D125" s="255"/>
      <c r="E125" s="255"/>
      <c r="F125" s="255"/>
      <c r="G125" s="255"/>
      <c r="H125" s="255"/>
      <c r="I125" s="255"/>
      <c r="J125" s="255"/>
      <c r="K125" s="255"/>
      <c r="L125" s="255"/>
      <c r="M125" s="255"/>
      <c r="N125" s="255"/>
      <c r="AK125" s="108"/>
      <c r="AL125" s="108"/>
      <c r="AM125" s="108"/>
      <c r="AN125" s="108"/>
      <c r="AO125" s="137"/>
      <c r="AP125" s="137"/>
      <c r="AQ125" s="137"/>
      <c r="AR125" s="137"/>
      <c r="AS125" s="137"/>
    </row>
    <row r="126" spans="1:45" s="253" customFormat="1" ht="15" customHeight="1" x14ac:dyDescent="0.2">
      <c r="A126" s="1045"/>
      <c r="B126" s="255"/>
      <c r="C126" s="255"/>
      <c r="D126" s="255"/>
      <c r="E126" s="255"/>
      <c r="F126" s="255"/>
      <c r="G126" s="255"/>
      <c r="H126" s="255"/>
      <c r="I126" s="255"/>
      <c r="J126" s="255"/>
      <c r="K126" s="255"/>
      <c r="L126" s="255"/>
      <c r="M126" s="255"/>
      <c r="N126" s="255"/>
      <c r="O126" s="248"/>
      <c r="P126" s="255"/>
      <c r="Q126" s="248"/>
      <c r="R126" s="255"/>
      <c r="S126" s="255"/>
      <c r="T126" s="255"/>
      <c r="U126" s="255"/>
      <c r="V126" s="255"/>
      <c r="W126" s="255"/>
      <c r="X126" s="255"/>
      <c r="Y126" s="255"/>
      <c r="Z126" s="255"/>
      <c r="AA126" s="255"/>
      <c r="AB126" s="255"/>
      <c r="AC126" s="255"/>
      <c r="AD126" s="255"/>
      <c r="AE126" s="255"/>
      <c r="AF126" s="255"/>
      <c r="AG126" s="255"/>
      <c r="AH126" s="255"/>
      <c r="AI126" s="255"/>
      <c r="AJ126" s="255"/>
      <c r="AK126" s="670"/>
      <c r="AL126" s="670"/>
      <c r="AM126" s="670"/>
      <c r="AN126" s="670"/>
      <c r="AO126" s="266"/>
      <c r="AP126" s="266"/>
      <c r="AQ126" s="266"/>
      <c r="AR126" s="266"/>
      <c r="AS126" s="266"/>
    </row>
    <row r="127" spans="1:45" s="253" customFormat="1" ht="15" customHeight="1" x14ac:dyDescent="0.2">
      <c r="A127" s="1045"/>
      <c r="B127" s="255"/>
      <c r="C127" s="796" t="str">
        <f>"  "&amp;ListAVS!$B$422&amp;"  "</f>
        <v xml:space="preserve">  z wpuszczanym szkłem  </v>
      </c>
      <c r="D127" s="255"/>
      <c r="E127" s="255"/>
      <c r="F127" s="255"/>
      <c r="G127" s="255"/>
      <c r="H127" s="255"/>
      <c r="I127" s="255"/>
      <c r="J127" s="255"/>
      <c r="K127" s="255"/>
      <c r="L127" s="255"/>
      <c r="M127" s="255"/>
      <c r="N127" s="255"/>
      <c r="O127" s="248"/>
      <c r="P127" s="255"/>
      <c r="Q127" s="248"/>
      <c r="R127" s="255"/>
      <c r="S127" s="255"/>
      <c r="T127" s="255"/>
      <c r="U127" s="255"/>
      <c r="V127" s="255"/>
      <c r="W127" s="255"/>
      <c r="X127" s="255"/>
      <c r="Y127" s="255"/>
      <c r="Z127" s="255"/>
      <c r="AA127" s="255"/>
      <c r="AB127" s="255"/>
      <c r="AC127" s="255"/>
      <c r="AD127" s="255"/>
      <c r="AE127" s="255"/>
      <c r="AF127" s="255"/>
      <c r="AG127" s="255"/>
      <c r="AH127" s="255"/>
      <c r="AI127" s="255"/>
      <c r="AJ127" s="255"/>
      <c r="AK127" s="670"/>
      <c r="AL127" s="670"/>
      <c r="AM127" s="670"/>
      <c r="AN127" s="670"/>
      <c r="AO127" s="266"/>
      <c r="AP127" s="266"/>
      <c r="AQ127" s="266"/>
      <c r="AR127" s="266"/>
      <c r="AS127" s="266"/>
    </row>
    <row r="128" spans="1:45" s="253" customFormat="1" ht="15" customHeight="1" x14ac:dyDescent="0.2">
      <c r="A128" s="1045"/>
      <c r="B128" s="255"/>
      <c r="C128" s="266"/>
      <c r="D128" s="255"/>
      <c r="E128" s="255"/>
      <c r="F128" s="255"/>
      <c r="G128" s="255"/>
      <c r="H128" s="255"/>
      <c r="I128" s="255"/>
      <c r="J128" s="255"/>
      <c r="K128" s="255"/>
      <c r="L128" s="255"/>
      <c r="M128" s="255"/>
      <c r="N128" s="255"/>
      <c r="O128" s="248"/>
      <c r="P128" s="255"/>
      <c r="Q128" s="248"/>
      <c r="R128" s="255"/>
      <c r="S128" s="255"/>
      <c r="T128" s="255"/>
      <c r="U128" s="255"/>
      <c r="V128" s="255"/>
      <c r="W128" s="255"/>
      <c r="X128" s="255"/>
      <c r="Y128" s="255"/>
      <c r="Z128" s="255"/>
      <c r="AA128" s="255"/>
      <c r="AB128" s="255"/>
      <c r="AC128" s="255"/>
      <c r="AD128" s="255"/>
      <c r="AE128" s="255"/>
      <c r="AF128" s="255"/>
      <c r="AG128" s="255"/>
      <c r="AH128" s="255"/>
      <c r="AI128" s="255"/>
      <c r="AJ128" s="255"/>
      <c r="AK128" s="670"/>
      <c r="AL128" s="670"/>
      <c r="AM128" s="670"/>
      <c r="AN128" s="670"/>
      <c r="AO128" s="266"/>
      <c r="AP128" s="266"/>
      <c r="AQ128" s="266"/>
      <c r="AR128" s="266"/>
      <c r="AS128" s="266"/>
    </row>
    <row r="129" spans="1:45" s="253" customFormat="1" ht="15" customHeight="1" x14ac:dyDescent="0.2">
      <c r="A129" s="1045"/>
      <c r="B129" s="255"/>
      <c r="C129" s="796" t="str">
        <f>"  "&amp;ListAVS!$B$423&amp;"  "</f>
        <v xml:space="preserve">  ze szkłem nakładanym lub przyklejanym  </v>
      </c>
      <c r="D129" s="255"/>
      <c r="E129" s="255"/>
      <c r="F129" s="255"/>
      <c r="G129" s="255"/>
      <c r="H129" s="255"/>
      <c r="I129" s="255"/>
      <c r="J129" s="255"/>
      <c r="K129" s="255"/>
      <c r="L129" s="255"/>
      <c r="M129" s="255"/>
      <c r="N129" s="255"/>
      <c r="O129" s="248"/>
      <c r="P129" s="255"/>
      <c r="Q129" s="248"/>
      <c r="R129" s="255"/>
      <c r="S129" s="255"/>
      <c r="T129" s="255"/>
      <c r="U129" s="255"/>
      <c r="V129" s="255"/>
      <c r="W129" s="255"/>
      <c r="X129" s="255"/>
      <c r="Y129" s="255"/>
      <c r="Z129" s="255"/>
      <c r="AA129" s="255"/>
      <c r="AB129" s="255"/>
      <c r="AC129" s="255"/>
      <c r="AD129" s="255"/>
      <c r="AE129" s="255"/>
      <c r="AF129" s="255"/>
      <c r="AG129" s="255"/>
      <c r="AH129" s="255"/>
      <c r="AI129" s="255"/>
      <c r="AJ129" s="255"/>
      <c r="AK129" s="670"/>
      <c r="AL129" s="670"/>
      <c r="AM129" s="670"/>
      <c r="AN129" s="670"/>
      <c r="AO129" s="266"/>
      <c r="AP129" s="266"/>
      <c r="AQ129" s="266"/>
      <c r="AR129" s="266"/>
      <c r="AS129" s="266"/>
    </row>
    <row r="130" spans="1:45" s="253" customFormat="1" ht="15" customHeight="1" x14ac:dyDescent="0.2">
      <c r="A130" s="1045"/>
      <c r="B130" s="255"/>
      <c r="C130" s="255"/>
      <c r="D130" s="255"/>
      <c r="E130" s="255"/>
      <c r="F130" s="255"/>
      <c r="G130" s="255"/>
      <c r="H130" s="255"/>
      <c r="I130" s="255"/>
      <c r="J130" s="255"/>
      <c r="K130" s="255"/>
      <c r="L130" s="255"/>
      <c r="M130" s="255"/>
      <c r="N130" s="255"/>
      <c r="O130" s="248"/>
      <c r="P130" s="255"/>
      <c r="Q130" s="248"/>
      <c r="R130" s="255"/>
      <c r="S130" s="255"/>
      <c r="T130" s="255"/>
      <c r="U130" s="255"/>
      <c r="V130" s="255"/>
      <c r="W130" s="255"/>
      <c r="X130" s="255"/>
      <c r="Y130" s="255"/>
      <c r="Z130" s="255"/>
      <c r="AA130" s="255"/>
      <c r="AB130" s="255"/>
      <c r="AC130" s="255"/>
      <c r="AD130" s="255"/>
      <c r="AE130" s="255"/>
      <c r="AF130" s="255"/>
      <c r="AG130" s="255"/>
      <c r="AH130" s="255"/>
      <c r="AI130" s="255"/>
      <c r="AJ130" s="255"/>
      <c r="AK130" s="670"/>
      <c r="AL130" s="670"/>
      <c r="AM130" s="670"/>
      <c r="AN130" s="670"/>
      <c r="AO130" s="266"/>
      <c r="AP130" s="266"/>
      <c r="AQ130" s="266"/>
      <c r="AR130" s="266"/>
      <c r="AS130" s="266"/>
    </row>
    <row r="131" spans="1:45" s="253" customFormat="1" ht="15" customHeight="1" x14ac:dyDescent="0.2">
      <c r="A131" s="1045"/>
      <c r="B131" s="255"/>
      <c r="C131" s="255"/>
      <c r="D131" s="255"/>
      <c r="E131" s="255"/>
      <c r="F131" s="255"/>
      <c r="G131" s="255"/>
      <c r="H131" s="255"/>
      <c r="I131" s="255"/>
      <c r="J131" s="255"/>
      <c r="K131" s="255"/>
      <c r="L131" s="702" t="str">
        <f>ListAVS!$B$168</f>
        <v>Z powrotem</v>
      </c>
      <c r="M131" s="255"/>
      <c r="N131" s="255"/>
      <c r="O131" s="248"/>
      <c r="P131" s="255"/>
      <c r="Q131" s="248"/>
      <c r="R131" s="255"/>
      <c r="S131" s="255"/>
      <c r="T131" s="255"/>
      <c r="U131" s="255"/>
      <c r="V131" s="255"/>
      <c r="W131" s="255"/>
      <c r="X131" s="255"/>
      <c r="Y131" s="255"/>
      <c r="Z131" s="255"/>
      <c r="AA131" s="255"/>
      <c r="AB131" s="255"/>
      <c r="AC131" s="255"/>
      <c r="AD131" s="255"/>
      <c r="AE131" s="255"/>
      <c r="AF131" s="255"/>
      <c r="AG131" s="255"/>
      <c r="AH131" s="255"/>
      <c r="AI131" s="255"/>
      <c r="AJ131" s="255"/>
      <c r="AK131" s="670"/>
      <c r="AL131" s="670"/>
      <c r="AM131" s="670"/>
      <c r="AN131" s="670"/>
      <c r="AO131" s="266"/>
      <c r="AP131" s="266"/>
      <c r="AQ131" s="266"/>
      <c r="AR131" s="266"/>
      <c r="AS131" s="266"/>
    </row>
    <row r="132" spans="1:45" s="253" customFormat="1" ht="15" customHeight="1" x14ac:dyDescent="0.2">
      <c r="A132" s="1045"/>
      <c r="B132" s="255"/>
      <c r="C132" s="255"/>
      <c r="D132" s="255"/>
      <c r="E132" s="255"/>
      <c r="F132" s="255"/>
      <c r="G132" s="255"/>
      <c r="H132" s="255"/>
      <c r="I132" s="255"/>
      <c r="J132" s="255"/>
      <c r="K132" s="255"/>
      <c r="L132" s="255"/>
      <c r="M132" s="255"/>
      <c r="N132" s="255"/>
      <c r="O132" s="248"/>
      <c r="P132" s="255"/>
      <c r="Q132" s="248"/>
      <c r="R132" s="255"/>
      <c r="S132" s="255"/>
      <c r="T132" s="255"/>
      <c r="U132" s="255"/>
      <c r="V132" s="255"/>
      <c r="W132" s="255"/>
      <c r="X132" s="255"/>
      <c r="Y132" s="255"/>
      <c r="Z132" s="255"/>
      <c r="AA132" s="255"/>
      <c r="AB132" s="255"/>
      <c r="AC132" s="255"/>
      <c r="AD132" s="255"/>
      <c r="AE132" s="255"/>
      <c r="AF132" s="255"/>
      <c r="AG132" s="255"/>
      <c r="AH132" s="255"/>
      <c r="AI132" s="255"/>
      <c r="AJ132" s="255"/>
      <c r="AK132" s="670"/>
      <c r="AL132" s="670"/>
      <c r="AM132" s="670"/>
      <c r="AN132" s="670"/>
      <c r="AO132" s="266"/>
      <c r="AP132" s="266"/>
      <c r="AQ132" s="266"/>
      <c r="AR132" s="266"/>
      <c r="AS132" s="266"/>
    </row>
    <row r="133" spans="1:45" x14ac:dyDescent="0.2">
      <c r="A133" s="1045"/>
      <c r="AK133" s="108"/>
      <c r="AL133" s="108"/>
      <c r="AM133" s="108"/>
      <c r="AN133" s="108"/>
      <c r="AO133" s="137"/>
      <c r="AP133" s="137"/>
      <c r="AQ133" s="137"/>
      <c r="AR133" s="137"/>
      <c r="AS133" s="137"/>
    </row>
    <row r="134" spans="1:45" x14ac:dyDescent="0.2">
      <c r="A134" s="1045"/>
      <c r="AK134" s="108"/>
      <c r="AL134" s="108"/>
      <c r="AM134" s="108"/>
      <c r="AN134" s="108"/>
      <c r="AO134" s="137"/>
      <c r="AP134" s="137"/>
      <c r="AQ134" s="137"/>
      <c r="AR134" s="137"/>
      <c r="AS134" s="137"/>
    </row>
    <row r="135" spans="1:45" x14ac:dyDescent="0.2">
      <c r="A135" s="1045"/>
      <c r="AK135" s="108"/>
      <c r="AL135" s="108"/>
      <c r="AM135" s="108"/>
      <c r="AN135" s="108"/>
      <c r="AO135" s="137"/>
      <c r="AP135" s="137"/>
      <c r="AQ135" s="137"/>
      <c r="AR135" s="137"/>
      <c r="AS135" s="137"/>
    </row>
    <row r="136" spans="1:45" x14ac:dyDescent="0.2">
      <c r="A136" s="1045"/>
      <c r="AK136" s="108"/>
      <c r="AL136" s="108"/>
      <c r="AM136" s="108"/>
      <c r="AN136" s="108"/>
      <c r="AO136" s="137"/>
      <c r="AP136" s="137"/>
      <c r="AQ136" s="137"/>
      <c r="AR136" s="137"/>
      <c r="AS136" s="137"/>
    </row>
    <row r="137" spans="1:45" x14ac:dyDescent="0.2">
      <c r="A137" s="1045"/>
      <c r="AK137" s="108"/>
      <c r="AL137" s="108"/>
      <c r="AM137" s="108"/>
      <c r="AN137" s="108"/>
      <c r="AO137" s="137"/>
      <c r="AP137" s="137"/>
      <c r="AQ137" s="137"/>
      <c r="AR137" s="137"/>
      <c r="AS137" s="137"/>
    </row>
    <row r="138" spans="1:45" x14ac:dyDescent="0.2">
      <c r="A138" s="1045"/>
      <c r="AK138" s="108"/>
      <c r="AL138" s="108"/>
      <c r="AM138" s="108"/>
      <c r="AN138" s="108"/>
      <c r="AO138" s="137"/>
      <c r="AP138" s="137"/>
      <c r="AQ138" s="137"/>
      <c r="AR138" s="137"/>
      <c r="AS138" s="137"/>
    </row>
    <row r="139" spans="1:45" x14ac:dyDescent="0.2">
      <c r="A139" s="1045"/>
      <c r="AK139" s="108"/>
      <c r="AL139" s="108"/>
      <c r="AM139" s="108"/>
      <c r="AN139" s="108"/>
      <c r="AO139" s="137"/>
      <c r="AP139" s="137"/>
      <c r="AQ139" s="137"/>
      <c r="AR139" s="137"/>
      <c r="AS139" s="137"/>
    </row>
    <row r="140" spans="1:45" x14ac:dyDescent="0.2">
      <c r="A140" s="1045"/>
      <c r="AK140" s="108"/>
      <c r="AL140" s="108"/>
      <c r="AM140" s="108"/>
      <c r="AN140" s="108"/>
      <c r="AO140" s="137"/>
      <c r="AP140" s="137"/>
      <c r="AQ140" s="137"/>
      <c r="AR140" s="137"/>
      <c r="AS140" s="137"/>
    </row>
    <row r="141" spans="1:45" x14ac:dyDescent="0.2">
      <c r="A141" s="1045"/>
      <c r="AK141" s="108"/>
      <c r="AL141" s="108"/>
      <c r="AM141" s="108"/>
      <c r="AN141" s="108"/>
      <c r="AO141" s="137"/>
      <c r="AP141" s="137"/>
      <c r="AQ141" s="137"/>
      <c r="AR141" s="137"/>
      <c r="AS141" s="137"/>
    </row>
    <row r="142" spans="1:45" x14ac:dyDescent="0.2">
      <c r="A142" s="1045"/>
      <c r="AK142" s="108"/>
      <c r="AL142" s="108"/>
      <c r="AM142" s="108"/>
      <c r="AN142" s="108"/>
      <c r="AO142" s="137"/>
      <c r="AP142" s="137"/>
      <c r="AQ142" s="137"/>
      <c r="AR142" s="137"/>
      <c r="AS142" s="137"/>
    </row>
    <row r="143" spans="1:45" x14ac:dyDescent="0.2">
      <c r="A143" s="1045"/>
      <c r="AK143" s="108"/>
      <c r="AL143" s="108"/>
      <c r="AM143" s="108"/>
      <c r="AN143" s="108"/>
      <c r="AO143" s="137"/>
      <c r="AP143" s="137"/>
      <c r="AQ143" s="137"/>
      <c r="AR143" s="137"/>
      <c r="AS143" s="137"/>
    </row>
    <row r="144" spans="1:45" x14ac:dyDescent="0.2">
      <c r="A144" s="1045"/>
      <c r="AK144" s="108"/>
      <c r="AL144" s="108"/>
      <c r="AM144" s="108"/>
      <c r="AN144" s="108"/>
      <c r="AO144" s="137"/>
      <c r="AP144" s="137"/>
      <c r="AQ144" s="137"/>
      <c r="AR144" s="137"/>
      <c r="AS144" s="137"/>
    </row>
    <row r="145" spans="1:45" x14ac:dyDescent="0.2">
      <c r="A145" s="1045"/>
      <c r="AK145" s="108"/>
      <c r="AL145" s="108"/>
      <c r="AM145" s="108"/>
      <c r="AN145" s="108"/>
      <c r="AO145" s="137"/>
      <c r="AP145" s="137"/>
      <c r="AQ145" s="137"/>
      <c r="AR145" s="137"/>
      <c r="AS145" s="137"/>
    </row>
    <row r="146" spans="1:45" x14ac:dyDescent="0.2">
      <c r="A146" s="1045"/>
      <c r="AK146" s="108"/>
      <c r="AL146" s="108"/>
      <c r="AM146" s="108"/>
      <c r="AN146" s="108"/>
      <c r="AO146" s="137"/>
      <c r="AP146" s="137"/>
      <c r="AQ146" s="137"/>
      <c r="AR146" s="137"/>
      <c r="AS146" s="137"/>
    </row>
    <row r="147" spans="1:45" x14ac:dyDescent="0.2">
      <c r="A147" s="1045"/>
      <c r="AK147" s="108"/>
      <c r="AL147" s="108"/>
      <c r="AM147" s="108"/>
      <c r="AN147" s="108"/>
      <c r="AO147" s="137"/>
      <c r="AP147" s="137"/>
      <c r="AQ147" s="137"/>
      <c r="AR147" s="137"/>
      <c r="AS147" s="137"/>
    </row>
    <row r="148" spans="1:45" x14ac:dyDescent="0.2">
      <c r="A148" s="1045"/>
      <c r="AK148" s="108"/>
      <c r="AL148" s="108"/>
      <c r="AM148" s="108"/>
      <c r="AN148" s="108"/>
      <c r="AO148" s="137"/>
      <c r="AP148" s="137"/>
      <c r="AQ148" s="137"/>
      <c r="AR148" s="137"/>
      <c r="AS148" s="137"/>
    </row>
    <row r="149" spans="1:45" x14ac:dyDescent="0.2">
      <c r="A149" s="1045"/>
      <c r="AK149" s="108"/>
      <c r="AL149" s="108"/>
      <c r="AM149" s="108"/>
      <c r="AN149" s="108"/>
      <c r="AO149" s="137"/>
      <c r="AP149" s="137"/>
      <c r="AQ149" s="137"/>
      <c r="AR149" s="137"/>
      <c r="AS149" s="137"/>
    </row>
    <row r="150" spans="1:45" x14ac:dyDescent="0.2">
      <c r="A150" s="1045"/>
      <c r="AK150" s="108"/>
      <c r="AL150" s="108"/>
      <c r="AM150" s="108"/>
      <c r="AN150" s="108"/>
      <c r="AO150" s="137"/>
      <c r="AP150" s="137"/>
      <c r="AQ150" s="137"/>
      <c r="AR150" s="137"/>
      <c r="AS150" s="137"/>
    </row>
    <row r="151" spans="1:45" x14ac:dyDescent="0.2">
      <c r="A151" s="1045"/>
      <c r="AK151" s="108"/>
      <c r="AL151" s="108"/>
      <c r="AM151" s="108"/>
      <c r="AN151" s="108"/>
      <c r="AO151" s="137"/>
      <c r="AP151" s="137"/>
      <c r="AQ151" s="137"/>
      <c r="AR151" s="137"/>
      <c r="AS151" s="137"/>
    </row>
    <row r="152" spans="1:45" x14ac:dyDescent="0.2">
      <c r="AK152" s="108"/>
      <c r="AL152" s="108"/>
      <c r="AM152" s="108"/>
      <c r="AN152" s="108"/>
      <c r="AO152" s="137"/>
      <c r="AP152" s="137"/>
      <c r="AQ152" s="137"/>
      <c r="AR152" s="137"/>
      <c r="AS152" s="137"/>
    </row>
    <row r="153" spans="1:45" x14ac:dyDescent="0.2">
      <c r="AK153" s="108"/>
      <c r="AL153" s="108"/>
      <c r="AM153" s="108"/>
      <c r="AN153" s="108"/>
      <c r="AO153" s="137"/>
      <c r="AP153" s="137"/>
      <c r="AQ153" s="137"/>
      <c r="AR153" s="137"/>
      <c r="AS153" s="137"/>
    </row>
    <row r="154" spans="1:45" x14ac:dyDescent="0.2">
      <c r="AK154" s="108"/>
      <c r="AL154" s="108"/>
      <c r="AM154" s="108"/>
      <c r="AN154" s="108"/>
      <c r="AO154" s="137"/>
      <c r="AP154" s="137"/>
      <c r="AQ154" s="137"/>
      <c r="AR154" s="137"/>
      <c r="AS154" s="137"/>
    </row>
    <row r="155" spans="1:45" x14ac:dyDescent="0.2">
      <c r="AK155" s="108"/>
      <c r="AL155" s="108"/>
      <c r="AM155" s="108"/>
      <c r="AN155" s="108"/>
      <c r="AO155" s="137"/>
      <c r="AP155" s="137"/>
      <c r="AQ155" s="137"/>
      <c r="AR155" s="137"/>
      <c r="AS155" s="137"/>
    </row>
    <row r="156" spans="1:45" x14ac:dyDescent="0.2">
      <c r="AK156" s="108"/>
      <c r="AL156" s="108"/>
      <c r="AM156" s="108"/>
      <c r="AN156" s="108"/>
      <c r="AO156" s="137"/>
      <c r="AP156" s="137"/>
      <c r="AQ156" s="137"/>
      <c r="AR156" s="137"/>
      <c r="AS156" s="137"/>
    </row>
    <row r="157" spans="1:45" x14ac:dyDescent="0.2">
      <c r="AK157" s="108"/>
      <c r="AL157" s="108"/>
      <c r="AM157" s="108"/>
      <c r="AN157" s="108"/>
      <c r="AO157" s="137"/>
      <c r="AP157" s="137"/>
      <c r="AQ157" s="137"/>
      <c r="AR157" s="137"/>
      <c r="AS157" s="137"/>
    </row>
    <row r="158" spans="1:45" x14ac:dyDescent="0.2">
      <c r="AK158" s="108"/>
      <c r="AL158" s="108"/>
      <c r="AM158" s="108"/>
      <c r="AN158" s="108"/>
      <c r="AO158" s="137"/>
      <c r="AP158" s="137"/>
      <c r="AQ158" s="137"/>
      <c r="AR158" s="137"/>
      <c r="AS158" s="137"/>
    </row>
    <row r="159" spans="1:45" x14ac:dyDescent="0.2">
      <c r="AK159" s="108"/>
      <c r="AL159" s="108"/>
      <c r="AM159" s="108"/>
      <c r="AN159" s="108"/>
      <c r="AO159" s="137"/>
      <c r="AP159" s="137"/>
      <c r="AQ159" s="137"/>
      <c r="AR159" s="137"/>
      <c r="AS159" s="137"/>
    </row>
    <row r="160" spans="1:45" x14ac:dyDescent="0.2">
      <c r="AK160" s="108"/>
      <c r="AL160" s="108"/>
      <c r="AM160" s="108"/>
      <c r="AN160" s="108"/>
      <c r="AO160" s="137"/>
      <c r="AP160" s="137"/>
      <c r="AQ160" s="137"/>
      <c r="AR160" s="137"/>
      <c r="AS160" s="137"/>
    </row>
    <row r="161" spans="37:45" x14ac:dyDescent="0.2">
      <c r="AK161" s="108"/>
      <c r="AL161" s="108"/>
      <c r="AM161" s="108"/>
      <c r="AN161" s="108"/>
      <c r="AO161" s="137"/>
      <c r="AP161" s="137"/>
      <c r="AQ161" s="137"/>
      <c r="AR161" s="137"/>
      <c r="AS161" s="137"/>
    </row>
    <row r="162" spans="37:45" x14ac:dyDescent="0.2">
      <c r="AK162" s="108"/>
      <c r="AL162" s="108"/>
      <c r="AM162" s="108"/>
      <c r="AN162" s="108"/>
      <c r="AO162" s="137"/>
      <c r="AP162" s="137"/>
      <c r="AQ162" s="137"/>
      <c r="AR162" s="137"/>
      <c r="AS162" s="137"/>
    </row>
    <row r="163" spans="37:45" x14ac:dyDescent="0.2">
      <c r="AK163" s="108"/>
      <c r="AL163" s="108"/>
      <c r="AM163" s="108"/>
      <c r="AN163" s="108"/>
      <c r="AO163" s="137"/>
      <c r="AP163" s="137"/>
      <c r="AQ163" s="137"/>
      <c r="AR163" s="137"/>
      <c r="AS163" s="137"/>
    </row>
    <row r="164" spans="37:45" x14ac:dyDescent="0.2">
      <c r="AK164" s="108"/>
      <c r="AL164" s="108"/>
      <c r="AM164" s="108"/>
      <c r="AN164" s="108"/>
      <c r="AO164" s="137"/>
      <c r="AP164" s="137"/>
      <c r="AQ164" s="137"/>
      <c r="AR164" s="137"/>
      <c r="AS164" s="137"/>
    </row>
    <row r="165" spans="37:45" x14ac:dyDescent="0.2">
      <c r="AK165" s="108"/>
      <c r="AL165" s="108"/>
      <c r="AM165" s="108"/>
      <c r="AN165" s="108"/>
      <c r="AO165" s="137"/>
      <c r="AP165" s="137"/>
      <c r="AQ165" s="137"/>
      <c r="AR165" s="137"/>
      <c r="AS165" s="137"/>
    </row>
    <row r="166" spans="37:45" x14ac:dyDescent="0.2">
      <c r="AK166" s="108"/>
      <c r="AL166" s="108"/>
      <c r="AM166" s="108"/>
      <c r="AN166" s="108"/>
      <c r="AO166" s="137"/>
      <c r="AP166" s="137"/>
      <c r="AQ166" s="137"/>
      <c r="AR166" s="137"/>
      <c r="AS166" s="137"/>
    </row>
    <row r="167" spans="37:45" x14ac:dyDescent="0.2">
      <c r="AK167" s="108"/>
      <c r="AL167" s="108"/>
      <c r="AM167" s="108"/>
      <c r="AN167" s="108"/>
      <c r="AO167" s="137"/>
      <c r="AP167" s="137"/>
      <c r="AQ167" s="137"/>
      <c r="AR167" s="137"/>
      <c r="AS167" s="137"/>
    </row>
    <row r="168" spans="37:45" x14ac:dyDescent="0.2">
      <c r="AK168" s="108"/>
      <c r="AL168" s="108"/>
      <c r="AM168" s="108"/>
      <c r="AN168" s="108"/>
      <c r="AO168" s="137"/>
      <c r="AP168" s="137"/>
      <c r="AQ168" s="137"/>
      <c r="AR168" s="137"/>
      <c r="AS168" s="137"/>
    </row>
    <row r="169" spans="37:45" x14ac:dyDescent="0.2">
      <c r="AK169" s="108"/>
      <c r="AL169" s="108"/>
      <c r="AM169" s="108"/>
      <c r="AN169" s="108"/>
      <c r="AO169" s="137"/>
      <c r="AP169" s="137"/>
      <c r="AQ169" s="137"/>
      <c r="AR169" s="137"/>
      <c r="AS169" s="137"/>
    </row>
    <row r="170" spans="37:45" x14ac:dyDescent="0.2">
      <c r="AK170" s="108"/>
      <c r="AL170" s="108"/>
      <c r="AM170" s="108"/>
      <c r="AN170" s="108"/>
      <c r="AO170" s="137"/>
      <c r="AP170" s="137"/>
      <c r="AQ170" s="137"/>
      <c r="AR170" s="137"/>
      <c r="AS170" s="137"/>
    </row>
    <row r="171" spans="37:45" x14ac:dyDescent="0.2">
      <c r="AK171" s="108"/>
      <c r="AL171" s="108"/>
      <c r="AM171" s="108"/>
      <c r="AN171" s="108"/>
      <c r="AO171" s="137"/>
      <c r="AP171" s="137"/>
      <c r="AQ171" s="137"/>
      <c r="AR171" s="137"/>
      <c r="AS171" s="137"/>
    </row>
    <row r="172" spans="37:45" x14ac:dyDescent="0.2">
      <c r="AK172" s="108"/>
      <c r="AL172" s="108"/>
      <c r="AM172" s="108"/>
      <c r="AN172" s="108"/>
      <c r="AO172" s="137"/>
      <c r="AP172" s="137"/>
      <c r="AQ172" s="137"/>
      <c r="AR172" s="137"/>
      <c r="AS172" s="137"/>
    </row>
    <row r="173" spans="37:45" x14ac:dyDescent="0.2">
      <c r="AK173" s="108"/>
      <c r="AL173" s="108"/>
      <c r="AM173" s="108"/>
      <c r="AN173" s="108"/>
      <c r="AO173" s="137"/>
      <c r="AP173" s="137"/>
      <c r="AQ173" s="137"/>
      <c r="AR173" s="137"/>
      <c r="AS173" s="137"/>
    </row>
    <row r="174" spans="37:45" x14ac:dyDescent="0.2">
      <c r="AK174" s="108"/>
      <c r="AL174" s="108"/>
      <c r="AM174" s="108"/>
      <c r="AN174" s="108"/>
      <c r="AO174" s="137"/>
      <c r="AP174" s="137"/>
      <c r="AQ174" s="137"/>
      <c r="AR174" s="137"/>
      <c r="AS174" s="137"/>
    </row>
    <row r="175" spans="37:45" x14ac:dyDescent="0.2">
      <c r="AK175" s="108"/>
      <c r="AL175" s="108"/>
      <c r="AM175" s="108"/>
      <c r="AN175" s="108"/>
      <c r="AO175" s="137"/>
      <c r="AP175" s="137"/>
      <c r="AQ175" s="137"/>
      <c r="AR175" s="137"/>
      <c r="AS175" s="137"/>
    </row>
    <row r="176" spans="37:45" x14ac:dyDescent="0.2">
      <c r="AK176" s="108"/>
      <c r="AL176" s="108"/>
      <c r="AM176" s="108"/>
      <c r="AN176" s="108"/>
      <c r="AO176" s="137"/>
      <c r="AP176" s="137"/>
      <c r="AQ176" s="137"/>
      <c r="AR176" s="137"/>
      <c r="AS176" s="137"/>
    </row>
    <row r="177" spans="37:45" x14ac:dyDescent="0.2">
      <c r="AK177" s="108"/>
      <c r="AL177" s="108"/>
      <c r="AM177" s="108"/>
      <c r="AN177" s="108"/>
      <c r="AO177" s="137"/>
      <c r="AP177" s="137"/>
      <c r="AQ177" s="137"/>
      <c r="AR177" s="137"/>
      <c r="AS177" s="137"/>
    </row>
    <row r="178" spans="37:45" x14ac:dyDescent="0.2">
      <c r="AK178" s="108"/>
      <c r="AL178" s="108"/>
      <c r="AM178" s="108"/>
      <c r="AN178" s="108"/>
      <c r="AO178" s="137"/>
      <c r="AP178" s="137"/>
      <c r="AQ178" s="137"/>
      <c r="AR178" s="137"/>
      <c r="AS178" s="137"/>
    </row>
  </sheetData>
  <sheetProtection algorithmName="SHA-512" hashValue="QOtVaSYYW7R6o31uYQL7t9cptP4TnUyKyxesU2/Tem199S58egI62/CHfHYwc7ROAzMqOT7jDmKcIJS2DDXCFQ==" saltValue="V3jW/K6AG1K2e38vOnshhg==" spinCount="100000" sheet="1" objects="1" scenarios="1"/>
  <mergeCells count="48">
    <mergeCell ref="A110:A151"/>
    <mergeCell ref="R85:T85"/>
    <mergeCell ref="N86:S86"/>
    <mergeCell ref="N87:S87"/>
    <mergeCell ref="N88:S88"/>
    <mergeCell ref="N100:S100"/>
    <mergeCell ref="N101:S101"/>
    <mergeCell ref="B20:C20"/>
    <mergeCell ref="F20:H20"/>
    <mergeCell ref="B28:G28"/>
    <mergeCell ref="B31:J33"/>
    <mergeCell ref="N99:S99"/>
    <mergeCell ref="N89:S89"/>
    <mergeCell ref="N90:S90"/>
    <mergeCell ref="R96:T96"/>
    <mergeCell ref="N97:S97"/>
    <mergeCell ref="N98:S98"/>
    <mergeCell ref="B11:G11"/>
    <mergeCell ref="B9:C9"/>
    <mergeCell ref="F9:H9"/>
    <mergeCell ref="O16:P16"/>
    <mergeCell ref="P31:Q31"/>
    <mergeCell ref="B21:G21"/>
    <mergeCell ref="B22:G22"/>
    <mergeCell ref="B23:G23"/>
    <mergeCell ref="B27:G27"/>
    <mergeCell ref="O27:P27"/>
    <mergeCell ref="B24:C26"/>
    <mergeCell ref="D24:G24"/>
    <mergeCell ref="D25:G25"/>
    <mergeCell ref="D26:G26"/>
    <mergeCell ref="B17:G17"/>
    <mergeCell ref="B16:G16"/>
    <mergeCell ref="D15:G15"/>
    <mergeCell ref="B12:G12"/>
    <mergeCell ref="B13:C15"/>
    <mergeCell ref="D13:G13"/>
    <mergeCell ref="D14:G14"/>
    <mergeCell ref="AS9:AS10"/>
    <mergeCell ref="AT9:AT10"/>
    <mergeCell ref="AT1:AU1"/>
    <mergeCell ref="B2:C2"/>
    <mergeCell ref="N2:O2"/>
    <mergeCell ref="Q2:R2"/>
    <mergeCell ref="F5:J5"/>
    <mergeCell ref="B7:C7"/>
    <mergeCell ref="G7:H7"/>
    <mergeCell ref="B10:G10"/>
  </mergeCells>
  <conditionalFormatting sqref="I15">
    <cfRule type="expression" dxfId="255" priority="12">
      <formula>$M$17=0</formula>
    </cfRule>
    <cfRule type="containsText" dxfId="254" priority="13" operator="containsText" text="Doplňte">
      <formula>NOT(ISERROR(SEARCH("Doplňte",I15)))</formula>
    </cfRule>
  </conditionalFormatting>
  <conditionalFormatting sqref="I26">
    <cfRule type="containsText" dxfId="253" priority="11" operator="containsText" text="Doplňte">
      <formula>NOT(ISERROR(SEARCH("Doplňte",I26)))</formula>
    </cfRule>
  </conditionalFormatting>
  <conditionalFormatting sqref="I26">
    <cfRule type="expression" dxfId="252" priority="10">
      <formula>$M$28=0</formula>
    </cfRule>
  </conditionalFormatting>
  <conditionalFormatting sqref="I12">
    <cfRule type="expression" dxfId="251" priority="6">
      <formula>$M$17=0</formula>
    </cfRule>
    <cfRule type="containsText" dxfId="250" priority="7" operator="containsText" text="Doplňte">
      <formula>NOT(ISERROR(SEARCH("Doplňte",I12)))</formula>
    </cfRule>
  </conditionalFormatting>
  <conditionalFormatting sqref="I23">
    <cfRule type="expression" dxfId="249" priority="4">
      <formula>$M$28=0</formula>
    </cfRule>
    <cfRule type="containsText" dxfId="248" priority="5" operator="containsText" text="Doplňte">
      <formula>NOT(ISERROR(SEARCH("Doplňte",I23)))</formula>
    </cfRule>
  </conditionalFormatting>
  <conditionalFormatting sqref="E9">
    <cfRule type="expression" dxfId="247" priority="3">
      <formula>$M$17&gt;0</formula>
    </cfRule>
  </conditionalFormatting>
  <conditionalFormatting sqref="E20">
    <cfRule type="expression" dxfId="246" priority="1">
      <formula>$M$28&gt;0</formula>
    </cfRule>
  </conditionalFormatting>
  <hyperlinks>
    <hyperlink ref="N86:S86" location="HSwa!H10" tooltip=" " display="HSwa!H10" xr:uid="{3B376E66-098E-4F16-ADF1-78AAC06EBB57}"/>
    <hyperlink ref="N87:S87" location="HSwa!H11" tooltip=" " display="HSwa!H11" xr:uid="{889235AF-EBD7-45BC-8E8D-6D002A446060}"/>
    <hyperlink ref="N97:S97" location="HSwa!H19" tooltip=" " display="HSwa!H19" xr:uid="{1A0BB12E-CC2B-4CE5-97F4-725BEA6A996B}"/>
    <hyperlink ref="N98:S98" location="HSwa!H20" tooltip=" " display="HSwa!H20" xr:uid="{0A6421BF-A8D7-4214-A1C4-3AC9598C007C}"/>
    <hyperlink ref="AN5" location="HSwa!A110" tooltip=" " display="HSwa!A110" xr:uid="{BEA4C053-520E-4B87-8061-9778242C3326}"/>
    <hyperlink ref="L131" location="HSwa!A1" tooltip=" " display="HSwa!A1" xr:uid="{61E2FA04-8989-4C5E-BF12-A5A94027D555}"/>
    <hyperlink ref="AN9" location="SumAVS!A1" tooltip=" " display="SumAVS!A1" xr:uid="{A88E3605-B9B5-44EF-9340-F07CA8E96FA8}"/>
    <hyperlink ref="AN10" location="OrdAVS!A1" tooltip=" " display="OrdAVS!A1" xr:uid="{7E7A6A8A-27FC-4BF2-8066-85C94D6AA2C6}"/>
    <hyperlink ref="AN7" location="AcsAVS!A1" tooltip=" " display="AcsAVS!A1" xr:uid="{A1F7D168-2C2A-45D5-8FCF-1B6D1D3534B3}"/>
    <hyperlink ref="AN4" location="MenuAVS!A1" tooltip=" " display="MenuAVS!A1" xr:uid="{61159580-CB45-4CCA-8D00-A4413804C1A0}"/>
    <hyperlink ref="B2" location="HF!A1" tooltip=" " display=" AVENTOS HF" xr:uid="{6844FC7E-CCCC-4039-B7BD-06E5EBFBCCAF}"/>
    <hyperlink ref="B2:C2" location="HS!A1" tooltip=" " display=" AVENTOS HS" xr:uid="{6A98B4D3-5482-4DC2-AE07-034C746097F9}"/>
  </hyperlinks>
  <pageMargins left="0.62992125984251968" right="0.23622047244094488" top="0.74803149606299213" bottom="0.74803149606299213" header="0.31496062992125984" footer="0.31496062992125984"/>
  <pageSetup paperSize="9" orientation="portrait" horizontalDpi="4294967293"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63843" r:id="rId4" name="Drop Down 3">
              <controlPr defaultSize="0" autoLine="0" autoPict="0">
                <anchor moveWithCells="1">
                  <from>
                    <xdr:col>3</xdr:col>
                    <xdr:colOff>19050</xdr:colOff>
                    <xdr:row>6</xdr:row>
                    <xdr:rowOff>9525</xdr:rowOff>
                  </from>
                  <to>
                    <xdr:col>5</xdr:col>
                    <xdr:colOff>571500</xdr:colOff>
                    <xdr:row>7</xdr:row>
                    <xdr:rowOff>0</xdr:rowOff>
                  </to>
                </anchor>
              </controlPr>
            </control>
          </mc:Choice>
        </mc:AlternateContent>
        <mc:AlternateContent xmlns:mc="http://schemas.openxmlformats.org/markup-compatibility/2006">
          <mc:Choice Requires="x14">
            <control shapeId="163845" r:id="rId5" name="Option Button 5">
              <controlPr defaultSize="0" autoFill="0" autoLine="0" autoPict="0">
                <anchor moveWithCells="1">
                  <from>
                    <xdr:col>1</xdr:col>
                    <xdr:colOff>361950</xdr:colOff>
                    <xdr:row>5</xdr:row>
                    <xdr:rowOff>19050</xdr:rowOff>
                  </from>
                  <to>
                    <xdr:col>2</xdr:col>
                    <xdr:colOff>57150</xdr:colOff>
                    <xdr:row>5</xdr:row>
                    <xdr:rowOff>247650</xdr:rowOff>
                  </to>
                </anchor>
              </controlPr>
            </control>
          </mc:Choice>
        </mc:AlternateContent>
        <mc:AlternateContent xmlns:mc="http://schemas.openxmlformats.org/markup-compatibility/2006">
          <mc:Choice Requires="x14">
            <control shapeId="163846" r:id="rId6" name="Option Button 6">
              <controlPr defaultSize="0" autoFill="0" autoLine="0" autoPict="0">
                <anchor moveWithCells="1">
                  <from>
                    <xdr:col>3</xdr:col>
                    <xdr:colOff>361950</xdr:colOff>
                    <xdr:row>5</xdr:row>
                    <xdr:rowOff>28575</xdr:rowOff>
                  </from>
                  <to>
                    <xdr:col>4</xdr:col>
                    <xdr:colOff>57150</xdr:colOff>
                    <xdr:row>5</xdr:row>
                    <xdr:rowOff>247650</xdr:rowOff>
                  </to>
                </anchor>
              </controlPr>
            </control>
          </mc:Choice>
        </mc:AlternateContent>
        <mc:AlternateContent xmlns:mc="http://schemas.openxmlformats.org/markup-compatibility/2006">
          <mc:Choice Requires="x14">
            <control shapeId="163847" r:id="rId7" name="Drop Down 7">
              <controlPr defaultSize="0" autoLine="0" autoPict="0">
                <anchor moveWithCells="1">
                  <from>
                    <xdr:col>1</xdr:col>
                    <xdr:colOff>0</xdr:colOff>
                    <xdr:row>9</xdr:row>
                    <xdr:rowOff>9525</xdr:rowOff>
                  </from>
                  <to>
                    <xdr:col>3</xdr:col>
                    <xdr:colOff>9525</xdr:colOff>
                    <xdr:row>10</xdr:row>
                    <xdr:rowOff>0</xdr:rowOff>
                  </to>
                </anchor>
              </controlPr>
            </control>
          </mc:Choice>
        </mc:AlternateContent>
        <mc:AlternateContent xmlns:mc="http://schemas.openxmlformats.org/markup-compatibility/2006">
          <mc:Choice Requires="x14">
            <control shapeId="163848" r:id="rId8" name="Drop Down 8">
              <controlPr defaultSize="0" autoLine="0" autoPict="0">
                <anchor moveWithCells="1">
                  <from>
                    <xdr:col>1</xdr:col>
                    <xdr:colOff>0</xdr:colOff>
                    <xdr:row>20</xdr:row>
                    <xdr:rowOff>9525</xdr:rowOff>
                  </from>
                  <to>
                    <xdr:col>3</xdr:col>
                    <xdr:colOff>9525</xdr:colOff>
                    <xdr:row>21</xdr:row>
                    <xdr:rowOff>0</xdr:rowOff>
                  </to>
                </anchor>
              </controlPr>
            </control>
          </mc:Choice>
        </mc:AlternateContent>
        <mc:AlternateContent xmlns:mc="http://schemas.openxmlformats.org/markup-compatibility/2006">
          <mc:Choice Requires="x14">
            <control shapeId="163849" r:id="rId9" name="Drop Down 9">
              <controlPr defaultSize="0" autoLine="0" autoPict="0">
                <anchor moveWithCells="1">
                  <from>
                    <xdr:col>6</xdr:col>
                    <xdr:colOff>0</xdr:colOff>
                    <xdr:row>3</xdr:row>
                    <xdr:rowOff>0</xdr:rowOff>
                  </from>
                  <to>
                    <xdr:col>9</xdr:col>
                    <xdr:colOff>0</xdr:colOff>
                    <xdr:row>4</xdr:row>
                    <xdr:rowOff>9525</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50028-E986-4152-B507-97027734D82F}">
  <sheetPr codeName="Sheet37">
    <tabColor theme="3"/>
  </sheetPr>
  <dimension ref="A1:BB178"/>
  <sheetViews>
    <sheetView showGridLines="0" showRowColHeaders="0" workbookViewId="0">
      <selection activeCell="L14" sqref="L14"/>
    </sheetView>
  </sheetViews>
  <sheetFormatPr defaultColWidth="8.28515625" defaultRowHeight="12" x14ac:dyDescent="0.2"/>
  <cols>
    <col min="1" max="1" width="1.28515625" style="37" customWidth="1"/>
    <col min="2" max="9" width="8.5703125" style="37" customWidth="1"/>
    <col min="10" max="10" width="6.7109375" style="37" customWidth="1"/>
    <col min="11" max="11" width="10.42578125" style="37" customWidth="1"/>
    <col min="12" max="12" width="17.28515625" style="37" customWidth="1"/>
    <col min="13" max="14" width="6.42578125" style="37" hidden="1" customWidth="1"/>
    <col min="15" max="15" width="6.42578125" style="118" hidden="1" customWidth="1"/>
    <col min="16" max="16" width="10" style="37" hidden="1" customWidth="1"/>
    <col min="17" max="17" width="6" style="118" hidden="1" customWidth="1"/>
    <col min="18" max="18" width="6.42578125" style="37" hidden="1" customWidth="1"/>
    <col min="19" max="20" width="7.7109375" style="37" hidden="1" customWidth="1"/>
    <col min="21" max="24" width="6.7109375" style="37" hidden="1" customWidth="1"/>
    <col min="25" max="25" width="37.28515625" style="37" hidden="1" customWidth="1"/>
    <col min="26" max="26" width="13.5703125" style="37" hidden="1" customWidth="1"/>
    <col min="27" max="29" width="6.7109375" style="37" hidden="1" customWidth="1"/>
    <col min="30" max="30" width="9.42578125" style="37" hidden="1" customWidth="1"/>
    <col min="31" max="36" width="7.7109375" style="37" hidden="1" customWidth="1"/>
    <col min="37" max="37" width="15.5703125" style="36" hidden="1" customWidth="1"/>
    <col min="38" max="38" width="3.28515625" style="36" hidden="1" customWidth="1"/>
    <col min="39" max="39" width="5.28515625" style="36" customWidth="1"/>
    <col min="40" max="40" width="23.5703125" style="36" customWidth="1"/>
    <col min="41" max="42" width="8.28515625" style="121"/>
    <col min="43" max="44" width="13.28515625" style="121" customWidth="1"/>
    <col min="45" max="46" width="19.7109375" style="121" customWidth="1"/>
    <col min="47" max="47" width="14.28515625" style="121" customWidth="1"/>
    <col min="48" max="16384" width="8.28515625" style="121"/>
  </cols>
  <sheetData>
    <row r="1" spans="1:47" ht="4.5" customHeight="1" thickBot="1" x14ac:dyDescent="0.25">
      <c r="L1" s="121"/>
      <c r="AT1" s="1152"/>
      <c r="AU1" s="1152"/>
    </row>
    <row r="2" spans="1:47" s="36" customFormat="1" ht="19.5" customHeight="1" thickBot="1" x14ac:dyDescent="0.25">
      <c r="A2" s="108"/>
      <c r="B2" s="1048" t="s">
        <v>675</v>
      </c>
      <c r="C2" s="1048"/>
      <c r="D2" s="884"/>
      <c r="E2" s="884"/>
      <c r="F2" s="884"/>
      <c r="G2" s="884"/>
      <c r="H2" s="884"/>
      <c r="I2" s="884"/>
      <c r="J2" s="884"/>
      <c r="K2" s="884"/>
      <c r="L2" s="884"/>
      <c r="M2" s="108"/>
      <c r="N2" s="1136" t="s">
        <v>32</v>
      </c>
      <c r="O2" s="1137"/>
      <c r="P2" s="108" t="s">
        <v>708</v>
      </c>
      <c r="Q2" s="1136" t="s">
        <v>53</v>
      </c>
      <c r="R2" s="1137"/>
      <c r="S2" s="108" t="s">
        <v>708</v>
      </c>
      <c r="T2" s="342"/>
      <c r="U2" s="342"/>
      <c r="V2" s="108" t="s">
        <v>64</v>
      </c>
      <c r="W2" s="342"/>
      <c r="X2" s="342"/>
      <c r="Y2" s="342"/>
      <c r="Z2" s="342"/>
      <c r="AA2" s="342"/>
      <c r="AB2" s="342"/>
      <c r="AC2" s="342"/>
      <c r="AD2" s="342"/>
      <c r="AE2" s="342"/>
      <c r="AF2" s="342"/>
      <c r="AG2" s="342"/>
      <c r="AH2" s="342"/>
      <c r="AI2" s="37"/>
      <c r="AJ2" s="37"/>
      <c r="AK2" s="117">
        <v>3</v>
      </c>
      <c r="AL2" s="117"/>
      <c r="AM2" s="108"/>
      <c r="AN2" s="226" t="str">
        <f>ListAVS!$B$153</f>
        <v>Przejdź do</v>
      </c>
      <c r="AO2" s="108"/>
      <c r="AP2" s="108"/>
      <c r="AQ2" s="108"/>
      <c r="AR2" s="108"/>
      <c r="AS2" s="108"/>
    </row>
    <row r="3" spans="1:47" ht="3.75" customHeight="1" x14ac:dyDescent="0.2">
      <c r="B3" s="312"/>
      <c r="C3" s="306"/>
      <c r="D3" s="306"/>
      <c r="E3" s="306"/>
      <c r="F3" s="306"/>
      <c r="G3" s="306"/>
      <c r="H3" s="306"/>
      <c r="I3" s="306"/>
      <c r="J3" s="306"/>
      <c r="K3" s="306"/>
      <c r="L3" s="137"/>
      <c r="AI3" s="344"/>
      <c r="AK3" s="37"/>
      <c r="AL3" s="37"/>
      <c r="AM3" s="108"/>
      <c r="AN3" s="108"/>
      <c r="AO3" s="137"/>
      <c r="AP3" s="137"/>
      <c r="AQ3" s="137"/>
      <c r="AR3" s="137"/>
      <c r="AS3" s="137"/>
      <c r="AT3" s="122"/>
      <c r="AU3" s="122"/>
    </row>
    <row r="4" spans="1:47" ht="16.149999999999999" customHeight="1" thickBot="1" x14ac:dyDescent="0.25">
      <c r="B4" s="313" t="str">
        <f>ListAVS!$B$22&amp;" ***"</f>
        <v>Wąska ramka aluminiowa ***</v>
      </c>
      <c r="C4" s="313"/>
      <c r="D4" s="266"/>
      <c r="E4" s="313"/>
      <c r="F4" s="269" t="str">
        <f>ListAVS!$B$180&amp;"  "</f>
        <v xml:space="preserve">Wykonanie frontów  </v>
      </c>
      <c r="G4" s="255"/>
      <c r="H4" s="255"/>
      <c r="I4" s="255"/>
      <c r="J4" s="260"/>
      <c r="K4" s="593" t="str">
        <f>U80</f>
        <v xml:space="preserve"> </v>
      </c>
      <c r="L4" s="266"/>
      <c r="N4" s="936" t="s">
        <v>698</v>
      </c>
      <c r="O4" s="929">
        <f>IF(AND($H$11&gt;=$AC$51, $H$11&lt;$AD$51, $P$17&gt;=$AE$51, $P$17&lt;=$AF$51), 1, 0)</f>
        <v>0</v>
      </c>
      <c r="P4" s="935">
        <f>O4</f>
        <v>0</v>
      </c>
      <c r="Q4" s="936" t="s">
        <v>698</v>
      </c>
      <c r="R4" s="929">
        <f>IF(AND($H$22&gt;=$AC$51, $H$22&lt;$AD$51, $P$28&gt;=$AE$51, $P$28&lt;=$AF$51), 1, 0)</f>
        <v>0</v>
      </c>
      <c r="S4" s="935">
        <f>R4</f>
        <v>0</v>
      </c>
      <c r="T4" s="37" t="s">
        <v>706</v>
      </c>
      <c r="U4" s="344"/>
      <c r="V4" s="963">
        <v>1</v>
      </c>
      <c r="W4" s="344"/>
      <c r="X4" s="344"/>
      <c r="Y4" s="344"/>
      <c r="Z4" s="344"/>
      <c r="AA4" s="344"/>
      <c r="AB4" s="344"/>
      <c r="AC4" s="344"/>
      <c r="AD4" s="344"/>
      <c r="AE4" s="344"/>
      <c r="AF4" s="344"/>
      <c r="AG4" s="344"/>
      <c r="AH4" s="344"/>
      <c r="AI4" s="344"/>
      <c r="AK4" s="37" t="str">
        <f>" "&amp;ListAVS!$B$41&amp;" A "</f>
        <v xml:space="preserve"> Cena za korpus A </v>
      </c>
      <c r="AL4" s="37"/>
      <c r="AM4" s="108"/>
      <c r="AN4" s="383" t="s">
        <v>77</v>
      </c>
      <c r="AO4" s="137"/>
      <c r="AP4" s="137"/>
      <c r="AQ4" s="137"/>
      <c r="AR4" s="137"/>
      <c r="AS4" s="137"/>
      <c r="AT4" s="122"/>
      <c r="AU4" s="122"/>
    </row>
    <row r="5" spans="1:47" ht="16.149999999999999" customHeight="1" x14ac:dyDescent="0.2">
      <c r="B5" s="399"/>
      <c r="C5" s="434"/>
      <c r="D5" s="434"/>
      <c r="E5" s="434"/>
      <c r="F5" s="1027" t="str">
        <f>IF($AF$87&lt;&gt;3,$Y$81," ")&amp;"      "</f>
        <v xml:space="preserve"> Możesz zmienić wartości we Wstępie do planowania      </v>
      </c>
      <c r="G5" s="1027"/>
      <c r="H5" s="1027"/>
      <c r="I5" s="1027"/>
      <c r="J5" s="1027"/>
      <c r="K5" s="434"/>
      <c r="L5" s="266"/>
      <c r="N5" s="937" t="s">
        <v>701</v>
      </c>
      <c r="O5" s="929">
        <f>IF(AND($H$11&gt;=$AC$52, $H$11&lt;$AD$52, $P$17&gt;=$AE$52, $P$17&lt;=$AF$52), 1, 0)</f>
        <v>0</v>
      </c>
      <c r="P5" s="935">
        <f>IF(AND($O$5=1, $O$6=1, $P$17&lt;=5), O5, 0)+IF(AND($O$5=1, $O$6=0), 1, IF(AND(O5=1, O6=0), O5, 0))</f>
        <v>0</v>
      </c>
      <c r="Q5" s="924" t="s">
        <v>701</v>
      </c>
      <c r="R5" s="929">
        <f>IF(AND($H$22&gt;=$AC$52, $H$22&lt;$AD$52, $P$28&gt;=$AE$52, $P$28&lt;=$AF$52), 1, 0)</f>
        <v>0</v>
      </c>
      <c r="S5" s="935">
        <f>IF(AND($R$5=1, $R$6=1, $P$28&lt;=5), R5, 0)+IF(AND($R$5=1, $R$6=0), 1, IF(AND(R5=1, R6=0), R5, 0))</f>
        <v>0</v>
      </c>
      <c r="T5" s="37" t="s">
        <v>707</v>
      </c>
      <c r="U5" s="344"/>
      <c r="V5" s="344"/>
      <c r="W5" s="344"/>
      <c r="X5" s="344"/>
      <c r="Y5" s="344"/>
      <c r="Z5" s="344"/>
      <c r="AA5" s="344"/>
      <c r="AB5" s="344"/>
      <c r="AC5" s="344"/>
      <c r="AD5" s="344"/>
      <c r="AE5" s="344"/>
      <c r="AF5" s="344"/>
      <c r="AG5" s="344"/>
      <c r="AH5" s="344"/>
      <c r="AI5" s="344"/>
      <c r="AK5" s="37" t="str">
        <f>" "&amp;ListAVS!$B$41&amp;" B "</f>
        <v xml:space="preserve"> Cena za korpus B </v>
      </c>
      <c r="AL5" s="37"/>
      <c r="AM5" s="108"/>
      <c r="AN5" s="708" t="str">
        <f>" "&amp;ListAVS!$B$155</f>
        <v xml:space="preserve"> Pomoc</v>
      </c>
      <c r="AO5" s="137"/>
      <c r="AP5" s="137"/>
      <c r="AQ5" s="137"/>
      <c r="AR5" s="137"/>
      <c r="AS5" s="137"/>
      <c r="AT5" s="122"/>
      <c r="AU5" s="122"/>
    </row>
    <row r="6" spans="1:47" ht="22.5" customHeight="1" x14ac:dyDescent="0.2">
      <c r="B6" s="434"/>
      <c r="C6" s="434"/>
      <c r="D6" s="434"/>
      <c r="E6" s="434"/>
      <c r="F6" s="399"/>
      <c r="G6" s="434"/>
      <c r="H6" s="434"/>
      <c r="I6" s="434"/>
      <c r="J6" s="434"/>
      <c r="K6" s="434"/>
      <c r="L6" s="266"/>
      <c r="N6" s="936" t="s">
        <v>699</v>
      </c>
      <c r="O6" s="929">
        <f>IF(AND($H$11&gt;=$AC$53, $H$11&lt;$AD$53, $P$17&gt;=$AE$53, $P$17&lt;=$AF$53), 1, 0)</f>
        <v>0</v>
      </c>
      <c r="P6" s="935">
        <f>IF(AND($O$5=1, $O$6=1, $P$17&gt;5), O6, 0)+IF(AND($O$6=1, $O$7=1, $P$17&lt;7), O6, IF(AND(O5=0, O6=1, O7=0), O6, 0))</f>
        <v>0</v>
      </c>
      <c r="Q6" s="936" t="s">
        <v>699</v>
      </c>
      <c r="R6" s="929">
        <f>IF(AND($H$22&gt;=$AC$53, $H$22&lt;$AD$53, $P$28&gt;=$AE$53, $P$28&lt;=$AF$53), 1, 0)</f>
        <v>0</v>
      </c>
      <c r="S6" s="935">
        <f>IF(AND($R$5=1, $R$6=1, $P$28&gt;5), R6, 0)+IF(AND($R$6=1, $R$7=1, $P$28&lt;7), R6, IF(AND(R5=0, R6=1, R7=0), R6, 0))</f>
        <v>0</v>
      </c>
      <c r="T6" s="346"/>
      <c r="U6" s="344"/>
      <c r="V6" s="344"/>
      <c r="W6" s="344"/>
      <c r="X6" s="344"/>
      <c r="Y6" s="344"/>
      <c r="Z6" s="344"/>
      <c r="AA6" s="344"/>
      <c r="AB6" s="344"/>
      <c r="AC6" s="344"/>
      <c r="AD6" s="344"/>
      <c r="AE6" s="344"/>
      <c r="AF6" s="344"/>
      <c r="AG6" s="344"/>
      <c r="AH6" s="344"/>
      <c r="AI6" s="344"/>
      <c r="AK6" s="37" t="str">
        <f>" "&amp;ListAVS!$B$61</f>
        <v xml:space="preserve"> Cena całkowita bez VAT</v>
      </c>
      <c r="AL6" s="37"/>
      <c r="AM6" s="108"/>
      <c r="AN6" s="715"/>
      <c r="AO6" s="137"/>
      <c r="AP6" s="137"/>
      <c r="AQ6" s="137"/>
      <c r="AR6" s="137"/>
      <c r="AS6" s="137"/>
      <c r="AT6" s="122"/>
      <c r="AU6" s="122"/>
    </row>
    <row r="7" spans="1:47" ht="16.149999999999999" customHeight="1" x14ac:dyDescent="0.2">
      <c r="B7" s="1059" t="str">
        <f>ListAVS!$B$51&amp;":   "</f>
        <v xml:space="preserve">Cena okucia:   </v>
      </c>
      <c r="C7" s="1060"/>
      <c r="D7" s="255"/>
      <c r="E7" s="266"/>
      <c r="F7" s="266"/>
      <c r="G7" s="1061">
        <f>IF($AK$2=1,$AF$45,IF($AK$2=2,$AH$45,IF($AK$2=3,$AD$45,0)))</f>
        <v>0</v>
      </c>
      <c r="H7" s="1062"/>
      <c r="I7" s="255"/>
      <c r="J7" s="255"/>
      <c r="K7" s="255"/>
      <c r="L7" s="255"/>
      <c r="N7" s="936" t="s">
        <v>700</v>
      </c>
      <c r="O7" s="929">
        <f>IF(AND($H$11&gt;=$AC$54, $H$11&lt;=$AD$54, $P$17&gt;=$AE$54, $P$17&lt;=$AF$54), 1, 0)</f>
        <v>0</v>
      </c>
      <c r="P7" s="935">
        <f>IF(AND($O$6=1, $O$7=1, $P$17&gt;=7), O7, IF(AND(O6=0, O7=1), O7, 0))</f>
        <v>0</v>
      </c>
      <c r="Q7" s="936" t="s">
        <v>700</v>
      </c>
      <c r="R7" s="929">
        <f>IF(AND($H$22&gt;=$AC$54, $H$22&lt;=$AD$54, $P$28&gt;=$AE$54, $P$28&lt;=$AF$54), 1, 0)</f>
        <v>0</v>
      </c>
      <c r="S7" s="935">
        <f>IF(AND($R$6=1, $R$7=1, $P$28&gt;=7), R7, IF(AND(R6=0, R7=1), R7, 0))</f>
        <v>0</v>
      </c>
      <c r="T7" s="346"/>
      <c r="U7" s="344"/>
      <c r="V7" s="344"/>
      <c r="W7" s="344"/>
      <c r="X7" s="344"/>
      <c r="Y7" s="156" t="str">
        <f>$B$2</f>
        <v xml:space="preserve"> AVENTOS HS top</v>
      </c>
      <c r="Z7" s="157">
        <f>B5</f>
        <v>0</v>
      </c>
      <c r="AA7" s="157"/>
      <c r="AB7" s="157"/>
      <c r="AC7" s="157"/>
      <c r="AD7" s="158"/>
      <c r="AG7" s="118"/>
      <c r="AI7" s="344"/>
      <c r="AK7" s="108"/>
      <c r="AL7" s="37"/>
      <c r="AM7" s="108"/>
      <c r="AN7" s="675" t="str">
        <f>" "&amp;ListAVS!$B$160</f>
        <v xml:space="preserve"> Dodatki</v>
      </c>
      <c r="AO7" s="137"/>
      <c r="AP7" s="137"/>
      <c r="AQ7" s="137"/>
      <c r="AR7" s="137"/>
      <c r="AS7" s="137"/>
      <c r="AT7" s="122"/>
      <c r="AU7" s="122"/>
    </row>
    <row r="8" spans="1:47" ht="25.15" customHeight="1" thickBot="1" x14ac:dyDescent="0.25">
      <c r="B8" s="255"/>
      <c r="C8" s="255"/>
      <c r="D8" s="255"/>
      <c r="E8" s="255"/>
      <c r="F8" s="255"/>
      <c r="G8" s="255"/>
      <c r="H8" s="579" t="str">
        <f>IF(AND(OR($Q$16=2, $Q$27=2), $AD$45&gt;0), $N$35, " ")</f>
        <v xml:space="preserve"> </v>
      </c>
      <c r="I8" s="255"/>
      <c r="J8" s="255"/>
      <c r="K8" s="255"/>
      <c r="L8" s="255"/>
      <c r="N8" s="317"/>
      <c r="O8" s="344"/>
      <c r="P8" s="317"/>
      <c r="Q8" s="317"/>
      <c r="R8" s="344"/>
      <c r="T8" s="346"/>
      <c r="U8" s="344"/>
      <c r="V8" s="344"/>
      <c r="W8" s="344"/>
      <c r="X8" s="344"/>
      <c r="Y8" s="159" t="str">
        <f>ListAVS!B52</f>
        <v>Nazwa</v>
      </c>
      <c r="Z8" s="160" t="str">
        <f>ListAVS!$B$53</f>
        <v>Kod asortymentu</v>
      </c>
      <c r="AA8" s="161" t="str">
        <f>ListAVS!B54</f>
        <v>Kolor</v>
      </c>
      <c r="AB8" s="161" t="str">
        <f>ListAVS!B56</f>
        <v>Sztuka</v>
      </c>
      <c r="AC8" s="162" t="str">
        <f>ListAVS!B58</f>
        <v>Cena za sztukę</v>
      </c>
      <c r="AD8" s="161" t="str">
        <f>ListAVS!B59</f>
        <v>W sumie</v>
      </c>
      <c r="AE8" s="204" t="s">
        <v>29</v>
      </c>
      <c r="AF8" s="163" t="s">
        <v>30</v>
      </c>
      <c r="AG8" s="163" t="s">
        <v>31</v>
      </c>
      <c r="AH8" s="163" t="s">
        <v>30</v>
      </c>
      <c r="AI8" s="344"/>
      <c r="AK8" s="108"/>
      <c r="AL8" s="108"/>
      <c r="AM8" s="108"/>
      <c r="AN8" s="671"/>
      <c r="AO8" s="137"/>
      <c r="AP8" s="137"/>
      <c r="AQ8" s="953" t="str">
        <f>ListAVS!B75&amp;" KH (mm)"</f>
        <v>Wysokość korpusu KH (mm)</v>
      </c>
      <c r="AR8" s="953" t="str">
        <f>ListAVS!B76&amp;" FG (kg)"</f>
        <v>Waga frontu FG (kg)</v>
      </c>
      <c r="AS8" s="953" t="str">
        <f>ListAVS!$B$84&amp;" "&amp;ListAVS!$B$350</f>
        <v>Mechanizm podnoszący wkręty</v>
      </c>
      <c r="AT8" s="953" t="str">
        <f>ListAVS!$B$84&amp;" "&amp;ListAVS!$B$351</f>
        <v>Mechanizm podnoszący wstępnie zamontowane eurowkręty</v>
      </c>
      <c r="AU8" s="625"/>
    </row>
    <row r="9" spans="1:47" ht="16.149999999999999" customHeight="1" thickBot="1" x14ac:dyDescent="0.25">
      <c r="B9" s="1051" t="str">
        <f>"▼ "&amp;ListAVS!$B$318</f>
        <v>▼ Sposób otwierania</v>
      </c>
      <c r="C9" s="1052"/>
      <c r="D9" s="406" t="str">
        <f>IF($M$17&gt;0, ListAVS!$B$37&amp;": ", " ")</f>
        <v xml:space="preserve"> </v>
      </c>
      <c r="E9" s="688" t="str">
        <f>IF(SUM($AE$9:$AE$10)&gt;0,"22",IF(SUM($AE$11:$AE$12)&gt;0,"25",IF(SUM($AE$13:$AE$14)&gt;0,"28"," ")))</f>
        <v xml:space="preserve"> </v>
      </c>
      <c r="F9" s="1056" t="str">
        <f>ListAVS!$B$64&amp;" A"</f>
        <v>Korpus A</v>
      </c>
      <c r="G9" s="1057"/>
      <c r="H9" s="1058"/>
      <c r="I9" s="273"/>
      <c r="J9" s="255"/>
      <c r="K9" s="255"/>
      <c r="L9" s="255"/>
      <c r="N9" s="317"/>
      <c r="O9" s="344"/>
      <c r="P9" s="317"/>
      <c r="Q9" s="317"/>
      <c r="R9" s="344"/>
      <c r="S9" s="716"/>
      <c r="T9" s="346"/>
      <c r="U9" s="344"/>
      <c r="V9" s="344"/>
      <c r="W9" s="344"/>
      <c r="X9" s="344"/>
      <c r="Y9" s="890" t="str">
        <f>CenAVS!A28</f>
        <v xml:space="preserve">Aventos HS Top słaby, wkręty      </v>
      </c>
      <c r="Z9" s="890" t="str">
        <f>CenAVS!B28</f>
        <v>22S2200</v>
      </c>
      <c r="AA9" s="890" t="str">
        <f>CenAVS!C28</f>
        <v>ZN</v>
      </c>
      <c r="AB9" s="665">
        <f t="shared" ref="AB9:AB33" si="0">SUM(AE9,AG9)</f>
        <v>0</v>
      </c>
      <c r="AC9" s="907">
        <f>CenAVS!F28</f>
        <v>191.41126</v>
      </c>
      <c r="AD9" s="908">
        <f>AB9*AC9</f>
        <v>0</v>
      </c>
      <c r="AE9" s="901">
        <f>IF(AND($W$46=1, SUM($P$4:$P$5)=1), $M$17, 0)</f>
        <v>0</v>
      </c>
      <c r="AF9" s="909">
        <f t="shared" ref="AF9:AF25" si="1">$AC9*AE9</f>
        <v>0</v>
      </c>
      <c r="AG9" s="901">
        <f>IF(AND($W$46=1, SUM($S$4:$S$5)=1), $M$28, 0)</f>
        <v>0</v>
      </c>
      <c r="AH9" s="909">
        <f t="shared" ref="AH9:AH38" si="2">$AC9*AG9</f>
        <v>0</v>
      </c>
      <c r="AI9" s="344"/>
      <c r="AJ9" s="716"/>
      <c r="AK9" s="108"/>
      <c r="AL9" s="108"/>
      <c r="AM9" s="108"/>
      <c r="AN9" s="383" t="str">
        <f>" "&amp;ListAVS!$B$157</f>
        <v xml:space="preserve"> Rodzaje korpusów</v>
      </c>
      <c r="AO9" s="137"/>
      <c r="AP9" s="137"/>
      <c r="AQ9" s="954" t="s">
        <v>737</v>
      </c>
      <c r="AR9" s="954" t="s">
        <v>738</v>
      </c>
      <c r="AS9" s="1146" t="s">
        <v>687</v>
      </c>
      <c r="AT9" s="1146" t="s">
        <v>688</v>
      </c>
      <c r="AU9" s="122"/>
    </row>
    <row r="10" spans="1:47" s="122" customFormat="1" ht="16.149999999999999" customHeight="1" thickBot="1" x14ac:dyDescent="0.25">
      <c r="A10" s="37"/>
      <c r="B10" s="1157" t="str">
        <f>ListAVS!$B$74&amp;" KB [mm] "</f>
        <v xml:space="preserve">Szerokość korpusu KB [mm] </v>
      </c>
      <c r="C10" s="1158"/>
      <c r="D10" s="1158"/>
      <c r="E10" s="1158"/>
      <c r="F10" s="1158"/>
      <c r="G10" s="1159"/>
      <c r="H10" s="257"/>
      <c r="I10" s="256" t="str">
        <f>IF($H10=0," ",IF($H10&lt;220," min. 220mm",IF($H10&gt;1800," max. 1 800mm"," ")))&amp;IF(H17&gt;0,IF(H10=0,"● "&amp;ListAVS!$B$129," ")," ")</f>
        <v xml:space="preserve">  </v>
      </c>
      <c r="J10" s="255"/>
      <c r="K10" s="255"/>
      <c r="L10" s="255"/>
      <c r="M10" s="37"/>
      <c r="N10" s="317"/>
      <c r="O10" s="344"/>
      <c r="P10" s="317"/>
      <c r="Q10" s="317"/>
      <c r="R10" s="344"/>
      <c r="S10" s="717"/>
      <c r="T10" s="346"/>
      <c r="U10" s="344"/>
      <c r="V10" s="344"/>
      <c r="W10" s="344"/>
      <c r="X10" s="344"/>
      <c r="Y10" s="890" t="str">
        <f>CenAVS!A29</f>
        <v xml:space="preserve">Aventos HS Top słaby, eurowkręty      </v>
      </c>
      <c r="Z10" s="890" t="str">
        <f>CenAVS!B29</f>
        <v>22S2210</v>
      </c>
      <c r="AA10" s="890" t="str">
        <f>CenAVS!C29</f>
        <v>ZN</v>
      </c>
      <c r="AB10" s="665">
        <f t="shared" si="0"/>
        <v>0</v>
      </c>
      <c r="AC10" s="907">
        <f>CenAVS!F29</f>
        <v>192.89991000000001</v>
      </c>
      <c r="AD10" s="908">
        <f t="shared" ref="AD10:AD43" si="3">AB10*AC10</f>
        <v>0</v>
      </c>
      <c r="AE10" s="901">
        <f>IF(AND($W$46=2, SUM($P$4:$P$5)=1), $M$17, 0)</f>
        <v>0</v>
      </c>
      <c r="AF10" s="909">
        <f t="shared" si="1"/>
        <v>0</v>
      </c>
      <c r="AG10" s="901">
        <f>IF(AND($W$46=2, SUM($S$4:$S$5)=1), $M$28, 0)</f>
        <v>0</v>
      </c>
      <c r="AH10" s="909">
        <f t="shared" si="2"/>
        <v>0</v>
      </c>
      <c r="AI10" s="344"/>
      <c r="AJ10" s="717"/>
      <c r="AK10" s="108"/>
      <c r="AL10" s="108"/>
      <c r="AM10" s="108"/>
      <c r="AN10" s="383" t="str">
        <f>" "&amp;ListAVS!$B$158</f>
        <v xml:space="preserve"> Zamówienie</v>
      </c>
      <c r="AO10" s="137"/>
      <c r="AP10" s="137"/>
      <c r="AQ10" s="954" t="s">
        <v>739</v>
      </c>
      <c r="AR10" s="954" t="s">
        <v>740</v>
      </c>
      <c r="AS10" s="1147"/>
      <c r="AT10" s="1147"/>
    </row>
    <row r="11" spans="1:47" s="122" customFormat="1" ht="16.149999999999999" customHeight="1" x14ac:dyDescent="0.2">
      <c r="A11" s="37"/>
      <c r="B11" s="1157" t="str">
        <f>ListAVS!$B$75&amp;" KH [mm]  "</f>
        <v xml:space="preserve">Wysokość korpusu KH [mm]  </v>
      </c>
      <c r="C11" s="1158"/>
      <c r="D11" s="1158"/>
      <c r="E11" s="1158"/>
      <c r="F11" s="1158"/>
      <c r="G11" s="1159"/>
      <c r="H11" s="257"/>
      <c r="I11" s="256" t="str">
        <f>IF($H11=0," ",IF($H11&lt;350," min. 350mm",IF($H11&gt;800," max. 800 mm"," ")))&amp;IF(H17&gt;0,IF(H11=0,"● "&amp;ListAVS!$B$129," ")," ")</f>
        <v xml:space="preserve">  </v>
      </c>
      <c r="J11" s="255"/>
      <c r="K11" s="255"/>
      <c r="L11" s="255"/>
      <c r="M11" s="37"/>
      <c r="N11" s="317"/>
      <c r="O11" s="344"/>
      <c r="P11" s="317"/>
      <c r="Q11" s="317"/>
      <c r="R11" s="344"/>
      <c r="S11" s="718"/>
      <c r="T11" s="346"/>
      <c r="U11" s="344"/>
      <c r="V11" s="344"/>
      <c r="W11" s="344"/>
      <c r="X11" s="344"/>
      <c r="Y11" s="890" t="str">
        <f>CenAVS!A30</f>
        <v xml:space="preserve">Aventos HS Top średni, wkręty      </v>
      </c>
      <c r="Z11" s="890" t="str">
        <f>CenAVS!B30</f>
        <v>22S2500</v>
      </c>
      <c r="AA11" s="890" t="str">
        <f>CenAVS!C30</f>
        <v>ZN</v>
      </c>
      <c r="AB11" s="665">
        <f t="shared" si="0"/>
        <v>0</v>
      </c>
      <c r="AC11" s="907">
        <f>CenAVS!F30</f>
        <v>202.58683000000002</v>
      </c>
      <c r="AD11" s="908">
        <f t="shared" si="3"/>
        <v>0</v>
      </c>
      <c r="AE11" s="901">
        <f>IF(AND($W$46=1, $P$6=1), $M$17, 0)</f>
        <v>0</v>
      </c>
      <c r="AF11" s="909">
        <f t="shared" si="1"/>
        <v>0</v>
      </c>
      <c r="AG11" s="901">
        <f>IF(AND($W$46=1, $S$6=1), $M$28, 0)</f>
        <v>0</v>
      </c>
      <c r="AH11" s="909">
        <f t="shared" si="2"/>
        <v>0</v>
      </c>
      <c r="AI11" s="344"/>
      <c r="AJ11" s="718"/>
      <c r="AK11" s="108"/>
      <c r="AL11" s="108"/>
      <c r="AM11" s="108"/>
      <c r="AN11" s="37"/>
      <c r="AO11" s="137"/>
      <c r="AP11" s="137"/>
      <c r="AQ11" s="954" t="s">
        <v>741</v>
      </c>
      <c r="AR11" s="954" t="s">
        <v>742</v>
      </c>
      <c r="AS11" s="955" t="s">
        <v>689</v>
      </c>
      <c r="AT11" s="955" t="s">
        <v>690</v>
      </c>
    </row>
    <row r="12" spans="1:47" s="122" customFormat="1" ht="16.149999999999999" customHeight="1" x14ac:dyDescent="0.2">
      <c r="A12" s="37"/>
      <c r="B12" s="1157" t="str">
        <f>ListAVS!$B$77&amp;" [kg] ** "</f>
        <v xml:space="preserve">Waga frontu wraz z uchwytem [kg] ** </v>
      </c>
      <c r="C12" s="1158"/>
      <c r="D12" s="1158"/>
      <c r="E12" s="1158"/>
      <c r="F12" s="1158"/>
      <c r="G12" s="1159"/>
      <c r="H12" s="258"/>
      <c r="I12" s="227" t="str">
        <f>IF($H17=0,  " ", IF(SUM($H12,$H15)=0,$N$54," "))&amp;IF(AND(SUM($O$4:$O$7)=0, T12="ano", $T13="ne", H12&gt;0),$N$58,IF(AND($H17&gt;0,$H12&gt;0, $M17&gt;0, $T13="ano"),$N$55," "))</f>
        <v xml:space="preserve">  </v>
      </c>
      <c r="J12" s="255"/>
      <c r="K12" s="255"/>
      <c r="L12" s="255"/>
      <c r="M12" s="37"/>
      <c r="N12" s="317"/>
      <c r="O12" s="344"/>
      <c r="P12" s="317"/>
      <c r="Q12" s="317"/>
      <c r="R12" s="344"/>
      <c r="S12" s="717" t="s">
        <v>79</v>
      </c>
      <c r="T12" s="928" t="str">
        <f>IF(AND(219&lt;H10,H10&lt;1801,349&lt;H11,H11&lt;801),"ano","ne")</f>
        <v>ne</v>
      </c>
      <c r="U12" s="344"/>
      <c r="V12" s="344"/>
      <c r="W12" s="344"/>
      <c r="X12" s="344"/>
      <c r="Y12" s="890" t="str">
        <f>CenAVS!A31</f>
        <v xml:space="preserve">Aventos HS Top średni, eurowkręty      </v>
      </c>
      <c r="Z12" s="890" t="str">
        <f>CenAVS!B31</f>
        <v>22S2510</v>
      </c>
      <c r="AA12" s="890" t="str">
        <f>CenAVS!C31</f>
        <v>ZN</v>
      </c>
      <c r="AB12" s="665">
        <f t="shared" si="0"/>
        <v>0</v>
      </c>
      <c r="AC12" s="907">
        <f>CenAVS!F31</f>
        <v>204.16206999999997</v>
      </c>
      <c r="AD12" s="908">
        <f t="shared" si="3"/>
        <v>0</v>
      </c>
      <c r="AE12" s="901">
        <f>IF(AND($W$46=2, $P$6=1), $M$17, 0)</f>
        <v>0</v>
      </c>
      <c r="AF12" s="909">
        <f t="shared" si="1"/>
        <v>0</v>
      </c>
      <c r="AG12" s="901">
        <f>IF(AND($W$46=2, $S$6=1), $M$28, 0)</f>
        <v>0</v>
      </c>
      <c r="AH12" s="909">
        <f t="shared" si="2"/>
        <v>0</v>
      </c>
      <c r="AI12" s="344"/>
      <c r="AJ12" s="718"/>
      <c r="AK12" s="108"/>
      <c r="AL12" s="108"/>
      <c r="AM12" s="108"/>
      <c r="AN12" s="108"/>
      <c r="AO12" s="137"/>
      <c r="AP12" s="137"/>
      <c r="AQ12" s="954" t="s">
        <v>743</v>
      </c>
      <c r="AR12" s="954" t="s">
        <v>744</v>
      </c>
      <c r="AS12" s="955" t="s">
        <v>691</v>
      </c>
      <c r="AT12" s="955" t="s">
        <v>692</v>
      </c>
    </row>
    <row r="13" spans="1:47" s="122" customFormat="1" ht="16.149999999999999" customHeight="1" x14ac:dyDescent="0.2">
      <c r="A13" s="37"/>
      <c r="B13" s="1055" t="str">
        <f>ListAVS!$B$293</f>
        <v>Obliczenie wagi</v>
      </c>
      <c r="C13" s="1055"/>
      <c r="D13" s="1153" t="str">
        <f>ListAVS!$B$80&amp;" TS [mm] "</f>
        <v xml:space="preserve">Grubość frontu TS [mm] </v>
      </c>
      <c r="E13" s="1153"/>
      <c r="F13" s="1153"/>
      <c r="G13" s="1154"/>
      <c r="H13" s="259"/>
      <c r="I13" s="256"/>
      <c r="J13" s="255"/>
      <c r="K13" s="255"/>
      <c r="L13" s="255"/>
      <c r="M13" s="37"/>
      <c r="N13" s="317"/>
      <c r="O13" s="344"/>
      <c r="P13" s="317"/>
      <c r="Q13" s="317"/>
      <c r="R13" s="344"/>
      <c r="S13" s="717" t="s">
        <v>710</v>
      </c>
      <c r="T13" s="928" t="str">
        <f>IF(AND($H$11&gt;=$AC$51, $H$11&lt;=$AD$51, $P$17&gt;=$AE$51, $P$17&lt;=$AF$51), "ano", IF(AND($H$11&gt;=$AC$52, $H$11&lt;=$AD$52, $P$17&gt;=$AE$52, $P$17&lt;=$AF$52), "ano", IF(AND($H$11&gt;=$AC$53, $H$11&lt;=$AD$53, $P$17&gt;=$AE$53, $P$17&lt;=$AF$53), "ano", IF(AND($H$11&gt;=$AC$54, $H$11&lt;=$AD$54, $P$17&gt;=$AE$54, $P$17&lt;=$AF$54), "ano", "ne"))))</f>
        <v>ne</v>
      </c>
      <c r="U13" s="344"/>
      <c r="V13" s="344"/>
      <c r="W13" s="344"/>
      <c r="X13" s="344"/>
      <c r="Y13" s="890" t="str">
        <f>CenAVS!A32</f>
        <v xml:space="preserve">Aventos HS Top mocny, wkręty      </v>
      </c>
      <c r="Z13" s="890" t="str">
        <f>CenAVS!B32</f>
        <v>22S2800</v>
      </c>
      <c r="AA13" s="890" t="str">
        <f>CenAVS!C32</f>
        <v>ZN</v>
      </c>
      <c r="AB13" s="665">
        <f t="shared" si="0"/>
        <v>0</v>
      </c>
      <c r="AC13" s="907">
        <f>CenAVS!F32</f>
        <v>215.15917999999999</v>
      </c>
      <c r="AD13" s="908">
        <f t="shared" si="3"/>
        <v>0</v>
      </c>
      <c r="AE13" s="901">
        <f>IF(AND($W$46=1, $P$7=1), $M$17, 0)</f>
        <v>0</v>
      </c>
      <c r="AF13" s="909">
        <f t="shared" si="1"/>
        <v>0</v>
      </c>
      <c r="AG13" s="901">
        <f>IF(AND($W$46=1, $S$7=1), $M$28, 0)</f>
        <v>0</v>
      </c>
      <c r="AH13" s="909">
        <f t="shared" si="2"/>
        <v>0</v>
      </c>
      <c r="AI13" s="344"/>
      <c r="AJ13" s="37"/>
      <c r="AK13" s="108"/>
      <c r="AL13" s="108"/>
      <c r="AM13" s="108"/>
      <c r="AN13" s="108"/>
      <c r="AO13" s="137"/>
      <c r="AP13" s="137"/>
      <c r="AQ13" s="951"/>
      <c r="AR13" s="951"/>
      <c r="AS13" s="952"/>
      <c r="AT13" s="952"/>
    </row>
    <row r="14" spans="1:47" s="122" customFormat="1" ht="16.149999999999999" customHeight="1" x14ac:dyDescent="0.2">
      <c r="A14" s="37"/>
      <c r="B14" s="1055"/>
      <c r="C14" s="1055"/>
      <c r="D14" s="1053" t="str">
        <f>ListAVS!$B$83&amp;" [kg] "</f>
        <v xml:space="preserve">Waga uchwytu [kg] </v>
      </c>
      <c r="E14" s="1053"/>
      <c r="F14" s="1053"/>
      <c r="G14" s="1054"/>
      <c r="H14" s="258"/>
      <c r="I14" s="256" t="str">
        <f>IF(H17=0, " ", IF(AND(H12=0, Q16=1, H14=0), " ● "&amp;ListAVS!$B$130," "))</f>
        <v xml:space="preserve"> </v>
      </c>
      <c r="J14" s="255"/>
      <c r="K14" s="255"/>
      <c r="L14" s="255"/>
      <c r="M14" s="37"/>
      <c r="N14" s="317"/>
      <c r="O14" s="344"/>
      <c r="P14" s="317"/>
      <c r="Q14" s="317"/>
      <c r="R14" s="344"/>
      <c r="S14" s="717"/>
      <c r="T14" s="346"/>
      <c r="U14" s="344"/>
      <c r="V14" s="344"/>
      <c r="W14" s="344"/>
      <c r="X14" s="344"/>
      <c r="Y14" s="890" t="str">
        <f>CenAVS!A33</f>
        <v xml:space="preserve">Aventos HS Top mocny, eurowkręty      </v>
      </c>
      <c r="Z14" s="890" t="str">
        <f>CenAVS!B33</f>
        <v>22S2810</v>
      </c>
      <c r="AA14" s="890" t="str">
        <f>CenAVS!C33</f>
        <v>ZN</v>
      </c>
      <c r="AB14" s="665">
        <f t="shared" si="0"/>
        <v>0</v>
      </c>
      <c r="AC14" s="907">
        <f>CenAVS!F33</f>
        <v>216.83244999999999</v>
      </c>
      <c r="AD14" s="908">
        <f t="shared" si="3"/>
        <v>0</v>
      </c>
      <c r="AE14" s="901">
        <f>IF(AND($W$46=2, $P$7=1), $M$17, 0)</f>
        <v>0</v>
      </c>
      <c r="AF14" s="909">
        <f t="shared" si="1"/>
        <v>0</v>
      </c>
      <c r="AG14" s="901">
        <f>IF(AND($W$46=2, $S$7=1), $M$28, 0)</f>
        <v>0</v>
      </c>
      <c r="AH14" s="909">
        <f t="shared" si="2"/>
        <v>0</v>
      </c>
      <c r="AI14" s="344"/>
      <c r="AJ14" s="37"/>
      <c r="AK14" s="108"/>
      <c r="AL14" s="108"/>
      <c r="AM14" s="108"/>
      <c r="AN14" s="108"/>
      <c r="AO14" s="137"/>
      <c r="AP14" s="137"/>
      <c r="AQ14" s="545" t="str">
        <f>ListAVS!B350&amp;" = "&amp;ListAVS!B352</f>
        <v>wkręty = podnośniki z zintegrowanym szablonem (nie ma potrzeby mierzenia)</v>
      </c>
      <c r="AR14" s="951"/>
      <c r="AS14" s="952"/>
      <c r="AT14" s="952"/>
    </row>
    <row r="15" spans="1:47" s="122" customFormat="1" ht="16.149999999999999" customHeight="1" x14ac:dyDescent="0.2">
      <c r="A15" s="37"/>
      <c r="B15" s="1055"/>
      <c r="C15" s="1055"/>
      <c r="D15" s="1053" t="str">
        <f>ListAVS!$B$79&amp;" [kg] "</f>
        <v xml:space="preserve">Obliczona waga frontu [kg] </v>
      </c>
      <c r="E15" s="1053"/>
      <c r="F15" s="1053"/>
      <c r="G15" s="1054"/>
      <c r="H15" s="259">
        <f>$T$90</f>
        <v>0</v>
      </c>
      <c r="I15" s="227" t="str">
        <f>IF(AND($H17&gt;0,$H15&gt;0,$H12=0,$M17&gt;0), $N$41," ")&amp;IF(AND(H17&gt;0, H12=0, Z87=3, $J$4=0), $N$39, " ")</f>
        <v xml:space="preserve">  </v>
      </c>
      <c r="J15" s="255"/>
      <c r="K15" s="255"/>
      <c r="L15" s="255"/>
      <c r="M15" s="37"/>
      <c r="N15" s="37"/>
      <c r="O15" s="718"/>
      <c r="P15" s="132" t="s">
        <v>80</v>
      </c>
      <c r="Q15" s="119"/>
      <c r="R15" s="718"/>
      <c r="S15" s="37"/>
      <c r="T15" s="37"/>
      <c r="U15" s="37"/>
      <c r="V15" s="37"/>
      <c r="W15" s="37"/>
      <c r="X15" s="37"/>
      <c r="Y15" s="890"/>
      <c r="Z15" s="890"/>
      <c r="AA15" s="890"/>
      <c r="AB15" s="665"/>
      <c r="AC15" s="907"/>
      <c r="AD15" s="908"/>
      <c r="AE15" s="901"/>
      <c r="AF15" s="909"/>
      <c r="AG15" s="901"/>
      <c r="AH15" s="909"/>
      <c r="AI15" s="344"/>
      <c r="AJ15" s="37"/>
      <c r="AK15" s="108"/>
      <c r="AL15" s="108"/>
      <c r="AM15" s="108"/>
      <c r="AN15" s="255"/>
      <c r="AO15" s="137"/>
      <c r="AP15" s="137"/>
      <c r="AQ15" s="545" t="str">
        <f>ListAVS!B351&amp;" = "&amp;ListAVS!B353</f>
        <v>wstępnie zamontowane eurowkręty = podnośniki ze wstępnie zamontowanymi wkrętami (wymagane wstępne nawiercenie)</v>
      </c>
      <c r="AR15" s="951"/>
      <c r="AS15" s="952"/>
      <c r="AT15" s="952"/>
    </row>
    <row r="16" spans="1:47" s="122" customFormat="1" ht="16.149999999999999" customHeight="1" thickBot="1" x14ac:dyDescent="0.25">
      <c r="A16" s="37"/>
      <c r="B16" s="1157"/>
      <c r="C16" s="1158"/>
      <c r="D16" s="1158"/>
      <c r="E16" s="1158"/>
      <c r="F16" s="1158"/>
      <c r="G16" s="1159"/>
      <c r="H16" s="259"/>
      <c r="I16" s="256" t="str">
        <f>IF(AND(H16&gt;0, Q16=2), $N$53, " ")</f>
        <v xml:space="preserve"> </v>
      </c>
      <c r="J16" s="255"/>
      <c r="K16" s="255"/>
      <c r="L16" s="255"/>
      <c r="M16" s="37"/>
      <c r="N16" s="37"/>
      <c r="O16" s="1141" t="b">
        <v>0</v>
      </c>
      <c r="P16" s="1142"/>
      <c r="Q16" s="131">
        <v>1</v>
      </c>
      <c r="R16" s="718"/>
      <c r="S16" s="37"/>
      <c r="T16" s="37"/>
      <c r="U16" s="37"/>
      <c r="V16" s="37"/>
      <c r="W16" s="37"/>
      <c r="X16" s="37"/>
      <c r="Y16" s="890" t="str">
        <f>CenAVS!A34</f>
        <v xml:space="preserve">ramiona HS Top        </v>
      </c>
      <c r="Z16" s="890" t="str">
        <f>CenAVS!B34</f>
        <v>22S3500</v>
      </c>
      <c r="AA16" s="890" t="str">
        <f>CenAVS!C34</f>
        <v>ZN</v>
      </c>
      <c r="AB16" s="665">
        <f>SUM(AE16,AG16)</f>
        <v>0</v>
      </c>
      <c r="AC16" s="907">
        <f>CenAVS!F34</f>
        <v>127.57276</v>
      </c>
      <c r="AD16" s="908">
        <f>AB16*AC16</f>
        <v>0</v>
      </c>
      <c r="AE16" s="903">
        <f>SUM($AE$9:$AE$14)</f>
        <v>0</v>
      </c>
      <c r="AF16" s="909">
        <f>$AC16*AE16</f>
        <v>0</v>
      </c>
      <c r="AG16" s="903">
        <f>SUM($AG$9:$AG$14)</f>
        <v>0</v>
      </c>
      <c r="AH16" s="909">
        <f>$AC16*AG16</f>
        <v>0</v>
      </c>
      <c r="AI16" s="344"/>
      <c r="AJ16" s="718"/>
      <c r="AK16" s="108"/>
      <c r="AL16" s="108"/>
      <c r="AM16" s="108"/>
      <c r="AN16" s="255"/>
      <c r="AO16" s="137"/>
      <c r="AP16" s="137"/>
      <c r="AQ16" s="137"/>
      <c r="AR16" s="137"/>
      <c r="AS16" s="37"/>
    </row>
    <row r="17" spans="1:54" s="122" customFormat="1" ht="16.149999999999999" customHeight="1" thickBot="1" x14ac:dyDescent="0.25">
      <c r="A17" s="37"/>
      <c r="B17" s="1157" t="str">
        <f>ListAVS!$B$71</f>
        <v>Ilość szafek</v>
      </c>
      <c r="C17" s="1158"/>
      <c r="D17" s="1158"/>
      <c r="E17" s="1158"/>
      <c r="F17" s="1158"/>
      <c r="G17" s="1158"/>
      <c r="H17" s="261"/>
      <c r="I17" s="273"/>
      <c r="J17" s="255"/>
      <c r="K17" s="255"/>
      <c r="L17" s="255"/>
      <c r="M17" s="315">
        <f>IF($H10*$H11*$P17=0,0,IF(SUM(O4:O7)=0,0,IF($H10&gt;1800,0, IF($H10&lt;220, 0, $H17))))</f>
        <v>0</v>
      </c>
      <c r="N17" s="37"/>
      <c r="O17" s="690" t="s">
        <v>51</v>
      </c>
      <c r="P17" s="691">
        <f>IF(H12&gt;0,H12,H15)</f>
        <v>0</v>
      </c>
      <c r="Q17" s="37">
        <f>IF(SUM(H12,H15)=0,0,IF(H12&gt;0,1,2))</f>
        <v>0</v>
      </c>
      <c r="R17" s="571" t="s">
        <v>52</v>
      </c>
      <c r="S17" s="37"/>
      <c r="T17" s="37"/>
      <c r="U17" s="37"/>
      <c r="V17" s="37"/>
      <c r="W17" s="37"/>
      <c r="X17" s="37"/>
      <c r="Y17" s="890"/>
      <c r="Z17" s="890"/>
      <c r="AA17" s="890"/>
      <c r="AB17" s="665"/>
      <c r="AC17" s="907"/>
      <c r="AD17" s="908"/>
      <c r="AE17" s="901"/>
      <c r="AF17" s="909"/>
      <c r="AG17" s="901"/>
      <c r="AH17" s="909"/>
      <c r="AI17" s="344"/>
      <c r="AJ17" s="718"/>
      <c r="AK17" s="108"/>
      <c r="AL17" s="108"/>
      <c r="AM17" s="108"/>
      <c r="AN17" s="719"/>
      <c r="AO17" s="137"/>
      <c r="AP17" s="137"/>
      <c r="AQ17" s="137"/>
      <c r="AR17" s="137"/>
      <c r="AS17" s="37"/>
    </row>
    <row r="18" spans="1:54" s="122" customFormat="1" ht="16.149999999999999" customHeight="1" x14ac:dyDescent="0.2">
      <c r="A18" s="37"/>
      <c r="B18" s="255" t="str">
        <f>IF(H17&gt;0,IF(OR(Q17=0,M17=0), " ",IF(Q17=1,$N$67,$N$68))," ")&amp;IF(H17&gt;0,IF(OR(Q17=0, M17=0), " ",IF(Q17=1,$N$69,$N$70))," ")</f>
        <v xml:space="preserve">  </v>
      </c>
      <c r="C18" s="255"/>
      <c r="D18" s="255"/>
      <c r="E18" s="255"/>
      <c r="F18" s="433"/>
      <c r="G18" s="433"/>
      <c r="H18" s="255"/>
      <c r="I18" s="255"/>
      <c r="J18" s="255"/>
      <c r="K18" s="255"/>
      <c r="L18" s="255"/>
      <c r="M18" s="118"/>
      <c r="N18" s="119"/>
      <c r="O18" s="132"/>
      <c r="P18" s="132"/>
      <c r="Q18" s="119"/>
      <c r="R18" s="37"/>
      <c r="S18" s="37"/>
      <c r="T18" s="37"/>
      <c r="U18" s="37"/>
      <c r="V18" s="37"/>
      <c r="W18" s="37"/>
      <c r="X18" s="37"/>
      <c r="Y18" s="890"/>
      <c r="Z18" s="890"/>
      <c r="AA18" s="890"/>
      <c r="AB18" s="665"/>
      <c r="AC18" s="907"/>
      <c r="AD18" s="908"/>
      <c r="AE18" s="903"/>
      <c r="AF18" s="909"/>
      <c r="AG18" s="903"/>
      <c r="AH18" s="909"/>
      <c r="AI18" s="344"/>
      <c r="AJ18" s="716"/>
      <c r="AK18" s="108"/>
      <c r="AL18" s="108"/>
      <c r="AM18" s="108"/>
      <c r="AN18" s="720"/>
      <c r="AO18" s="137"/>
      <c r="AP18" s="137"/>
      <c r="AQ18" s="137"/>
      <c r="AR18" s="137"/>
      <c r="AS18" s="37"/>
    </row>
    <row r="19" spans="1:54" s="122" customFormat="1" ht="25.15" customHeight="1" thickBot="1" x14ac:dyDescent="0.25">
      <c r="A19" s="37"/>
      <c r="B19" s="255"/>
      <c r="C19" s="255"/>
      <c r="D19" s="255"/>
      <c r="E19" s="255"/>
      <c r="F19" s="433"/>
      <c r="G19" s="433"/>
      <c r="H19" s="255"/>
      <c r="I19" s="255"/>
      <c r="J19" s="255"/>
      <c r="K19" s="255"/>
      <c r="L19" s="255"/>
      <c r="M19" s="118"/>
      <c r="N19" s="347" t="s">
        <v>81</v>
      </c>
      <c r="O19" s="344">
        <f>IF($H$10&gt;1360,1.5,IF($H$10&lt;610,0.5,1))</f>
        <v>0.5</v>
      </c>
      <c r="P19" s="317"/>
      <c r="Q19" s="347" t="s">
        <v>81</v>
      </c>
      <c r="R19" s="344">
        <f>IF($H$21&gt;1360,1.5,IF($H$21&lt;610,0.5,1))</f>
        <v>0.5</v>
      </c>
      <c r="S19" s="37"/>
      <c r="T19" s="37"/>
      <c r="U19" s="37"/>
      <c r="V19" s="37"/>
      <c r="W19" s="37"/>
      <c r="X19" s="37"/>
      <c r="Y19" s="890"/>
      <c r="Z19" s="890"/>
      <c r="AA19" s="890"/>
      <c r="AB19" s="665"/>
      <c r="AC19" s="907"/>
      <c r="AD19" s="908"/>
      <c r="AE19" s="903"/>
      <c r="AF19" s="909"/>
      <c r="AG19" s="903"/>
      <c r="AH19" s="909"/>
      <c r="AI19" s="344"/>
      <c r="AJ19" s="717"/>
      <c r="AK19" s="108"/>
      <c r="AL19" s="108"/>
      <c r="AM19" s="108"/>
      <c r="AN19" s="255"/>
      <c r="AO19" s="137"/>
      <c r="AP19" s="137"/>
      <c r="AQ19" s="137"/>
      <c r="AR19" s="137"/>
      <c r="AS19" s="37"/>
    </row>
    <row r="20" spans="1:54" s="122" customFormat="1" ht="16.149999999999999" customHeight="1" thickBot="1" x14ac:dyDescent="0.25">
      <c r="A20" s="37"/>
      <c r="B20" s="1051" t="str">
        <f>"▼ "&amp;ListAVS!$B$318</f>
        <v>▼ Sposób otwierania</v>
      </c>
      <c r="C20" s="1052"/>
      <c r="D20" s="406" t="str">
        <f>IF($M$28&gt;0, ListAVS!$B$37&amp;": ", " ")</f>
        <v xml:space="preserve"> </v>
      </c>
      <c r="E20" s="688" t="str">
        <f>IF(SUM($AG$9:$AG$10)&gt;0,"22",IF(SUM($AG$11:$AG$12)&gt;0,"25",IF(SUM($AG$13:$AG$14)&gt;0,"28"," ")))</f>
        <v xml:space="preserve"> </v>
      </c>
      <c r="F20" s="1056" t="str">
        <f>ListAVS!$B$64&amp;" B"</f>
        <v>Korpus B</v>
      </c>
      <c r="G20" s="1057"/>
      <c r="H20" s="1058"/>
      <c r="I20" s="273"/>
      <c r="J20" s="255"/>
      <c r="K20" s="255"/>
      <c r="L20" s="255"/>
      <c r="M20" s="37"/>
      <c r="N20" s="134" t="s">
        <v>82</v>
      </c>
      <c r="O20" s="132">
        <f>IF($H$16&gt;0,$H$16,IF($H$10&gt;1219,1,0))</f>
        <v>0</v>
      </c>
      <c r="P20" s="119"/>
      <c r="Q20" s="134" t="s">
        <v>82</v>
      </c>
      <c r="R20" s="132">
        <f>IF($H$27&gt;0,$H$27,IF($H$21&gt;1219,1,0))</f>
        <v>0</v>
      </c>
      <c r="S20" s="37"/>
      <c r="T20" s="37"/>
      <c r="U20" s="37"/>
      <c r="V20" s="37"/>
      <c r="W20" s="37"/>
      <c r="X20" s="37"/>
      <c r="Y20" s="890" t="str">
        <f>CenAVS!A47</f>
        <v xml:space="preserve">Zaślepki HF/HL/HS - Top bez SD jasnoszare HGR   </v>
      </c>
      <c r="Z20" s="890" t="str">
        <f>CenAVS!B47</f>
        <v>22.8000</v>
      </c>
      <c r="AA20" s="890" t="str">
        <f>CenAVS!C47</f>
        <v>HGR</v>
      </c>
      <c r="AB20" s="665">
        <f t="shared" si="0"/>
        <v>0</v>
      </c>
      <c r="AC20" s="907">
        <f>CenAVS!F47</f>
        <v>27.586120000000001</v>
      </c>
      <c r="AD20" s="908">
        <f t="shared" si="3"/>
        <v>0</v>
      </c>
      <c r="AE20" s="903">
        <f>IF(AND($Q$16=1,$T$46=1),SUM($AE$9:$AE$14),0)</f>
        <v>0</v>
      </c>
      <c r="AF20" s="909">
        <f t="shared" si="1"/>
        <v>0</v>
      </c>
      <c r="AG20" s="903">
        <f>IF(AND($Q$27=1,$T$46=1),SUM($AG$9:$AG$14),0)</f>
        <v>0</v>
      </c>
      <c r="AH20" s="909">
        <f t="shared" si="2"/>
        <v>0</v>
      </c>
      <c r="AI20" s="344"/>
      <c r="AJ20" s="718"/>
      <c r="AK20" s="108"/>
      <c r="AL20" s="108"/>
      <c r="AM20" s="108"/>
      <c r="AN20" s="255"/>
      <c r="AO20" s="137"/>
      <c r="AP20" s="137"/>
      <c r="AQ20" s="137"/>
      <c r="AR20" s="137"/>
      <c r="AS20" s="37"/>
    </row>
    <row r="21" spans="1:54" s="122" customFormat="1" ht="16.149999999999999" customHeight="1" x14ac:dyDescent="0.2">
      <c r="A21" s="37"/>
      <c r="B21" s="1157" t="str">
        <f>ListAVS!$B$74&amp;" KB [mm] "</f>
        <v xml:space="preserve">Szerokość korpusu KB [mm] </v>
      </c>
      <c r="C21" s="1158"/>
      <c r="D21" s="1158"/>
      <c r="E21" s="1158"/>
      <c r="F21" s="1158"/>
      <c r="G21" s="1159"/>
      <c r="H21" s="257"/>
      <c r="I21" s="256" t="str">
        <f>IF($H21=0," ",IF($H21&lt;220," min. 220mm",IF($H21&gt;1800," max. 1 800mm"," ")))&amp;IF(H28&gt;0,IF(H21=0,"● "&amp;ListAVS!$B$129," ")," ")</f>
        <v xml:space="preserve">  </v>
      </c>
      <c r="J21" s="255"/>
      <c r="K21" s="255"/>
      <c r="L21" s="255"/>
      <c r="M21" s="37"/>
      <c r="N21" s="135"/>
      <c r="O21" s="132"/>
      <c r="P21" s="136"/>
      <c r="Q21" s="119"/>
      <c r="R21" s="717"/>
      <c r="S21" s="717"/>
      <c r="T21" s="346"/>
      <c r="U21" s="37"/>
      <c r="V21" s="37"/>
      <c r="W21" s="37"/>
      <c r="X21" s="37"/>
      <c r="Y21" s="890" t="str">
        <f>CenAVS!A48</f>
        <v xml:space="preserve">zaślepki HF/HL/HS - Top bez SD ciemnoszare TGR   </v>
      </c>
      <c r="Z21" s="890" t="str">
        <f>CenAVS!B48</f>
        <v>22.8000</v>
      </c>
      <c r="AA21" s="890" t="str">
        <f>CenAVS!C48</f>
        <v>TGR</v>
      </c>
      <c r="AB21" s="665">
        <f t="shared" si="0"/>
        <v>0</v>
      </c>
      <c r="AC21" s="907">
        <f>CenAVS!F48</f>
        <v>30.106369999999998</v>
      </c>
      <c r="AD21" s="908">
        <f t="shared" si="3"/>
        <v>0</v>
      </c>
      <c r="AE21" s="903">
        <f>IF(AND($Q$16=1,$T$46=2),SUM($AE$9:$AE$14),0)</f>
        <v>0</v>
      </c>
      <c r="AF21" s="909">
        <f t="shared" si="1"/>
        <v>0</v>
      </c>
      <c r="AG21" s="903">
        <f>IF(AND($Q$27=1,$T$46=2),SUM($AG$9:$AG$14),0)</f>
        <v>0</v>
      </c>
      <c r="AH21" s="909">
        <f t="shared" si="2"/>
        <v>0</v>
      </c>
      <c r="AI21" s="344"/>
      <c r="AJ21" s="718"/>
      <c r="AK21" s="108"/>
      <c r="AL21" s="108"/>
      <c r="AM21" s="108"/>
      <c r="AN21" s="255"/>
      <c r="AO21" s="137"/>
      <c r="AP21" s="137"/>
      <c r="AQ21" s="137"/>
      <c r="AR21" s="137"/>
      <c r="AS21" s="37"/>
    </row>
    <row r="22" spans="1:54" s="122" customFormat="1" ht="16.149999999999999" customHeight="1" x14ac:dyDescent="0.2">
      <c r="A22" s="37"/>
      <c r="B22" s="1157" t="str">
        <f>ListAVS!$B$75&amp;" KH [mm] "</f>
        <v xml:space="preserve">Wysokość korpusu KH [mm] </v>
      </c>
      <c r="C22" s="1158"/>
      <c r="D22" s="1158"/>
      <c r="E22" s="1158"/>
      <c r="F22" s="1158"/>
      <c r="G22" s="1159"/>
      <c r="H22" s="257"/>
      <c r="I22" s="256" t="str">
        <f>IF($H22=0," ",IF($H22&lt;350," min. 350mm",IF($H22&gt;800," max. 800 mm"," ")))&amp;IF(H28&gt;0,IF(H22=0,"● "&amp;ListAVS!$B$129," ")," ")</f>
        <v xml:space="preserve">  </v>
      </c>
      <c r="J22" s="255"/>
      <c r="K22" s="255"/>
      <c r="L22" s="255"/>
      <c r="M22" s="37"/>
      <c r="N22" s="119"/>
      <c r="O22" s="132"/>
      <c r="P22" s="132"/>
      <c r="Q22" s="119"/>
      <c r="R22" s="718"/>
      <c r="S22" s="718"/>
      <c r="T22" s="346"/>
      <c r="U22" s="344"/>
      <c r="V22" s="344"/>
      <c r="W22" s="344"/>
      <c r="X22" s="344"/>
      <c r="Y22" s="890" t="str">
        <f>CenAVS!A49</f>
        <v xml:space="preserve">Zaślepki HF/HL/HS - Top bez SD białe SW   </v>
      </c>
      <c r="Z22" s="890" t="str">
        <f>CenAVS!B49</f>
        <v>22.8000</v>
      </c>
      <c r="AA22" s="890" t="str">
        <f>CenAVS!C49</f>
        <v>SW</v>
      </c>
      <c r="AB22" s="665">
        <f t="shared" si="0"/>
        <v>0</v>
      </c>
      <c r="AC22" s="907">
        <f>CenAVS!F49</f>
        <v>30.106369999999998</v>
      </c>
      <c r="AD22" s="908">
        <f t="shared" si="3"/>
        <v>0</v>
      </c>
      <c r="AE22" s="903">
        <f>IF(AND($Q$16=1,$T$46=3),SUM($AE$9:$AE$14),0)</f>
        <v>0</v>
      </c>
      <c r="AF22" s="909">
        <f t="shared" si="1"/>
        <v>0</v>
      </c>
      <c r="AG22" s="903">
        <f>IF(AND($Q$27=1,$T$46=3),SUM($AG$9:$AG$14),0)</f>
        <v>0</v>
      </c>
      <c r="AH22" s="909">
        <f t="shared" si="2"/>
        <v>0</v>
      </c>
      <c r="AI22" s="344"/>
      <c r="AJ22" s="37"/>
      <c r="AK22" s="108"/>
      <c r="AL22" s="108"/>
      <c r="AM22" s="108"/>
      <c r="AN22" s="692"/>
      <c r="AO22" s="137"/>
      <c r="AP22" s="137"/>
      <c r="AQ22" s="137"/>
      <c r="AR22" s="137"/>
      <c r="AS22" s="37"/>
    </row>
    <row r="23" spans="1:54" s="122" customFormat="1" ht="16.149999999999999" customHeight="1" x14ac:dyDescent="0.2">
      <c r="A23" s="37"/>
      <c r="B23" s="1157" t="str">
        <f>ListAVS!$B$77&amp;" [kg] ** "</f>
        <v xml:space="preserve">Waga frontu wraz z uchwytem [kg] ** </v>
      </c>
      <c r="C23" s="1158"/>
      <c r="D23" s="1158"/>
      <c r="E23" s="1158"/>
      <c r="F23" s="1158"/>
      <c r="G23" s="1159"/>
      <c r="H23" s="258"/>
      <c r="I23" s="227" t="str">
        <f>IF($H28=0," ",IF(SUM($H23,$H26)=0,$N$54," "))&amp;IF(AND(SUM($R$4:$R$7)=0, T23="ano", $T24="ne",H23&gt;0),$N$58,IF(AND($H28&gt;0,$H23&gt;0, $M28&gt;0, $T24="ano"),$N$55," "))</f>
        <v xml:space="preserve">  </v>
      </c>
      <c r="J23" s="255"/>
      <c r="K23" s="255"/>
      <c r="L23" s="255"/>
      <c r="M23" s="37"/>
      <c r="N23" s="119"/>
      <c r="O23" s="132"/>
      <c r="P23" s="132"/>
      <c r="Q23" s="119"/>
      <c r="R23" s="718"/>
      <c r="S23" s="717" t="s">
        <v>79</v>
      </c>
      <c r="T23" s="928" t="str">
        <f>IF(AND(219&lt;H21,H21&lt;1801,349&lt;H22,H22&lt;801),"ano","ne")</f>
        <v>ne</v>
      </c>
      <c r="U23" s="344"/>
      <c r="V23" s="344"/>
      <c r="W23" s="344"/>
      <c r="X23" s="344"/>
      <c r="Y23" s="890" t="str">
        <f>CenAVS!A50</f>
        <v xml:space="preserve">zaślepki HF/HL/HS - Top do SD jasnoszare HGR   </v>
      </c>
      <c r="Z23" s="890" t="str">
        <f>CenAVS!B50</f>
        <v>23.8000</v>
      </c>
      <c r="AA23" s="890" t="str">
        <f>CenAVS!C50</f>
        <v>HGR</v>
      </c>
      <c r="AB23" s="665">
        <f t="shared" si="0"/>
        <v>0</v>
      </c>
      <c r="AC23" s="907">
        <f>CenAVS!F50</f>
        <v>284.41748999999999</v>
      </c>
      <c r="AD23" s="908">
        <f t="shared" si="3"/>
        <v>0</v>
      </c>
      <c r="AE23" s="903">
        <f>IF(AND($Q$16=2,$T$46=1),SUM($AE$9:$AE$14),0)</f>
        <v>0</v>
      </c>
      <c r="AF23" s="909">
        <f t="shared" si="1"/>
        <v>0</v>
      </c>
      <c r="AG23" s="903">
        <f>IF(AND($Q$27=2,$T$46=1),SUM($AG$9:$AG$14),0)</f>
        <v>0</v>
      </c>
      <c r="AH23" s="909">
        <f t="shared" si="2"/>
        <v>0</v>
      </c>
      <c r="AI23" s="344"/>
      <c r="AJ23" s="37"/>
      <c r="AK23" s="108"/>
      <c r="AL23" s="108"/>
      <c r="AM23" s="108"/>
      <c r="AN23" s="37"/>
      <c r="AO23" s="137"/>
      <c r="AP23" s="37"/>
      <c r="AQ23" s="37"/>
      <c r="AR23" s="37"/>
      <c r="AS23" s="37"/>
    </row>
    <row r="24" spans="1:54" s="122" customFormat="1" ht="16.149999999999999" customHeight="1" x14ac:dyDescent="0.2">
      <c r="A24" s="37"/>
      <c r="B24" s="1055" t="str">
        <f>ListAVS!$B$293</f>
        <v>Obliczenie wagi</v>
      </c>
      <c r="C24" s="1055"/>
      <c r="D24" s="1153" t="str">
        <f>ListAVS!$B$80&amp;" TS [mm] "</f>
        <v xml:space="preserve">Grubość frontu TS [mm] </v>
      </c>
      <c r="E24" s="1153"/>
      <c r="F24" s="1153"/>
      <c r="G24" s="1154"/>
      <c r="H24" s="259"/>
      <c r="I24" s="256"/>
      <c r="J24" s="255"/>
      <c r="K24" s="255"/>
      <c r="L24" s="255"/>
      <c r="M24" s="37"/>
      <c r="N24" s="119"/>
      <c r="O24" s="132"/>
      <c r="P24" s="132"/>
      <c r="Q24" s="119"/>
      <c r="R24" s="718"/>
      <c r="S24" s="717" t="s">
        <v>710</v>
      </c>
      <c r="T24" s="928" t="str">
        <f>IF(AND($H$22&gt;=$AC$51, $H$22&lt;=$AD$51, $P$28&gt;=$AE$51, $P$28&lt;=$AF$51), "ano", IF(AND($H$22&gt;=$AC$52, $H$22&lt;=$AD$52, $P$28&gt;=$AE$52, $P$28&lt;=$AF$52), "ano", IF(AND($H$22&gt;=$AC$53, $H$22&lt;=$AD$53, $P$28&gt;=$AE$53, $P$28&lt;=$AF$53), "ano", IF(AND($H$22&gt;=$AC$54, $H$22&lt;=$AD$54, $P$28&gt;=$AE$54, $P$28&lt;=$AF$54), "ano", "ne"))))</f>
        <v>ne</v>
      </c>
      <c r="U24" s="344"/>
      <c r="V24" s="344"/>
      <c r="W24" s="344"/>
      <c r="X24" s="344"/>
      <c r="Y24" s="890" t="str">
        <f>CenAVS!A51</f>
        <v xml:space="preserve">Zaślepki HF/HL/HS - Top do SD ciemnoszare TGR   </v>
      </c>
      <c r="Z24" s="890" t="str">
        <f>CenAVS!B51</f>
        <v>23.8000</v>
      </c>
      <c r="AA24" s="890" t="str">
        <f>CenAVS!C51</f>
        <v>TGR</v>
      </c>
      <c r="AB24" s="665">
        <f t="shared" si="0"/>
        <v>0</v>
      </c>
      <c r="AC24" s="907">
        <f>CenAVS!F51</f>
        <v>295.60313000000002</v>
      </c>
      <c r="AD24" s="908">
        <f t="shared" si="3"/>
        <v>0</v>
      </c>
      <c r="AE24" s="901">
        <f>IF(AND($Q$16=2,$T$46=2),SUM($AE$9:$AE$14),0)</f>
        <v>0</v>
      </c>
      <c r="AF24" s="909">
        <f t="shared" si="1"/>
        <v>0</v>
      </c>
      <c r="AG24" s="901">
        <f>IF(AND($Q$27=2,$T$46=2),SUM($AG$9:$AG$14),0)</f>
        <v>0</v>
      </c>
      <c r="AH24" s="909">
        <f t="shared" si="2"/>
        <v>0</v>
      </c>
      <c r="AI24" s="344"/>
      <c r="AJ24" s="37"/>
      <c r="AK24" s="108"/>
      <c r="AL24" s="108"/>
      <c r="AM24" s="108"/>
      <c r="AN24" s="137"/>
      <c r="AO24" s="37"/>
      <c r="AP24" s="137"/>
      <c r="AQ24" s="137"/>
      <c r="AR24" s="137"/>
      <c r="AS24" s="137"/>
    </row>
    <row r="25" spans="1:54" s="122" customFormat="1" ht="16.149999999999999" customHeight="1" x14ac:dyDescent="0.2">
      <c r="A25" s="37"/>
      <c r="B25" s="1055"/>
      <c r="C25" s="1055"/>
      <c r="D25" s="1053" t="str">
        <f>ListAVS!$B$83&amp;" [kg] "</f>
        <v xml:space="preserve">Waga uchwytu [kg] </v>
      </c>
      <c r="E25" s="1053"/>
      <c r="F25" s="1053"/>
      <c r="G25" s="1054"/>
      <c r="H25" s="258"/>
      <c r="I25" s="256" t="str">
        <f>IF(H28=0, " ", IF(AND(H23=0, Q27=1, H25=0), " ● "&amp;ListAVS!$B$130," "))</f>
        <v xml:space="preserve"> </v>
      </c>
      <c r="J25" s="255"/>
      <c r="K25" s="255"/>
      <c r="L25" s="255"/>
      <c r="M25" s="37"/>
      <c r="N25" s="119"/>
      <c r="O25" s="132"/>
      <c r="P25" s="132"/>
      <c r="Q25" s="119"/>
      <c r="R25" s="718"/>
      <c r="S25" s="717"/>
      <c r="T25" s="346"/>
      <c r="U25" s="344"/>
      <c r="V25" s="344"/>
      <c r="W25" s="344"/>
      <c r="X25" s="344"/>
      <c r="Y25" s="890" t="str">
        <f>CenAVS!A52</f>
        <v xml:space="preserve">Zaślepki HF/HL/HS - Top do SD białe SW   </v>
      </c>
      <c r="Z25" s="890" t="str">
        <f>CenAVS!B52</f>
        <v>23.8000</v>
      </c>
      <c r="AA25" s="890" t="str">
        <f>CenAVS!C52</f>
        <v>SW</v>
      </c>
      <c r="AB25" s="665">
        <f t="shared" si="0"/>
        <v>0</v>
      </c>
      <c r="AC25" s="907">
        <f>CenAVS!F52</f>
        <v>295.60313000000002</v>
      </c>
      <c r="AD25" s="908">
        <f t="shared" si="3"/>
        <v>0</v>
      </c>
      <c r="AE25" s="901">
        <f>IF(AND($Q$16=2,$T$46=3),SUM($AE$9:$AE$14),0)</f>
        <v>0</v>
      </c>
      <c r="AF25" s="909">
        <f t="shared" si="1"/>
        <v>0</v>
      </c>
      <c r="AG25" s="901">
        <f>IF(AND($Q$27=2,$T$46=3),SUM($AG$9:$AG$14),0)</f>
        <v>0</v>
      </c>
      <c r="AH25" s="909">
        <f t="shared" si="2"/>
        <v>0</v>
      </c>
      <c r="AI25" s="344"/>
      <c r="AJ25" s="37"/>
      <c r="AK25" s="108"/>
      <c r="AL25" s="108"/>
      <c r="AM25" s="108"/>
      <c r="AN25" s="137"/>
      <c r="AO25" s="137"/>
      <c r="AP25" s="137"/>
      <c r="AQ25" s="137"/>
      <c r="AR25" s="137"/>
      <c r="AS25" s="137"/>
      <c r="AV25" s="121"/>
      <c r="AW25" s="121"/>
      <c r="AX25" s="121"/>
      <c r="AY25" s="121"/>
      <c r="AZ25" s="121"/>
      <c r="BA25" s="121"/>
      <c r="BB25" s="121"/>
    </row>
    <row r="26" spans="1:54" s="122" customFormat="1" ht="16.149999999999999" customHeight="1" x14ac:dyDescent="0.2">
      <c r="A26" s="37"/>
      <c r="B26" s="1055"/>
      <c r="C26" s="1055"/>
      <c r="D26" s="1053" t="str">
        <f>ListAVS!$B$79&amp;" [kg] "</f>
        <v xml:space="preserve">Obliczona waga frontu [kg] </v>
      </c>
      <c r="E26" s="1053"/>
      <c r="F26" s="1053"/>
      <c r="G26" s="1054"/>
      <c r="H26" s="259">
        <f>$T$101</f>
        <v>0</v>
      </c>
      <c r="I26" s="227" t="str">
        <f>IF(AND($H28&gt;0,$H26&gt;0,$H23=0,$M28&gt;0), $N$41," ")&amp;IF(AND(H28&gt;0, H23=0, Z98=3, $J$4=0), $N$39, " ")</f>
        <v xml:space="preserve">  </v>
      </c>
      <c r="J26" s="255"/>
      <c r="K26" s="255"/>
      <c r="L26" s="255"/>
      <c r="M26" s="37"/>
      <c r="N26" s="37"/>
      <c r="O26" s="718"/>
      <c r="P26" s="132" t="s">
        <v>80</v>
      </c>
      <c r="Q26" s="119"/>
      <c r="R26" s="718"/>
      <c r="S26" s="37"/>
      <c r="T26" s="346"/>
      <c r="U26" s="344"/>
      <c r="V26" s="344"/>
      <c r="W26" s="344"/>
      <c r="X26" s="344"/>
      <c r="Y26" s="890"/>
      <c r="Z26" s="890"/>
      <c r="AA26" s="890"/>
      <c r="AB26" s="665"/>
      <c r="AC26" s="907"/>
      <c r="AD26" s="908"/>
      <c r="AE26" s="903"/>
      <c r="AF26" s="909"/>
      <c r="AG26" s="903"/>
      <c r="AH26" s="909"/>
      <c r="AI26" s="344"/>
      <c r="AJ26" s="37"/>
      <c r="AK26" s="108"/>
      <c r="AL26" s="108"/>
      <c r="AM26" s="108"/>
      <c r="AN26" s="108"/>
      <c r="AO26" s="137"/>
      <c r="AP26" s="137"/>
      <c r="AQ26" s="137"/>
      <c r="AR26" s="137"/>
      <c r="AS26" s="137"/>
      <c r="AV26" s="121"/>
      <c r="AW26" s="121"/>
      <c r="AX26" s="121"/>
      <c r="AY26" s="121"/>
      <c r="AZ26" s="121"/>
      <c r="BA26" s="121"/>
      <c r="BB26" s="121"/>
    </row>
    <row r="27" spans="1:54" s="122" customFormat="1" ht="16.149999999999999" customHeight="1" thickBot="1" x14ac:dyDescent="0.25">
      <c r="A27" s="37"/>
      <c r="B27" s="1157"/>
      <c r="C27" s="1158"/>
      <c r="D27" s="1158"/>
      <c r="E27" s="1158"/>
      <c r="F27" s="1158"/>
      <c r="G27" s="1159"/>
      <c r="H27" s="259"/>
      <c r="I27" s="256" t="str">
        <f>IF(AND(H27&gt;0, Q27=2), $N$53, " ")</f>
        <v xml:space="preserve"> </v>
      </c>
      <c r="J27" s="255"/>
      <c r="K27" s="248"/>
      <c r="L27" s="255"/>
      <c r="M27" s="118"/>
      <c r="N27" s="37"/>
      <c r="O27" s="1141" t="b">
        <v>0</v>
      </c>
      <c r="P27" s="1142"/>
      <c r="Q27" s="131">
        <v>1</v>
      </c>
      <c r="R27" s="718"/>
      <c r="S27" s="37"/>
      <c r="T27" s="346"/>
      <c r="U27" s="344"/>
      <c r="V27" s="344"/>
      <c r="W27" s="344"/>
      <c r="X27" s="344"/>
      <c r="Y27" s="890"/>
      <c r="Z27" s="890"/>
      <c r="AA27" s="890"/>
      <c r="AB27" s="665"/>
      <c r="AC27" s="907"/>
      <c r="AD27" s="908"/>
      <c r="AE27" s="901"/>
      <c r="AF27" s="909"/>
      <c r="AG27" s="901"/>
      <c r="AH27" s="909"/>
      <c r="AI27" s="344"/>
      <c r="AJ27" s="37"/>
      <c r="AK27" s="108"/>
      <c r="AL27" s="108"/>
      <c r="AM27" s="108"/>
      <c r="AN27" s="693"/>
      <c r="AO27" s="137"/>
      <c r="AP27" s="137"/>
      <c r="AQ27" s="137"/>
      <c r="AR27" s="137"/>
      <c r="AS27" s="137"/>
      <c r="AV27" s="121"/>
      <c r="AW27" s="121"/>
      <c r="AX27" s="121"/>
      <c r="AY27" s="121"/>
      <c r="AZ27" s="121"/>
      <c r="BA27" s="121"/>
      <c r="BB27" s="121"/>
    </row>
    <row r="28" spans="1:54" s="122" customFormat="1" ht="16.149999999999999" customHeight="1" thickBot="1" x14ac:dyDescent="0.25">
      <c r="A28" s="37"/>
      <c r="B28" s="1157" t="str">
        <f>ListAVS!$B$71</f>
        <v>Ilość szafek</v>
      </c>
      <c r="C28" s="1158"/>
      <c r="D28" s="1158"/>
      <c r="E28" s="1158"/>
      <c r="F28" s="1158"/>
      <c r="G28" s="1158"/>
      <c r="H28" s="261"/>
      <c r="I28" s="273"/>
      <c r="J28" s="264"/>
      <c r="K28" s="396"/>
      <c r="L28" s="265"/>
      <c r="M28" s="315">
        <f>IF($H21*$H22*$P28=0,0,IF(SUM(R4:R7)=0,0,IF($H21&gt;1800,0, IF($H21&lt;220, 0, $H28))))</f>
        <v>0</v>
      </c>
      <c r="N28" s="37"/>
      <c r="O28" s="690" t="s">
        <v>51</v>
      </c>
      <c r="P28" s="691">
        <f>IF(H23&gt;0,H23,H26)</f>
        <v>0</v>
      </c>
      <c r="Q28" s="37">
        <f>IF(SUM(H23,H26)=0,0,IF(H23&gt;0,1,2))</f>
        <v>0</v>
      </c>
      <c r="R28" s="571" t="s">
        <v>52</v>
      </c>
      <c r="S28" s="37"/>
      <c r="T28" s="345"/>
      <c r="U28" s="344"/>
      <c r="V28" s="344"/>
      <c r="W28" s="344"/>
      <c r="X28" s="344"/>
      <c r="Y28" s="890"/>
      <c r="Z28" s="890"/>
      <c r="AA28" s="890"/>
      <c r="AB28" s="665"/>
      <c r="AC28" s="907"/>
      <c r="AD28" s="908"/>
      <c r="AE28" s="901"/>
      <c r="AF28" s="909"/>
      <c r="AG28" s="901"/>
      <c r="AH28" s="909"/>
      <c r="AI28" s="344"/>
      <c r="AJ28" s="37"/>
      <c r="AK28" s="108"/>
      <c r="AL28" s="108"/>
      <c r="AM28" s="108"/>
      <c r="AN28" s="693"/>
      <c r="AO28" s="137"/>
      <c r="AP28" s="137"/>
      <c r="AQ28" s="137"/>
      <c r="AR28" s="137"/>
      <c r="AS28" s="137"/>
      <c r="AV28" s="121"/>
      <c r="AW28" s="121"/>
      <c r="AX28" s="121"/>
      <c r="AY28" s="121"/>
      <c r="AZ28" s="121"/>
      <c r="BA28" s="121"/>
      <c r="BB28" s="121"/>
    </row>
    <row r="29" spans="1:54" ht="16.149999999999999" customHeight="1" x14ac:dyDescent="0.2">
      <c r="B29" s="255" t="str">
        <f>IF(H28&gt;0,IF(OR(Q28=0,M28=0), " ",IF(Q28=1,$N$67,$N$68))," ")&amp;IF(H28&gt;0,IF(OR(Q28=0, M28=0), " ",IF(Q28=1,$N$69,$N$70))," ")</f>
        <v xml:space="preserve">  </v>
      </c>
      <c r="C29" s="255"/>
      <c r="D29" s="255"/>
      <c r="E29" s="255"/>
      <c r="F29" s="255"/>
      <c r="G29" s="255"/>
      <c r="H29" s="273"/>
      <c r="I29" s="273"/>
      <c r="J29" s="266"/>
      <c r="K29" s="266"/>
      <c r="L29" s="266"/>
      <c r="N29" s="137"/>
      <c r="O29" s="137"/>
      <c r="P29" s="137"/>
      <c r="Q29" s="137"/>
      <c r="T29" s="346"/>
      <c r="U29" s="344"/>
      <c r="V29" s="344"/>
      <c r="W29" s="344"/>
      <c r="X29" s="344"/>
      <c r="Y29" s="890" t="str">
        <f>CenAVS!A78</f>
        <v xml:space="preserve">mocowanie frontu do HK Top, HS/Top, HL/Top    </v>
      </c>
      <c r="Z29" s="890" t="str">
        <f>CenAVS!B78</f>
        <v>20S4200</v>
      </c>
      <c r="AA29" s="890" t="str">
        <f>CenAVS!C78</f>
        <v>NI</v>
      </c>
      <c r="AB29" s="665">
        <f t="shared" si="0"/>
        <v>0</v>
      </c>
      <c r="AC29" s="907">
        <f>CenAVS!F78</f>
        <v>9.9925899999999999</v>
      </c>
      <c r="AD29" s="908">
        <f t="shared" si="3"/>
        <v>0</v>
      </c>
      <c r="AE29" s="901"/>
      <c r="AF29" s="909">
        <f t="shared" ref="AF29:AF38" si="4">$AC29*AE29</f>
        <v>0</v>
      </c>
      <c r="AG29" s="901"/>
      <c r="AH29" s="909">
        <f t="shared" si="2"/>
        <v>0</v>
      </c>
      <c r="AI29" s="344"/>
      <c r="AK29" s="108"/>
      <c r="AL29" s="108"/>
      <c r="AM29" s="108"/>
      <c r="AN29" s="693"/>
      <c r="AO29" s="137"/>
      <c r="AP29" s="137"/>
      <c r="AQ29" s="137"/>
      <c r="AR29" s="137"/>
      <c r="AS29" s="137"/>
      <c r="AT29" s="122"/>
      <c r="AU29" s="122"/>
    </row>
    <row r="30" spans="1:54" ht="16.149999999999999" customHeight="1" x14ac:dyDescent="0.2">
      <c r="A30" s="137"/>
      <c r="B30" s="396"/>
      <c r="C30" s="248"/>
      <c r="D30" s="396"/>
      <c r="E30" s="396"/>
      <c r="F30" s="274"/>
      <c r="G30" s="274"/>
      <c r="H30" s="396"/>
      <c r="I30" s="264"/>
      <c r="J30" s="264"/>
      <c r="K30" s="396"/>
      <c r="L30" s="265"/>
      <c r="N30" s="137"/>
      <c r="O30" s="137"/>
      <c r="P30" s="137"/>
      <c r="Q30" s="137"/>
      <c r="T30" s="346"/>
      <c r="U30" s="344"/>
      <c r="V30" s="344"/>
      <c r="W30" s="344"/>
      <c r="X30" s="344"/>
      <c r="Y30" s="890" t="str">
        <f>CenAVS!A79</f>
        <v xml:space="preserve">mocowanie frontu HS, HK top, HL Expando    </v>
      </c>
      <c r="Z30" s="890" t="str">
        <f>CenAVS!B79</f>
        <v>20S42E1</v>
      </c>
      <c r="AA30" s="890" t="str">
        <f>CenAVS!C79</f>
        <v>NI</v>
      </c>
      <c r="AB30" s="665">
        <f t="shared" si="0"/>
        <v>0</v>
      </c>
      <c r="AC30" s="907">
        <f>CenAVS!F79</f>
        <v>6.2138699999999991</v>
      </c>
      <c r="AD30" s="908">
        <f t="shared" si="3"/>
        <v>0</v>
      </c>
      <c r="AE30" s="901"/>
      <c r="AF30" s="909">
        <f t="shared" si="4"/>
        <v>0</v>
      </c>
      <c r="AG30" s="901"/>
      <c r="AH30" s="909">
        <f t="shared" si="2"/>
        <v>0</v>
      </c>
      <c r="AI30" s="344"/>
      <c r="AK30" s="108"/>
      <c r="AL30" s="108"/>
      <c r="AM30" s="108"/>
      <c r="AN30" s="108"/>
      <c r="AO30" s="137"/>
      <c r="AP30" s="137"/>
      <c r="AQ30" s="137"/>
      <c r="AR30" s="137"/>
      <c r="AS30" s="137"/>
      <c r="AT30" s="122"/>
      <c r="AU30" s="122"/>
    </row>
    <row r="31" spans="1:54" ht="16.149999999999999" customHeight="1" x14ac:dyDescent="0.2">
      <c r="B31" s="1109" t="str">
        <f>IF(OR(AND($Q$16=2, $M$17&gt;0), AND($Q$27=2, $M$28&gt;0)), ListAVS!$B$176, " ")</f>
        <v xml:space="preserve"> </v>
      </c>
      <c r="C31" s="1109"/>
      <c r="D31" s="1109"/>
      <c r="E31" s="1109"/>
      <c r="F31" s="1109"/>
      <c r="G31" s="1109"/>
      <c r="H31" s="1109"/>
      <c r="I31" s="1109"/>
      <c r="J31" s="1109"/>
      <c r="K31" s="397"/>
      <c r="L31" s="397"/>
      <c r="O31" s="138">
        <f>IF($P$31=FALSE,2,1)</f>
        <v>2</v>
      </c>
      <c r="P31" s="1063" t="b">
        <v>0</v>
      </c>
      <c r="Q31" s="1064"/>
      <c r="R31" s="139" t="s">
        <v>56</v>
      </c>
      <c r="S31" s="140"/>
      <c r="T31" s="346"/>
      <c r="U31" s="344"/>
      <c r="V31" s="344"/>
      <c r="W31" s="344"/>
      <c r="X31" s="344"/>
      <c r="Y31" s="890" t="str">
        <f>CenAVS!A80</f>
        <v>mocow. frontu do cienkich materiałów Aventos HK, HL, HS, Expando T</v>
      </c>
      <c r="Z31" s="890" t="str">
        <f>CenAVS!B80</f>
        <v>20S42T1</v>
      </c>
      <c r="AA31" s="890" t="str">
        <f>CenAVS!C80</f>
        <v>NI</v>
      </c>
      <c r="AB31" s="665">
        <f t="shared" si="0"/>
        <v>0</v>
      </c>
      <c r="AC31" s="907">
        <f>CenAVS!F80</f>
        <v>31.992830000000005</v>
      </c>
      <c r="AD31" s="908">
        <f t="shared" si="3"/>
        <v>0</v>
      </c>
      <c r="AE31" s="901"/>
      <c r="AF31" s="909">
        <f t="shared" si="4"/>
        <v>0</v>
      </c>
      <c r="AG31" s="901"/>
      <c r="AH31" s="909">
        <f t="shared" si="2"/>
        <v>0</v>
      </c>
      <c r="AK31" s="108"/>
      <c r="AL31" s="108"/>
      <c r="AM31" s="108"/>
      <c r="AN31" s="710"/>
      <c r="AO31" s="137"/>
      <c r="AP31" s="137"/>
      <c r="AQ31" s="137"/>
      <c r="AR31" s="137"/>
      <c r="AS31" s="137"/>
      <c r="AT31" s="122"/>
      <c r="AU31" s="122"/>
    </row>
    <row r="32" spans="1:54" ht="13.5" customHeight="1" x14ac:dyDescent="0.2">
      <c r="B32" s="1109"/>
      <c r="C32" s="1109"/>
      <c r="D32" s="1109"/>
      <c r="E32" s="1109"/>
      <c r="F32" s="1109"/>
      <c r="G32" s="1109"/>
      <c r="H32" s="1109"/>
      <c r="I32" s="1109"/>
      <c r="J32" s="1109"/>
      <c r="K32" s="397"/>
      <c r="L32" s="397"/>
      <c r="T32" s="346"/>
      <c r="U32" s="344"/>
      <c r="V32" s="344"/>
      <c r="W32" s="344"/>
      <c r="X32" s="344"/>
      <c r="Y32" s="890" t="str">
        <f>CenAVS!A81</f>
        <v xml:space="preserve">mocowanie frontu alu HK Top, HS/Top, HL/Top    </v>
      </c>
      <c r="Z32" s="890" t="str">
        <f>CenAVS!B81</f>
        <v>20S4200A</v>
      </c>
      <c r="AA32" s="890" t="str">
        <f>CenAVS!C81</f>
        <v>NI</v>
      </c>
      <c r="AB32" s="665">
        <f t="shared" si="0"/>
        <v>0</v>
      </c>
      <c r="AC32" s="907">
        <f>CenAVS!F81</f>
        <v>43.392219999999995</v>
      </c>
      <c r="AD32" s="908">
        <f t="shared" si="3"/>
        <v>0</v>
      </c>
      <c r="AE32" s="901">
        <f>AE16</f>
        <v>0</v>
      </c>
      <c r="AF32" s="909">
        <f t="shared" si="4"/>
        <v>0</v>
      </c>
      <c r="AG32" s="901">
        <f>AG16</f>
        <v>0</v>
      </c>
      <c r="AH32" s="909">
        <f t="shared" si="2"/>
        <v>0</v>
      </c>
      <c r="AK32" s="108"/>
      <c r="AL32" s="108"/>
      <c r="AM32" s="108"/>
      <c r="AN32" s="108"/>
      <c r="AO32" s="137"/>
      <c r="AP32" s="137"/>
      <c r="AQ32" s="137"/>
      <c r="AR32" s="137"/>
      <c r="AS32" s="137"/>
      <c r="AT32" s="122"/>
      <c r="AU32" s="122"/>
    </row>
    <row r="33" spans="2:54" ht="13.5" customHeight="1" x14ac:dyDescent="0.2">
      <c r="B33" s="1109"/>
      <c r="C33" s="1109"/>
      <c r="D33" s="1109"/>
      <c r="E33" s="1109"/>
      <c r="F33" s="1109"/>
      <c r="G33" s="1109"/>
      <c r="H33" s="1109"/>
      <c r="I33" s="1109"/>
      <c r="J33" s="1109"/>
      <c r="K33" s="266"/>
      <c r="L33" s="255"/>
      <c r="T33" s="346"/>
      <c r="U33" s="344"/>
      <c r="V33" s="344"/>
      <c r="W33" s="344"/>
      <c r="X33" s="344"/>
      <c r="Y33" s="890" t="str">
        <f>CenAVS!A82</f>
        <v xml:space="preserve">          </v>
      </c>
      <c r="Z33" s="890">
        <f>CenAVS!B82</f>
        <v>0</v>
      </c>
      <c r="AA33" s="890">
        <f>CenAVS!C82</f>
        <v>0</v>
      </c>
      <c r="AB33" s="665">
        <f t="shared" si="0"/>
        <v>0</v>
      </c>
      <c r="AC33" s="907">
        <f>CenAVS!F82</f>
        <v>0</v>
      </c>
      <c r="AD33" s="908">
        <f t="shared" si="3"/>
        <v>0</v>
      </c>
      <c r="AE33" s="901"/>
      <c r="AF33" s="909">
        <f t="shared" si="4"/>
        <v>0</v>
      </c>
      <c r="AG33" s="901"/>
      <c r="AH33" s="909">
        <f t="shared" si="2"/>
        <v>0</v>
      </c>
      <c r="AK33" s="108"/>
      <c r="AL33" s="108"/>
      <c r="AM33" s="108"/>
      <c r="AN33" s="108"/>
      <c r="AO33" s="137"/>
      <c r="AP33" s="137"/>
      <c r="AQ33" s="137"/>
      <c r="AR33" s="137"/>
      <c r="AS33" s="137"/>
      <c r="AT33" s="122"/>
      <c r="AU33" s="122"/>
    </row>
    <row r="34" spans="2:54" ht="13.5" customHeight="1" x14ac:dyDescent="0.2">
      <c r="B34" s="272"/>
      <c r="C34" s="255"/>
      <c r="D34" s="266"/>
      <c r="E34" s="266"/>
      <c r="F34" s="266"/>
      <c r="G34" s="266"/>
      <c r="H34" s="266"/>
      <c r="I34" s="255"/>
      <c r="J34" s="266"/>
      <c r="K34" s="266"/>
      <c r="L34" s="255"/>
      <c r="U34" s="344"/>
      <c r="V34" s="344"/>
      <c r="W34" s="344"/>
      <c r="X34" s="344"/>
      <c r="Y34" s="890"/>
      <c r="Z34" s="890"/>
      <c r="AA34" s="890"/>
      <c r="AB34" s="665"/>
      <c r="AC34" s="907"/>
      <c r="AD34" s="908"/>
      <c r="AE34" s="901"/>
      <c r="AF34" s="909">
        <f t="shared" si="4"/>
        <v>0</v>
      </c>
      <c r="AG34" s="901"/>
      <c r="AH34" s="909">
        <f t="shared" si="2"/>
        <v>0</v>
      </c>
      <c r="AI34" s="344"/>
      <c r="AK34" s="108"/>
      <c r="AL34" s="37"/>
      <c r="AM34" s="108"/>
      <c r="AN34" s="108"/>
      <c r="AO34" s="137"/>
      <c r="AP34" s="137"/>
      <c r="AQ34" s="137"/>
      <c r="AR34" s="137"/>
      <c r="AS34" s="137"/>
      <c r="AT34" s="122"/>
      <c r="AU34" s="122"/>
    </row>
    <row r="35" spans="2:54" ht="13.5" customHeight="1" x14ac:dyDescent="0.2">
      <c r="B35" s="272"/>
      <c r="C35" s="273"/>
      <c r="D35" s="266"/>
      <c r="E35" s="266"/>
      <c r="F35" s="266"/>
      <c r="G35" s="266"/>
      <c r="H35" s="266"/>
      <c r="I35" s="255"/>
      <c r="J35" s="266"/>
      <c r="K35" s="266"/>
      <c r="L35" s="255"/>
      <c r="N35" s="37" t="str">
        <f>ListAVS!B177</f>
        <v>Cena bez zasilacza!</v>
      </c>
      <c r="Y35" s="890"/>
      <c r="Z35" s="890"/>
      <c r="AA35" s="890"/>
      <c r="AB35" s="665"/>
      <c r="AC35" s="907"/>
      <c r="AD35" s="908"/>
      <c r="AE35" s="903"/>
      <c r="AF35" s="909">
        <f t="shared" si="4"/>
        <v>0</v>
      </c>
      <c r="AG35" s="903"/>
      <c r="AH35" s="909">
        <f t="shared" si="2"/>
        <v>0</v>
      </c>
      <c r="AI35" s="344"/>
      <c r="AK35" s="108"/>
      <c r="AL35" s="37"/>
      <c r="AM35" s="108"/>
      <c r="AN35" s="108"/>
      <c r="AO35" s="137"/>
      <c r="AP35" s="137"/>
      <c r="AQ35" s="137"/>
      <c r="AR35" s="137"/>
      <c r="AS35" s="137"/>
      <c r="AT35" s="122"/>
      <c r="AU35" s="122"/>
    </row>
    <row r="36" spans="2:54" ht="13.5" customHeight="1" x14ac:dyDescent="0.2">
      <c r="B36" s="272"/>
      <c r="C36" s="255"/>
      <c r="D36" s="266"/>
      <c r="E36" s="266"/>
      <c r="F36" s="266"/>
      <c r="G36" s="266"/>
      <c r="H36" s="266"/>
      <c r="I36" s="255"/>
      <c r="J36" s="266"/>
      <c r="K36" s="266"/>
      <c r="L36" s="255"/>
      <c r="Y36" s="890"/>
      <c r="Z36" s="890"/>
      <c r="AA36" s="890"/>
      <c r="AB36" s="665"/>
      <c r="AC36" s="907"/>
      <c r="AD36" s="908"/>
      <c r="AE36" s="903"/>
      <c r="AF36" s="909">
        <f t="shared" si="4"/>
        <v>0</v>
      </c>
      <c r="AG36" s="903"/>
      <c r="AH36" s="909">
        <f t="shared" si="2"/>
        <v>0</v>
      </c>
      <c r="AI36" s="344"/>
      <c r="AK36" s="108"/>
      <c r="AL36" s="37"/>
      <c r="AM36" s="108"/>
      <c r="AN36" s="108"/>
      <c r="AO36" s="137"/>
      <c r="AP36" s="137"/>
      <c r="AQ36" s="137"/>
      <c r="AR36" s="137"/>
      <c r="AS36" s="137"/>
      <c r="AT36" s="122"/>
      <c r="AU36" s="122"/>
    </row>
    <row r="37" spans="2:54" ht="13.5" customHeight="1" x14ac:dyDescent="0.2">
      <c r="B37" s="274"/>
      <c r="C37" s="275" t="str">
        <f>"* "&amp;ListAVS!$B$234</f>
        <v>* Podaj liczbę ścianek środkowych w korpusie.</v>
      </c>
      <c r="D37" s="275"/>
      <c r="E37" s="275"/>
      <c r="F37" s="275"/>
      <c r="G37" s="275"/>
      <c r="H37" s="275"/>
      <c r="I37" s="275"/>
      <c r="J37" s="275"/>
      <c r="K37" s="275"/>
      <c r="L37" s="275"/>
      <c r="N37" s="37" t="str">
        <f>" "&amp;ListAVS!$B$116</f>
        <v xml:space="preserve"> Wprowadź wagę lub wypełnij wszystkie komórki</v>
      </c>
      <c r="T37" s="344"/>
      <c r="Y37" s="890"/>
      <c r="Z37" s="890"/>
      <c r="AA37" s="890"/>
      <c r="AB37" s="665"/>
      <c r="AC37" s="907"/>
      <c r="AD37" s="908"/>
      <c r="AE37" s="903"/>
      <c r="AF37" s="909">
        <f t="shared" si="4"/>
        <v>0</v>
      </c>
      <c r="AG37" s="903"/>
      <c r="AH37" s="909">
        <f t="shared" si="2"/>
        <v>0</v>
      </c>
      <c r="AI37" s="344"/>
      <c r="AK37" s="108"/>
      <c r="AL37" s="37"/>
      <c r="AM37" s="108"/>
      <c r="AN37" s="108"/>
      <c r="AO37" s="137"/>
      <c r="AP37" s="137"/>
      <c r="AQ37" s="137"/>
      <c r="AR37" s="137"/>
      <c r="AS37" s="137"/>
      <c r="AT37" s="122"/>
      <c r="AU37" s="122"/>
    </row>
    <row r="38" spans="2:54" ht="13.5" customHeight="1" x14ac:dyDescent="0.2">
      <c r="B38" s="255"/>
      <c r="C38" s="255" t="str">
        <f>"** "&amp;ListAVS!$B$187</f>
        <v>** Jeżeli znasz wagę i nie chcesz skorzystać z "obliczenie wagi"</v>
      </c>
      <c r="D38" s="275"/>
      <c r="E38" s="275"/>
      <c r="F38" s="275"/>
      <c r="G38" s="275"/>
      <c r="H38" s="275"/>
      <c r="I38" s="275"/>
      <c r="J38" s="275"/>
      <c r="K38" s="275"/>
      <c r="L38" s="275"/>
      <c r="N38" s="37" t="str">
        <f>" "&amp;ListAVS!$B$117</f>
        <v xml:space="preserve"> Wprowadź wagę lub wypełnij na górze grubość szkła</v>
      </c>
      <c r="T38" s="317"/>
      <c r="U38" s="344"/>
      <c r="V38" s="344"/>
      <c r="W38" s="344"/>
      <c r="X38" s="344"/>
      <c r="Y38" s="890"/>
      <c r="Z38" s="890"/>
      <c r="AA38" s="890"/>
      <c r="AB38" s="665"/>
      <c r="AC38" s="907"/>
      <c r="AD38" s="908"/>
      <c r="AE38" s="903"/>
      <c r="AF38" s="909">
        <f t="shared" si="4"/>
        <v>0</v>
      </c>
      <c r="AG38" s="903"/>
      <c r="AH38" s="909">
        <f t="shared" si="2"/>
        <v>0</v>
      </c>
      <c r="AI38" s="344"/>
      <c r="AK38" s="108"/>
      <c r="AL38" s="37"/>
      <c r="AM38" s="108"/>
      <c r="AN38" s="108"/>
      <c r="AO38" s="137"/>
      <c r="AP38" s="37"/>
      <c r="AQ38" s="37"/>
      <c r="AR38" s="37"/>
      <c r="AS38" s="37"/>
      <c r="AT38" s="37"/>
      <c r="AU38" s="37"/>
    </row>
    <row r="39" spans="2:54" ht="13.5" customHeight="1" x14ac:dyDescent="0.2">
      <c r="B39" s="255"/>
      <c r="C39" s="273" t="str">
        <f>"*** "&amp;ListAVS!$B$403</f>
        <v>*** Wybierz rodzaj ramki aluminiowej!</v>
      </c>
      <c r="D39" s="266"/>
      <c r="E39" s="266"/>
      <c r="F39" s="266"/>
      <c r="G39" s="266"/>
      <c r="H39" s="276"/>
      <c r="I39" s="276"/>
      <c r="J39" s="276"/>
      <c r="K39" s="276"/>
      <c r="L39" s="255"/>
      <c r="N39" s="37" t="str">
        <f>" "&amp;ListAVS!$B$118</f>
        <v xml:space="preserve"> Wprowadź na górze masę objętościową </v>
      </c>
      <c r="T39" s="344"/>
      <c r="U39" s="317"/>
      <c r="V39" s="317"/>
      <c r="W39" s="317"/>
      <c r="X39" s="317"/>
      <c r="Y39" s="890"/>
      <c r="Z39" s="890"/>
      <c r="AA39" s="890"/>
      <c r="AB39" s="665"/>
      <c r="AC39" s="907"/>
      <c r="AD39" s="908"/>
      <c r="AE39" s="903"/>
      <c r="AF39" s="909"/>
      <c r="AG39" s="903"/>
      <c r="AH39" s="909"/>
      <c r="AI39" s="344"/>
      <c r="AK39" s="108"/>
      <c r="AL39" s="37"/>
      <c r="AM39" s="108"/>
      <c r="AN39" s="108"/>
      <c r="AO39" s="37"/>
      <c r="AP39" s="37"/>
      <c r="AQ39" s="37"/>
      <c r="AR39" s="37"/>
      <c r="AS39" s="37"/>
      <c r="AT39" s="37"/>
      <c r="AU39" s="37"/>
      <c r="AV39" s="37"/>
      <c r="AW39" s="37"/>
      <c r="AX39" s="37"/>
      <c r="AY39" s="37"/>
      <c r="AZ39" s="37"/>
      <c r="BA39" s="37"/>
      <c r="BB39" s="37"/>
    </row>
    <row r="40" spans="2:54" ht="13.5" customHeight="1" x14ac:dyDescent="0.2">
      <c r="B40" s="274"/>
      <c r="C40" s="670" t="str">
        <f>"      "&amp;ListAVS!$B$404</f>
        <v xml:space="preserve">      Więcej informacji o wyborze ramki aluminiowej w Pomocy</v>
      </c>
      <c r="D40" s="255"/>
      <c r="E40" s="255"/>
      <c r="F40" s="255"/>
      <c r="G40" s="255"/>
      <c r="H40" s="276"/>
      <c r="I40" s="276"/>
      <c r="J40" s="276"/>
      <c r="K40" s="276"/>
      <c r="L40" s="255"/>
      <c r="T40" s="344"/>
      <c r="U40" s="344"/>
      <c r="V40" s="344"/>
      <c r="W40" s="344"/>
      <c r="X40" s="344"/>
      <c r="Y40" s="890"/>
      <c r="Z40" s="890"/>
      <c r="AA40" s="890"/>
      <c r="AB40" s="665"/>
      <c r="AC40" s="907"/>
      <c r="AD40" s="908"/>
      <c r="AE40" s="903"/>
      <c r="AF40" s="909">
        <f>$AC40*AE40</f>
        <v>0</v>
      </c>
      <c r="AG40" s="903"/>
      <c r="AH40" s="909">
        <f>$AC40*AG40</f>
        <v>0</v>
      </c>
      <c r="AI40" s="344"/>
      <c r="AK40" s="108"/>
      <c r="AL40" s="149"/>
      <c r="AM40" s="108"/>
      <c r="AN40" s="108"/>
      <c r="AO40" s="37"/>
      <c r="AP40" s="37"/>
      <c r="AQ40" s="37"/>
      <c r="AR40" s="37"/>
      <c r="AS40" s="37"/>
      <c r="AT40" s="37"/>
      <c r="AU40" s="37"/>
      <c r="AV40" s="37"/>
      <c r="AW40" s="37"/>
      <c r="AX40" s="37"/>
      <c r="AY40" s="37"/>
      <c r="AZ40" s="37"/>
      <c r="BA40" s="37"/>
      <c r="BB40" s="37"/>
    </row>
    <row r="41" spans="2:54" ht="13.5" customHeight="1" x14ac:dyDescent="0.2">
      <c r="D41" s="338"/>
      <c r="E41" s="338"/>
      <c r="F41" s="338"/>
      <c r="G41" s="338"/>
      <c r="N41" s="37" t="str">
        <f>"◄ "&amp;ListAVS!$B$112</f>
        <v>◄ wartość będzie wykorzystana do obliczenia LF</v>
      </c>
      <c r="T41" s="344"/>
      <c r="U41" s="344"/>
      <c r="V41" s="344"/>
      <c r="W41" s="344"/>
      <c r="X41" s="344"/>
      <c r="Y41" s="890"/>
      <c r="Z41" s="890"/>
      <c r="AA41" s="890"/>
      <c r="AB41" s="665"/>
      <c r="AC41" s="907"/>
      <c r="AD41" s="908"/>
      <c r="AE41" s="903"/>
      <c r="AF41" s="909">
        <f>$AC41*AE43</f>
        <v>0</v>
      </c>
      <c r="AG41" s="903"/>
      <c r="AH41" s="909">
        <f>$AC41*AG41</f>
        <v>0</v>
      </c>
      <c r="AI41" s="344"/>
      <c r="AK41" s="108"/>
      <c r="AL41" s="108"/>
      <c r="AM41" s="108"/>
      <c r="AN41" s="108"/>
      <c r="AO41" s="37"/>
      <c r="AP41" s="137"/>
      <c r="AQ41" s="137"/>
      <c r="AR41" s="137"/>
      <c r="AS41" s="137"/>
      <c r="AT41" s="122"/>
      <c r="AU41" s="122"/>
      <c r="AV41" s="37"/>
      <c r="AW41" s="37"/>
      <c r="AX41" s="37"/>
      <c r="AY41" s="37"/>
      <c r="AZ41" s="37"/>
      <c r="BA41" s="37"/>
      <c r="BB41" s="37"/>
    </row>
    <row r="42" spans="2:54" ht="13.5" customHeight="1" x14ac:dyDescent="0.2">
      <c r="J42" s="145"/>
      <c r="K42" s="145"/>
      <c r="N42" s="37" t="str">
        <f>" * "&amp;ListAVS!$B$128</f>
        <v xml:space="preserve"> * Wypełnij wartości</v>
      </c>
      <c r="O42" s="37"/>
      <c r="Q42" s="37"/>
      <c r="T42" s="348"/>
      <c r="U42" s="344"/>
      <c r="V42" s="344"/>
      <c r="W42" s="344"/>
      <c r="X42" s="344"/>
      <c r="Y42" s="890">
        <f>CenAVS!A169</f>
        <v>0</v>
      </c>
      <c r="Z42" s="890">
        <f>CenAVS!B169</f>
        <v>0</v>
      </c>
      <c r="AA42" s="890">
        <f>CenAVS!C169</f>
        <v>0</v>
      </c>
      <c r="AB42" s="665"/>
      <c r="AC42" s="907">
        <f>CenAVS!F169</f>
        <v>0</v>
      </c>
      <c r="AD42" s="908">
        <f t="shared" si="3"/>
        <v>0</v>
      </c>
      <c r="AE42" s="903"/>
      <c r="AF42" s="909">
        <f>$AC42*AE42</f>
        <v>0</v>
      </c>
      <c r="AG42" s="903"/>
      <c r="AH42" s="909">
        <f>$AC42*AG42</f>
        <v>0</v>
      </c>
      <c r="AI42" s="344"/>
      <c r="AK42" s="37"/>
      <c r="AL42" s="108"/>
      <c r="AM42" s="108"/>
      <c r="AN42" s="108"/>
      <c r="AO42" s="137"/>
      <c r="AP42" s="137"/>
      <c r="AQ42" s="137"/>
      <c r="AR42" s="137"/>
      <c r="AS42" s="137"/>
      <c r="AT42" s="122"/>
      <c r="AU42" s="122"/>
    </row>
    <row r="43" spans="2:54" s="37" customFormat="1" ht="13.5" customHeight="1" x14ac:dyDescent="0.2">
      <c r="B43" s="147"/>
      <c r="C43" s="148"/>
      <c r="D43" s="148"/>
      <c r="E43" s="148"/>
      <c r="F43" s="148"/>
      <c r="G43" s="148"/>
      <c r="H43" s="148"/>
      <c r="I43" s="148"/>
      <c r="J43" s="148"/>
      <c r="K43" s="148"/>
      <c r="O43" s="118"/>
      <c r="Q43" s="118"/>
      <c r="T43" s="344"/>
      <c r="U43" s="344"/>
      <c r="V43" s="344"/>
      <c r="W43" s="344"/>
      <c r="X43" s="344"/>
      <c r="Y43" s="890" t="str">
        <f>CenAVS!A171</f>
        <v xml:space="preserve">Aventos HF/HL/HS - Top Servo-Drive      </v>
      </c>
      <c r="Z43" s="890" t="str">
        <f>CenAVS!B171</f>
        <v>23.A000</v>
      </c>
      <c r="AA43" s="890" t="str">
        <f>CenAVS!C171</f>
        <v>R7037</v>
      </c>
      <c r="AB43" s="665">
        <f>SUM(AE43,AG43)</f>
        <v>0</v>
      </c>
      <c r="AC43" s="907">
        <f>CenAVS!F171</f>
        <v>905.30219999999997</v>
      </c>
      <c r="AD43" s="908">
        <f t="shared" si="3"/>
        <v>0</v>
      </c>
      <c r="AE43" s="903">
        <f>IF($Q$16=1, 0, $M$17)</f>
        <v>0</v>
      </c>
      <c r="AF43" s="909">
        <f>$AC43*AE43</f>
        <v>0</v>
      </c>
      <c r="AG43" s="903">
        <f>IF($Q$27=1, 0, $M$28)</f>
        <v>0</v>
      </c>
      <c r="AH43" s="909">
        <f>$AC43*AG43</f>
        <v>0</v>
      </c>
      <c r="AI43" s="344"/>
      <c r="AL43" s="108"/>
      <c r="AM43" s="108"/>
      <c r="AN43" s="108"/>
      <c r="AO43" s="137"/>
      <c r="AP43" s="137"/>
      <c r="AQ43" s="137"/>
      <c r="AR43" s="137"/>
      <c r="AS43" s="137"/>
      <c r="AT43" s="122"/>
      <c r="AU43" s="122"/>
      <c r="AV43" s="121"/>
      <c r="AW43" s="121"/>
      <c r="AX43" s="121"/>
      <c r="AY43" s="121"/>
      <c r="AZ43" s="121"/>
      <c r="BA43" s="121"/>
      <c r="BB43" s="121"/>
    </row>
    <row r="44" spans="2:54" s="37" customFormat="1" ht="13.5" customHeight="1" x14ac:dyDescent="0.2">
      <c r="B44" s="142"/>
      <c r="C44" s="148"/>
      <c r="D44" s="148"/>
      <c r="E44" s="148"/>
      <c r="F44" s="148"/>
      <c r="G44" s="148"/>
      <c r="H44" s="148"/>
      <c r="I44" s="148"/>
      <c r="J44" s="148"/>
      <c r="K44" s="148"/>
      <c r="O44" s="118"/>
      <c r="Q44" s="118"/>
      <c r="T44" s="344"/>
      <c r="U44" s="344"/>
      <c r="V44" s="344"/>
      <c r="W44" s="344"/>
      <c r="X44" s="344"/>
      <c r="AG44" s="118"/>
      <c r="AI44" s="344"/>
      <c r="AL44" s="108"/>
      <c r="AM44" s="108"/>
      <c r="AN44" s="108"/>
      <c r="AO44" s="137"/>
      <c r="AP44" s="137"/>
      <c r="AQ44" s="137"/>
      <c r="AR44" s="137"/>
      <c r="AS44" s="137"/>
      <c r="AT44" s="122"/>
      <c r="AU44" s="122"/>
      <c r="AV44" s="121"/>
      <c r="AW44" s="121"/>
      <c r="AX44" s="121"/>
      <c r="AY44" s="121"/>
      <c r="AZ44" s="121"/>
      <c r="BA44" s="121"/>
      <c r="BB44" s="121"/>
    </row>
    <row r="45" spans="2:54" s="37" customFormat="1" ht="13.5" customHeight="1" x14ac:dyDescent="0.2">
      <c r="B45" s="349"/>
      <c r="C45" s="148"/>
      <c r="D45" s="148"/>
      <c r="E45" s="148"/>
      <c r="F45" s="148"/>
      <c r="G45" s="148"/>
      <c r="H45" s="148"/>
      <c r="I45" s="148"/>
      <c r="J45" s="148"/>
      <c r="K45" s="148"/>
      <c r="O45" s="118"/>
      <c r="Q45" s="118"/>
      <c r="T45" s="342"/>
      <c r="U45" s="344"/>
      <c r="V45" s="344"/>
      <c r="W45" s="344"/>
      <c r="X45" s="344"/>
      <c r="AC45" s="144" t="str">
        <f>ListAVS!$B$61&amp;" "</f>
        <v xml:space="preserve">Cena całkowita bez VAT </v>
      </c>
      <c r="AD45" s="171">
        <f>SUM(AD9:AD43)</f>
        <v>0</v>
      </c>
      <c r="AF45" s="201">
        <f>SUM(AF9:AF44)</f>
        <v>0</v>
      </c>
      <c r="AH45" s="201">
        <f>SUM(AH9:AH44)</f>
        <v>0</v>
      </c>
      <c r="AI45" s="344"/>
      <c r="AK45" s="108"/>
      <c r="AL45" s="108"/>
      <c r="AM45" s="108"/>
      <c r="AN45" s="108"/>
      <c r="AO45" s="137"/>
      <c r="AP45" s="137"/>
      <c r="AQ45" s="137"/>
      <c r="AR45" s="137"/>
      <c r="AS45" s="137"/>
      <c r="AT45" s="122"/>
      <c r="AU45" s="122"/>
      <c r="AV45" s="121"/>
      <c r="AW45" s="121"/>
      <c r="AX45" s="121"/>
      <c r="AY45" s="121"/>
      <c r="AZ45" s="121"/>
      <c r="BA45" s="121"/>
      <c r="BB45" s="121"/>
    </row>
    <row r="46" spans="2:54" ht="13.5" customHeight="1" x14ac:dyDescent="0.2">
      <c r="B46" s="350"/>
      <c r="C46" s="148"/>
      <c r="D46" s="148"/>
      <c r="E46" s="148"/>
      <c r="F46" s="148"/>
      <c r="G46" s="148"/>
      <c r="H46" s="148"/>
      <c r="I46" s="148"/>
      <c r="J46" s="148"/>
      <c r="K46" s="148"/>
      <c r="N46" s="151"/>
      <c r="O46" s="151">
        <f>HS!$N$26</f>
        <v>2</v>
      </c>
      <c r="P46" s="151"/>
      <c r="S46" s="169">
        <v>2</v>
      </c>
      <c r="T46" s="151">
        <f>MenuAVS!$P$28</f>
        <v>1</v>
      </c>
      <c r="U46" s="342"/>
      <c r="V46" s="342"/>
      <c r="W46" s="117">
        <f>HS!$P$26</f>
        <v>1</v>
      </c>
      <c r="X46" s="342"/>
      <c r="Y46" s="344"/>
      <c r="Z46" s="344"/>
      <c r="AA46" s="344"/>
      <c r="AB46" s="344"/>
      <c r="AC46" s="344"/>
      <c r="AD46" s="344"/>
      <c r="AE46" s="344"/>
      <c r="AF46" s="344"/>
      <c r="AG46" s="344"/>
      <c r="AH46" s="344"/>
      <c r="AI46" s="344"/>
      <c r="AK46" s="108"/>
      <c r="AL46" s="108"/>
      <c r="AM46" s="108"/>
      <c r="AN46" s="108"/>
      <c r="AO46" s="137"/>
      <c r="AP46" s="137"/>
      <c r="AQ46" s="137"/>
      <c r="AR46" s="137"/>
      <c r="AS46" s="137"/>
      <c r="AT46" s="122"/>
      <c r="AU46" s="122"/>
    </row>
    <row r="47" spans="2:54" ht="13.5" customHeight="1" x14ac:dyDescent="0.2">
      <c r="B47" s="316"/>
      <c r="C47" s="317"/>
      <c r="D47" s="317"/>
      <c r="E47" s="317"/>
      <c r="F47" s="317"/>
      <c r="G47" s="317"/>
      <c r="I47" s="317"/>
      <c r="J47" s="317"/>
      <c r="N47" s="153"/>
      <c r="O47" s="153" t="s">
        <v>84</v>
      </c>
      <c r="P47" s="153"/>
      <c r="Q47" s="154" t="s">
        <v>57</v>
      </c>
      <c r="S47" s="39" t="s">
        <v>67</v>
      </c>
      <c r="T47" s="154" t="s">
        <v>6</v>
      </c>
      <c r="U47" s="344"/>
      <c r="V47" s="344"/>
      <c r="W47" s="154" t="str">
        <f>HS!P27</f>
        <v>mont.</v>
      </c>
      <c r="X47" s="344"/>
      <c r="Y47" s="344"/>
      <c r="Z47" s="344"/>
      <c r="AA47" s="344"/>
      <c r="AB47" s="344"/>
      <c r="AC47" s="344"/>
      <c r="AD47" s="344"/>
      <c r="AE47" s="344"/>
      <c r="AF47" s="344"/>
      <c r="AG47" s="344"/>
      <c r="AH47" s="344"/>
      <c r="AI47" s="344"/>
      <c r="AK47" s="108"/>
      <c r="AL47" s="37"/>
      <c r="AM47" s="108"/>
      <c r="AN47" s="108"/>
      <c r="AO47" s="137"/>
      <c r="AP47" s="137"/>
      <c r="AQ47" s="137"/>
      <c r="AR47" s="137"/>
      <c r="AS47" s="137"/>
      <c r="AT47" s="122"/>
      <c r="AU47" s="122"/>
    </row>
    <row r="48" spans="2:54" ht="13.5" customHeight="1" x14ac:dyDescent="0.2">
      <c r="B48" s="317"/>
      <c r="C48" s="317"/>
      <c r="D48" s="317"/>
      <c r="E48" s="317"/>
      <c r="F48" s="317"/>
      <c r="G48" s="317"/>
      <c r="I48" s="317"/>
      <c r="J48" s="317"/>
      <c r="O48" s="118" t="str">
        <f>ListAVS!$B$143</f>
        <v>Expando</v>
      </c>
      <c r="Q48" s="149" t="s">
        <v>58</v>
      </c>
      <c r="T48" s="37" t="str">
        <f>ListAVS!$B$146</f>
        <v>Jasnoszary (HGR)</v>
      </c>
      <c r="U48" s="344"/>
      <c r="V48" s="344"/>
      <c r="W48" s="37" t="str">
        <f>HS!P28</f>
        <v>wkręty</v>
      </c>
      <c r="X48" s="344"/>
      <c r="Y48" s="344"/>
      <c r="Z48" s="344"/>
      <c r="AA48" s="344"/>
      <c r="AB48" s="344"/>
      <c r="AC48" s="344"/>
      <c r="AD48" s="344"/>
      <c r="AE48" s="344"/>
      <c r="AF48" s="344"/>
      <c r="AG48" s="344"/>
      <c r="AH48" s="344"/>
      <c r="AI48" s="344"/>
      <c r="AK48" s="108"/>
      <c r="AL48" s="37"/>
      <c r="AM48" s="108"/>
      <c r="AN48" s="108"/>
      <c r="AO48" s="137"/>
      <c r="AP48" s="137"/>
      <c r="AQ48" s="137"/>
      <c r="AR48" s="137"/>
      <c r="AS48" s="137"/>
      <c r="AT48" s="122"/>
      <c r="AU48" s="122"/>
    </row>
    <row r="49" spans="2:54" ht="13.5" customHeight="1" x14ac:dyDescent="0.2">
      <c r="B49" s="316"/>
      <c r="C49" s="317"/>
      <c r="D49" s="317"/>
      <c r="E49" s="317"/>
      <c r="F49" s="317"/>
      <c r="G49" s="317"/>
      <c r="I49" s="317"/>
      <c r="J49" s="317"/>
      <c r="O49" s="118" t="str">
        <f>ListAVS!$B$144</f>
        <v>na wkręty</v>
      </c>
      <c r="Q49" s="149" t="s">
        <v>59</v>
      </c>
      <c r="T49" s="37" t="str">
        <f>ListAVS!$B$147</f>
        <v>Ciemnoszary (TGR)</v>
      </c>
      <c r="U49" s="344"/>
      <c r="V49" s="344"/>
      <c r="W49" s="37" t="str">
        <f>HS!P29</f>
        <v>wstępnie zamontowane eurowkręty</v>
      </c>
      <c r="X49" s="344"/>
      <c r="Y49" s="344"/>
      <c r="Z49" s="344"/>
      <c r="AA49" s="905" t="str">
        <f>Param!M22</f>
        <v>Parametry HS</v>
      </c>
      <c r="AB49" s="904"/>
      <c r="AC49" s="904"/>
      <c r="AD49" s="904"/>
      <c r="AE49" s="904"/>
      <c r="AF49" s="904"/>
      <c r="AG49" s="904"/>
      <c r="AH49" s="904"/>
      <c r="AI49" s="344"/>
      <c r="AK49" s="108"/>
      <c r="AL49" s="37"/>
      <c r="AM49" s="108"/>
      <c r="AN49" s="108"/>
      <c r="AO49" s="137"/>
      <c r="AP49" s="137"/>
      <c r="AQ49" s="137"/>
      <c r="AR49" s="137"/>
      <c r="AS49" s="137"/>
      <c r="AT49" s="122"/>
      <c r="AU49" s="122"/>
    </row>
    <row r="50" spans="2:54" ht="13.5" customHeight="1" x14ac:dyDescent="0.2">
      <c r="B50" s="144"/>
      <c r="C50" s="317"/>
      <c r="O50" s="37"/>
      <c r="T50" s="37" t="str">
        <f>ListAVS!$B$148</f>
        <v>Jedwabiście biały (SW)</v>
      </c>
      <c r="U50" s="344"/>
      <c r="V50" s="344"/>
      <c r="W50" s="344"/>
      <c r="X50" s="344"/>
      <c r="Y50" s="344"/>
      <c r="Z50" s="344"/>
      <c r="AA50" s="904" t="str">
        <f>Param!M23</f>
        <v>Zdvihač</v>
      </c>
      <c r="AB50" s="904" t="str">
        <f>Param!N23</f>
        <v>ks</v>
      </c>
      <c r="AC50" s="904" t="str">
        <f>Param!O23</f>
        <v>min</v>
      </c>
      <c r="AD50" s="904" t="str">
        <f>Param!P23</f>
        <v>max</v>
      </c>
      <c r="AE50" s="904" t="str">
        <f>Param!Q23</f>
        <v>hmot. min.</v>
      </c>
      <c r="AF50" s="904" t="str">
        <f>Param!R23</f>
        <v>hmot. max.</v>
      </c>
      <c r="AG50" s="904"/>
      <c r="AH50" s="904"/>
      <c r="AI50" s="344"/>
      <c r="AK50" s="108"/>
      <c r="AL50" s="37"/>
      <c r="AM50" s="108"/>
      <c r="AN50" s="108"/>
      <c r="AO50" s="137"/>
      <c r="AP50" s="137"/>
      <c r="AQ50" s="137"/>
      <c r="AR50" s="137"/>
      <c r="AS50" s="137"/>
      <c r="AT50" s="122"/>
      <c r="AU50" s="122"/>
    </row>
    <row r="51" spans="2:54" ht="13.5" customHeight="1" x14ac:dyDescent="0.2">
      <c r="B51" s="144"/>
      <c r="T51" s="346"/>
      <c r="U51" s="344"/>
      <c r="V51" s="344"/>
      <c r="W51" s="344"/>
      <c r="X51" s="344"/>
      <c r="Y51" s="344"/>
      <c r="Z51" s="344"/>
      <c r="AA51" s="904" t="str">
        <f>Param!M24</f>
        <v>22S2200</v>
      </c>
      <c r="AB51" s="904"/>
      <c r="AC51" s="904">
        <f>Param!O24</f>
        <v>350</v>
      </c>
      <c r="AD51" s="904">
        <f>Param!P24</f>
        <v>450</v>
      </c>
      <c r="AE51" s="904">
        <f>Param!Q24</f>
        <v>2</v>
      </c>
      <c r="AF51" s="904">
        <f>Param!R24</f>
        <v>11.5</v>
      </c>
      <c r="AG51" s="904"/>
      <c r="AH51" s="904"/>
      <c r="AI51" s="344"/>
      <c r="AK51" s="108"/>
      <c r="AL51" s="108"/>
      <c r="AM51" s="108"/>
      <c r="AN51" s="108"/>
      <c r="AO51" s="137"/>
      <c r="AP51" s="137"/>
      <c r="AQ51" s="137"/>
      <c r="AR51" s="137"/>
      <c r="AS51" s="137"/>
      <c r="AT51" s="122"/>
      <c r="AU51" s="122"/>
    </row>
    <row r="52" spans="2:54" ht="13.5" customHeight="1" x14ac:dyDescent="0.2">
      <c r="B52" s="155"/>
      <c r="D52" s="155"/>
      <c r="E52" s="155"/>
      <c r="F52" s="155"/>
      <c r="G52" s="155"/>
      <c r="I52" s="155"/>
      <c r="J52" s="155"/>
      <c r="N52" s="37" t="str">
        <f>" "&amp;ListAVS!$B$109</f>
        <v xml:space="preserve"> w połączeniu z SERVO-DRIVE</v>
      </c>
      <c r="T52" s="346"/>
      <c r="U52" s="344"/>
      <c r="V52" s="344"/>
      <c r="W52" s="344"/>
      <c r="X52" s="344"/>
      <c r="Y52" s="344"/>
      <c r="Z52" s="344"/>
      <c r="AA52" s="904" t="str">
        <f>Param!M25</f>
        <v>22S2200 v</v>
      </c>
      <c r="AB52" s="904"/>
      <c r="AC52" s="904">
        <f>Param!O25</f>
        <v>450</v>
      </c>
      <c r="AD52" s="904">
        <f>Param!P25</f>
        <v>540</v>
      </c>
      <c r="AE52" s="904">
        <f>Param!Q25</f>
        <v>2.5</v>
      </c>
      <c r="AF52" s="904">
        <f>Param!R25</f>
        <v>12.5</v>
      </c>
      <c r="AG52" s="904"/>
      <c r="AH52" s="904"/>
      <c r="AI52" s="344"/>
      <c r="AK52" s="108"/>
      <c r="AL52" s="108"/>
      <c r="AM52" s="108"/>
      <c r="AN52" s="108"/>
      <c r="AO52" s="137"/>
      <c r="AP52" s="137"/>
      <c r="AQ52" s="137"/>
      <c r="AR52" s="137"/>
      <c r="AS52" s="137"/>
      <c r="AT52" s="122"/>
      <c r="AU52" s="122"/>
    </row>
    <row r="53" spans="2:54" ht="13.5" customHeight="1" x14ac:dyDescent="0.2">
      <c r="N53" s="37" t="str">
        <f>" "&amp;ListAVS!$B$110</f>
        <v xml:space="preserve"> niemożliwe w połączeniu z SERVO-DRIVE</v>
      </c>
      <c r="T53" s="346"/>
      <c r="U53" s="344"/>
      <c r="V53" s="344"/>
      <c r="W53" s="344"/>
      <c r="X53" s="344"/>
      <c r="Y53" s="344"/>
      <c r="Z53" s="344"/>
      <c r="AA53" s="904" t="str">
        <f>Param!M26</f>
        <v>22S2500</v>
      </c>
      <c r="AB53" s="904"/>
      <c r="AC53" s="904">
        <f>Param!O26</f>
        <v>480</v>
      </c>
      <c r="AD53" s="904">
        <f>Param!P26</f>
        <v>660</v>
      </c>
      <c r="AE53" s="904">
        <f>Param!Q26</f>
        <v>2.75</v>
      </c>
      <c r="AF53" s="904">
        <f>Param!R26</f>
        <v>15.25</v>
      </c>
      <c r="AG53" s="904"/>
      <c r="AH53" s="904"/>
      <c r="AI53" s="344"/>
      <c r="AK53" s="108"/>
      <c r="AL53" s="108"/>
      <c r="AM53" s="108"/>
      <c r="AN53" s="108"/>
      <c r="AO53" s="137"/>
      <c r="AP53" s="137"/>
      <c r="AQ53" s="137"/>
      <c r="AR53" s="137"/>
      <c r="AS53" s="137"/>
      <c r="AT53" s="122"/>
      <c r="AU53" s="122"/>
    </row>
    <row r="54" spans="2:54" ht="13.5" customHeight="1" x14ac:dyDescent="0.2">
      <c r="N54" s="37" t="str">
        <f>" "&amp;ListAVS!$B$116</f>
        <v xml:space="preserve"> Wprowadź wagę lub wypełnij wszystkie komórki</v>
      </c>
      <c r="T54" s="346"/>
      <c r="U54" s="344"/>
      <c r="V54" s="344"/>
      <c r="W54" s="344"/>
      <c r="X54" s="344"/>
      <c r="Y54" s="344"/>
      <c r="Z54" s="344"/>
      <c r="AA54" s="904" t="str">
        <f>Param!M27</f>
        <v>22S2800</v>
      </c>
      <c r="AB54" s="904"/>
      <c r="AC54" s="904">
        <f>Param!O27</f>
        <v>650</v>
      </c>
      <c r="AD54" s="904">
        <f>Param!P27</f>
        <v>800</v>
      </c>
      <c r="AE54" s="904">
        <f>Param!Q27</f>
        <v>3.5</v>
      </c>
      <c r="AF54" s="904">
        <f>Param!R27</f>
        <v>18.5</v>
      </c>
      <c r="AG54" s="904"/>
      <c r="AH54" s="904"/>
      <c r="AI54" s="344"/>
      <c r="AK54" s="108"/>
      <c r="AL54" s="108"/>
      <c r="AM54" s="108"/>
      <c r="AN54" s="108"/>
      <c r="AO54" s="137"/>
      <c r="AP54" s="137"/>
      <c r="AQ54" s="137"/>
      <c r="AR54" s="137"/>
      <c r="AS54" s="137"/>
      <c r="AT54" s="122"/>
      <c r="AU54" s="122"/>
    </row>
    <row r="55" spans="2:54" ht="13.5" customHeight="1" x14ac:dyDescent="0.2">
      <c r="N55" s="37" t="str">
        <f>"◄ "&amp;ListAVS!$B$113</f>
        <v>◄ wartość będzie wykorzystana w celu wyboru siłownika</v>
      </c>
      <c r="T55" s="346"/>
      <c r="U55" s="344"/>
      <c r="V55" s="344"/>
      <c r="W55" s="344"/>
      <c r="X55" s="344"/>
      <c r="Y55" s="344"/>
      <c r="Z55" s="344"/>
      <c r="AA55" s="904"/>
      <c r="AB55" s="904"/>
      <c r="AC55" s="904"/>
      <c r="AD55" s="904"/>
      <c r="AE55" s="904"/>
      <c r="AF55" s="904"/>
      <c r="AG55" s="904"/>
      <c r="AH55" s="904"/>
      <c r="AI55" s="344"/>
      <c r="AK55" s="108"/>
      <c r="AL55" s="108"/>
      <c r="AM55" s="108"/>
      <c r="AN55" s="108"/>
      <c r="AO55" s="137"/>
      <c r="AP55" s="137"/>
      <c r="AQ55" s="137"/>
      <c r="AR55" s="137"/>
      <c r="AS55" s="37"/>
      <c r="AT55" s="37"/>
      <c r="AU55" s="37"/>
    </row>
    <row r="56" spans="2:54" ht="13.5" customHeight="1" x14ac:dyDescent="0.2">
      <c r="N56" s="37" t="str">
        <f>" * "&amp;ListAVS!$B$128</f>
        <v xml:space="preserve"> * Wypełnij wartości</v>
      </c>
      <c r="T56" s="345"/>
      <c r="U56" s="344"/>
      <c r="V56" s="344"/>
      <c r="W56" s="344"/>
      <c r="X56" s="344"/>
      <c r="Y56" s="344"/>
      <c r="Z56" s="344"/>
      <c r="AA56" s="344"/>
      <c r="AB56" s="344"/>
      <c r="AC56" s="344"/>
      <c r="AD56" s="344"/>
      <c r="AE56" s="344"/>
      <c r="AF56" s="344"/>
      <c r="AG56" s="344"/>
      <c r="AH56" s="344"/>
      <c r="AI56" s="344"/>
      <c r="AK56" s="108"/>
      <c r="AL56" s="108"/>
      <c r="AM56" s="108"/>
      <c r="AN56" s="108"/>
      <c r="AO56" s="137"/>
      <c r="AP56" s="137"/>
      <c r="AQ56" s="137"/>
      <c r="AR56" s="137"/>
      <c r="AS56" s="37"/>
      <c r="AT56" s="37"/>
      <c r="AU56" s="37"/>
      <c r="AV56" s="37"/>
      <c r="AW56" s="37"/>
      <c r="AX56" s="37"/>
      <c r="AY56" s="37"/>
      <c r="AZ56" s="37"/>
      <c r="BA56" s="37"/>
      <c r="BB56" s="37"/>
    </row>
    <row r="57" spans="2:54" ht="13.5" customHeight="1" x14ac:dyDescent="0.2">
      <c r="T57" s="346"/>
      <c r="U57" s="344"/>
      <c r="V57" s="344"/>
      <c r="W57" s="344"/>
      <c r="X57" s="344"/>
      <c r="Y57" s="344"/>
      <c r="Z57" s="344"/>
      <c r="AA57" s="344"/>
      <c r="AB57" s="344"/>
      <c r="AC57" s="344"/>
      <c r="AD57" s="344"/>
      <c r="AE57" s="344"/>
      <c r="AF57" s="344"/>
      <c r="AG57" s="344"/>
      <c r="AH57" s="344"/>
      <c r="AI57" s="344"/>
      <c r="AK57" s="108"/>
      <c r="AL57" s="108"/>
      <c r="AM57" s="108"/>
      <c r="AN57" s="108"/>
      <c r="AO57" s="137"/>
      <c r="AP57" s="137"/>
      <c r="AQ57" s="137"/>
      <c r="AR57" s="137"/>
      <c r="AS57" s="137"/>
      <c r="AT57" s="122"/>
      <c r="AU57" s="122"/>
      <c r="AV57" s="37"/>
      <c r="AW57" s="37"/>
      <c r="AX57" s="37"/>
      <c r="AY57" s="37"/>
      <c r="AZ57" s="37"/>
      <c r="BA57" s="37"/>
      <c r="BB57" s="37"/>
    </row>
    <row r="58" spans="2:54" ht="13.5" customHeight="1" x14ac:dyDescent="0.2">
      <c r="N58" s="37" t="str">
        <f>" "&amp;ListAVS!$B$125&amp;"!"</f>
        <v xml:space="preserve"> Waga poza dozwolonym zakresem!</v>
      </c>
      <c r="T58" s="346"/>
      <c r="U58" s="344"/>
      <c r="V58" s="344"/>
      <c r="W58" s="344"/>
      <c r="X58" s="344"/>
      <c r="Y58" s="344"/>
      <c r="Z58" s="344"/>
      <c r="AA58" s="344"/>
      <c r="AB58" s="344"/>
      <c r="AC58" s="344"/>
      <c r="AD58" s="344"/>
      <c r="AE58" s="344"/>
      <c r="AF58" s="344"/>
      <c r="AG58" s="344"/>
      <c r="AH58" s="344"/>
      <c r="AI58" s="344"/>
      <c r="AK58" s="108"/>
      <c r="AL58" s="108"/>
      <c r="AM58" s="108"/>
      <c r="AN58" s="108"/>
      <c r="AO58" s="137"/>
      <c r="AP58" s="137"/>
      <c r="AQ58" s="137"/>
      <c r="AR58" s="137"/>
      <c r="AS58" s="137"/>
      <c r="AT58" s="122"/>
      <c r="AU58" s="122"/>
    </row>
    <row r="59" spans="2:54" ht="13.5" customHeight="1" x14ac:dyDescent="0.2">
      <c r="N59" s="37" t="str">
        <f>" max. 9 000! "&amp;ListAVS!$B$122</f>
        <v xml:space="preserve"> max. 9 000! Popraw wagę albo wysokość</v>
      </c>
      <c r="O59" s="37"/>
      <c r="Q59" s="37"/>
      <c r="T59" s="346"/>
      <c r="U59" s="344"/>
      <c r="V59" s="344"/>
      <c r="W59" s="344"/>
      <c r="X59" s="344"/>
      <c r="Y59" s="344"/>
      <c r="Z59" s="344"/>
      <c r="AA59" s="344"/>
      <c r="AB59" s="344"/>
      <c r="AC59" s="344"/>
      <c r="AD59" s="344"/>
      <c r="AE59" s="344"/>
      <c r="AF59" s="344"/>
      <c r="AG59" s="344"/>
      <c r="AH59" s="344"/>
      <c r="AI59" s="344"/>
      <c r="AK59" s="108"/>
      <c r="AL59" s="108"/>
      <c r="AM59" s="108"/>
      <c r="AN59" s="108"/>
      <c r="AO59" s="137"/>
      <c r="AP59" s="137"/>
      <c r="AQ59" s="137"/>
      <c r="AR59" s="137"/>
      <c r="AS59" s="137"/>
      <c r="AT59" s="122"/>
      <c r="AU59" s="122"/>
    </row>
    <row r="60" spans="2:54" s="37" customFormat="1" ht="13.5" customHeight="1" x14ac:dyDescent="0.2">
      <c r="N60" s="149" t="str">
        <f>" "&amp;ListAVS!$B$235</f>
        <v xml:space="preserve"> Konieczna ścianka środkowa</v>
      </c>
      <c r="T60" s="346"/>
      <c r="U60" s="344"/>
      <c r="V60" s="344"/>
      <c r="W60" s="344"/>
      <c r="X60" s="344"/>
      <c r="Y60" s="344"/>
      <c r="Z60" s="344"/>
      <c r="AA60" s="344"/>
      <c r="AB60" s="344"/>
      <c r="AC60" s="344"/>
      <c r="AD60" s="344"/>
      <c r="AE60" s="344"/>
      <c r="AF60" s="344"/>
      <c r="AG60" s="344"/>
      <c r="AH60" s="344"/>
      <c r="AI60" s="344"/>
      <c r="AK60" s="108"/>
      <c r="AL60" s="108"/>
      <c r="AM60" s="108"/>
      <c r="AN60" s="108"/>
      <c r="AO60" s="137"/>
      <c r="AP60" s="137"/>
      <c r="AQ60" s="137"/>
      <c r="AR60" s="137"/>
      <c r="AS60" s="137"/>
      <c r="AT60" s="122"/>
      <c r="AU60" s="122"/>
      <c r="AV60" s="121"/>
      <c r="AW60" s="121"/>
      <c r="AX60" s="121"/>
      <c r="AY60" s="121"/>
      <c r="AZ60" s="121"/>
      <c r="BA60" s="121"/>
      <c r="BB60" s="121"/>
    </row>
    <row r="61" spans="2:54" s="37" customFormat="1" ht="13.5" customHeight="1" x14ac:dyDescent="0.2">
      <c r="N61" s="108"/>
      <c r="O61" s="118"/>
      <c r="Q61" s="118"/>
      <c r="T61" s="346"/>
      <c r="U61" s="344"/>
      <c r="V61" s="344"/>
      <c r="W61" s="344"/>
      <c r="X61" s="344"/>
      <c r="Y61" s="344"/>
      <c r="Z61" s="344"/>
      <c r="AA61" s="344"/>
      <c r="AB61" s="344"/>
      <c r="AC61" s="344"/>
      <c r="AD61" s="344"/>
      <c r="AE61" s="344"/>
      <c r="AF61" s="344"/>
      <c r="AG61" s="344"/>
      <c r="AH61" s="344"/>
      <c r="AI61" s="344"/>
      <c r="AK61" s="108"/>
      <c r="AL61" s="108"/>
      <c r="AM61" s="108"/>
      <c r="AN61" s="108"/>
      <c r="AO61" s="137"/>
      <c r="AP61" s="137"/>
      <c r="AQ61" s="137"/>
      <c r="AR61" s="137"/>
      <c r="AS61" s="137"/>
      <c r="AT61" s="122"/>
      <c r="AU61" s="122"/>
      <c r="AV61" s="121"/>
      <c r="AW61" s="121"/>
      <c r="AX61" s="121"/>
      <c r="AY61" s="121"/>
      <c r="AZ61" s="121"/>
      <c r="BA61" s="121"/>
      <c r="BB61" s="121"/>
    </row>
    <row r="62" spans="2:54" ht="13.5" customHeight="1" x14ac:dyDescent="0.2">
      <c r="N62" s="108"/>
      <c r="T62" s="346"/>
      <c r="U62" s="344"/>
      <c r="V62" s="344"/>
      <c r="W62" s="344"/>
      <c r="X62" s="344"/>
      <c r="Y62" s="344"/>
      <c r="Z62" s="344"/>
      <c r="AA62" s="344"/>
      <c r="AB62" s="344"/>
      <c r="AC62" s="344"/>
      <c r="AD62" s="344"/>
      <c r="AE62" s="344"/>
      <c r="AF62" s="344"/>
      <c r="AG62" s="344"/>
      <c r="AH62" s="344"/>
      <c r="AI62" s="344"/>
      <c r="AK62" s="108"/>
      <c r="AL62" s="108"/>
      <c r="AM62" s="108"/>
      <c r="AN62" s="108"/>
      <c r="AO62" s="137"/>
      <c r="AP62" s="137"/>
      <c r="AQ62" s="137"/>
      <c r="AR62" s="137"/>
      <c r="AS62" s="137"/>
    </row>
    <row r="63" spans="2:54" ht="13.5" customHeight="1" x14ac:dyDescent="0.2">
      <c r="N63" s="108"/>
      <c r="T63" s="346"/>
      <c r="U63" s="344"/>
      <c r="V63" s="344"/>
      <c r="W63" s="344"/>
      <c r="X63" s="344"/>
      <c r="Y63" s="344"/>
      <c r="Z63" s="344"/>
      <c r="AA63" s="344"/>
      <c r="AB63" s="344"/>
      <c r="AC63" s="344"/>
      <c r="AD63" s="344"/>
      <c r="AE63" s="344"/>
      <c r="AF63" s="344"/>
      <c r="AG63" s="344"/>
      <c r="AH63" s="344"/>
      <c r="AI63" s="344"/>
      <c r="AK63" s="108"/>
      <c r="AL63" s="108"/>
      <c r="AM63" s="108"/>
      <c r="AN63" s="108"/>
      <c r="AO63" s="137"/>
      <c r="AP63" s="137"/>
      <c r="AQ63" s="137"/>
      <c r="AR63" s="137"/>
      <c r="AS63" s="137"/>
    </row>
    <row r="64" spans="2:54" ht="13.5" customHeight="1" x14ac:dyDescent="0.2">
      <c r="N64" s="108"/>
      <c r="T64" s="346"/>
      <c r="U64" s="344"/>
      <c r="V64" s="344"/>
      <c r="W64" s="344"/>
      <c r="X64" s="344"/>
      <c r="Y64" s="344"/>
      <c r="Z64" s="344"/>
      <c r="AA64" s="344"/>
      <c r="AB64" s="344"/>
      <c r="AC64" s="344"/>
      <c r="AD64" s="344"/>
      <c r="AE64" s="344"/>
      <c r="AF64" s="344"/>
      <c r="AG64" s="344"/>
      <c r="AH64" s="344"/>
      <c r="AI64" s="344"/>
      <c r="AK64" s="108"/>
      <c r="AL64" s="108"/>
      <c r="AM64" s="108"/>
      <c r="AN64" s="108"/>
      <c r="AO64" s="137"/>
      <c r="AP64" s="137"/>
      <c r="AQ64" s="137"/>
      <c r="AR64" s="137"/>
      <c r="AS64" s="137"/>
    </row>
    <row r="65" spans="1:45" ht="13.5" customHeight="1" x14ac:dyDescent="0.2">
      <c r="N65" s="108"/>
      <c r="T65" s="346"/>
      <c r="U65" s="344"/>
      <c r="V65" s="344"/>
      <c r="W65" s="344"/>
      <c r="X65" s="344"/>
      <c r="Y65" s="344"/>
      <c r="Z65" s="344"/>
      <c r="AA65" s="344"/>
      <c r="AB65" s="344"/>
      <c r="AC65" s="344"/>
      <c r="AD65" s="344"/>
      <c r="AE65" s="344"/>
      <c r="AF65" s="344"/>
      <c r="AG65" s="344"/>
      <c r="AH65" s="344"/>
      <c r="AI65" s="344"/>
      <c r="AK65" s="108"/>
      <c r="AL65" s="108"/>
      <c r="AM65" s="108"/>
      <c r="AN65" s="108"/>
      <c r="AO65" s="137"/>
      <c r="AP65" s="137"/>
      <c r="AQ65" s="137"/>
      <c r="AR65" s="137"/>
      <c r="AS65" s="137"/>
    </row>
    <row r="66" spans="1:45" x14ac:dyDescent="0.2">
      <c r="N66" s="108"/>
      <c r="T66" s="345"/>
      <c r="U66" s="344"/>
      <c r="V66" s="344"/>
      <c r="W66" s="344"/>
      <c r="X66" s="344"/>
      <c r="Y66" s="344"/>
      <c r="Z66" s="344"/>
      <c r="AA66" s="344"/>
      <c r="AB66" s="344"/>
      <c r="AC66" s="344"/>
      <c r="AD66" s="344"/>
      <c r="AE66" s="344"/>
      <c r="AF66" s="344"/>
      <c r="AG66" s="344"/>
      <c r="AH66" s="344"/>
      <c r="AI66" s="344"/>
      <c r="AK66" s="108"/>
      <c r="AL66" s="108"/>
      <c r="AM66" s="108"/>
      <c r="AN66" s="108"/>
      <c r="AO66" s="137"/>
      <c r="AP66" s="137"/>
      <c r="AQ66" s="137"/>
      <c r="AR66" s="137"/>
      <c r="AS66" s="137"/>
    </row>
    <row r="67" spans="1:45" x14ac:dyDescent="0.2">
      <c r="N67" s="37" t="str">
        <f>ListAVS!B188&amp;". "</f>
        <v xml:space="preserve">W celu określenia rodzaju siłownika będzie wykorzystana podana waga. </v>
      </c>
      <c r="T67" s="346"/>
      <c r="U67" s="344"/>
      <c r="V67" s="344"/>
      <c r="W67" s="344"/>
      <c r="X67" s="344"/>
      <c r="Y67" s="344"/>
      <c r="Z67" s="344"/>
      <c r="AA67" s="344"/>
      <c r="AB67" s="344"/>
      <c r="AC67" s="344"/>
      <c r="AD67" s="344"/>
      <c r="AE67" s="344"/>
      <c r="AF67" s="344"/>
      <c r="AG67" s="344"/>
      <c r="AH67" s="344"/>
      <c r="AI67" s="344"/>
      <c r="AK67" s="108"/>
      <c r="AL67" s="108"/>
      <c r="AM67" s="108"/>
      <c r="AN67" s="108"/>
      <c r="AO67" s="137"/>
      <c r="AP67" s="137"/>
      <c r="AQ67" s="137"/>
      <c r="AR67" s="137"/>
      <c r="AS67" s="137"/>
    </row>
    <row r="68" spans="1:45" x14ac:dyDescent="0.2">
      <c r="N68" s="37" t="str">
        <f>ListAVS!B189&amp;". "</f>
        <v xml:space="preserve">W celu określenia rodzaju siłownika będzie wykorzystana obliczona waga. </v>
      </c>
      <c r="T68" s="346"/>
      <c r="U68" s="344"/>
      <c r="V68" s="344"/>
      <c r="W68" s="344"/>
      <c r="X68" s="344"/>
      <c r="Y68" s="344"/>
      <c r="Z68" s="344"/>
      <c r="AA68" s="344"/>
      <c r="AB68" s="344"/>
      <c r="AC68" s="344"/>
      <c r="AD68" s="344"/>
      <c r="AE68" s="344"/>
      <c r="AF68" s="344"/>
      <c r="AG68" s="344"/>
      <c r="AH68" s="344"/>
      <c r="AI68" s="344"/>
      <c r="AK68" s="108"/>
      <c r="AL68" s="108"/>
      <c r="AM68" s="108"/>
      <c r="AN68" s="108"/>
      <c r="AO68" s="137"/>
      <c r="AP68" s="137"/>
      <c r="AQ68" s="137"/>
      <c r="AR68" s="137"/>
      <c r="AS68" s="137"/>
    </row>
    <row r="69" spans="1:45" x14ac:dyDescent="0.2">
      <c r="N69" s="37" t="str">
        <f>ListAVS!B190</f>
        <v>Jeżeli chcesz wykorzystać obliczoną wagę, zmaż podaną wartość</v>
      </c>
      <c r="T69" s="346"/>
      <c r="U69" s="344"/>
      <c r="V69" s="344"/>
      <c r="W69" s="344"/>
      <c r="X69" s="344"/>
      <c r="Y69" s="344"/>
      <c r="Z69" s="344"/>
      <c r="AA69" s="344"/>
      <c r="AB69" s="344"/>
      <c r="AC69" s="344"/>
      <c r="AD69" s="344"/>
      <c r="AE69" s="344"/>
      <c r="AF69" s="344"/>
      <c r="AG69" s="344"/>
      <c r="AH69" s="344"/>
      <c r="AI69" s="344"/>
      <c r="AK69" s="108"/>
      <c r="AL69" s="108"/>
      <c r="AM69" s="108"/>
      <c r="AN69" s="108"/>
      <c r="AO69" s="137"/>
      <c r="AP69" s="137"/>
      <c r="AQ69" s="137"/>
      <c r="AR69" s="137"/>
      <c r="AS69" s="137"/>
    </row>
    <row r="70" spans="1:45" x14ac:dyDescent="0.2">
      <c r="N70" s="37" t="str">
        <f>ListAVS!B191</f>
        <v>Jeżeli chcesz wykorzystać podaną wagą, wpisz ją w pole</v>
      </c>
      <c r="T70" s="346"/>
      <c r="U70" s="344"/>
      <c r="V70" s="344"/>
      <c r="W70" s="344"/>
      <c r="X70" s="344"/>
      <c r="Y70" s="344"/>
      <c r="Z70" s="344"/>
      <c r="AA70" s="344"/>
      <c r="AB70" s="344"/>
      <c r="AC70" s="344"/>
      <c r="AD70" s="344"/>
      <c r="AE70" s="344"/>
      <c r="AF70" s="344"/>
      <c r="AG70" s="344"/>
      <c r="AH70" s="344"/>
      <c r="AI70" s="344"/>
      <c r="AK70" s="108"/>
      <c r="AL70" s="108"/>
      <c r="AM70" s="108"/>
      <c r="AN70" s="108"/>
      <c r="AO70" s="137"/>
      <c r="AP70" s="137"/>
      <c r="AQ70" s="137"/>
      <c r="AR70" s="137"/>
      <c r="AS70" s="137"/>
    </row>
    <row r="71" spans="1:45" x14ac:dyDescent="0.2">
      <c r="I71" s="144"/>
      <c r="AK71" s="108"/>
      <c r="AL71" s="108"/>
      <c r="AM71" s="108"/>
      <c r="AN71" s="108"/>
      <c r="AO71" s="137"/>
      <c r="AP71" s="137"/>
      <c r="AQ71" s="137"/>
      <c r="AR71" s="137"/>
      <c r="AS71" s="137"/>
    </row>
    <row r="72" spans="1:45" x14ac:dyDescent="0.2">
      <c r="I72" s="144"/>
      <c r="AK72" s="108"/>
      <c r="AL72" s="108"/>
      <c r="AM72" s="108"/>
      <c r="AN72" s="108"/>
      <c r="AO72" s="137"/>
      <c r="AP72" s="137"/>
      <c r="AQ72" s="137"/>
      <c r="AR72" s="137"/>
      <c r="AS72" s="137"/>
    </row>
    <row r="73" spans="1:45" x14ac:dyDescent="0.2">
      <c r="AK73" s="108"/>
      <c r="AL73" s="108"/>
      <c r="AM73" s="108"/>
      <c r="AN73" s="108"/>
      <c r="AO73" s="137"/>
      <c r="AP73" s="137"/>
      <c r="AQ73" s="137"/>
      <c r="AR73" s="137"/>
      <c r="AS73" s="137"/>
    </row>
    <row r="74" spans="1:45" x14ac:dyDescent="0.2">
      <c r="AK74" s="108"/>
      <c r="AL74" s="108"/>
      <c r="AM74" s="108"/>
      <c r="AN74" s="108"/>
      <c r="AO74" s="137"/>
      <c r="AP74" s="137"/>
      <c r="AQ74" s="137"/>
      <c r="AR74" s="137"/>
      <c r="AS74" s="137"/>
    </row>
    <row r="75" spans="1:45" x14ac:dyDescent="0.2">
      <c r="AK75" s="108"/>
      <c r="AL75" s="108"/>
      <c r="AM75" s="108"/>
      <c r="AN75" s="108"/>
      <c r="AO75" s="137"/>
      <c r="AP75" s="137"/>
      <c r="AQ75" s="137"/>
      <c r="AR75" s="137"/>
      <c r="AS75" s="137"/>
    </row>
    <row r="76" spans="1:45" x14ac:dyDescent="0.2">
      <c r="AK76" s="108"/>
      <c r="AL76" s="108"/>
      <c r="AM76" s="108"/>
      <c r="AN76" s="108"/>
      <c r="AO76" s="137"/>
      <c r="AP76" s="137"/>
      <c r="AQ76" s="137"/>
      <c r="AR76" s="137"/>
      <c r="AS76" s="137"/>
    </row>
    <row r="77" spans="1:45" x14ac:dyDescent="0.2">
      <c r="AK77" s="108"/>
      <c r="AL77" s="108"/>
      <c r="AM77" s="108"/>
      <c r="AN77" s="108"/>
      <c r="AO77" s="137"/>
      <c r="AP77" s="137"/>
      <c r="AQ77" s="137"/>
      <c r="AR77" s="137"/>
      <c r="AS77" s="137"/>
    </row>
    <row r="78" spans="1:45" ht="12.75" x14ac:dyDescent="0.2">
      <c r="A78" s="255"/>
      <c r="B78" s="255"/>
      <c r="C78" s="255"/>
      <c r="D78" s="255"/>
      <c r="E78" s="255"/>
      <c r="F78" s="255"/>
      <c r="G78" s="255"/>
      <c r="H78" s="255"/>
      <c r="I78" s="255"/>
      <c r="J78" s="255"/>
      <c r="K78" s="255"/>
      <c r="AK78" s="108"/>
      <c r="AL78" s="108"/>
      <c r="AM78" s="108"/>
      <c r="AN78" s="108"/>
      <c r="AO78" s="137"/>
      <c r="AP78" s="137"/>
      <c r="AQ78" s="137"/>
      <c r="AR78" s="137"/>
      <c r="AS78" s="137"/>
    </row>
    <row r="79" spans="1:45" ht="12.75" x14ac:dyDescent="0.2">
      <c r="A79" s="255"/>
      <c r="N79" s="517" t="str">
        <f>ListAVS!$B$73</f>
        <v>Obliczanie wagi frontów</v>
      </c>
      <c r="O79" s="518"/>
      <c r="P79" s="518"/>
      <c r="Q79" s="518"/>
      <c r="R79" s="518"/>
      <c r="S79" s="255"/>
      <c r="T79" s="255"/>
      <c r="U79" s="255"/>
      <c r="V79" s="255"/>
      <c r="W79" s="255"/>
      <c r="Z79" s="118"/>
      <c r="AB79" s="118"/>
      <c r="AK79" s="108"/>
      <c r="AL79" s="108"/>
      <c r="AM79" s="108"/>
      <c r="AN79" s="108"/>
      <c r="AO79" s="137"/>
      <c r="AP79" s="137"/>
      <c r="AQ79" s="137"/>
      <c r="AR79" s="137"/>
      <c r="AS79" s="137"/>
    </row>
    <row r="80" spans="1:45" ht="15.6" customHeight="1" x14ac:dyDescent="0.2">
      <c r="A80" s="255"/>
      <c r="N80" s="255"/>
      <c r="O80" s="37"/>
      <c r="P80" s="269" t="str">
        <f>ListAVS!$B$180&amp;"  "</f>
        <v xml:space="preserve">Wykonanie frontów  </v>
      </c>
      <c r="Q80" s="255"/>
      <c r="R80" s="255"/>
      <c r="S80" s="255"/>
      <c r="T80" s="829">
        <f>J4</f>
        <v>0</v>
      </c>
      <c r="U80" s="262" t="str">
        <f>IF(AF87=3,IF(T80=0,Y82," "),IF(T80&gt;0,Y83," "))</f>
        <v xml:space="preserve"> </v>
      </c>
      <c r="V80" s="255"/>
      <c r="W80" s="255"/>
      <c r="Y80" s="335" t="str">
        <f>IF($AF$87=1,$AF$105,IF($AF$87=2,$AF$106,$AF$107&amp;" - "&amp;$Y$90&amp;"mm"))</f>
        <v>Ramki aluminiowe z 4mm szkłem</v>
      </c>
      <c r="Z80" s="118"/>
      <c r="AB80" s="118"/>
      <c r="AD80" s="598">
        <f>MenuAVS!$Q$81</f>
        <v>2500</v>
      </c>
      <c r="AK80" s="108"/>
      <c r="AL80" s="108"/>
      <c r="AM80" s="108"/>
      <c r="AN80" s="108"/>
      <c r="AO80" s="137"/>
      <c r="AP80" s="137"/>
      <c r="AQ80" s="137"/>
      <c r="AR80" s="137"/>
      <c r="AS80" s="137"/>
    </row>
    <row r="81" spans="1:54" ht="15.75" customHeight="1" x14ac:dyDescent="0.2">
      <c r="A81" s="255"/>
      <c r="N81" s="255"/>
      <c r="O81" s="255"/>
      <c r="P81" s="255"/>
      <c r="Q81" s="255"/>
      <c r="R81" s="255"/>
      <c r="S81" s="255"/>
      <c r="T81" s="255"/>
      <c r="U81" s="255"/>
      <c r="V81" s="255"/>
      <c r="W81" s="255"/>
      <c r="Y81" s="37" t="str">
        <f>" "&amp;ListAVS!$B$410</f>
        <v xml:space="preserve"> Możesz zmienić wartości we Wstępie do planowania</v>
      </c>
      <c r="Z81" s="118"/>
      <c r="AB81" s="118"/>
      <c r="AK81" s="108"/>
      <c r="AL81" s="108"/>
      <c r="AM81" s="108"/>
      <c r="AN81" s="108"/>
      <c r="AO81" s="137"/>
      <c r="AP81" s="137"/>
      <c r="AQ81" s="137"/>
      <c r="AR81" s="137"/>
      <c r="AS81" s="137"/>
    </row>
    <row r="82" spans="1:54" ht="15.75" customHeight="1" x14ac:dyDescent="0.2">
      <c r="A82" s="255"/>
      <c r="N82" s="266"/>
      <c r="O82" s="255"/>
      <c r="P82" s="255"/>
      <c r="Q82" s="255"/>
      <c r="R82" s="255"/>
      <c r="S82" s="255"/>
      <c r="T82" s="255"/>
      <c r="U82" s="255"/>
      <c r="V82" s="255"/>
      <c r="W82" s="255"/>
      <c r="Y82" s="37" t="str">
        <f>" "&amp;ListAVS!$B$246&amp;" [mm]"</f>
        <v xml:space="preserve"> Podaj grubość szkła [mm]</v>
      </c>
      <c r="Z82" s="118"/>
      <c r="AB82" s="118"/>
      <c r="AK82" s="108"/>
      <c r="AL82" s="108"/>
      <c r="AM82" s="108"/>
      <c r="AN82" s="108"/>
      <c r="AO82" s="137"/>
      <c r="AP82" s="137"/>
      <c r="AQ82" s="137"/>
      <c r="AR82" s="137"/>
      <c r="AS82" s="118"/>
      <c r="AT82" s="118"/>
      <c r="AU82" s="118"/>
    </row>
    <row r="83" spans="1:54" ht="12.75" x14ac:dyDescent="0.2">
      <c r="A83" s="255"/>
      <c r="N83" s="266"/>
      <c r="O83" s="255"/>
      <c r="P83" s="255"/>
      <c r="Q83" s="255"/>
      <c r="R83" s="255"/>
      <c r="S83" s="255"/>
      <c r="T83" s="255"/>
      <c r="U83" s="255"/>
      <c r="V83" s="255"/>
      <c r="W83" s="255"/>
      <c r="Y83" s="37" t="str">
        <f>" "&amp;ListAVS!$B$241&amp;" '"&amp;ListAVS!$B$95&amp;"'"</f>
        <v xml:space="preserve"> Wartość obowiązuje tylko dla opcji 'Ramki aluminiowe z innym szkłem'</v>
      </c>
      <c r="Z83" s="118"/>
      <c r="AB83" s="118"/>
      <c r="AK83" s="108"/>
      <c r="AL83" s="108"/>
      <c r="AM83" s="108"/>
      <c r="AN83" s="108"/>
      <c r="AO83" s="137"/>
      <c r="AP83" s="137"/>
      <c r="AQ83" s="137"/>
      <c r="AR83" s="137"/>
      <c r="AS83" s="118"/>
      <c r="AT83" s="118"/>
      <c r="AU83" s="118"/>
      <c r="AV83" s="118"/>
      <c r="AW83" s="118"/>
      <c r="AX83" s="118"/>
      <c r="AY83" s="118"/>
      <c r="AZ83" s="118"/>
      <c r="BA83" s="118"/>
      <c r="BB83" s="118"/>
    </row>
    <row r="84" spans="1:54" ht="12.75" x14ac:dyDescent="0.2">
      <c r="A84" s="255"/>
      <c r="N84" s="255"/>
      <c r="O84" s="255"/>
      <c r="P84" s="255"/>
      <c r="Q84" s="255"/>
      <c r="R84" s="255"/>
      <c r="S84" s="255"/>
      <c r="T84" s="255"/>
      <c r="U84" s="255"/>
      <c r="V84" s="255"/>
      <c r="W84" s="255"/>
      <c r="Y84" s="137"/>
      <c r="Z84" s="118"/>
      <c r="AB84" s="118"/>
      <c r="AK84" s="108"/>
      <c r="AL84" s="108"/>
      <c r="AM84" s="108"/>
      <c r="AN84" s="108"/>
      <c r="AO84" s="137"/>
      <c r="AP84" s="137"/>
      <c r="AQ84" s="137"/>
      <c r="AR84" s="137"/>
      <c r="AS84" s="118"/>
      <c r="AT84" s="118"/>
      <c r="AU84" s="118"/>
      <c r="AV84" s="118"/>
      <c r="AW84" s="118"/>
      <c r="AX84" s="118"/>
      <c r="AY84" s="118"/>
      <c r="AZ84" s="118"/>
      <c r="BA84" s="118"/>
      <c r="BB84" s="118"/>
    </row>
    <row r="85" spans="1:54" ht="15" customHeight="1" x14ac:dyDescent="0.2">
      <c r="A85" s="255"/>
      <c r="N85" s="266"/>
      <c r="O85" s="266"/>
      <c r="P85" s="266"/>
      <c r="Q85" s="255"/>
      <c r="R85" s="1148" t="str">
        <f>D9</f>
        <v xml:space="preserve"> </v>
      </c>
      <c r="S85" s="1149"/>
      <c r="T85" s="1150"/>
      <c r="U85" s="255"/>
      <c r="V85" s="255"/>
      <c r="W85" s="255"/>
      <c r="Z85" s="118"/>
      <c r="AB85" s="118"/>
      <c r="AD85" s="209"/>
      <c r="AE85" s="601" t="s">
        <v>68</v>
      </c>
      <c r="AK85" s="108"/>
      <c r="AL85" s="108"/>
      <c r="AM85" s="108"/>
      <c r="AN85" s="108"/>
      <c r="AO85" s="137"/>
      <c r="AP85" s="137"/>
      <c r="AQ85" s="137"/>
      <c r="AR85" s="137"/>
      <c r="AS85" s="118"/>
      <c r="AT85" s="118"/>
      <c r="AU85" s="118"/>
      <c r="AV85" s="118"/>
      <c r="AW85" s="118"/>
      <c r="AX85" s="118"/>
      <c r="AY85" s="118"/>
      <c r="AZ85" s="118"/>
      <c r="BA85" s="118"/>
      <c r="BB85" s="118"/>
    </row>
    <row r="86" spans="1:54" ht="15" customHeight="1" x14ac:dyDescent="0.2">
      <c r="A86" s="255"/>
      <c r="N86" s="1138" t="str">
        <f>ListAVS!$B$74&amp;" KB [mm]       "</f>
        <v xml:space="preserve">Szerokość korpusu KB [mm]       </v>
      </c>
      <c r="O86" s="1139"/>
      <c r="P86" s="1139"/>
      <c r="Q86" s="1139"/>
      <c r="R86" s="1139"/>
      <c r="S86" s="1140"/>
      <c r="T86" s="829">
        <f>H10</f>
        <v>0</v>
      </c>
      <c r="U86" s="670"/>
      <c r="V86" s="248"/>
      <c r="W86" s="255"/>
      <c r="Y86" s="37">
        <f>T86*T87*T88</f>
        <v>0</v>
      </c>
      <c r="AB86" s="118"/>
      <c r="AD86" s="325">
        <f>IF($AG$87=1,$X$105,$X$106)</f>
        <v>0.31</v>
      </c>
      <c r="AE86" s="339">
        <f>$X$107</f>
        <v>0.46</v>
      </c>
      <c r="AF86" s="601" t="s">
        <v>69</v>
      </c>
      <c r="AG86" s="601" t="s">
        <v>70</v>
      </c>
      <c r="AI86" s="39"/>
      <c r="AK86" s="108"/>
      <c r="AL86" s="108"/>
      <c r="AM86" s="108"/>
      <c r="AN86" s="108"/>
      <c r="AO86" s="137"/>
      <c r="AP86" s="137"/>
      <c r="AQ86" s="137"/>
      <c r="AR86" s="137"/>
      <c r="AS86" s="118"/>
      <c r="AT86" s="118"/>
      <c r="AU86" s="118"/>
      <c r="AV86" s="118"/>
      <c r="AW86" s="118"/>
      <c r="AX86" s="118"/>
      <c r="AY86" s="118"/>
      <c r="AZ86" s="118"/>
      <c r="BA86" s="118"/>
      <c r="BB86" s="118"/>
    </row>
    <row r="87" spans="1:54" s="118" customFormat="1" ht="15" customHeight="1" x14ac:dyDescent="0.2">
      <c r="A87" s="255"/>
      <c r="N87" s="1138" t="str">
        <f>ListAVS!$B$75&amp;" KH [mm]       "</f>
        <v xml:space="preserve">Wysokość korpusu KH [mm]       </v>
      </c>
      <c r="O87" s="1139"/>
      <c r="P87" s="1139"/>
      <c r="Q87" s="1139"/>
      <c r="R87" s="1139"/>
      <c r="S87" s="1140"/>
      <c r="T87" s="829">
        <f>H11</f>
        <v>0</v>
      </c>
      <c r="U87" s="670"/>
      <c r="V87" s="248"/>
      <c r="W87" s="255"/>
      <c r="X87" s="37"/>
      <c r="Y87" s="37">
        <f>Y86/1000000000</f>
        <v>0</v>
      </c>
      <c r="Z87" s="117">
        <v>2</v>
      </c>
      <c r="AC87" s="37"/>
      <c r="AD87" s="153" t="s">
        <v>71</v>
      </c>
      <c r="AE87" s="209">
        <f>SUM(T86*2,(T87-40)*2)*AD86/1000</f>
        <v>-2.4799999999999999E-2</v>
      </c>
      <c r="AF87" s="327">
        <v>1</v>
      </c>
      <c r="AG87" s="328">
        <f>$V$4</f>
        <v>1</v>
      </c>
      <c r="AH87" s="37"/>
      <c r="AI87" s="117"/>
      <c r="AJ87" s="37"/>
      <c r="AK87" s="108"/>
      <c r="AL87" s="108"/>
      <c r="AM87" s="108"/>
      <c r="AN87" s="108"/>
      <c r="AO87" s="137"/>
      <c r="AP87" s="137"/>
      <c r="AQ87" s="137"/>
      <c r="AR87" s="137"/>
      <c r="AS87" s="137"/>
      <c r="AT87" s="121"/>
      <c r="AU87" s="121"/>
    </row>
    <row r="88" spans="1:54" s="118" customFormat="1" ht="15" customHeight="1" x14ac:dyDescent="0.2">
      <c r="A88" s="255"/>
      <c r="N88" s="1160" t="str">
        <f>ListAVS!$B$80&amp;" TS [mm] "</f>
        <v xml:space="preserve">Grubość frontu TS [mm] </v>
      </c>
      <c r="O88" s="1161"/>
      <c r="P88" s="1161"/>
      <c r="Q88" s="1161"/>
      <c r="R88" s="1161"/>
      <c r="S88" s="1162"/>
      <c r="T88" s="829"/>
      <c r="U88" s="227"/>
      <c r="V88" s="248"/>
      <c r="W88" s="255"/>
      <c r="X88" s="37"/>
      <c r="Y88" s="319">
        <f>MenuAVS!$C$31</f>
        <v>760</v>
      </c>
      <c r="Z88" s="175" t="str">
        <f>ListAVS!$B$90&amp;" ("&amp;Y88&amp;" kg/m3)"</f>
        <v>MDF (760 kg/m3)</v>
      </c>
      <c r="AC88" s="37"/>
      <c r="AD88" s="209">
        <f>$AD$80*4/1000</f>
        <v>10</v>
      </c>
      <c r="AE88" s="330">
        <f>IF($AG$87=1,AF89*AD88,AG89*AD88)</f>
        <v>8.9999999999999993E-3</v>
      </c>
      <c r="AF88" s="601" t="s">
        <v>72</v>
      </c>
      <c r="AG88" s="601"/>
      <c r="AH88" s="37"/>
      <c r="AI88" s="203"/>
      <c r="AJ88" s="37"/>
      <c r="AK88" s="108"/>
      <c r="AL88" s="108"/>
      <c r="AM88" s="108"/>
      <c r="AN88" s="108"/>
      <c r="AO88" s="137"/>
      <c r="AP88" s="137"/>
      <c r="AQ88" s="137"/>
      <c r="AR88" s="137"/>
      <c r="AS88" s="137"/>
      <c r="AT88" s="121"/>
      <c r="AU88" s="121"/>
      <c r="AV88" s="121"/>
      <c r="AW88" s="121"/>
      <c r="AX88" s="121"/>
      <c r="AY88" s="121"/>
      <c r="AZ88" s="121"/>
      <c r="BA88" s="121"/>
      <c r="BB88" s="121"/>
    </row>
    <row r="89" spans="1:54" s="118" customFormat="1" ht="15" customHeight="1" x14ac:dyDescent="0.2">
      <c r="A89" s="255"/>
      <c r="N89" s="1143" t="str">
        <f>ListAVS!$B$83&amp;" [kg] "</f>
        <v xml:space="preserve">Waga uchwytu [kg] </v>
      </c>
      <c r="O89" s="1144"/>
      <c r="P89" s="1144"/>
      <c r="Q89" s="1144"/>
      <c r="R89" s="1144"/>
      <c r="S89" s="1145"/>
      <c r="T89" s="831">
        <f>H14</f>
        <v>0</v>
      </c>
      <c r="U89" s="256" t="str">
        <f>IF(SUM(T86,T87)=0," ",IF(T89=0," ● "&amp;ListAVS!$B$130," "))</f>
        <v xml:space="preserve"> </v>
      </c>
      <c r="V89" s="248"/>
      <c r="W89" s="255"/>
      <c r="X89" s="37"/>
      <c r="Y89" s="319">
        <f>MenuAVS!$C$32</f>
        <v>680</v>
      </c>
      <c r="Z89" s="175" t="str">
        <f>ListAVS!$B$91&amp;" ("&amp;Y89&amp;" kg/m3)"</f>
        <v>Płyta wiórowa (680 kg/m3)</v>
      </c>
      <c r="AC89" s="37"/>
      <c r="AD89" s="209">
        <f>$AD$80*5/1000</f>
        <v>12.5</v>
      </c>
      <c r="AE89" s="330">
        <f>IF($AG$87=1,AF90*AD89,AG90*AD89)</f>
        <v>1.125E-2</v>
      </c>
      <c r="AF89" s="209">
        <f>SUM(($T$86-30)*($T$87-30)/1000000)</f>
        <v>8.9999999999999998E-4</v>
      </c>
      <c r="AG89" s="351">
        <f>SUM(($T$86-6)*($T$87-6)/1000000)</f>
        <v>3.6000000000000001E-5</v>
      </c>
      <c r="AH89" s="208" t="s">
        <v>73</v>
      </c>
      <c r="AI89" s="37"/>
      <c r="AJ89" s="37"/>
      <c r="AK89" s="108"/>
      <c r="AL89" s="108"/>
      <c r="AM89" s="108"/>
      <c r="AN89" s="108"/>
      <c r="AO89" s="137"/>
      <c r="AP89" s="137"/>
      <c r="AQ89" s="137"/>
      <c r="AR89" s="137"/>
      <c r="AV89" s="121"/>
      <c r="AW89" s="121"/>
      <c r="AX89" s="121"/>
      <c r="AY89" s="121"/>
      <c r="AZ89" s="121"/>
      <c r="BA89" s="121"/>
      <c r="BB89" s="121"/>
    </row>
    <row r="90" spans="1:54" s="118" customFormat="1" ht="15" customHeight="1" x14ac:dyDescent="0.2">
      <c r="A90" s="255"/>
      <c r="N90" s="1143" t="str">
        <f>ListAVS!$B$79&amp;" [kg] "</f>
        <v xml:space="preserve">Obliczona waga frontu [kg] </v>
      </c>
      <c r="O90" s="1144"/>
      <c r="P90" s="1144"/>
      <c r="Q90" s="1144"/>
      <c r="R90" s="1144"/>
      <c r="S90" s="1145"/>
      <c r="T90" s="533">
        <f>IF(AD91=0,0,AD91+T89)</f>
        <v>0</v>
      </c>
      <c r="U90" s="227"/>
      <c r="V90" s="248"/>
      <c r="W90" s="255"/>
      <c r="X90" s="186">
        <f>IF(T86*T87*T88=0,0,IF(Z87=1,Y87*Y88,IF(Z87=2,Y87*Y89,Y87*Y90)))</f>
        <v>0</v>
      </c>
      <c r="Y90" s="37">
        <f>$T$80</f>
        <v>0</v>
      </c>
      <c r="Z90" s="175" t="str">
        <f>ListAVS!$B$92</f>
        <v>Inne – wybrana gęstość materiału</v>
      </c>
      <c r="AC90" s="37"/>
      <c r="AD90" s="209">
        <f>$AD$80*$T$80/1000</f>
        <v>0</v>
      </c>
      <c r="AE90" s="330">
        <f>IF($AG$87=1,AF91*AD90,AG91*AD90)</f>
        <v>0</v>
      </c>
      <c r="AF90" s="209">
        <f>SUM(($T$86-30)*($T$87-30)/1000000)</f>
        <v>8.9999999999999998E-4</v>
      </c>
      <c r="AG90" s="351">
        <f>SUM(($T$86-6)*($T$87-6)/1000000)</f>
        <v>3.6000000000000001E-5</v>
      </c>
      <c r="AH90" s="208" t="s">
        <v>74</v>
      </c>
      <c r="AI90" s="37"/>
      <c r="AJ90" s="37"/>
      <c r="AK90" s="108"/>
      <c r="AL90" s="108"/>
      <c r="AM90" s="108"/>
      <c r="AN90" s="108"/>
      <c r="AO90" s="137"/>
      <c r="AP90" s="137"/>
      <c r="AQ90" s="137"/>
      <c r="AR90" s="137"/>
    </row>
    <row r="91" spans="1:54" s="118" customFormat="1" ht="15" customHeight="1" x14ac:dyDescent="0.2">
      <c r="A91" s="255"/>
      <c r="N91" s="255"/>
      <c r="O91" s="273" t="str">
        <f>IF(T90&gt;0,IF(T89=0,$Z$105," ")," ")</f>
        <v xml:space="preserve"> </v>
      </c>
      <c r="P91" s="255"/>
      <c r="Q91" s="255"/>
      <c r="R91" s="255"/>
      <c r="S91" s="255"/>
      <c r="T91" s="255"/>
      <c r="U91" s="255"/>
      <c r="V91" s="255"/>
      <c r="W91" s="255"/>
      <c r="X91" s="37"/>
      <c r="Y91" s="37"/>
      <c r="AA91" s="37"/>
      <c r="AC91" s="37"/>
      <c r="AD91" s="332">
        <f>IF(OR(AND(AF87=3, $T$80=0), T86*T87=0), 0, SUM(IF(AF87=1,AE88,IF(AF87=2,AE89,AE90)),AE87,AE86))</f>
        <v>0</v>
      </c>
      <c r="AE91" s="37"/>
      <c r="AF91" s="209">
        <f>SUM(($T$86-30)*($T$87-30)/1000000)</f>
        <v>8.9999999999999998E-4</v>
      </c>
      <c r="AG91" s="351">
        <f>SUM(($T$86-6)*($T$87-6)/1000000)</f>
        <v>3.6000000000000001E-5</v>
      </c>
      <c r="AH91" s="208" t="s">
        <v>75</v>
      </c>
      <c r="AI91" s="37"/>
      <c r="AJ91" s="37"/>
      <c r="AK91" s="108"/>
      <c r="AL91" s="108"/>
      <c r="AM91" s="108"/>
      <c r="AN91" s="108"/>
      <c r="AO91" s="137"/>
      <c r="AP91" s="137"/>
      <c r="AQ91" s="137"/>
      <c r="AR91" s="137"/>
    </row>
    <row r="92" spans="1:54" s="118" customFormat="1" ht="15" customHeight="1" x14ac:dyDescent="0.2">
      <c r="A92" s="255"/>
      <c r="N92" s="255"/>
      <c r="O92" s="273"/>
      <c r="P92" s="255"/>
      <c r="Q92" s="255"/>
      <c r="R92" s="255"/>
      <c r="S92" s="255"/>
      <c r="T92" s="255"/>
      <c r="U92" s="255"/>
      <c r="V92" s="255"/>
      <c r="W92" s="255"/>
      <c r="X92" s="37"/>
      <c r="Y92" s="37"/>
      <c r="AA92" s="37"/>
      <c r="AC92" s="37"/>
      <c r="AD92" s="595"/>
      <c r="AE92" s="37"/>
      <c r="AF92" s="209"/>
      <c r="AG92" s="351"/>
      <c r="AH92" s="208"/>
      <c r="AI92" s="37"/>
      <c r="AJ92" s="37"/>
      <c r="AK92" s="108"/>
      <c r="AL92" s="108"/>
      <c r="AM92" s="108"/>
      <c r="AN92" s="108"/>
      <c r="AO92" s="137"/>
      <c r="AP92" s="137"/>
      <c r="AQ92" s="137"/>
      <c r="AR92" s="137"/>
    </row>
    <row r="93" spans="1:54" s="118" customFormat="1" ht="15" customHeight="1" x14ac:dyDescent="0.2">
      <c r="A93" s="255"/>
      <c r="N93" s="255"/>
      <c r="O93" s="273"/>
      <c r="P93" s="255"/>
      <c r="Q93" s="255"/>
      <c r="R93" s="255"/>
      <c r="S93" s="255"/>
      <c r="T93" s="255"/>
      <c r="U93" s="255"/>
      <c r="V93" s="255"/>
      <c r="W93" s="255"/>
      <c r="X93" s="37"/>
      <c r="Y93" s="37"/>
      <c r="AA93" s="37"/>
      <c r="AC93" s="37"/>
      <c r="AD93" s="595"/>
      <c r="AE93" s="37"/>
      <c r="AF93" s="209"/>
      <c r="AG93" s="351"/>
      <c r="AH93" s="208"/>
      <c r="AI93" s="37"/>
      <c r="AJ93" s="37"/>
      <c r="AK93" s="108"/>
      <c r="AL93" s="108"/>
      <c r="AM93" s="108"/>
      <c r="AN93" s="108"/>
      <c r="AO93" s="137"/>
      <c r="AP93" s="137"/>
      <c r="AQ93" s="137"/>
      <c r="AR93" s="137"/>
    </row>
    <row r="94" spans="1:54" ht="15" customHeight="1" x14ac:dyDescent="0.2">
      <c r="A94" s="255"/>
      <c r="N94" s="255"/>
      <c r="O94" s="255"/>
      <c r="P94" s="255"/>
      <c r="Q94" s="255"/>
      <c r="R94" s="255"/>
      <c r="S94" s="255"/>
      <c r="T94" s="255"/>
      <c r="U94" s="255"/>
      <c r="V94" s="255"/>
      <c r="W94" s="255"/>
      <c r="Z94" s="118"/>
      <c r="AB94" s="118"/>
      <c r="AK94" s="108"/>
      <c r="AL94" s="108"/>
      <c r="AM94" s="108"/>
      <c r="AN94" s="108"/>
      <c r="AO94" s="137"/>
      <c r="AP94" s="137"/>
      <c r="AQ94" s="137"/>
      <c r="AR94" s="137"/>
      <c r="AS94" s="118"/>
      <c r="AT94" s="118"/>
      <c r="AU94" s="118"/>
      <c r="AV94" s="118"/>
      <c r="AW94" s="118"/>
      <c r="AX94" s="118"/>
      <c r="AY94" s="118"/>
      <c r="AZ94" s="118"/>
      <c r="BA94" s="118"/>
      <c r="BB94" s="118"/>
    </row>
    <row r="95" spans="1:54" ht="15" customHeight="1" x14ac:dyDescent="0.2">
      <c r="A95" s="255"/>
      <c r="N95" s="255"/>
      <c r="O95" s="255"/>
      <c r="P95" s="255"/>
      <c r="Q95" s="255"/>
      <c r="R95" s="255"/>
      <c r="S95" s="255"/>
      <c r="T95" s="255"/>
      <c r="U95" s="255"/>
      <c r="V95" s="255"/>
      <c r="W95" s="255"/>
      <c r="Z95" s="118"/>
      <c r="AB95" s="118"/>
      <c r="AK95" s="108"/>
      <c r="AL95" s="108"/>
      <c r="AM95" s="108"/>
      <c r="AN95" s="108"/>
      <c r="AO95" s="137"/>
      <c r="AP95" s="137"/>
      <c r="AQ95" s="137"/>
      <c r="AR95" s="137"/>
      <c r="AS95" s="118"/>
      <c r="AT95" s="118"/>
      <c r="AU95" s="118"/>
      <c r="AV95" s="118"/>
      <c r="AW95" s="118"/>
      <c r="AX95" s="118"/>
      <c r="AY95" s="118"/>
      <c r="AZ95" s="118"/>
      <c r="BA95" s="118"/>
      <c r="BB95" s="118"/>
    </row>
    <row r="96" spans="1:54" s="118" customFormat="1" ht="15" customHeight="1" x14ac:dyDescent="0.2">
      <c r="A96" s="255"/>
      <c r="N96" s="248"/>
      <c r="O96" s="248"/>
      <c r="P96" s="248"/>
      <c r="Q96" s="255"/>
      <c r="R96" s="1148" t="str">
        <f>D20</f>
        <v xml:space="preserve"> </v>
      </c>
      <c r="S96" s="1149"/>
      <c r="T96" s="1150"/>
      <c r="U96" s="255"/>
      <c r="V96" s="255"/>
      <c r="W96" s="255"/>
      <c r="X96" s="37"/>
      <c r="AA96" s="37"/>
      <c r="AC96" s="37"/>
      <c r="AD96" s="209"/>
      <c r="AE96" s="601" t="s">
        <v>68</v>
      </c>
      <c r="AF96" s="37"/>
      <c r="AG96" s="37"/>
      <c r="AH96" s="37"/>
      <c r="AI96" s="37"/>
      <c r="AJ96" s="37"/>
      <c r="AK96" s="108"/>
      <c r="AL96" s="108"/>
      <c r="AM96" s="108"/>
      <c r="AN96" s="108"/>
      <c r="AO96" s="137"/>
      <c r="AP96" s="137"/>
      <c r="AQ96" s="137"/>
      <c r="AR96" s="137"/>
    </row>
    <row r="97" spans="1:54" s="118" customFormat="1" ht="15" customHeight="1" x14ac:dyDescent="0.2">
      <c r="A97" s="255"/>
      <c r="N97" s="1138" t="str">
        <f>ListAVS!$B$74&amp;" KB [mm]       "</f>
        <v xml:space="preserve">Szerokość korpusu KB [mm]       </v>
      </c>
      <c r="O97" s="1139"/>
      <c r="P97" s="1139"/>
      <c r="Q97" s="1139"/>
      <c r="R97" s="1139"/>
      <c r="S97" s="1140"/>
      <c r="T97" s="829">
        <f>H21</f>
        <v>0</v>
      </c>
      <c r="U97" s="670"/>
      <c r="V97" s="255"/>
      <c r="W97" s="255"/>
      <c r="X97" s="37"/>
      <c r="Y97" s="37">
        <f>T97*T98*T99</f>
        <v>0</v>
      </c>
      <c r="Z97" s="37"/>
      <c r="AA97" s="37"/>
      <c r="AC97" s="37"/>
      <c r="AD97" s="325">
        <f>IF($AG$87=1,$X$105,$X$106)</f>
        <v>0.31</v>
      </c>
      <c r="AE97" s="339">
        <f>$X$107</f>
        <v>0.46</v>
      </c>
      <c r="AF97" s="601" t="s">
        <v>69</v>
      </c>
      <c r="AG97" s="601" t="s">
        <v>70</v>
      </c>
      <c r="AH97" s="37"/>
      <c r="AI97" s="39"/>
      <c r="AJ97" s="37"/>
      <c r="AK97" s="108"/>
      <c r="AL97" s="108"/>
      <c r="AM97" s="108"/>
      <c r="AN97" s="108"/>
      <c r="AO97" s="137"/>
      <c r="AP97" s="137"/>
      <c r="AQ97" s="137"/>
      <c r="AR97" s="137"/>
    </row>
    <row r="98" spans="1:54" s="118" customFormat="1" ht="15" customHeight="1" x14ac:dyDescent="0.2">
      <c r="A98" s="255"/>
      <c r="N98" s="1138" t="str">
        <f>ListAVS!$B$75&amp;" KH [mm]       "</f>
        <v xml:space="preserve">Wysokość korpusu KH [mm]       </v>
      </c>
      <c r="O98" s="1139"/>
      <c r="P98" s="1139"/>
      <c r="Q98" s="1139"/>
      <c r="R98" s="1139"/>
      <c r="S98" s="1140"/>
      <c r="T98" s="829">
        <f>H22</f>
        <v>0</v>
      </c>
      <c r="U98" s="670"/>
      <c r="V98" s="255"/>
      <c r="W98" s="255"/>
      <c r="X98" s="37"/>
      <c r="Y98" s="37">
        <f>Y97/1000000000</f>
        <v>0</v>
      </c>
      <c r="Z98" s="182">
        <f>Z87</f>
        <v>2</v>
      </c>
      <c r="AC98" s="37"/>
      <c r="AD98" s="144" t="s">
        <v>71</v>
      </c>
      <c r="AE98" s="209">
        <f>SUM(T97*2,(T98-40)*2)*AD97/1000</f>
        <v>-2.4799999999999999E-2</v>
      </c>
      <c r="AF98" s="333">
        <f>$AF$87</f>
        <v>1</v>
      </c>
      <c r="AG98" s="328">
        <f>$AG$87</f>
        <v>1</v>
      </c>
      <c r="AH98" s="37"/>
      <c r="AI98" s="151"/>
      <c r="AJ98" s="37"/>
      <c r="AK98" s="108"/>
      <c r="AL98" s="108"/>
      <c r="AM98" s="108"/>
      <c r="AN98" s="108"/>
      <c r="AO98" s="137"/>
      <c r="AP98" s="137"/>
      <c r="AQ98" s="137"/>
      <c r="AR98" s="137"/>
    </row>
    <row r="99" spans="1:54" s="118" customFormat="1" ht="15" customHeight="1" x14ac:dyDescent="0.2">
      <c r="A99" s="255"/>
      <c r="N99" s="1160" t="str">
        <f>ListAVS!$B$80&amp;" TS [mm] "</f>
        <v xml:space="preserve">Grubość frontu TS [mm] </v>
      </c>
      <c r="O99" s="1161"/>
      <c r="P99" s="1161"/>
      <c r="Q99" s="1161"/>
      <c r="R99" s="1161"/>
      <c r="S99" s="1162"/>
      <c r="T99" s="829"/>
      <c r="U99" s="227"/>
      <c r="V99" s="248"/>
      <c r="W99" s="248"/>
      <c r="X99" s="37"/>
      <c r="Y99" s="319">
        <f>$Y$88</f>
        <v>760</v>
      </c>
      <c r="Z99" s="37" t="str">
        <f>$Z$88</f>
        <v>MDF (760 kg/m3)</v>
      </c>
      <c r="AC99" s="37"/>
      <c r="AD99" s="37">
        <f>AD88</f>
        <v>10</v>
      </c>
      <c r="AE99" s="330">
        <f>IF($AG$87=1,AF100*AD99,AG100*AD99)</f>
        <v>8.9999999999999993E-3</v>
      </c>
      <c r="AF99" s="601" t="s">
        <v>72</v>
      </c>
      <c r="AG99" s="601"/>
      <c r="AH99" s="37"/>
      <c r="AI99" s="203"/>
      <c r="AJ99" s="37"/>
      <c r="AK99" s="108"/>
      <c r="AL99" s="108"/>
      <c r="AM99" s="108"/>
      <c r="AN99" s="108"/>
      <c r="AO99" s="137"/>
      <c r="AP99" s="137"/>
      <c r="AQ99" s="137"/>
      <c r="AR99" s="137"/>
    </row>
    <row r="100" spans="1:54" s="118" customFormat="1" ht="15" customHeight="1" x14ac:dyDescent="0.2">
      <c r="A100" s="255"/>
      <c r="N100" s="1143" t="str">
        <f>ListAVS!$B$83&amp;" [kg] "</f>
        <v xml:space="preserve">Waga uchwytu [kg] </v>
      </c>
      <c r="O100" s="1144"/>
      <c r="P100" s="1144"/>
      <c r="Q100" s="1144"/>
      <c r="R100" s="1144"/>
      <c r="S100" s="1145"/>
      <c r="T100" s="831">
        <f>H25</f>
        <v>0</v>
      </c>
      <c r="U100" s="256" t="str">
        <f>IF(SUM(T97,T98)=0," ",IF(T100=0," ● "&amp;ListAVS!$B$130," "))</f>
        <v xml:space="preserve"> </v>
      </c>
      <c r="V100" s="248"/>
      <c r="W100" s="248"/>
      <c r="X100" s="37"/>
      <c r="Y100" s="319">
        <f>$Y$89</f>
        <v>680</v>
      </c>
      <c r="Z100" s="37" t="str">
        <f>$Z$89</f>
        <v>Płyta wiórowa (680 kg/m3)</v>
      </c>
      <c r="AC100" s="37"/>
      <c r="AD100" s="37">
        <f>AD89</f>
        <v>12.5</v>
      </c>
      <c r="AE100" s="330">
        <f>IF($AG$87=1,AF101*AD100,AG101*AD100)</f>
        <v>1.125E-2</v>
      </c>
      <c r="AF100" s="209">
        <f>SUM(($T$97-30)*($T$98-30)/1000000)</f>
        <v>8.9999999999999998E-4</v>
      </c>
      <c r="AG100" s="351">
        <f>SUM(($T$97-6)*($T$98-6)/1000000)</f>
        <v>3.6000000000000001E-5</v>
      </c>
      <c r="AH100" s="208" t="s">
        <v>73</v>
      </c>
      <c r="AI100" s="37"/>
      <c r="AJ100" s="37"/>
      <c r="AK100" s="108"/>
      <c r="AL100" s="108"/>
      <c r="AM100" s="108"/>
      <c r="AN100" s="108"/>
      <c r="AO100" s="137"/>
      <c r="AP100" s="137"/>
      <c r="AQ100" s="137"/>
      <c r="AR100" s="137"/>
    </row>
    <row r="101" spans="1:54" s="118" customFormat="1" ht="15" customHeight="1" x14ac:dyDescent="0.2">
      <c r="A101" s="255"/>
      <c r="N101" s="1143" t="str">
        <f>ListAVS!$B$79&amp;" [kg] "</f>
        <v xml:space="preserve">Obliczona waga frontu [kg] </v>
      </c>
      <c r="O101" s="1144"/>
      <c r="P101" s="1144"/>
      <c r="Q101" s="1144"/>
      <c r="R101" s="1144"/>
      <c r="S101" s="1145"/>
      <c r="T101" s="533">
        <f>IF(AD102=0,0,AD102+T100)</f>
        <v>0</v>
      </c>
      <c r="U101" s="227"/>
      <c r="V101" s="248"/>
      <c r="W101" s="248"/>
      <c r="X101" s="186">
        <f>IF(T97*T98*T99=0,0,IF(Z98=1,Y98*Y99,IF(Z98=2,Y98*Y100,Y98*Y101)))</f>
        <v>0</v>
      </c>
      <c r="Y101" s="37">
        <f>$Y$90</f>
        <v>0</v>
      </c>
      <c r="Z101" s="37" t="str">
        <f>$Z$90</f>
        <v>Inne – wybrana gęstość materiału</v>
      </c>
      <c r="AC101" s="37"/>
      <c r="AD101" s="340">
        <f>AD90</f>
        <v>0</v>
      </c>
      <c r="AE101" s="330">
        <f>IF($AG$87=1,AF102*AD101,AG102*AD101)</f>
        <v>0</v>
      </c>
      <c r="AF101" s="209">
        <f>SUM(($T$97-30)*($T$98-30)/1000000)</f>
        <v>8.9999999999999998E-4</v>
      </c>
      <c r="AG101" s="351">
        <f>SUM(($T$97-6)*($T$98-6)/1000000)</f>
        <v>3.6000000000000001E-5</v>
      </c>
      <c r="AH101" s="208" t="s">
        <v>74</v>
      </c>
      <c r="AI101" s="37"/>
      <c r="AJ101" s="37"/>
      <c r="AK101" s="108"/>
      <c r="AL101" s="108"/>
      <c r="AM101" s="108"/>
      <c r="AN101" s="108"/>
      <c r="AO101" s="137"/>
      <c r="AP101" s="137"/>
      <c r="AQ101" s="137"/>
      <c r="AR101" s="137"/>
    </row>
    <row r="102" spans="1:54" s="118" customFormat="1" ht="15" customHeight="1" x14ac:dyDescent="0.2">
      <c r="A102" s="255"/>
      <c r="N102" s="255"/>
      <c r="O102" s="273" t="str">
        <f>IF(T101&gt;0,IF(T100=0,$Z$105," ")," ")</f>
        <v xml:space="preserve"> </v>
      </c>
      <c r="P102" s="255"/>
      <c r="Q102" s="255"/>
      <c r="R102" s="255"/>
      <c r="S102" s="255"/>
      <c r="T102" s="255"/>
      <c r="U102" s="255"/>
      <c r="V102" s="255"/>
      <c r="W102" s="255"/>
      <c r="X102" s="37"/>
      <c r="Y102" s="37"/>
      <c r="AA102" s="37"/>
      <c r="AC102" s="37"/>
      <c r="AD102" s="332">
        <f>IF(OR(AND(AF98=3, $T$80=0), T97*T98=0), 0, SUM(IF(AF98=1,AE99,IF(AF98=2,AE100,AE101)),AE98,AE97))</f>
        <v>0</v>
      </c>
      <c r="AE102" s="37"/>
      <c r="AF102" s="209">
        <f>SUM(($T$97-30)*($T$98-30)/1000000)</f>
        <v>8.9999999999999998E-4</v>
      </c>
      <c r="AG102" s="351">
        <f>SUM(($T$97-6)*($T$98-6)/1000000)</f>
        <v>3.6000000000000001E-5</v>
      </c>
      <c r="AH102" s="208" t="s">
        <v>75</v>
      </c>
      <c r="AI102" s="37"/>
      <c r="AJ102" s="37"/>
      <c r="AK102" s="108"/>
      <c r="AL102" s="108"/>
      <c r="AM102" s="108"/>
      <c r="AN102" s="108"/>
      <c r="AO102" s="137"/>
      <c r="AP102" s="137"/>
      <c r="AQ102" s="137"/>
      <c r="AR102" s="137"/>
    </row>
    <row r="103" spans="1:54" s="118" customFormat="1" ht="15" customHeight="1" x14ac:dyDescent="0.2">
      <c r="A103" s="255"/>
      <c r="N103" s="255"/>
      <c r="O103" s="255"/>
      <c r="P103" s="255"/>
      <c r="Q103" s="255"/>
      <c r="R103" s="255"/>
      <c r="S103" s="255"/>
      <c r="T103" s="255"/>
      <c r="U103" s="255"/>
      <c r="V103" s="255"/>
      <c r="W103" s="255"/>
      <c r="X103" s="37"/>
      <c r="Y103" s="37"/>
      <c r="AA103" s="37"/>
      <c r="AC103" s="37"/>
      <c r="AD103" s="37"/>
      <c r="AE103" s="37"/>
      <c r="AF103" s="37"/>
      <c r="AG103" s="37"/>
      <c r="AH103" s="37"/>
      <c r="AI103" s="37"/>
      <c r="AJ103" s="37"/>
      <c r="AK103" s="108"/>
      <c r="AL103" s="108"/>
      <c r="AM103" s="108"/>
      <c r="AN103" s="108"/>
      <c r="AO103" s="137"/>
      <c r="AP103" s="137"/>
      <c r="AQ103" s="137"/>
      <c r="AR103" s="137"/>
    </row>
    <row r="104" spans="1:54" s="118" customFormat="1" ht="15" customHeight="1" x14ac:dyDescent="0.2">
      <c r="A104" s="255"/>
      <c r="N104" s="255"/>
      <c r="O104" s="255"/>
      <c r="P104" s="255"/>
      <c r="Q104" s="255"/>
      <c r="R104" s="255"/>
      <c r="S104" s="255"/>
      <c r="T104" s="255"/>
      <c r="U104" s="255"/>
      <c r="V104" s="255"/>
      <c r="W104" s="255"/>
      <c r="X104" s="37"/>
      <c r="Y104" s="37"/>
      <c r="AA104" s="37"/>
      <c r="AC104" s="37"/>
      <c r="AD104" s="37"/>
      <c r="AE104" s="37"/>
      <c r="AF104" s="37"/>
      <c r="AG104" s="37"/>
      <c r="AH104" s="37"/>
      <c r="AI104" s="37"/>
      <c r="AJ104" s="37"/>
      <c r="AK104" s="108"/>
      <c r="AL104" s="108"/>
      <c r="AM104" s="108"/>
      <c r="AN104" s="108"/>
      <c r="AO104" s="137"/>
      <c r="AP104" s="137"/>
      <c r="AQ104" s="137"/>
      <c r="AR104" s="137"/>
    </row>
    <row r="105" spans="1:54" s="118" customFormat="1" ht="15" customHeight="1" x14ac:dyDescent="0.2">
      <c r="A105" s="255"/>
      <c r="N105" s="255"/>
      <c r="O105" s="255"/>
      <c r="P105" s="255"/>
      <c r="Q105" s="255"/>
      <c r="R105" s="255"/>
      <c r="S105" s="255"/>
      <c r="T105" s="255"/>
      <c r="U105" s="255"/>
      <c r="V105" s="255"/>
      <c r="W105" s="816" t="str">
        <f>ListAVS!$B$422&amp;"  "</f>
        <v xml:space="preserve">z wpuszczanym szkłem  </v>
      </c>
      <c r="X105" s="711">
        <f>MenuAVS!$I$91</f>
        <v>0.31</v>
      </c>
      <c r="Y105" s="37"/>
      <c r="Z105" s="37" t="str">
        <f>ListAVS!$B$103&amp;"!"</f>
        <v>Bez wagi uchwytu!</v>
      </c>
      <c r="AA105" s="37"/>
      <c r="AC105" s="37"/>
      <c r="AD105" s="37"/>
      <c r="AE105" s="37"/>
      <c r="AF105" s="335" t="str">
        <f>ListAVS!$B$93</f>
        <v>Ramki aluminiowe z 4mm szkłem</v>
      </c>
      <c r="AG105" s="335"/>
      <c r="AH105" s="335"/>
      <c r="AI105" s="335"/>
      <c r="AJ105" s="37"/>
      <c r="AK105" s="108"/>
      <c r="AL105" s="108"/>
      <c r="AM105" s="108"/>
      <c r="AN105" s="108"/>
      <c r="AO105" s="137"/>
      <c r="AP105" s="137"/>
      <c r="AQ105" s="137"/>
      <c r="AR105" s="137"/>
    </row>
    <row r="106" spans="1:54" s="118" customFormat="1" ht="15" customHeight="1" x14ac:dyDescent="0.2">
      <c r="A106" s="255"/>
      <c r="N106" s="255"/>
      <c r="O106" s="255"/>
      <c r="P106" s="255"/>
      <c r="Q106" s="255"/>
      <c r="R106" s="255"/>
      <c r="S106" s="255"/>
      <c r="T106" s="255"/>
      <c r="U106" s="255"/>
      <c r="V106" s="255"/>
      <c r="W106" s="816" t="str">
        <f>ListAVS!$B$423&amp;"  "</f>
        <v xml:space="preserve">ze szkłem nakładanym lub przyklejanym  </v>
      </c>
      <c r="X106" s="711">
        <f>MenuAVS!$I$92</f>
        <v>0.32</v>
      </c>
      <c r="Y106" s="37"/>
      <c r="AA106" s="37"/>
      <c r="AC106" s="37"/>
      <c r="AD106" s="37"/>
      <c r="AE106" s="37"/>
      <c r="AF106" s="335" t="str">
        <f>ListAVS!$B$94</f>
        <v>Ramki aluminiowe z 5mm szkłem</v>
      </c>
      <c r="AG106" s="335"/>
      <c r="AH106" s="335"/>
      <c r="AI106" s="335"/>
      <c r="AJ106" s="37"/>
      <c r="AK106" s="108"/>
      <c r="AL106" s="108"/>
      <c r="AM106" s="108"/>
      <c r="AN106" s="108"/>
      <c r="AO106" s="137"/>
      <c r="AP106" s="137"/>
      <c r="AQ106" s="137"/>
      <c r="AR106" s="137"/>
    </row>
    <row r="107" spans="1:54" s="118" customFormat="1" ht="15" customHeight="1" x14ac:dyDescent="0.2">
      <c r="A107" s="255"/>
      <c r="N107" s="255"/>
      <c r="O107" s="255"/>
      <c r="P107" s="255"/>
      <c r="Q107" s="255"/>
      <c r="R107" s="255"/>
      <c r="S107" s="255"/>
      <c r="T107" s="255"/>
      <c r="U107" s="255"/>
      <c r="V107" s="255"/>
      <c r="W107" s="816" t="str">
        <f>ListAVS!$B$405&amp;" [kg/set] *  "</f>
        <v xml:space="preserve">Waga materiału łączącego  [kg/set] *  </v>
      </c>
      <c r="X107" s="711">
        <f>MenuAVS!$I$93</f>
        <v>0.46</v>
      </c>
      <c r="Y107" s="37"/>
      <c r="AA107" s="37"/>
      <c r="AC107" s="37"/>
      <c r="AD107" s="37"/>
      <c r="AE107" s="37"/>
      <c r="AF107" s="335" t="str">
        <f>ListAVS!$B$95</f>
        <v>Ramki aluminiowe z innym szkłem</v>
      </c>
      <c r="AG107" s="335"/>
      <c r="AH107" s="335"/>
      <c r="AI107" s="335"/>
      <c r="AJ107" s="37"/>
      <c r="AK107" s="108"/>
      <c r="AL107" s="108"/>
      <c r="AM107" s="108"/>
      <c r="AN107" s="108"/>
      <c r="AO107" s="137"/>
      <c r="AP107" s="137"/>
      <c r="AQ107" s="137"/>
      <c r="AR107" s="137"/>
      <c r="AS107" s="37"/>
      <c r="AT107" s="37"/>
      <c r="AU107" s="37"/>
    </row>
    <row r="108" spans="1:54" s="118" customFormat="1" ht="15" customHeight="1" x14ac:dyDescent="0.2">
      <c r="A108" s="255"/>
      <c r="N108" s="255"/>
      <c r="O108" s="255"/>
      <c r="P108" s="255"/>
      <c r="Q108" s="255"/>
      <c r="R108" s="255"/>
      <c r="S108" s="248"/>
      <c r="T108" s="248"/>
      <c r="U108" s="255"/>
      <c r="V108" s="255"/>
      <c r="W108" s="255"/>
      <c r="X108" s="37"/>
      <c r="Y108" s="37"/>
      <c r="AA108" s="37"/>
      <c r="AC108" s="37"/>
      <c r="AD108" s="37"/>
      <c r="AE108" s="37"/>
      <c r="AF108" s="37"/>
      <c r="AG108" s="37"/>
      <c r="AH108" s="37"/>
      <c r="AI108" s="37"/>
      <c r="AJ108" s="37"/>
      <c r="AK108" s="108"/>
      <c r="AL108" s="108"/>
      <c r="AM108" s="108"/>
      <c r="AN108" s="108"/>
      <c r="AO108" s="137"/>
      <c r="AP108" s="137"/>
      <c r="AQ108" s="137"/>
      <c r="AR108" s="137"/>
      <c r="AS108" s="37"/>
      <c r="AT108" s="37"/>
      <c r="AU108" s="37"/>
      <c r="AV108" s="37"/>
      <c r="AW108" s="37"/>
      <c r="AX108" s="37"/>
      <c r="AY108" s="37"/>
      <c r="AZ108" s="37"/>
      <c r="BA108" s="37"/>
      <c r="BB108" s="37"/>
    </row>
    <row r="109" spans="1:54" s="118" customFormat="1" ht="15" customHeight="1" x14ac:dyDescent="0.2">
      <c r="A109" s="255"/>
      <c r="N109" s="255"/>
      <c r="O109" s="255"/>
      <c r="P109" s="255"/>
      <c r="Q109" s="255"/>
      <c r="R109" s="255"/>
      <c r="S109" s="248"/>
      <c r="T109" s="248"/>
      <c r="U109" s="255"/>
      <c r="V109" s="255"/>
      <c r="W109" s="255"/>
      <c r="X109" s="37"/>
      <c r="Y109" s="37"/>
      <c r="AA109" s="37"/>
      <c r="AC109" s="37"/>
      <c r="AD109" s="37"/>
      <c r="AE109" s="37"/>
      <c r="AF109" s="37"/>
      <c r="AG109" s="37"/>
      <c r="AH109" s="37"/>
      <c r="AI109" s="37"/>
      <c r="AJ109" s="37"/>
      <c r="AK109" s="108"/>
      <c r="AL109" s="108"/>
      <c r="AM109" s="108"/>
      <c r="AN109" s="108"/>
      <c r="AO109" s="137"/>
      <c r="AP109" s="137"/>
      <c r="AQ109" s="137"/>
      <c r="AR109" s="137"/>
      <c r="AS109" s="37"/>
      <c r="AT109" s="37"/>
      <c r="AU109" s="37"/>
      <c r="AV109" s="37"/>
      <c r="AW109" s="37"/>
      <c r="AX109" s="37"/>
      <c r="AY109" s="37"/>
      <c r="AZ109" s="37"/>
      <c r="BA109" s="37"/>
      <c r="BB109" s="37"/>
    </row>
    <row r="110" spans="1:54" ht="18" x14ac:dyDescent="0.2">
      <c r="A110" s="1045"/>
      <c r="B110" s="308" t="s">
        <v>14</v>
      </c>
      <c r="C110" s="321"/>
      <c r="D110" s="308"/>
      <c r="E110" s="308"/>
      <c r="F110" s="308"/>
      <c r="G110" s="308"/>
      <c r="H110" s="308"/>
      <c r="I110" s="308"/>
      <c r="J110" s="308"/>
      <c r="K110" s="308"/>
      <c r="L110" s="308"/>
      <c r="AK110" s="108"/>
      <c r="AL110" s="108"/>
      <c r="AM110" s="108"/>
      <c r="AN110" s="108"/>
      <c r="AO110" s="137"/>
      <c r="AP110" s="137"/>
      <c r="AQ110" s="137"/>
      <c r="AR110" s="137"/>
      <c r="AS110" s="137"/>
    </row>
    <row r="111" spans="1:54" ht="15" customHeight="1" x14ac:dyDescent="0.2">
      <c r="A111" s="1045"/>
      <c r="B111" s="255"/>
      <c r="C111" s="255"/>
      <c r="D111" s="255"/>
      <c r="E111" s="255"/>
      <c r="F111" s="255"/>
      <c r="G111" s="255"/>
      <c r="H111" s="255"/>
      <c r="I111" s="255"/>
      <c r="J111" s="255"/>
      <c r="K111" s="255"/>
      <c r="L111" s="255"/>
      <c r="M111" s="255"/>
      <c r="N111" s="255"/>
      <c r="AK111" s="108"/>
      <c r="AL111" s="108"/>
      <c r="AM111" s="108"/>
      <c r="AN111" s="108"/>
      <c r="AO111" s="137"/>
      <c r="AP111" s="137"/>
      <c r="AQ111" s="137"/>
      <c r="AR111" s="137"/>
      <c r="AS111" s="137"/>
    </row>
    <row r="112" spans="1:54" ht="15" customHeight="1" x14ac:dyDescent="0.2">
      <c r="A112" s="1045"/>
      <c r="B112" s="255" t="str">
        <f>ListAVS!$B$333</f>
        <v>Aby wybrać odpowiedni siłownik potrzebujesz znać wysokość korpusu i wagę frontu</v>
      </c>
      <c r="C112" s="255"/>
      <c r="D112" s="255"/>
      <c r="E112" s="255"/>
      <c r="F112" s="255"/>
      <c r="G112" s="255"/>
      <c r="H112" s="255"/>
      <c r="I112" s="255"/>
      <c r="J112" s="255"/>
      <c r="K112" s="255"/>
      <c r="L112" s="255"/>
      <c r="M112" s="255"/>
      <c r="N112" s="255"/>
      <c r="AK112" s="108"/>
      <c r="AL112" s="108"/>
      <c r="AM112" s="108"/>
      <c r="AN112" s="108"/>
      <c r="AO112" s="137"/>
      <c r="AP112" s="137"/>
      <c r="AQ112" s="137"/>
      <c r="AR112" s="137"/>
      <c r="AS112" s="137"/>
    </row>
    <row r="113" spans="1:45" ht="15" customHeight="1" x14ac:dyDescent="0.2">
      <c r="A113" s="1045"/>
      <c r="B113" s="255"/>
      <c r="C113" s="255"/>
      <c r="D113" s="255"/>
      <c r="E113" s="255"/>
      <c r="F113" s="255"/>
      <c r="G113" s="255"/>
      <c r="H113" s="255"/>
      <c r="I113" s="255"/>
      <c r="J113" s="255"/>
      <c r="K113" s="255"/>
      <c r="L113" s="255"/>
      <c r="M113" s="255"/>
      <c r="N113" s="255"/>
      <c r="AK113" s="108"/>
      <c r="AL113" s="108"/>
      <c r="AM113" s="108"/>
      <c r="AN113" s="108"/>
      <c r="AO113" s="137"/>
      <c r="AP113" s="137"/>
      <c r="AQ113" s="137"/>
      <c r="AR113" s="137"/>
      <c r="AS113" s="137"/>
    </row>
    <row r="114" spans="1:45" ht="15" customHeight="1" x14ac:dyDescent="0.2">
      <c r="A114" s="1045"/>
      <c r="B114" s="255" t="str">
        <f>ListAVS!$B$335</f>
        <v>Wysokość korpusu KH = 602 mm należy zaokrąglić do KH = 600 mm</v>
      </c>
      <c r="C114" s="255"/>
      <c r="D114" s="255"/>
      <c r="E114" s="255"/>
      <c r="F114" s="255"/>
      <c r="G114" s="255"/>
      <c r="H114" s="255"/>
      <c r="I114" s="255"/>
      <c r="J114" s="255"/>
      <c r="K114" s="255"/>
      <c r="L114" s="255"/>
      <c r="M114" s="255"/>
      <c r="N114" s="255"/>
      <c r="AK114" s="108"/>
      <c r="AL114" s="108"/>
      <c r="AM114" s="108"/>
      <c r="AN114" s="108"/>
      <c r="AO114" s="137"/>
      <c r="AP114" s="137"/>
      <c r="AQ114" s="137"/>
      <c r="AR114" s="137"/>
      <c r="AS114" s="137"/>
    </row>
    <row r="115" spans="1:45" ht="15" customHeight="1" x14ac:dyDescent="0.2">
      <c r="A115" s="1045"/>
      <c r="B115" s="255" t="str">
        <f>ListAVS!$B$336</f>
        <v>Wysokość korpusu KH = 603 mm należy zaokrąglić do KH = 605 mm</v>
      </c>
      <c r="C115" s="255"/>
      <c r="D115" s="255"/>
      <c r="E115" s="255"/>
      <c r="F115" s="255"/>
      <c r="G115" s="255"/>
      <c r="H115" s="255"/>
      <c r="I115" s="255"/>
      <c r="J115" s="255"/>
      <c r="K115" s="255"/>
      <c r="L115" s="255"/>
      <c r="M115" s="255"/>
      <c r="N115" s="255"/>
      <c r="AK115" s="108"/>
      <c r="AL115" s="108"/>
      <c r="AM115" s="108"/>
      <c r="AN115" s="108"/>
      <c r="AO115" s="137"/>
      <c r="AP115" s="137"/>
      <c r="AQ115" s="137"/>
      <c r="AR115" s="137"/>
      <c r="AS115" s="137"/>
    </row>
    <row r="116" spans="1:45" ht="15" customHeight="1" x14ac:dyDescent="0.2">
      <c r="A116" s="1045"/>
      <c r="B116" s="255"/>
      <c r="C116" s="255"/>
      <c r="D116" s="255"/>
      <c r="E116" s="255"/>
      <c r="F116" s="255"/>
      <c r="G116" s="255"/>
      <c r="H116" s="255"/>
      <c r="I116" s="255"/>
      <c r="J116" s="255"/>
      <c r="K116" s="255"/>
      <c r="L116" s="255"/>
      <c r="M116" s="255"/>
      <c r="N116" s="255"/>
      <c r="AK116" s="108"/>
      <c r="AL116" s="108"/>
      <c r="AM116" s="108"/>
      <c r="AN116" s="108"/>
      <c r="AO116" s="137"/>
      <c r="AP116" s="137"/>
      <c r="AQ116" s="137"/>
      <c r="AR116" s="137"/>
      <c r="AS116" s="137"/>
    </row>
    <row r="117" spans="1:45" ht="15" customHeight="1" x14ac:dyDescent="0.2">
      <c r="A117" s="1045"/>
      <c r="B117" s="255" t="str">
        <f>ListAVS!$B$312</f>
        <v>Jeśli znasz wagę frontu, możesz ją wprowadzić, w przeciwnym razie skorzystaj z „Obliczenia wagi”.</v>
      </c>
      <c r="C117" s="255"/>
      <c r="D117" s="255"/>
      <c r="E117" s="255"/>
      <c r="F117" s="255"/>
      <c r="G117" s="255"/>
      <c r="H117" s="255"/>
      <c r="I117" s="255"/>
      <c r="J117" s="255"/>
      <c r="K117" s="255"/>
      <c r="L117" s="255"/>
      <c r="M117" s="255"/>
      <c r="N117" s="255"/>
      <c r="AK117" s="108"/>
      <c r="AL117" s="108"/>
      <c r="AM117" s="108"/>
      <c r="AN117" s="108"/>
      <c r="AO117" s="137"/>
      <c r="AP117" s="137"/>
      <c r="AQ117" s="137"/>
      <c r="AR117" s="137"/>
      <c r="AS117" s="137"/>
    </row>
    <row r="118" spans="1:45" ht="15" customHeight="1" x14ac:dyDescent="0.2">
      <c r="A118" s="1045"/>
      <c r="B118" s="255" t="str">
        <f>ListAVS!$B$313</f>
        <v>W tabeli wprowadzona wartość ma pierwszeństwo aby skorzystać z wagi obliczeniowej, należy usunąć wprowadzoną wartość.</v>
      </c>
      <c r="C118" s="255"/>
      <c r="D118" s="255"/>
      <c r="E118" s="255"/>
      <c r="F118" s="255"/>
      <c r="G118" s="255"/>
      <c r="H118" s="255"/>
      <c r="I118" s="255"/>
      <c r="J118" s="255"/>
      <c r="K118" s="255"/>
      <c r="L118" s="255"/>
      <c r="M118" s="255"/>
      <c r="N118" s="255"/>
      <c r="AK118" s="108"/>
      <c r="AL118" s="108"/>
      <c r="AM118" s="108"/>
      <c r="AN118" s="108"/>
      <c r="AO118" s="137"/>
      <c r="AP118" s="137"/>
      <c r="AQ118" s="137"/>
      <c r="AR118" s="137"/>
      <c r="AS118" s="137"/>
    </row>
    <row r="119" spans="1:45" ht="15" customHeight="1" x14ac:dyDescent="0.2">
      <c r="A119" s="1045"/>
      <c r="B119" s="255"/>
      <c r="C119" s="255"/>
      <c r="D119" s="255"/>
      <c r="E119" s="255"/>
      <c r="F119" s="255"/>
      <c r="G119" s="255"/>
      <c r="H119" s="255"/>
      <c r="I119" s="255"/>
      <c r="J119" s="255"/>
      <c r="K119" s="255"/>
      <c r="L119" s="255"/>
      <c r="M119" s="255"/>
      <c r="N119" s="255"/>
      <c r="AK119" s="108"/>
      <c r="AL119" s="108"/>
      <c r="AM119" s="108"/>
      <c r="AN119" s="108"/>
      <c r="AO119" s="137"/>
      <c r="AP119" s="137"/>
      <c r="AQ119" s="137"/>
      <c r="AR119" s="137"/>
      <c r="AS119" s="137"/>
    </row>
    <row r="120" spans="1:45" ht="15" customHeight="1" x14ac:dyDescent="0.2">
      <c r="A120" s="1045"/>
      <c r="B120" s="255"/>
      <c r="C120" s="255"/>
      <c r="D120" s="255"/>
      <c r="E120" s="255"/>
      <c r="F120" s="255"/>
      <c r="G120" s="255"/>
      <c r="H120" s="255"/>
      <c r="I120" s="255"/>
      <c r="J120" s="255"/>
      <c r="K120" s="255"/>
      <c r="L120" s="255"/>
      <c r="M120" s="255"/>
      <c r="N120" s="255"/>
      <c r="AK120" s="108"/>
      <c r="AL120" s="108"/>
      <c r="AM120" s="108"/>
      <c r="AN120" s="108"/>
      <c r="AO120" s="137"/>
      <c r="AP120" s="137"/>
      <c r="AQ120" s="137"/>
      <c r="AR120" s="137"/>
      <c r="AS120" s="137"/>
    </row>
    <row r="121" spans="1:45" ht="15" customHeight="1" x14ac:dyDescent="0.2">
      <c r="A121" s="1045"/>
      <c r="B121" s="255" t="str">
        <f>ListAVS!$B$306</f>
        <v>Aby zmienić kolor zaślepek przejdź do „Wprowadzenie do planowania”</v>
      </c>
      <c r="C121" s="255"/>
      <c r="D121" s="255"/>
      <c r="E121" s="255"/>
      <c r="F121" s="255"/>
      <c r="G121" s="255"/>
      <c r="H121" s="255"/>
      <c r="I121" s="255"/>
      <c r="J121" s="255"/>
      <c r="K121" s="255"/>
      <c r="L121" s="255"/>
      <c r="M121" s="255"/>
      <c r="N121" s="255"/>
      <c r="AK121" s="108"/>
      <c r="AL121" s="108"/>
      <c r="AM121" s="108"/>
      <c r="AN121" s="108"/>
      <c r="AO121" s="137"/>
      <c r="AP121" s="137"/>
      <c r="AQ121" s="137"/>
      <c r="AR121" s="137"/>
      <c r="AS121" s="137"/>
    </row>
    <row r="122" spans="1:45" ht="15" customHeight="1" x14ac:dyDescent="0.2">
      <c r="A122" s="1045"/>
      <c r="B122" s="255"/>
      <c r="C122" s="255"/>
      <c r="D122" s="255"/>
      <c r="E122" s="255"/>
      <c r="F122" s="255"/>
      <c r="G122" s="255"/>
      <c r="H122" s="255"/>
      <c r="I122" s="255"/>
      <c r="J122" s="255"/>
      <c r="K122" s="255"/>
      <c r="L122" s="255"/>
      <c r="M122" s="255"/>
      <c r="N122" s="255"/>
      <c r="AK122" s="108"/>
      <c r="AL122" s="108"/>
      <c r="AM122" s="108"/>
      <c r="AN122" s="108"/>
      <c r="AO122" s="137"/>
      <c r="AP122" s="137"/>
      <c r="AQ122" s="137"/>
      <c r="AR122" s="137"/>
      <c r="AS122" s="137"/>
    </row>
    <row r="123" spans="1:45" ht="15" customHeight="1" x14ac:dyDescent="0.2">
      <c r="A123" s="1045"/>
      <c r="B123" s="255" t="str">
        <f>ListAVS!$B$411</f>
        <v>Zwróć uwagę na wybór ramek aluminiowych</v>
      </c>
      <c r="C123" s="255"/>
      <c r="D123" s="255"/>
      <c r="E123" s="255"/>
      <c r="F123" s="255"/>
      <c r="G123" s="255"/>
      <c r="H123" s="255"/>
      <c r="I123" s="255"/>
      <c r="J123" s="255"/>
      <c r="K123" s="255"/>
      <c r="L123" s="255"/>
      <c r="M123" s="255"/>
      <c r="N123" s="255"/>
      <c r="AK123" s="108"/>
      <c r="AL123" s="108"/>
      <c r="AM123" s="108"/>
      <c r="AN123" s="108"/>
      <c r="AO123" s="137"/>
      <c r="AP123" s="137"/>
      <c r="AQ123" s="137"/>
      <c r="AR123" s="137"/>
      <c r="AS123" s="137"/>
    </row>
    <row r="124" spans="1:45" ht="15" customHeight="1" x14ac:dyDescent="0.2">
      <c r="A124" s="1045"/>
      <c r="B124" s="255" t="str">
        <f>ListAVS!$B$412</f>
        <v>Wybierz, rodzaj, który lepiej pasuje do kształtu zastosowanej ramki aluminiowej.</v>
      </c>
      <c r="C124" s="255"/>
      <c r="D124" s="255"/>
      <c r="E124" s="255"/>
      <c r="F124" s="255"/>
      <c r="G124" s="255"/>
      <c r="H124" s="255"/>
      <c r="I124" s="255"/>
      <c r="J124" s="255"/>
      <c r="K124" s="255"/>
      <c r="L124" s="266"/>
      <c r="M124" s="255"/>
      <c r="N124" s="255"/>
      <c r="AK124" s="108"/>
      <c r="AL124" s="108"/>
      <c r="AM124" s="108"/>
      <c r="AN124" s="108"/>
      <c r="AO124" s="137"/>
      <c r="AP124" s="137"/>
      <c r="AQ124" s="137"/>
      <c r="AR124" s="137"/>
      <c r="AS124" s="137"/>
    </row>
    <row r="125" spans="1:45" ht="15" customHeight="1" x14ac:dyDescent="0.2">
      <c r="A125" s="1045"/>
      <c r="B125" s="255" t="str">
        <f>ListAVS!$B$413</f>
        <v>Sposób mocowania szkła w ramkę znacząco wpływa na powierzchnię szkła, a co za tym idzie na jego wagę!</v>
      </c>
      <c r="C125" s="255"/>
      <c r="D125" s="255"/>
      <c r="E125" s="255"/>
      <c r="F125" s="255"/>
      <c r="G125" s="255"/>
      <c r="H125" s="255"/>
      <c r="I125" s="255"/>
      <c r="J125" s="255"/>
      <c r="K125" s="255"/>
      <c r="L125" s="255"/>
      <c r="M125" s="255"/>
      <c r="N125" s="255"/>
      <c r="AK125" s="108"/>
      <c r="AL125" s="108"/>
      <c r="AM125" s="108"/>
      <c r="AN125" s="108"/>
      <c r="AO125" s="137"/>
      <c r="AP125" s="137"/>
      <c r="AQ125" s="137"/>
      <c r="AR125" s="137"/>
      <c r="AS125" s="137"/>
    </row>
    <row r="126" spans="1:45" ht="15" customHeight="1" x14ac:dyDescent="0.2">
      <c r="A126" s="1045"/>
      <c r="AK126" s="108"/>
      <c r="AL126" s="108"/>
      <c r="AM126" s="108"/>
      <c r="AN126" s="108"/>
      <c r="AO126" s="137"/>
      <c r="AP126" s="137"/>
      <c r="AQ126" s="137"/>
      <c r="AR126" s="137"/>
      <c r="AS126" s="137"/>
    </row>
    <row r="127" spans="1:45" s="253" customFormat="1" ht="15" customHeight="1" x14ac:dyDescent="0.2">
      <c r="A127" s="1045"/>
      <c r="B127" s="255"/>
      <c r="C127" s="796" t="str">
        <f>"  "&amp;ListAVS!$B$424&amp;"  "</f>
        <v xml:space="preserve">  z wpuszczanym szkłem  </v>
      </c>
      <c r="D127" s="255"/>
      <c r="E127" s="255"/>
      <c r="F127" s="255"/>
      <c r="G127" s="255"/>
      <c r="H127" s="255"/>
      <c r="I127" s="255"/>
      <c r="J127" s="255"/>
      <c r="K127" s="255"/>
      <c r="L127" s="255"/>
      <c r="M127" s="255"/>
      <c r="N127" s="255"/>
      <c r="O127" s="248"/>
      <c r="P127" s="255"/>
      <c r="Q127" s="248"/>
      <c r="R127" s="255"/>
      <c r="S127" s="255"/>
      <c r="T127" s="255"/>
      <c r="U127" s="255"/>
      <c r="V127" s="255"/>
      <c r="W127" s="255"/>
      <c r="X127" s="255"/>
      <c r="Y127" s="255"/>
      <c r="Z127" s="255"/>
      <c r="AA127" s="255"/>
      <c r="AB127" s="255"/>
      <c r="AC127" s="255"/>
      <c r="AD127" s="255"/>
      <c r="AE127" s="255"/>
      <c r="AF127" s="255"/>
      <c r="AG127" s="255"/>
      <c r="AH127" s="255"/>
      <c r="AI127" s="255"/>
      <c r="AJ127" s="255"/>
      <c r="AK127" s="670"/>
      <c r="AL127" s="670"/>
      <c r="AM127" s="670"/>
      <c r="AN127" s="670"/>
      <c r="AO127" s="266"/>
      <c r="AP127" s="266"/>
      <c r="AQ127" s="266"/>
      <c r="AR127" s="266"/>
      <c r="AS127" s="266"/>
    </row>
    <row r="128" spans="1:45" s="253" customFormat="1" ht="15" customHeight="1" x14ac:dyDescent="0.2">
      <c r="A128" s="1045"/>
      <c r="B128" s="255"/>
      <c r="C128" s="266"/>
      <c r="D128" s="255"/>
      <c r="E128" s="255"/>
      <c r="F128" s="255"/>
      <c r="G128" s="255"/>
      <c r="H128" s="255"/>
      <c r="I128" s="255"/>
      <c r="J128" s="255"/>
      <c r="K128" s="255"/>
      <c r="L128" s="255"/>
      <c r="M128" s="255"/>
      <c r="N128" s="255"/>
      <c r="O128" s="248"/>
      <c r="P128" s="255"/>
      <c r="Q128" s="248"/>
      <c r="R128" s="255"/>
      <c r="S128" s="255"/>
      <c r="T128" s="255"/>
      <c r="U128" s="255"/>
      <c r="V128" s="255"/>
      <c r="W128" s="255"/>
      <c r="X128" s="255"/>
      <c r="Y128" s="255"/>
      <c r="Z128" s="255"/>
      <c r="AA128" s="255"/>
      <c r="AB128" s="255"/>
      <c r="AC128" s="255"/>
      <c r="AD128" s="255"/>
      <c r="AE128" s="255"/>
      <c r="AF128" s="255"/>
      <c r="AG128" s="255"/>
      <c r="AH128" s="255"/>
      <c r="AI128" s="255"/>
      <c r="AJ128" s="255"/>
      <c r="AK128" s="670"/>
      <c r="AL128" s="670"/>
      <c r="AM128" s="670"/>
      <c r="AN128" s="670"/>
      <c r="AO128" s="266"/>
      <c r="AP128" s="266"/>
      <c r="AQ128" s="266"/>
      <c r="AR128" s="266"/>
      <c r="AS128" s="266"/>
    </row>
    <row r="129" spans="1:45" s="253" customFormat="1" ht="15" customHeight="1" x14ac:dyDescent="0.2">
      <c r="A129" s="1045"/>
      <c r="B129" s="255"/>
      <c r="C129" s="796" t="str">
        <f>"  "&amp;ListAVS!$B$425&amp;"  "</f>
        <v xml:space="preserve">  ze szkłem nakładanym lub przyklejanym  </v>
      </c>
      <c r="D129" s="255"/>
      <c r="E129" s="255"/>
      <c r="F129" s="255"/>
      <c r="G129" s="255"/>
      <c r="H129" s="255"/>
      <c r="I129" s="255"/>
      <c r="J129" s="255"/>
      <c r="K129" s="255"/>
      <c r="L129" s="255"/>
      <c r="M129" s="255"/>
      <c r="N129" s="255"/>
      <c r="O129" s="248"/>
      <c r="P129" s="255"/>
      <c r="Q129" s="248"/>
      <c r="R129" s="255"/>
      <c r="S129" s="255"/>
      <c r="T129" s="255"/>
      <c r="U129" s="255"/>
      <c r="V129" s="255"/>
      <c r="W129" s="255"/>
      <c r="X129" s="255"/>
      <c r="Y129" s="255"/>
      <c r="Z129" s="255"/>
      <c r="AA129" s="255"/>
      <c r="AB129" s="255"/>
      <c r="AC129" s="255"/>
      <c r="AD129" s="255"/>
      <c r="AE129" s="255"/>
      <c r="AF129" s="255"/>
      <c r="AG129" s="255"/>
      <c r="AH129" s="255"/>
      <c r="AI129" s="255"/>
      <c r="AJ129" s="255"/>
      <c r="AK129" s="670"/>
      <c r="AL129" s="670"/>
      <c r="AM129" s="670"/>
      <c r="AN129" s="670"/>
      <c r="AO129" s="266"/>
      <c r="AP129" s="266"/>
      <c r="AQ129" s="266"/>
      <c r="AR129" s="266"/>
      <c r="AS129" s="266"/>
    </row>
    <row r="130" spans="1:45" s="253" customFormat="1" ht="15" customHeight="1" x14ac:dyDescent="0.2">
      <c r="A130" s="1045"/>
      <c r="B130" s="255"/>
      <c r="C130" s="255"/>
      <c r="D130" s="255"/>
      <c r="E130" s="255"/>
      <c r="F130" s="255"/>
      <c r="G130" s="255"/>
      <c r="H130" s="255"/>
      <c r="I130" s="255"/>
      <c r="J130" s="255"/>
      <c r="K130" s="255"/>
      <c r="L130" s="266"/>
      <c r="M130" s="255"/>
      <c r="N130" s="255"/>
      <c r="O130" s="248"/>
      <c r="P130" s="255"/>
      <c r="Q130" s="248"/>
      <c r="R130" s="255"/>
      <c r="S130" s="255"/>
      <c r="T130" s="255"/>
      <c r="U130" s="255"/>
      <c r="V130" s="255"/>
      <c r="W130" s="255"/>
      <c r="X130" s="255"/>
      <c r="Y130" s="255"/>
      <c r="Z130" s="255"/>
      <c r="AA130" s="255"/>
      <c r="AB130" s="255"/>
      <c r="AC130" s="255"/>
      <c r="AD130" s="255"/>
      <c r="AE130" s="255"/>
      <c r="AF130" s="255"/>
      <c r="AG130" s="255"/>
      <c r="AH130" s="255"/>
      <c r="AI130" s="255"/>
      <c r="AJ130" s="255"/>
      <c r="AK130" s="670"/>
      <c r="AL130" s="670"/>
      <c r="AM130" s="670"/>
      <c r="AN130" s="670"/>
      <c r="AO130" s="266"/>
      <c r="AP130" s="266"/>
      <c r="AQ130" s="266"/>
      <c r="AR130" s="266"/>
      <c r="AS130" s="266"/>
    </row>
    <row r="131" spans="1:45" s="253" customFormat="1" ht="15" customHeight="1" x14ac:dyDescent="0.2">
      <c r="A131" s="1045"/>
      <c r="B131" s="255"/>
      <c r="C131" s="255"/>
      <c r="D131" s="255"/>
      <c r="E131" s="255"/>
      <c r="F131" s="255"/>
      <c r="G131" s="255"/>
      <c r="H131" s="255"/>
      <c r="I131" s="255"/>
      <c r="J131" s="255"/>
      <c r="K131" s="255"/>
      <c r="L131" s="702" t="str">
        <f>ListAVS!$B$168</f>
        <v>Z powrotem</v>
      </c>
      <c r="M131" s="255"/>
      <c r="N131" s="255"/>
      <c r="O131" s="248"/>
      <c r="P131" s="255"/>
      <c r="Q131" s="248"/>
      <c r="R131" s="255"/>
      <c r="S131" s="255"/>
      <c r="T131" s="255"/>
      <c r="U131" s="255"/>
      <c r="V131" s="255"/>
      <c r="W131" s="255"/>
      <c r="X131" s="255"/>
      <c r="Y131" s="255"/>
      <c r="Z131" s="255"/>
      <c r="AA131" s="255"/>
      <c r="AB131" s="255"/>
      <c r="AC131" s="255"/>
      <c r="AD131" s="255"/>
      <c r="AE131" s="255"/>
      <c r="AF131" s="255"/>
      <c r="AG131" s="255"/>
      <c r="AH131" s="255"/>
      <c r="AI131" s="255"/>
      <c r="AJ131" s="255"/>
      <c r="AK131" s="670"/>
      <c r="AL131" s="670"/>
      <c r="AM131" s="670"/>
      <c r="AN131" s="670"/>
      <c r="AO131" s="266"/>
      <c r="AP131" s="266"/>
      <c r="AQ131" s="266"/>
      <c r="AR131" s="266"/>
      <c r="AS131" s="266"/>
    </row>
    <row r="132" spans="1:45" s="253" customFormat="1" ht="15" customHeight="1" x14ac:dyDescent="0.2">
      <c r="A132" s="1045"/>
      <c r="B132" s="255"/>
      <c r="C132" s="255"/>
      <c r="D132" s="255"/>
      <c r="E132" s="255"/>
      <c r="F132" s="255"/>
      <c r="G132" s="255"/>
      <c r="H132" s="255"/>
      <c r="I132" s="255"/>
      <c r="J132" s="255"/>
      <c r="K132" s="255"/>
      <c r="L132" s="255"/>
      <c r="M132" s="255"/>
      <c r="N132" s="255"/>
      <c r="O132" s="248"/>
      <c r="P132" s="255"/>
      <c r="Q132" s="248"/>
      <c r="R132" s="255"/>
      <c r="S132" s="255"/>
      <c r="T132" s="255"/>
      <c r="U132" s="255"/>
      <c r="V132" s="255"/>
      <c r="W132" s="255"/>
      <c r="X132" s="255"/>
      <c r="Y132" s="255"/>
      <c r="Z132" s="255"/>
      <c r="AA132" s="255"/>
      <c r="AB132" s="255"/>
      <c r="AC132" s="255"/>
      <c r="AD132" s="255"/>
      <c r="AE132" s="255"/>
      <c r="AF132" s="255"/>
      <c r="AG132" s="255"/>
      <c r="AH132" s="255"/>
      <c r="AI132" s="255"/>
      <c r="AJ132" s="255"/>
      <c r="AK132" s="670"/>
      <c r="AL132" s="670"/>
      <c r="AM132" s="670"/>
      <c r="AN132" s="670"/>
      <c r="AO132" s="266"/>
      <c r="AP132" s="266"/>
      <c r="AQ132" s="266"/>
      <c r="AR132" s="266"/>
      <c r="AS132" s="266"/>
    </row>
    <row r="133" spans="1:45" x14ac:dyDescent="0.2">
      <c r="A133" s="1045"/>
      <c r="AK133" s="108"/>
      <c r="AL133" s="108"/>
      <c r="AM133" s="108"/>
      <c r="AN133" s="108"/>
      <c r="AO133" s="137"/>
      <c r="AP133" s="137"/>
      <c r="AQ133" s="137"/>
      <c r="AR133" s="137"/>
      <c r="AS133" s="137"/>
    </row>
    <row r="134" spans="1:45" x14ac:dyDescent="0.2">
      <c r="A134" s="1045"/>
      <c r="AK134" s="108"/>
      <c r="AL134" s="108"/>
      <c r="AM134" s="108"/>
      <c r="AN134" s="108"/>
      <c r="AO134" s="137"/>
      <c r="AP134" s="137"/>
      <c r="AQ134" s="137"/>
      <c r="AR134" s="137"/>
      <c r="AS134" s="137"/>
    </row>
    <row r="135" spans="1:45" x14ac:dyDescent="0.2">
      <c r="A135" s="1045"/>
      <c r="AK135" s="108"/>
      <c r="AL135" s="108"/>
      <c r="AM135" s="108"/>
      <c r="AN135" s="108"/>
      <c r="AO135" s="137"/>
      <c r="AP135" s="137"/>
      <c r="AQ135" s="137"/>
      <c r="AR135" s="137"/>
      <c r="AS135" s="137"/>
    </row>
    <row r="136" spans="1:45" x14ac:dyDescent="0.2">
      <c r="A136" s="1045"/>
      <c r="AK136" s="108"/>
      <c r="AL136" s="108"/>
      <c r="AM136" s="108"/>
      <c r="AN136" s="108"/>
      <c r="AO136" s="137"/>
      <c r="AP136" s="137"/>
      <c r="AQ136" s="137"/>
      <c r="AR136" s="137"/>
      <c r="AS136" s="137"/>
    </row>
    <row r="137" spans="1:45" x14ac:dyDescent="0.2">
      <c r="A137" s="1045"/>
      <c r="AK137" s="108"/>
      <c r="AL137" s="108"/>
      <c r="AM137" s="108"/>
      <c r="AN137" s="108"/>
      <c r="AO137" s="137"/>
      <c r="AP137" s="137"/>
      <c r="AQ137" s="137"/>
      <c r="AR137" s="137"/>
      <c r="AS137" s="137"/>
    </row>
    <row r="138" spans="1:45" x14ac:dyDescent="0.2">
      <c r="A138" s="1045"/>
      <c r="AK138" s="108"/>
      <c r="AL138" s="108"/>
      <c r="AM138" s="108"/>
      <c r="AN138" s="108"/>
      <c r="AO138" s="137"/>
      <c r="AP138" s="137"/>
      <c r="AQ138" s="137"/>
      <c r="AR138" s="137"/>
      <c r="AS138" s="137"/>
    </row>
    <row r="139" spans="1:45" x14ac:dyDescent="0.2">
      <c r="A139" s="1045"/>
      <c r="AK139" s="108"/>
      <c r="AL139" s="108"/>
      <c r="AM139" s="108"/>
      <c r="AN139" s="108"/>
      <c r="AO139" s="137"/>
      <c r="AP139" s="137"/>
      <c r="AQ139" s="137"/>
      <c r="AR139" s="137"/>
      <c r="AS139" s="137"/>
    </row>
    <row r="140" spans="1:45" x14ac:dyDescent="0.2">
      <c r="A140" s="1045"/>
      <c r="AK140" s="108"/>
      <c r="AL140" s="108"/>
      <c r="AM140" s="108"/>
      <c r="AN140" s="108"/>
      <c r="AO140" s="137"/>
      <c r="AP140" s="137"/>
      <c r="AQ140" s="137"/>
      <c r="AR140" s="137"/>
      <c r="AS140" s="137"/>
    </row>
    <row r="141" spans="1:45" x14ac:dyDescent="0.2">
      <c r="A141" s="1045"/>
      <c r="AK141" s="108"/>
      <c r="AL141" s="108"/>
      <c r="AM141" s="108"/>
      <c r="AN141" s="108"/>
      <c r="AO141" s="137"/>
      <c r="AP141" s="137"/>
      <c r="AQ141" s="137"/>
      <c r="AR141" s="137"/>
      <c r="AS141" s="137"/>
    </row>
    <row r="142" spans="1:45" x14ac:dyDescent="0.2">
      <c r="A142" s="1045"/>
      <c r="AK142" s="108"/>
      <c r="AL142" s="108"/>
      <c r="AM142" s="108"/>
      <c r="AN142" s="108"/>
      <c r="AO142" s="137"/>
      <c r="AP142" s="137"/>
      <c r="AQ142" s="137"/>
      <c r="AR142" s="137"/>
      <c r="AS142" s="137"/>
    </row>
    <row r="143" spans="1:45" x14ac:dyDescent="0.2">
      <c r="A143" s="1045"/>
      <c r="AK143" s="108"/>
      <c r="AL143" s="108"/>
      <c r="AM143" s="108"/>
      <c r="AN143" s="108"/>
      <c r="AO143" s="137"/>
      <c r="AP143" s="137"/>
      <c r="AQ143" s="137"/>
      <c r="AR143" s="137"/>
      <c r="AS143" s="137"/>
    </row>
    <row r="144" spans="1:45" x14ac:dyDescent="0.2">
      <c r="A144" s="1045"/>
      <c r="AK144" s="108"/>
      <c r="AL144" s="108"/>
      <c r="AM144" s="108"/>
      <c r="AN144" s="108"/>
      <c r="AO144" s="137"/>
      <c r="AP144" s="137"/>
      <c r="AQ144" s="137"/>
      <c r="AR144" s="137"/>
      <c r="AS144" s="137"/>
    </row>
    <row r="145" spans="1:45" x14ac:dyDescent="0.2">
      <c r="A145" s="1045"/>
      <c r="AK145" s="108"/>
      <c r="AL145" s="108"/>
      <c r="AM145" s="108"/>
      <c r="AN145" s="108"/>
      <c r="AO145" s="137"/>
      <c r="AP145" s="137"/>
      <c r="AQ145" s="137"/>
      <c r="AR145" s="137"/>
      <c r="AS145" s="137"/>
    </row>
    <row r="146" spans="1:45" x14ac:dyDescent="0.2">
      <c r="A146" s="1045"/>
      <c r="AK146" s="108"/>
      <c r="AL146" s="108"/>
      <c r="AM146" s="108"/>
      <c r="AN146" s="108"/>
      <c r="AO146" s="137"/>
      <c r="AP146" s="137"/>
      <c r="AQ146" s="137"/>
      <c r="AR146" s="137"/>
      <c r="AS146" s="137"/>
    </row>
    <row r="147" spans="1:45" x14ac:dyDescent="0.2">
      <c r="A147" s="1045"/>
      <c r="AK147" s="108"/>
      <c r="AL147" s="108"/>
      <c r="AM147" s="108"/>
      <c r="AN147" s="108"/>
      <c r="AO147" s="137"/>
      <c r="AP147" s="137"/>
      <c r="AQ147" s="137"/>
      <c r="AR147" s="137"/>
      <c r="AS147" s="137"/>
    </row>
    <row r="148" spans="1:45" x14ac:dyDescent="0.2">
      <c r="A148" s="1045"/>
      <c r="AK148" s="108"/>
      <c r="AL148" s="108"/>
      <c r="AM148" s="108"/>
      <c r="AN148" s="108"/>
      <c r="AO148" s="137"/>
      <c r="AP148" s="137"/>
      <c r="AQ148" s="137"/>
      <c r="AR148" s="137"/>
      <c r="AS148" s="137"/>
    </row>
    <row r="149" spans="1:45" x14ac:dyDescent="0.2">
      <c r="A149" s="1045"/>
      <c r="AK149" s="108"/>
      <c r="AL149" s="108"/>
      <c r="AM149" s="108"/>
      <c r="AN149" s="108"/>
      <c r="AO149" s="137"/>
      <c r="AP149" s="137"/>
      <c r="AQ149" s="137"/>
      <c r="AR149" s="137"/>
      <c r="AS149" s="137"/>
    </row>
    <row r="150" spans="1:45" x14ac:dyDescent="0.2">
      <c r="A150" s="1045"/>
      <c r="AK150" s="108"/>
      <c r="AL150" s="108"/>
      <c r="AM150" s="108"/>
      <c r="AN150" s="108"/>
      <c r="AO150" s="137"/>
      <c r="AP150" s="137"/>
      <c r="AQ150" s="137"/>
      <c r="AR150" s="137"/>
      <c r="AS150" s="137"/>
    </row>
    <row r="151" spans="1:45" x14ac:dyDescent="0.2">
      <c r="A151" s="1045"/>
      <c r="AK151" s="108"/>
      <c r="AL151" s="108"/>
      <c r="AM151" s="108"/>
      <c r="AN151" s="108"/>
      <c r="AO151" s="137"/>
      <c r="AP151" s="137"/>
      <c r="AQ151" s="137"/>
      <c r="AR151" s="137"/>
      <c r="AS151" s="137"/>
    </row>
    <row r="152" spans="1:45" x14ac:dyDescent="0.2">
      <c r="AK152" s="108"/>
      <c r="AL152" s="108"/>
      <c r="AM152" s="108"/>
      <c r="AN152" s="108"/>
      <c r="AO152" s="137"/>
      <c r="AP152" s="137"/>
      <c r="AQ152" s="137"/>
      <c r="AR152" s="137"/>
      <c r="AS152" s="137"/>
    </row>
    <row r="153" spans="1:45" x14ac:dyDescent="0.2">
      <c r="AK153" s="108"/>
      <c r="AL153" s="108"/>
      <c r="AM153" s="108"/>
      <c r="AN153" s="108"/>
      <c r="AO153" s="137"/>
      <c r="AP153" s="137"/>
      <c r="AQ153" s="137"/>
      <c r="AR153" s="137"/>
      <c r="AS153" s="137"/>
    </row>
    <row r="154" spans="1:45" x14ac:dyDescent="0.2">
      <c r="AK154" s="108"/>
      <c r="AL154" s="108"/>
      <c r="AM154" s="108"/>
      <c r="AN154" s="108"/>
      <c r="AO154" s="137"/>
      <c r="AP154" s="137"/>
      <c r="AQ154" s="137"/>
      <c r="AR154" s="137"/>
      <c r="AS154" s="137"/>
    </row>
    <row r="155" spans="1:45" x14ac:dyDescent="0.2">
      <c r="AK155" s="108"/>
      <c r="AL155" s="108"/>
      <c r="AM155" s="108"/>
      <c r="AN155" s="108"/>
      <c r="AO155" s="137"/>
      <c r="AP155" s="137"/>
      <c r="AQ155" s="137"/>
      <c r="AR155" s="137"/>
      <c r="AS155" s="137"/>
    </row>
    <row r="156" spans="1:45" x14ac:dyDescent="0.2">
      <c r="AK156" s="108"/>
      <c r="AL156" s="108"/>
      <c r="AM156" s="108"/>
      <c r="AN156" s="108"/>
      <c r="AO156" s="137"/>
      <c r="AP156" s="137"/>
      <c r="AQ156" s="137"/>
      <c r="AR156" s="137"/>
      <c r="AS156" s="137"/>
    </row>
    <row r="157" spans="1:45" x14ac:dyDescent="0.2">
      <c r="AK157" s="108"/>
      <c r="AL157" s="108"/>
      <c r="AM157" s="108"/>
      <c r="AN157" s="108"/>
      <c r="AO157" s="137"/>
      <c r="AP157" s="137"/>
      <c r="AQ157" s="137"/>
      <c r="AR157" s="137"/>
      <c r="AS157" s="137"/>
    </row>
    <row r="158" spans="1:45" x14ac:dyDescent="0.2">
      <c r="AK158" s="108"/>
      <c r="AL158" s="108"/>
      <c r="AM158" s="108"/>
      <c r="AN158" s="108"/>
      <c r="AO158" s="137"/>
      <c r="AP158" s="137"/>
      <c r="AQ158" s="137"/>
      <c r="AR158" s="137"/>
      <c r="AS158" s="137"/>
    </row>
    <row r="159" spans="1:45" x14ac:dyDescent="0.2">
      <c r="AK159" s="108"/>
      <c r="AL159" s="108"/>
      <c r="AM159" s="108"/>
      <c r="AN159" s="108"/>
      <c r="AO159" s="137"/>
      <c r="AP159" s="137"/>
      <c r="AQ159" s="137"/>
      <c r="AR159" s="137"/>
      <c r="AS159" s="137"/>
    </row>
    <row r="160" spans="1:45" x14ac:dyDescent="0.2">
      <c r="AK160" s="108"/>
      <c r="AL160" s="108"/>
      <c r="AM160" s="108"/>
      <c r="AN160" s="108"/>
      <c r="AO160" s="137"/>
      <c r="AP160" s="137"/>
      <c r="AQ160" s="137"/>
      <c r="AR160" s="137"/>
      <c r="AS160" s="137"/>
    </row>
    <row r="161" spans="37:45" x14ac:dyDescent="0.2">
      <c r="AK161" s="108"/>
      <c r="AL161" s="108"/>
      <c r="AM161" s="108"/>
      <c r="AN161" s="108"/>
      <c r="AO161" s="137"/>
      <c r="AP161" s="137"/>
      <c r="AQ161" s="137"/>
      <c r="AR161" s="137"/>
      <c r="AS161" s="137"/>
    </row>
    <row r="162" spans="37:45" x14ac:dyDescent="0.2">
      <c r="AK162" s="108"/>
      <c r="AL162" s="108"/>
      <c r="AM162" s="108"/>
      <c r="AN162" s="108"/>
      <c r="AO162" s="137"/>
      <c r="AP162" s="137"/>
      <c r="AQ162" s="137"/>
      <c r="AR162" s="137"/>
      <c r="AS162" s="137"/>
    </row>
    <row r="163" spans="37:45" x14ac:dyDescent="0.2">
      <c r="AK163" s="108"/>
      <c r="AL163" s="108"/>
      <c r="AM163" s="108"/>
      <c r="AN163" s="108"/>
      <c r="AO163" s="137"/>
      <c r="AP163" s="137"/>
      <c r="AQ163" s="137"/>
      <c r="AR163" s="137"/>
      <c r="AS163" s="137"/>
    </row>
    <row r="164" spans="37:45" x14ac:dyDescent="0.2">
      <c r="AK164" s="108"/>
      <c r="AL164" s="108"/>
      <c r="AM164" s="108"/>
      <c r="AN164" s="108"/>
      <c r="AO164" s="137"/>
      <c r="AP164" s="137"/>
      <c r="AQ164" s="137"/>
      <c r="AR164" s="137"/>
      <c r="AS164" s="137"/>
    </row>
    <row r="165" spans="37:45" x14ac:dyDescent="0.2">
      <c r="AK165" s="108"/>
      <c r="AL165" s="108"/>
      <c r="AM165" s="108"/>
      <c r="AN165" s="108"/>
      <c r="AO165" s="137"/>
      <c r="AP165" s="137"/>
      <c r="AQ165" s="137"/>
      <c r="AR165" s="137"/>
      <c r="AS165" s="137"/>
    </row>
    <row r="166" spans="37:45" x14ac:dyDescent="0.2">
      <c r="AK166" s="108"/>
      <c r="AL166" s="108"/>
      <c r="AM166" s="108"/>
      <c r="AN166" s="108"/>
      <c r="AO166" s="137"/>
      <c r="AP166" s="137"/>
      <c r="AQ166" s="137"/>
      <c r="AR166" s="137"/>
      <c r="AS166" s="137"/>
    </row>
    <row r="167" spans="37:45" x14ac:dyDescent="0.2">
      <c r="AK167" s="108"/>
      <c r="AL167" s="108"/>
      <c r="AM167" s="108"/>
      <c r="AN167" s="108"/>
      <c r="AO167" s="137"/>
      <c r="AP167" s="137"/>
      <c r="AQ167" s="137"/>
      <c r="AR167" s="137"/>
      <c r="AS167" s="137"/>
    </row>
    <row r="168" spans="37:45" x14ac:dyDescent="0.2">
      <c r="AK168" s="108"/>
      <c r="AL168" s="108"/>
      <c r="AM168" s="108"/>
      <c r="AN168" s="108"/>
      <c r="AO168" s="137"/>
      <c r="AP168" s="137"/>
      <c r="AQ168" s="137"/>
      <c r="AR168" s="137"/>
      <c r="AS168" s="137"/>
    </row>
    <row r="169" spans="37:45" x14ac:dyDescent="0.2">
      <c r="AK169" s="108"/>
      <c r="AL169" s="108"/>
      <c r="AM169" s="108"/>
      <c r="AN169" s="108"/>
      <c r="AO169" s="137"/>
      <c r="AP169" s="137"/>
      <c r="AQ169" s="137"/>
      <c r="AR169" s="137"/>
      <c r="AS169" s="137"/>
    </row>
    <row r="170" spans="37:45" x14ac:dyDescent="0.2">
      <c r="AK170" s="108"/>
      <c r="AL170" s="108"/>
      <c r="AM170" s="108"/>
      <c r="AN170" s="108"/>
      <c r="AO170" s="137"/>
      <c r="AP170" s="137"/>
      <c r="AQ170" s="137"/>
      <c r="AR170" s="137"/>
      <c r="AS170" s="137"/>
    </row>
    <row r="171" spans="37:45" x14ac:dyDescent="0.2">
      <c r="AK171" s="108"/>
      <c r="AL171" s="108"/>
      <c r="AM171" s="108"/>
      <c r="AN171" s="108"/>
      <c r="AO171" s="137"/>
      <c r="AP171" s="137"/>
      <c r="AQ171" s="137"/>
      <c r="AR171" s="137"/>
      <c r="AS171" s="137"/>
    </row>
    <row r="172" spans="37:45" x14ac:dyDescent="0.2">
      <c r="AK172" s="108"/>
      <c r="AL172" s="108"/>
      <c r="AM172" s="108"/>
      <c r="AN172" s="108"/>
      <c r="AO172" s="137"/>
      <c r="AP172" s="137"/>
      <c r="AQ172" s="137"/>
      <c r="AR172" s="137"/>
      <c r="AS172" s="137"/>
    </row>
    <row r="173" spans="37:45" x14ac:dyDescent="0.2">
      <c r="AK173" s="108"/>
      <c r="AL173" s="108"/>
      <c r="AM173" s="108"/>
      <c r="AN173" s="108"/>
      <c r="AO173" s="137"/>
      <c r="AP173" s="137"/>
      <c r="AQ173" s="137"/>
      <c r="AR173" s="137"/>
      <c r="AS173" s="137"/>
    </row>
    <row r="174" spans="37:45" x14ac:dyDescent="0.2">
      <c r="AK174" s="108"/>
      <c r="AL174" s="108"/>
      <c r="AM174" s="108"/>
      <c r="AN174" s="108"/>
      <c r="AO174" s="137"/>
      <c r="AP174" s="137"/>
      <c r="AQ174" s="137"/>
      <c r="AR174" s="137"/>
      <c r="AS174" s="137"/>
    </row>
    <row r="175" spans="37:45" x14ac:dyDescent="0.2">
      <c r="AK175" s="108"/>
      <c r="AL175" s="108"/>
      <c r="AM175" s="108"/>
      <c r="AN175" s="108"/>
      <c r="AO175" s="137"/>
      <c r="AP175" s="137"/>
      <c r="AQ175" s="137"/>
      <c r="AR175" s="137"/>
      <c r="AS175" s="137"/>
    </row>
    <row r="176" spans="37:45" x14ac:dyDescent="0.2">
      <c r="AK176" s="108"/>
      <c r="AL176" s="108"/>
      <c r="AM176" s="108"/>
      <c r="AN176" s="108"/>
      <c r="AO176" s="137"/>
      <c r="AP176" s="137"/>
      <c r="AQ176" s="137"/>
      <c r="AR176" s="137"/>
      <c r="AS176" s="137"/>
    </row>
    <row r="177" spans="37:45" x14ac:dyDescent="0.2">
      <c r="AK177" s="108"/>
      <c r="AL177" s="108"/>
      <c r="AM177" s="108"/>
      <c r="AN177" s="108"/>
      <c r="AO177" s="137"/>
      <c r="AP177" s="137"/>
      <c r="AQ177" s="137"/>
      <c r="AR177" s="137"/>
      <c r="AS177" s="137"/>
    </row>
    <row r="178" spans="37:45" x14ac:dyDescent="0.2">
      <c r="AK178" s="108"/>
      <c r="AL178" s="108"/>
      <c r="AM178" s="108"/>
      <c r="AN178" s="108"/>
      <c r="AO178" s="137"/>
      <c r="AP178" s="137"/>
      <c r="AQ178" s="137"/>
      <c r="AR178" s="137"/>
      <c r="AS178" s="137"/>
    </row>
  </sheetData>
  <sheetProtection algorithmName="SHA-512" hashValue="vGfAMu2mQPUhuuumLnCKMD/eUSHbiObJUjSC1RStaS0aI4YLxY7v6QlE703iSoCrLdfwEYL5+fWE2UJ/YByEDg==" saltValue="VQtPyBZ6ihCMOfbZ9zB/Rg==" spinCount="100000" sheet="1" objects="1" scenarios="1"/>
  <mergeCells count="48">
    <mergeCell ref="A110:A151"/>
    <mergeCell ref="R85:T85"/>
    <mergeCell ref="N86:S86"/>
    <mergeCell ref="N87:S87"/>
    <mergeCell ref="N88:S88"/>
    <mergeCell ref="N100:S100"/>
    <mergeCell ref="N101:S101"/>
    <mergeCell ref="B20:C20"/>
    <mergeCell ref="F20:H20"/>
    <mergeCell ref="B28:G28"/>
    <mergeCell ref="B31:J33"/>
    <mergeCell ref="N99:S99"/>
    <mergeCell ref="N89:S89"/>
    <mergeCell ref="N90:S90"/>
    <mergeCell ref="R96:T96"/>
    <mergeCell ref="N97:S97"/>
    <mergeCell ref="N98:S98"/>
    <mergeCell ref="B11:G11"/>
    <mergeCell ref="B9:C9"/>
    <mergeCell ref="F9:H9"/>
    <mergeCell ref="O16:P16"/>
    <mergeCell ref="P31:Q31"/>
    <mergeCell ref="B21:G21"/>
    <mergeCell ref="B22:G22"/>
    <mergeCell ref="B23:G23"/>
    <mergeCell ref="B27:G27"/>
    <mergeCell ref="O27:P27"/>
    <mergeCell ref="B24:C26"/>
    <mergeCell ref="D24:G24"/>
    <mergeCell ref="D25:G25"/>
    <mergeCell ref="D26:G26"/>
    <mergeCell ref="B17:G17"/>
    <mergeCell ref="B16:G16"/>
    <mergeCell ref="D15:G15"/>
    <mergeCell ref="B12:G12"/>
    <mergeCell ref="B13:C15"/>
    <mergeCell ref="D13:G13"/>
    <mergeCell ref="D14:G14"/>
    <mergeCell ref="AS9:AS10"/>
    <mergeCell ref="AT9:AT10"/>
    <mergeCell ref="AT1:AU1"/>
    <mergeCell ref="B2:C2"/>
    <mergeCell ref="N2:O2"/>
    <mergeCell ref="Q2:R2"/>
    <mergeCell ref="F5:J5"/>
    <mergeCell ref="B7:C7"/>
    <mergeCell ref="G7:H7"/>
    <mergeCell ref="B10:G10"/>
  </mergeCells>
  <conditionalFormatting sqref="I15">
    <cfRule type="expression" dxfId="245" priority="10">
      <formula>$M$17=0</formula>
    </cfRule>
    <cfRule type="containsText" dxfId="244" priority="11" operator="containsText" text="Doplňte">
      <formula>NOT(ISERROR(SEARCH("Doplňte",I15)))</formula>
    </cfRule>
  </conditionalFormatting>
  <conditionalFormatting sqref="I26">
    <cfRule type="containsText" dxfId="243" priority="9" operator="containsText" text="Doplňte">
      <formula>NOT(ISERROR(SEARCH("Doplňte",I26)))</formula>
    </cfRule>
  </conditionalFormatting>
  <conditionalFormatting sqref="I26">
    <cfRule type="expression" dxfId="242" priority="8">
      <formula>$M$28=0</formula>
    </cfRule>
  </conditionalFormatting>
  <conditionalFormatting sqref="I12">
    <cfRule type="expression" dxfId="241" priority="6">
      <formula>$M$17=0</formula>
    </cfRule>
    <cfRule type="containsText" dxfId="240" priority="7" operator="containsText" text="Doplňte">
      <formula>NOT(ISERROR(SEARCH("Doplňte",I12)))</formula>
    </cfRule>
  </conditionalFormatting>
  <conditionalFormatting sqref="I23">
    <cfRule type="expression" dxfId="239" priority="4">
      <formula>$M$28=0</formula>
    </cfRule>
    <cfRule type="containsText" dxfId="238" priority="5" operator="containsText" text="Doplňte">
      <formula>NOT(ISERROR(SEARCH("Doplňte",I23)))</formula>
    </cfRule>
  </conditionalFormatting>
  <conditionalFormatting sqref="E9">
    <cfRule type="expression" dxfId="237" priority="3">
      <formula>$M$17&gt;0</formula>
    </cfRule>
  </conditionalFormatting>
  <conditionalFormatting sqref="E20">
    <cfRule type="expression" dxfId="236" priority="1">
      <formula>$M$28&gt;0</formula>
    </cfRule>
  </conditionalFormatting>
  <hyperlinks>
    <hyperlink ref="N86:S86" location="HSna!H10" tooltip=" " display="HSna!H10" xr:uid="{53B10F80-A6F5-4726-8639-751A7B165285}"/>
    <hyperlink ref="N87:S87" location="HSna!H11" tooltip=" " display="HSna!H11" xr:uid="{D1D8F6DF-FCDE-49F8-9D7E-FCB379B719C9}"/>
    <hyperlink ref="N97:S97" location="HSna!H19" tooltip=" " display="HSna!H19" xr:uid="{072EE562-2C94-4ADB-A0D3-0E586FA7C461}"/>
    <hyperlink ref="N98:S98" location="HSna!H20" tooltip=" " display="HSna!H20" xr:uid="{8F9D8053-CD4C-4C32-92D6-0DDA0A42D397}"/>
    <hyperlink ref="AN5" location="HSna!A110" tooltip=" " display="HSna!A110" xr:uid="{CC42AC26-76C5-404A-A2D7-C56E2EC19F5F}"/>
    <hyperlink ref="L131" location="HSna!A1" tooltip=" " display="HSna!A1" xr:uid="{F8F56F8B-4A84-44FA-B120-B37B7EBB0277}"/>
    <hyperlink ref="AN9" location="SumAVS!A1" tooltip=" " display="SumAVS!A1" xr:uid="{0B790E69-8C52-4BF2-B491-0883B1E958EF}"/>
    <hyperlink ref="AN10" location="OrdAVS!A1" tooltip=" " display="OrdAVS!A1" xr:uid="{5AB968E5-2822-4AD6-9B7D-7D49A9AB88DD}"/>
    <hyperlink ref="AN7" location="AcsAVS!A1" tooltip=" " display="AcsAVS!A1" xr:uid="{2D16E892-3020-4949-A91A-03163CEEE5EE}"/>
    <hyperlink ref="AN4" location="MenuAVS!A1" tooltip=" " display="MenuAVS!A1" xr:uid="{85492A75-D231-4EFF-A669-FB564D72A925}"/>
    <hyperlink ref="B2" location="HF!A1" tooltip=" " display=" AVENTOS HF" xr:uid="{F4EEFB2A-BA60-46E0-93F3-57D82EDBF063}"/>
    <hyperlink ref="B2:C2" location="HS!A1" tooltip=" " display=" AVENTOS HS" xr:uid="{BCAC8B8F-F183-4F40-9096-F4F50A24CCF2}"/>
  </hyperlinks>
  <pageMargins left="0.62992125984251968" right="0.23622047244094488" top="0.74803149606299213" bottom="0.74803149606299213" header="0.31496062992125984" footer="0.31496062992125984"/>
  <pageSetup paperSize="9" orientation="portrait" horizontalDpi="4294967293" verticalDpi="1200" r:id="rId1"/>
  <headerFooter alignWithMargins="0"/>
  <ignoredErrors>
    <ignoredError sqref="H15 H26"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164867" r:id="rId4" name="Drop Down 3">
              <controlPr defaultSize="0" autoLine="0" autoPict="0">
                <anchor moveWithCells="1">
                  <from>
                    <xdr:col>3</xdr:col>
                    <xdr:colOff>9525</xdr:colOff>
                    <xdr:row>6</xdr:row>
                    <xdr:rowOff>9525</xdr:rowOff>
                  </from>
                  <to>
                    <xdr:col>6</xdr:col>
                    <xdr:colOff>9525</xdr:colOff>
                    <xdr:row>7</xdr:row>
                    <xdr:rowOff>0</xdr:rowOff>
                  </to>
                </anchor>
              </controlPr>
            </control>
          </mc:Choice>
        </mc:AlternateContent>
        <mc:AlternateContent xmlns:mc="http://schemas.openxmlformats.org/markup-compatibility/2006">
          <mc:Choice Requires="x14">
            <control shapeId="164869" r:id="rId5" name="Option Button 5">
              <controlPr defaultSize="0" autoFill="0" autoLine="0" autoPict="0">
                <anchor moveWithCells="1">
                  <from>
                    <xdr:col>1</xdr:col>
                    <xdr:colOff>361950</xdr:colOff>
                    <xdr:row>5</xdr:row>
                    <xdr:rowOff>38100</xdr:rowOff>
                  </from>
                  <to>
                    <xdr:col>2</xdr:col>
                    <xdr:colOff>47625</xdr:colOff>
                    <xdr:row>5</xdr:row>
                    <xdr:rowOff>247650</xdr:rowOff>
                  </to>
                </anchor>
              </controlPr>
            </control>
          </mc:Choice>
        </mc:AlternateContent>
        <mc:AlternateContent xmlns:mc="http://schemas.openxmlformats.org/markup-compatibility/2006">
          <mc:Choice Requires="x14">
            <control shapeId="164870" r:id="rId6" name="Option Button 6">
              <controlPr defaultSize="0" autoFill="0" autoLine="0" autoPict="0">
                <anchor moveWithCells="1">
                  <from>
                    <xdr:col>3</xdr:col>
                    <xdr:colOff>361950</xdr:colOff>
                    <xdr:row>5</xdr:row>
                    <xdr:rowOff>38100</xdr:rowOff>
                  </from>
                  <to>
                    <xdr:col>4</xdr:col>
                    <xdr:colOff>57150</xdr:colOff>
                    <xdr:row>5</xdr:row>
                    <xdr:rowOff>247650</xdr:rowOff>
                  </to>
                </anchor>
              </controlPr>
            </control>
          </mc:Choice>
        </mc:AlternateContent>
        <mc:AlternateContent xmlns:mc="http://schemas.openxmlformats.org/markup-compatibility/2006">
          <mc:Choice Requires="x14">
            <control shapeId="164871" r:id="rId7" name="Drop Down 7">
              <controlPr defaultSize="0" autoLine="0" autoPict="0">
                <anchor moveWithCells="1">
                  <from>
                    <xdr:col>1</xdr:col>
                    <xdr:colOff>0</xdr:colOff>
                    <xdr:row>9</xdr:row>
                    <xdr:rowOff>9525</xdr:rowOff>
                  </from>
                  <to>
                    <xdr:col>3</xdr:col>
                    <xdr:colOff>9525</xdr:colOff>
                    <xdr:row>10</xdr:row>
                    <xdr:rowOff>0</xdr:rowOff>
                  </to>
                </anchor>
              </controlPr>
            </control>
          </mc:Choice>
        </mc:AlternateContent>
        <mc:AlternateContent xmlns:mc="http://schemas.openxmlformats.org/markup-compatibility/2006">
          <mc:Choice Requires="x14">
            <control shapeId="164872" r:id="rId8" name="Drop Down 8">
              <controlPr defaultSize="0" autoLine="0" autoPict="0">
                <anchor moveWithCells="1">
                  <from>
                    <xdr:col>1</xdr:col>
                    <xdr:colOff>0</xdr:colOff>
                    <xdr:row>20</xdr:row>
                    <xdr:rowOff>9525</xdr:rowOff>
                  </from>
                  <to>
                    <xdr:col>3</xdr:col>
                    <xdr:colOff>9525</xdr:colOff>
                    <xdr:row>21</xdr:row>
                    <xdr:rowOff>0</xdr:rowOff>
                  </to>
                </anchor>
              </controlPr>
            </control>
          </mc:Choice>
        </mc:AlternateContent>
        <mc:AlternateContent xmlns:mc="http://schemas.openxmlformats.org/markup-compatibility/2006">
          <mc:Choice Requires="x14">
            <control shapeId="164873" r:id="rId9" name="Drop Down 9">
              <controlPr defaultSize="0" autoLine="0" autoPict="0">
                <anchor moveWithCells="1">
                  <from>
                    <xdr:col>6</xdr:col>
                    <xdr:colOff>9525</xdr:colOff>
                    <xdr:row>3</xdr:row>
                    <xdr:rowOff>0</xdr:rowOff>
                  </from>
                  <to>
                    <xdr:col>8</xdr:col>
                    <xdr:colOff>571500</xdr:colOff>
                    <xdr:row>4</xdr:row>
                    <xdr:rowOff>0</xdr:rowOff>
                  </to>
                </anchor>
              </controlPr>
            </control>
          </mc:Choice>
        </mc:AlternateContent>
        <mc:AlternateContent xmlns:mc="http://schemas.openxmlformats.org/markup-compatibility/2006">
          <mc:Choice Requires="x14">
            <control shapeId="164874" r:id="rId10" name="Drop Down 10">
              <controlPr defaultSize="0" autoLine="0" autoPict="0">
                <anchor moveWithCells="1">
                  <from>
                    <xdr:col>6</xdr:col>
                    <xdr:colOff>0</xdr:colOff>
                    <xdr:row>3</xdr:row>
                    <xdr:rowOff>0</xdr:rowOff>
                  </from>
                  <to>
                    <xdr:col>9</xdr:col>
                    <xdr:colOff>0</xdr:colOff>
                    <xdr:row>4</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C85EC-E8A4-4165-8007-3AE98F6132FE}">
  <sheetPr codeName="Sheet5">
    <tabColor indexed="10"/>
  </sheetPr>
  <dimension ref="A1:AA330"/>
  <sheetViews>
    <sheetView showGridLines="0" showRowColHeaders="0" zoomScale="85" zoomScaleNormal="85" workbookViewId="0"/>
  </sheetViews>
  <sheetFormatPr defaultRowHeight="12" x14ac:dyDescent="0.2"/>
  <cols>
    <col min="1" max="1" width="2.28515625" style="36" customWidth="1"/>
    <col min="2" max="9" width="11.42578125" style="36" customWidth="1"/>
    <col min="10" max="10" width="3.7109375" style="36" customWidth="1"/>
    <col min="11" max="12" width="10.7109375" style="36" customWidth="1"/>
    <col min="13" max="13" width="1.7109375" style="36" customWidth="1"/>
    <col min="14" max="16" width="9.28515625" style="36" hidden="1" customWidth="1"/>
    <col min="17" max="20" width="8.28515625" style="36" hidden="1" customWidth="1"/>
    <col min="21" max="26" width="8.7109375" style="36" hidden="1" customWidth="1"/>
    <col min="27" max="27" width="8.7109375" style="36" customWidth="1"/>
    <col min="28" max="257" width="8.7109375" style="36"/>
    <col min="258" max="258" width="2.28515625" style="36" customWidth="1"/>
    <col min="259" max="262" width="9.7109375" style="36" customWidth="1"/>
    <col min="263" max="263" width="7.7109375" style="36" customWidth="1"/>
    <col min="264" max="264" width="11.7109375" style="36" customWidth="1"/>
    <col min="265" max="265" width="12.28515625" style="36" customWidth="1"/>
    <col min="266" max="266" width="7.28515625" style="36" customWidth="1"/>
    <col min="267" max="267" width="11.5703125" style="36" customWidth="1"/>
    <col min="268" max="268" width="7.28515625" style="36" customWidth="1"/>
    <col min="269" max="269" width="1.7109375" style="36" customWidth="1"/>
    <col min="270" max="272" width="9.28515625" style="36" customWidth="1"/>
    <col min="273" max="276" width="8.28515625" style="36" customWidth="1"/>
    <col min="277" max="513" width="8.7109375" style="36"/>
    <col min="514" max="514" width="2.28515625" style="36" customWidth="1"/>
    <col min="515" max="518" width="9.7109375" style="36" customWidth="1"/>
    <col min="519" max="519" width="7.7109375" style="36" customWidth="1"/>
    <col min="520" max="520" width="11.7109375" style="36" customWidth="1"/>
    <col min="521" max="521" width="12.28515625" style="36" customWidth="1"/>
    <col min="522" max="522" width="7.28515625" style="36" customWidth="1"/>
    <col min="523" max="523" width="11.5703125" style="36" customWidth="1"/>
    <col min="524" max="524" width="7.28515625" style="36" customWidth="1"/>
    <col min="525" max="525" width="1.7109375" style="36" customWidth="1"/>
    <col min="526" max="528" width="9.28515625" style="36" customWidth="1"/>
    <col min="529" max="532" width="8.28515625" style="36" customWidth="1"/>
    <col min="533" max="769" width="8.7109375" style="36"/>
    <col min="770" max="770" width="2.28515625" style="36" customWidth="1"/>
    <col min="771" max="774" width="9.7109375" style="36" customWidth="1"/>
    <col min="775" max="775" width="7.7109375" style="36" customWidth="1"/>
    <col min="776" max="776" width="11.7109375" style="36" customWidth="1"/>
    <col min="777" max="777" width="12.28515625" style="36" customWidth="1"/>
    <col min="778" max="778" width="7.28515625" style="36" customWidth="1"/>
    <col min="779" max="779" width="11.5703125" style="36" customWidth="1"/>
    <col min="780" max="780" width="7.28515625" style="36" customWidth="1"/>
    <col min="781" max="781" width="1.7109375" style="36" customWidth="1"/>
    <col min="782" max="784" width="9.28515625" style="36" customWidth="1"/>
    <col min="785" max="788" width="8.28515625" style="36" customWidth="1"/>
    <col min="789" max="1025" width="8.7109375" style="36"/>
    <col min="1026" max="1026" width="2.28515625" style="36" customWidth="1"/>
    <col min="1027" max="1030" width="9.7109375" style="36" customWidth="1"/>
    <col min="1031" max="1031" width="7.7109375" style="36" customWidth="1"/>
    <col min="1032" max="1032" width="11.7109375" style="36" customWidth="1"/>
    <col min="1033" max="1033" width="12.28515625" style="36" customWidth="1"/>
    <col min="1034" max="1034" width="7.28515625" style="36" customWidth="1"/>
    <col min="1035" max="1035" width="11.5703125" style="36" customWidth="1"/>
    <col min="1036" max="1036" width="7.28515625" style="36" customWidth="1"/>
    <col min="1037" max="1037" width="1.7109375" style="36" customWidth="1"/>
    <col min="1038" max="1040" width="9.28515625" style="36" customWidth="1"/>
    <col min="1041" max="1044" width="8.28515625" style="36" customWidth="1"/>
    <col min="1045" max="1281" width="8.7109375" style="36"/>
    <col min="1282" max="1282" width="2.28515625" style="36" customWidth="1"/>
    <col min="1283" max="1286" width="9.7109375" style="36" customWidth="1"/>
    <col min="1287" max="1287" width="7.7109375" style="36" customWidth="1"/>
    <col min="1288" max="1288" width="11.7109375" style="36" customWidth="1"/>
    <col min="1289" max="1289" width="12.28515625" style="36" customWidth="1"/>
    <col min="1290" max="1290" width="7.28515625" style="36" customWidth="1"/>
    <col min="1291" max="1291" width="11.5703125" style="36" customWidth="1"/>
    <col min="1292" max="1292" width="7.28515625" style="36" customWidth="1"/>
    <col min="1293" max="1293" width="1.7109375" style="36" customWidth="1"/>
    <col min="1294" max="1296" width="9.28515625" style="36" customWidth="1"/>
    <col min="1297" max="1300" width="8.28515625" style="36" customWidth="1"/>
    <col min="1301" max="1537" width="8.7109375" style="36"/>
    <col min="1538" max="1538" width="2.28515625" style="36" customWidth="1"/>
    <col min="1539" max="1542" width="9.7109375" style="36" customWidth="1"/>
    <col min="1543" max="1543" width="7.7109375" style="36" customWidth="1"/>
    <col min="1544" max="1544" width="11.7109375" style="36" customWidth="1"/>
    <col min="1545" max="1545" width="12.28515625" style="36" customWidth="1"/>
    <col min="1546" max="1546" width="7.28515625" style="36" customWidth="1"/>
    <col min="1547" max="1547" width="11.5703125" style="36" customWidth="1"/>
    <col min="1548" max="1548" width="7.28515625" style="36" customWidth="1"/>
    <col min="1549" max="1549" width="1.7109375" style="36" customWidth="1"/>
    <col min="1550" max="1552" width="9.28515625" style="36" customWidth="1"/>
    <col min="1553" max="1556" width="8.28515625" style="36" customWidth="1"/>
    <col min="1557" max="1793" width="8.7109375" style="36"/>
    <col min="1794" max="1794" width="2.28515625" style="36" customWidth="1"/>
    <col min="1795" max="1798" width="9.7109375" style="36" customWidth="1"/>
    <col min="1799" max="1799" width="7.7109375" style="36" customWidth="1"/>
    <col min="1800" max="1800" width="11.7109375" style="36" customWidth="1"/>
    <col min="1801" max="1801" width="12.28515625" style="36" customWidth="1"/>
    <col min="1802" max="1802" width="7.28515625" style="36" customWidth="1"/>
    <col min="1803" max="1803" width="11.5703125" style="36" customWidth="1"/>
    <col min="1804" max="1804" width="7.28515625" style="36" customWidth="1"/>
    <col min="1805" max="1805" width="1.7109375" style="36" customWidth="1"/>
    <col min="1806" max="1808" width="9.28515625" style="36" customWidth="1"/>
    <col min="1809" max="1812" width="8.28515625" style="36" customWidth="1"/>
    <col min="1813" max="2049" width="8.7109375" style="36"/>
    <col min="2050" max="2050" width="2.28515625" style="36" customWidth="1"/>
    <col min="2051" max="2054" width="9.7109375" style="36" customWidth="1"/>
    <col min="2055" max="2055" width="7.7109375" style="36" customWidth="1"/>
    <col min="2056" max="2056" width="11.7109375" style="36" customWidth="1"/>
    <col min="2057" max="2057" width="12.28515625" style="36" customWidth="1"/>
    <col min="2058" max="2058" width="7.28515625" style="36" customWidth="1"/>
    <col min="2059" max="2059" width="11.5703125" style="36" customWidth="1"/>
    <col min="2060" max="2060" width="7.28515625" style="36" customWidth="1"/>
    <col min="2061" max="2061" width="1.7109375" style="36" customWidth="1"/>
    <col min="2062" max="2064" width="9.28515625" style="36" customWidth="1"/>
    <col min="2065" max="2068" width="8.28515625" style="36" customWidth="1"/>
    <col min="2069" max="2305" width="8.7109375" style="36"/>
    <col min="2306" max="2306" width="2.28515625" style="36" customWidth="1"/>
    <col min="2307" max="2310" width="9.7109375" style="36" customWidth="1"/>
    <col min="2311" max="2311" width="7.7109375" style="36" customWidth="1"/>
    <col min="2312" max="2312" width="11.7109375" style="36" customWidth="1"/>
    <col min="2313" max="2313" width="12.28515625" style="36" customWidth="1"/>
    <col min="2314" max="2314" width="7.28515625" style="36" customWidth="1"/>
    <col min="2315" max="2315" width="11.5703125" style="36" customWidth="1"/>
    <col min="2316" max="2316" width="7.28515625" style="36" customWidth="1"/>
    <col min="2317" max="2317" width="1.7109375" style="36" customWidth="1"/>
    <col min="2318" max="2320" width="9.28515625" style="36" customWidth="1"/>
    <col min="2321" max="2324" width="8.28515625" style="36" customWidth="1"/>
    <col min="2325" max="2561" width="8.7109375" style="36"/>
    <col min="2562" max="2562" width="2.28515625" style="36" customWidth="1"/>
    <col min="2563" max="2566" width="9.7109375" style="36" customWidth="1"/>
    <col min="2567" max="2567" width="7.7109375" style="36" customWidth="1"/>
    <col min="2568" max="2568" width="11.7109375" style="36" customWidth="1"/>
    <col min="2569" max="2569" width="12.28515625" style="36" customWidth="1"/>
    <col min="2570" max="2570" width="7.28515625" style="36" customWidth="1"/>
    <col min="2571" max="2571" width="11.5703125" style="36" customWidth="1"/>
    <col min="2572" max="2572" width="7.28515625" style="36" customWidth="1"/>
    <col min="2573" max="2573" width="1.7109375" style="36" customWidth="1"/>
    <col min="2574" max="2576" width="9.28515625" style="36" customWidth="1"/>
    <col min="2577" max="2580" width="8.28515625" style="36" customWidth="1"/>
    <col min="2581" max="2817" width="8.7109375" style="36"/>
    <col min="2818" max="2818" width="2.28515625" style="36" customWidth="1"/>
    <col min="2819" max="2822" width="9.7109375" style="36" customWidth="1"/>
    <col min="2823" max="2823" width="7.7109375" style="36" customWidth="1"/>
    <col min="2824" max="2824" width="11.7109375" style="36" customWidth="1"/>
    <col min="2825" max="2825" width="12.28515625" style="36" customWidth="1"/>
    <col min="2826" max="2826" width="7.28515625" style="36" customWidth="1"/>
    <col min="2827" max="2827" width="11.5703125" style="36" customWidth="1"/>
    <col min="2828" max="2828" width="7.28515625" style="36" customWidth="1"/>
    <col min="2829" max="2829" width="1.7109375" style="36" customWidth="1"/>
    <col min="2830" max="2832" width="9.28515625" style="36" customWidth="1"/>
    <col min="2833" max="2836" width="8.28515625" style="36" customWidth="1"/>
    <col min="2837" max="3073" width="8.7109375" style="36"/>
    <col min="3074" max="3074" width="2.28515625" style="36" customWidth="1"/>
    <col min="3075" max="3078" width="9.7109375" style="36" customWidth="1"/>
    <col min="3079" max="3079" width="7.7109375" style="36" customWidth="1"/>
    <col min="3080" max="3080" width="11.7109375" style="36" customWidth="1"/>
    <col min="3081" max="3081" width="12.28515625" style="36" customWidth="1"/>
    <col min="3082" max="3082" width="7.28515625" style="36" customWidth="1"/>
    <col min="3083" max="3083" width="11.5703125" style="36" customWidth="1"/>
    <col min="3084" max="3084" width="7.28515625" style="36" customWidth="1"/>
    <col min="3085" max="3085" width="1.7109375" style="36" customWidth="1"/>
    <col min="3086" max="3088" width="9.28515625" style="36" customWidth="1"/>
    <col min="3089" max="3092" width="8.28515625" style="36" customWidth="1"/>
    <col min="3093" max="3329" width="8.7109375" style="36"/>
    <col min="3330" max="3330" width="2.28515625" style="36" customWidth="1"/>
    <col min="3331" max="3334" width="9.7109375" style="36" customWidth="1"/>
    <col min="3335" max="3335" width="7.7109375" style="36" customWidth="1"/>
    <col min="3336" max="3336" width="11.7109375" style="36" customWidth="1"/>
    <col min="3337" max="3337" width="12.28515625" style="36" customWidth="1"/>
    <col min="3338" max="3338" width="7.28515625" style="36" customWidth="1"/>
    <col min="3339" max="3339" width="11.5703125" style="36" customWidth="1"/>
    <col min="3340" max="3340" width="7.28515625" style="36" customWidth="1"/>
    <col min="3341" max="3341" width="1.7109375" style="36" customWidth="1"/>
    <col min="3342" max="3344" width="9.28515625" style="36" customWidth="1"/>
    <col min="3345" max="3348" width="8.28515625" style="36" customWidth="1"/>
    <col min="3349" max="3585" width="8.7109375" style="36"/>
    <col min="3586" max="3586" width="2.28515625" style="36" customWidth="1"/>
    <col min="3587" max="3590" width="9.7109375" style="36" customWidth="1"/>
    <col min="3591" max="3591" width="7.7109375" style="36" customWidth="1"/>
    <col min="3592" max="3592" width="11.7109375" style="36" customWidth="1"/>
    <col min="3593" max="3593" width="12.28515625" style="36" customWidth="1"/>
    <col min="3594" max="3594" width="7.28515625" style="36" customWidth="1"/>
    <col min="3595" max="3595" width="11.5703125" style="36" customWidth="1"/>
    <col min="3596" max="3596" width="7.28515625" style="36" customWidth="1"/>
    <col min="3597" max="3597" width="1.7109375" style="36" customWidth="1"/>
    <col min="3598" max="3600" width="9.28515625" style="36" customWidth="1"/>
    <col min="3601" max="3604" width="8.28515625" style="36" customWidth="1"/>
    <col min="3605" max="3841" width="8.7109375" style="36"/>
    <col min="3842" max="3842" width="2.28515625" style="36" customWidth="1"/>
    <col min="3843" max="3846" width="9.7109375" style="36" customWidth="1"/>
    <col min="3847" max="3847" width="7.7109375" style="36" customWidth="1"/>
    <col min="3848" max="3848" width="11.7109375" style="36" customWidth="1"/>
    <col min="3849" max="3849" width="12.28515625" style="36" customWidth="1"/>
    <col min="3850" max="3850" width="7.28515625" style="36" customWidth="1"/>
    <col min="3851" max="3851" width="11.5703125" style="36" customWidth="1"/>
    <col min="3852" max="3852" width="7.28515625" style="36" customWidth="1"/>
    <col min="3853" max="3853" width="1.7109375" style="36" customWidth="1"/>
    <col min="3854" max="3856" width="9.28515625" style="36" customWidth="1"/>
    <col min="3857" max="3860" width="8.28515625" style="36" customWidth="1"/>
    <col min="3861" max="4097" width="8.7109375" style="36"/>
    <col min="4098" max="4098" width="2.28515625" style="36" customWidth="1"/>
    <col min="4099" max="4102" width="9.7109375" style="36" customWidth="1"/>
    <col min="4103" max="4103" width="7.7109375" style="36" customWidth="1"/>
    <col min="4104" max="4104" width="11.7109375" style="36" customWidth="1"/>
    <col min="4105" max="4105" width="12.28515625" style="36" customWidth="1"/>
    <col min="4106" max="4106" width="7.28515625" style="36" customWidth="1"/>
    <col min="4107" max="4107" width="11.5703125" style="36" customWidth="1"/>
    <col min="4108" max="4108" width="7.28515625" style="36" customWidth="1"/>
    <col min="4109" max="4109" width="1.7109375" style="36" customWidth="1"/>
    <col min="4110" max="4112" width="9.28515625" style="36" customWidth="1"/>
    <col min="4113" max="4116" width="8.28515625" style="36" customWidth="1"/>
    <col min="4117" max="4353" width="8.7109375" style="36"/>
    <col min="4354" max="4354" width="2.28515625" style="36" customWidth="1"/>
    <col min="4355" max="4358" width="9.7109375" style="36" customWidth="1"/>
    <col min="4359" max="4359" width="7.7109375" style="36" customWidth="1"/>
    <col min="4360" max="4360" width="11.7109375" style="36" customWidth="1"/>
    <col min="4361" max="4361" width="12.28515625" style="36" customWidth="1"/>
    <col min="4362" max="4362" width="7.28515625" style="36" customWidth="1"/>
    <col min="4363" max="4363" width="11.5703125" style="36" customWidth="1"/>
    <col min="4364" max="4364" width="7.28515625" style="36" customWidth="1"/>
    <col min="4365" max="4365" width="1.7109375" style="36" customWidth="1"/>
    <col min="4366" max="4368" width="9.28515625" style="36" customWidth="1"/>
    <col min="4369" max="4372" width="8.28515625" style="36" customWidth="1"/>
    <col min="4373" max="4609" width="8.7109375" style="36"/>
    <col min="4610" max="4610" width="2.28515625" style="36" customWidth="1"/>
    <col min="4611" max="4614" width="9.7109375" style="36" customWidth="1"/>
    <col min="4615" max="4615" width="7.7109375" style="36" customWidth="1"/>
    <col min="4616" max="4616" width="11.7109375" style="36" customWidth="1"/>
    <col min="4617" max="4617" width="12.28515625" style="36" customWidth="1"/>
    <col min="4618" max="4618" width="7.28515625" style="36" customWidth="1"/>
    <col min="4619" max="4619" width="11.5703125" style="36" customWidth="1"/>
    <col min="4620" max="4620" width="7.28515625" style="36" customWidth="1"/>
    <col min="4621" max="4621" width="1.7109375" style="36" customWidth="1"/>
    <col min="4622" max="4624" width="9.28515625" style="36" customWidth="1"/>
    <col min="4625" max="4628" width="8.28515625" style="36" customWidth="1"/>
    <col min="4629" max="4865" width="8.7109375" style="36"/>
    <col min="4866" max="4866" width="2.28515625" style="36" customWidth="1"/>
    <col min="4867" max="4870" width="9.7109375" style="36" customWidth="1"/>
    <col min="4871" max="4871" width="7.7109375" style="36" customWidth="1"/>
    <col min="4872" max="4872" width="11.7109375" style="36" customWidth="1"/>
    <col min="4873" max="4873" width="12.28515625" style="36" customWidth="1"/>
    <col min="4874" max="4874" width="7.28515625" style="36" customWidth="1"/>
    <col min="4875" max="4875" width="11.5703125" style="36" customWidth="1"/>
    <col min="4876" max="4876" width="7.28515625" style="36" customWidth="1"/>
    <col min="4877" max="4877" width="1.7109375" style="36" customWidth="1"/>
    <col min="4878" max="4880" width="9.28515625" style="36" customWidth="1"/>
    <col min="4881" max="4884" width="8.28515625" style="36" customWidth="1"/>
    <col min="4885" max="5121" width="8.7109375" style="36"/>
    <col min="5122" max="5122" width="2.28515625" style="36" customWidth="1"/>
    <col min="5123" max="5126" width="9.7109375" style="36" customWidth="1"/>
    <col min="5127" max="5127" width="7.7109375" style="36" customWidth="1"/>
    <col min="5128" max="5128" width="11.7109375" style="36" customWidth="1"/>
    <col min="5129" max="5129" width="12.28515625" style="36" customWidth="1"/>
    <col min="5130" max="5130" width="7.28515625" style="36" customWidth="1"/>
    <col min="5131" max="5131" width="11.5703125" style="36" customWidth="1"/>
    <col min="5132" max="5132" width="7.28515625" style="36" customWidth="1"/>
    <col min="5133" max="5133" width="1.7109375" style="36" customWidth="1"/>
    <col min="5134" max="5136" width="9.28515625" style="36" customWidth="1"/>
    <col min="5137" max="5140" width="8.28515625" style="36" customWidth="1"/>
    <col min="5141" max="5377" width="8.7109375" style="36"/>
    <col min="5378" max="5378" width="2.28515625" style="36" customWidth="1"/>
    <col min="5379" max="5382" width="9.7109375" style="36" customWidth="1"/>
    <col min="5383" max="5383" width="7.7109375" style="36" customWidth="1"/>
    <col min="5384" max="5384" width="11.7109375" style="36" customWidth="1"/>
    <col min="5385" max="5385" width="12.28515625" style="36" customWidth="1"/>
    <col min="5386" max="5386" width="7.28515625" style="36" customWidth="1"/>
    <col min="5387" max="5387" width="11.5703125" style="36" customWidth="1"/>
    <col min="5388" max="5388" width="7.28515625" style="36" customWidth="1"/>
    <col min="5389" max="5389" width="1.7109375" style="36" customWidth="1"/>
    <col min="5390" max="5392" width="9.28515625" style="36" customWidth="1"/>
    <col min="5393" max="5396" width="8.28515625" style="36" customWidth="1"/>
    <col min="5397" max="5633" width="8.7109375" style="36"/>
    <col min="5634" max="5634" width="2.28515625" style="36" customWidth="1"/>
    <col min="5635" max="5638" width="9.7109375" style="36" customWidth="1"/>
    <col min="5639" max="5639" width="7.7109375" style="36" customWidth="1"/>
    <col min="5640" max="5640" width="11.7109375" style="36" customWidth="1"/>
    <col min="5641" max="5641" width="12.28515625" style="36" customWidth="1"/>
    <col min="5642" max="5642" width="7.28515625" style="36" customWidth="1"/>
    <col min="5643" max="5643" width="11.5703125" style="36" customWidth="1"/>
    <col min="5644" max="5644" width="7.28515625" style="36" customWidth="1"/>
    <col min="5645" max="5645" width="1.7109375" style="36" customWidth="1"/>
    <col min="5646" max="5648" width="9.28515625" style="36" customWidth="1"/>
    <col min="5649" max="5652" width="8.28515625" style="36" customWidth="1"/>
    <col min="5653" max="5889" width="8.7109375" style="36"/>
    <col min="5890" max="5890" width="2.28515625" style="36" customWidth="1"/>
    <col min="5891" max="5894" width="9.7109375" style="36" customWidth="1"/>
    <col min="5895" max="5895" width="7.7109375" style="36" customWidth="1"/>
    <col min="5896" max="5896" width="11.7109375" style="36" customWidth="1"/>
    <col min="5897" max="5897" width="12.28515625" style="36" customWidth="1"/>
    <col min="5898" max="5898" width="7.28515625" style="36" customWidth="1"/>
    <col min="5899" max="5899" width="11.5703125" style="36" customWidth="1"/>
    <col min="5900" max="5900" width="7.28515625" style="36" customWidth="1"/>
    <col min="5901" max="5901" width="1.7109375" style="36" customWidth="1"/>
    <col min="5902" max="5904" width="9.28515625" style="36" customWidth="1"/>
    <col min="5905" max="5908" width="8.28515625" style="36" customWidth="1"/>
    <col min="5909" max="6145" width="8.7109375" style="36"/>
    <col min="6146" max="6146" width="2.28515625" style="36" customWidth="1"/>
    <col min="6147" max="6150" width="9.7109375" style="36" customWidth="1"/>
    <col min="6151" max="6151" width="7.7109375" style="36" customWidth="1"/>
    <col min="6152" max="6152" width="11.7109375" style="36" customWidth="1"/>
    <col min="6153" max="6153" width="12.28515625" style="36" customWidth="1"/>
    <col min="6154" max="6154" width="7.28515625" style="36" customWidth="1"/>
    <col min="6155" max="6155" width="11.5703125" style="36" customWidth="1"/>
    <col min="6156" max="6156" width="7.28515625" style="36" customWidth="1"/>
    <col min="6157" max="6157" width="1.7109375" style="36" customWidth="1"/>
    <col min="6158" max="6160" width="9.28515625" style="36" customWidth="1"/>
    <col min="6161" max="6164" width="8.28515625" style="36" customWidth="1"/>
    <col min="6165" max="6401" width="8.7109375" style="36"/>
    <col min="6402" max="6402" width="2.28515625" style="36" customWidth="1"/>
    <col min="6403" max="6406" width="9.7109375" style="36" customWidth="1"/>
    <col min="6407" max="6407" width="7.7109375" style="36" customWidth="1"/>
    <col min="6408" max="6408" width="11.7109375" style="36" customWidth="1"/>
    <col min="6409" max="6409" width="12.28515625" style="36" customWidth="1"/>
    <col min="6410" max="6410" width="7.28515625" style="36" customWidth="1"/>
    <col min="6411" max="6411" width="11.5703125" style="36" customWidth="1"/>
    <col min="6412" max="6412" width="7.28515625" style="36" customWidth="1"/>
    <col min="6413" max="6413" width="1.7109375" style="36" customWidth="1"/>
    <col min="6414" max="6416" width="9.28515625" style="36" customWidth="1"/>
    <col min="6417" max="6420" width="8.28515625" style="36" customWidth="1"/>
    <col min="6421" max="6657" width="8.7109375" style="36"/>
    <col min="6658" max="6658" width="2.28515625" style="36" customWidth="1"/>
    <col min="6659" max="6662" width="9.7109375" style="36" customWidth="1"/>
    <col min="6663" max="6663" width="7.7109375" style="36" customWidth="1"/>
    <col min="6664" max="6664" width="11.7109375" style="36" customWidth="1"/>
    <col min="6665" max="6665" width="12.28515625" style="36" customWidth="1"/>
    <col min="6666" max="6666" width="7.28515625" style="36" customWidth="1"/>
    <col min="6667" max="6667" width="11.5703125" style="36" customWidth="1"/>
    <col min="6668" max="6668" width="7.28515625" style="36" customWidth="1"/>
    <col min="6669" max="6669" width="1.7109375" style="36" customWidth="1"/>
    <col min="6670" max="6672" width="9.28515625" style="36" customWidth="1"/>
    <col min="6673" max="6676" width="8.28515625" style="36" customWidth="1"/>
    <col min="6677" max="6913" width="8.7109375" style="36"/>
    <col min="6914" max="6914" width="2.28515625" style="36" customWidth="1"/>
    <col min="6915" max="6918" width="9.7109375" style="36" customWidth="1"/>
    <col min="6919" max="6919" width="7.7109375" style="36" customWidth="1"/>
    <col min="6920" max="6920" width="11.7109375" style="36" customWidth="1"/>
    <col min="6921" max="6921" width="12.28515625" style="36" customWidth="1"/>
    <col min="6922" max="6922" width="7.28515625" style="36" customWidth="1"/>
    <col min="6923" max="6923" width="11.5703125" style="36" customWidth="1"/>
    <col min="6924" max="6924" width="7.28515625" style="36" customWidth="1"/>
    <col min="6925" max="6925" width="1.7109375" style="36" customWidth="1"/>
    <col min="6926" max="6928" width="9.28515625" style="36" customWidth="1"/>
    <col min="6929" max="6932" width="8.28515625" style="36" customWidth="1"/>
    <col min="6933" max="7169" width="8.7109375" style="36"/>
    <col min="7170" max="7170" width="2.28515625" style="36" customWidth="1"/>
    <col min="7171" max="7174" width="9.7109375" style="36" customWidth="1"/>
    <col min="7175" max="7175" width="7.7109375" style="36" customWidth="1"/>
    <col min="7176" max="7176" width="11.7109375" style="36" customWidth="1"/>
    <col min="7177" max="7177" width="12.28515625" style="36" customWidth="1"/>
    <col min="7178" max="7178" width="7.28515625" style="36" customWidth="1"/>
    <col min="7179" max="7179" width="11.5703125" style="36" customWidth="1"/>
    <col min="7180" max="7180" width="7.28515625" style="36" customWidth="1"/>
    <col min="7181" max="7181" width="1.7109375" style="36" customWidth="1"/>
    <col min="7182" max="7184" width="9.28515625" style="36" customWidth="1"/>
    <col min="7185" max="7188" width="8.28515625" style="36" customWidth="1"/>
    <col min="7189" max="7425" width="8.7109375" style="36"/>
    <col min="7426" max="7426" width="2.28515625" style="36" customWidth="1"/>
    <col min="7427" max="7430" width="9.7109375" style="36" customWidth="1"/>
    <col min="7431" max="7431" width="7.7109375" style="36" customWidth="1"/>
    <col min="7432" max="7432" width="11.7109375" style="36" customWidth="1"/>
    <col min="7433" max="7433" width="12.28515625" style="36" customWidth="1"/>
    <col min="7434" max="7434" width="7.28515625" style="36" customWidth="1"/>
    <col min="7435" max="7435" width="11.5703125" style="36" customWidth="1"/>
    <col min="7436" max="7436" width="7.28515625" style="36" customWidth="1"/>
    <col min="7437" max="7437" width="1.7109375" style="36" customWidth="1"/>
    <col min="7438" max="7440" width="9.28515625" style="36" customWidth="1"/>
    <col min="7441" max="7444" width="8.28515625" style="36" customWidth="1"/>
    <col min="7445" max="7681" width="8.7109375" style="36"/>
    <col min="7682" max="7682" width="2.28515625" style="36" customWidth="1"/>
    <col min="7683" max="7686" width="9.7109375" style="36" customWidth="1"/>
    <col min="7687" max="7687" width="7.7109375" style="36" customWidth="1"/>
    <col min="7688" max="7688" width="11.7109375" style="36" customWidth="1"/>
    <col min="7689" max="7689" width="12.28515625" style="36" customWidth="1"/>
    <col min="7690" max="7690" width="7.28515625" style="36" customWidth="1"/>
    <col min="7691" max="7691" width="11.5703125" style="36" customWidth="1"/>
    <col min="7692" max="7692" width="7.28515625" style="36" customWidth="1"/>
    <col min="7693" max="7693" width="1.7109375" style="36" customWidth="1"/>
    <col min="7694" max="7696" width="9.28515625" style="36" customWidth="1"/>
    <col min="7697" max="7700" width="8.28515625" style="36" customWidth="1"/>
    <col min="7701" max="7937" width="8.7109375" style="36"/>
    <col min="7938" max="7938" width="2.28515625" style="36" customWidth="1"/>
    <col min="7939" max="7942" width="9.7109375" style="36" customWidth="1"/>
    <col min="7943" max="7943" width="7.7109375" style="36" customWidth="1"/>
    <col min="7944" max="7944" width="11.7109375" style="36" customWidth="1"/>
    <col min="7945" max="7945" width="12.28515625" style="36" customWidth="1"/>
    <col min="7946" max="7946" width="7.28515625" style="36" customWidth="1"/>
    <col min="7947" max="7947" width="11.5703125" style="36" customWidth="1"/>
    <col min="7948" max="7948" width="7.28515625" style="36" customWidth="1"/>
    <col min="7949" max="7949" width="1.7109375" style="36" customWidth="1"/>
    <col min="7950" max="7952" width="9.28515625" style="36" customWidth="1"/>
    <col min="7953" max="7956" width="8.28515625" style="36" customWidth="1"/>
    <col min="7957" max="8193" width="8.7109375" style="36"/>
    <col min="8194" max="8194" width="2.28515625" style="36" customWidth="1"/>
    <col min="8195" max="8198" width="9.7109375" style="36" customWidth="1"/>
    <col min="8199" max="8199" width="7.7109375" style="36" customWidth="1"/>
    <col min="8200" max="8200" width="11.7109375" style="36" customWidth="1"/>
    <col min="8201" max="8201" width="12.28515625" style="36" customWidth="1"/>
    <col min="8202" max="8202" width="7.28515625" style="36" customWidth="1"/>
    <col min="8203" max="8203" width="11.5703125" style="36" customWidth="1"/>
    <col min="8204" max="8204" width="7.28515625" style="36" customWidth="1"/>
    <col min="8205" max="8205" width="1.7109375" style="36" customWidth="1"/>
    <col min="8206" max="8208" width="9.28515625" style="36" customWidth="1"/>
    <col min="8209" max="8212" width="8.28515625" style="36" customWidth="1"/>
    <col min="8213" max="8449" width="8.7109375" style="36"/>
    <col min="8450" max="8450" width="2.28515625" style="36" customWidth="1"/>
    <col min="8451" max="8454" width="9.7109375" style="36" customWidth="1"/>
    <col min="8455" max="8455" width="7.7109375" style="36" customWidth="1"/>
    <col min="8456" max="8456" width="11.7109375" style="36" customWidth="1"/>
    <col min="8457" max="8457" width="12.28515625" style="36" customWidth="1"/>
    <col min="8458" max="8458" width="7.28515625" style="36" customWidth="1"/>
    <col min="8459" max="8459" width="11.5703125" style="36" customWidth="1"/>
    <col min="8460" max="8460" width="7.28515625" style="36" customWidth="1"/>
    <col min="8461" max="8461" width="1.7109375" style="36" customWidth="1"/>
    <col min="8462" max="8464" width="9.28515625" style="36" customWidth="1"/>
    <col min="8465" max="8468" width="8.28515625" style="36" customWidth="1"/>
    <col min="8469" max="8705" width="8.7109375" style="36"/>
    <col min="8706" max="8706" width="2.28515625" style="36" customWidth="1"/>
    <col min="8707" max="8710" width="9.7109375" style="36" customWidth="1"/>
    <col min="8711" max="8711" width="7.7109375" style="36" customWidth="1"/>
    <col min="8712" max="8712" width="11.7109375" style="36" customWidth="1"/>
    <col min="8713" max="8713" width="12.28515625" style="36" customWidth="1"/>
    <col min="8714" max="8714" width="7.28515625" style="36" customWidth="1"/>
    <col min="8715" max="8715" width="11.5703125" style="36" customWidth="1"/>
    <col min="8716" max="8716" width="7.28515625" style="36" customWidth="1"/>
    <col min="8717" max="8717" width="1.7109375" style="36" customWidth="1"/>
    <col min="8718" max="8720" width="9.28515625" style="36" customWidth="1"/>
    <col min="8721" max="8724" width="8.28515625" style="36" customWidth="1"/>
    <col min="8725" max="8961" width="8.7109375" style="36"/>
    <col min="8962" max="8962" width="2.28515625" style="36" customWidth="1"/>
    <col min="8963" max="8966" width="9.7109375" style="36" customWidth="1"/>
    <col min="8967" max="8967" width="7.7109375" style="36" customWidth="1"/>
    <col min="8968" max="8968" width="11.7109375" style="36" customWidth="1"/>
    <col min="8969" max="8969" width="12.28515625" style="36" customWidth="1"/>
    <col min="8970" max="8970" width="7.28515625" style="36" customWidth="1"/>
    <col min="8971" max="8971" width="11.5703125" style="36" customWidth="1"/>
    <col min="8972" max="8972" width="7.28515625" style="36" customWidth="1"/>
    <col min="8973" max="8973" width="1.7109375" style="36" customWidth="1"/>
    <col min="8974" max="8976" width="9.28515625" style="36" customWidth="1"/>
    <col min="8977" max="8980" width="8.28515625" style="36" customWidth="1"/>
    <col min="8981" max="9217" width="8.7109375" style="36"/>
    <col min="9218" max="9218" width="2.28515625" style="36" customWidth="1"/>
    <col min="9219" max="9222" width="9.7109375" style="36" customWidth="1"/>
    <col min="9223" max="9223" width="7.7109375" style="36" customWidth="1"/>
    <col min="9224" max="9224" width="11.7109375" style="36" customWidth="1"/>
    <col min="9225" max="9225" width="12.28515625" style="36" customWidth="1"/>
    <col min="9226" max="9226" width="7.28515625" style="36" customWidth="1"/>
    <col min="9227" max="9227" width="11.5703125" style="36" customWidth="1"/>
    <col min="9228" max="9228" width="7.28515625" style="36" customWidth="1"/>
    <col min="9229" max="9229" width="1.7109375" style="36" customWidth="1"/>
    <col min="9230" max="9232" width="9.28515625" style="36" customWidth="1"/>
    <col min="9233" max="9236" width="8.28515625" style="36" customWidth="1"/>
    <col min="9237" max="9473" width="8.7109375" style="36"/>
    <col min="9474" max="9474" width="2.28515625" style="36" customWidth="1"/>
    <col min="9475" max="9478" width="9.7109375" style="36" customWidth="1"/>
    <col min="9479" max="9479" width="7.7109375" style="36" customWidth="1"/>
    <col min="9480" max="9480" width="11.7109375" style="36" customWidth="1"/>
    <col min="9481" max="9481" width="12.28515625" style="36" customWidth="1"/>
    <col min="9482" max="9482" width="7.28515625" style="36" customWidth="1"/>
    <col min="9483" max="9483" width="11.5703125" style="36" customWidth="1"/>
    <col min="9484" max="9484" width="7.28515625" style="36" customWidth="1"/>
    <col min="9485" max="9485" width="1.7109375" style="36" customWidth="1"/>
    <col min="9486" max="9488" width="9.28515625" style="36" customWidth="1"/>
    <col min="9489" max="9492" width="8.28515625" style="36" customWidth="1"/>
    <col min="9493" max="9729" width="8.7109375" style="36"/>
    <col min="9730" max="9730" width="2.28515625" style="36" customWidth="1"/>
    <col min="9731" max="9734" width="9.7109375" style="36" customWidth="1"/>
    <col min="9735" max="9735" width="7.7109375" style="36" customWidth="1"/>
    <col min="9736" max="9736" width="11.7109375" style="36" customWidth="1"/>
    <col min="9737" max="9737" width="12.28515625" style="36" customWidth="1"/>
    <col min="9738" max="9738" width="7.28515625" style="36" customWidth="1"/>
    <col min="9739" max="9739" width="11.5703125" style="36" customWidth="1"/>
    <col min="9740" max="9740" width="7.28515625" style="36" customWidth="1"/>
    <col min="9741" max="9741" width="1.7109375" style="36" customWidth="1"/>
    <col min="9742" max="9744" width="9.28515625" style="36" customWidth="1"/>
    <col min="9745" max="9748" width="8.28515625" style="36" customWidth="1"/>
    <col min="9749" max="9985" width="8.7109375" style="36"/>
    <col min="9986" max="9986" width="2.28515625" style="36" customWidth="1"/>
    <col min="9987" max="9990" width="9.7109375" style="36" customWidth="1"/>
    <col min="9991" max="9991" width="7.7109375" style="36" customWidth="1"/>
    <col min="9992" max="9992" width="11.7109375" style="36" customWidth="1"/>
    <col min="9993" max="9993" width="12.28515625" style="36" customWidth="1"/>
    <col min="9994" max="9994" width="7.28515625" style="36" customWidth="1"/>
    <col min="9995" max="9995" width="11.5703125" style="36" customWidth="1"/>
    <col min="9996" max="9996" width="7.28515625" style="36" customWidth="1"/>
    <col min="9997" max="9997" width="1.7109375" style="36" customWidth="1"/>
    <col min="9998" max="10000" width="9.28515625" style="36" customWidth="1"/>
    <col min="10001" max="10004" width="8.28515625" style="36" customWidth="1"/>
    <col min="10005" max="10241" width="8.7109375" style="36"/>
    <col min="10242" max="10242" width="2.28515625" style="36" customWidth="1"/>
    <col min="10243" max="10246" width="9.7109375" style="36" customWidth="1"/>
    <col min="10247" max="10247" width="7.7109375" style="36" customWidth="1"/>
    <col min="10248" max="10248" width="11.7109375" style="36" customWidth="1"/>
    <col min="10249" max="10249" width="12.28515625" style="36" customWidth="1"/>
    <col min="10250" max="10250" width="7.28515625" style="36" customWidth="1"/>
    <col min="10251" max="10251" width="11.5703125" style="36" customWidth="1"/>
    <col min="10252" max="10252" width="7.28515625" style="36" customWidth="1"/>
    <col min="10253" max="10253" width="1.7109375" style="36" customWidth="1"/>
    <col min="10254" max="10256" width="9.28515625" style="36" customWidth="1"/>
    <col min="10257" max="10260" width="8.28515625" style="36" customWidth="1"/>
    <col min="10261" max="10497" width="8.7109375" style="36"/>
    <col min="10498" max="10498" width="2.28515625" style="36" customWidth="1"/>
    <col min="10499" max="10502" width="9.7109375" style="36" customWidth="1"/>
    <col min="10503" max="10503" width="7.7109375" style="36" customWidth="1"/>
    <col min="10504" max="10504" width="11.7109375" style="36" customWidth="1"/>
    <col min="10505" max="10505" width="12.28515625" style="36" customWidth="1"/>
    <col min="10506" max="10506" width="7.28515625" style="36" customWidth="1"/>
    <col min="10507" max="10507" width="11.5703125" style="36" customWidth="1"/>
    <col min="10508" max="10508" width="7.28515625" style="36" customWidth="1"/>
    <col min="10509" max="10509" width="1.7109375" style="36" customWidth="1"/>
    <col min="10510" max="10512" width="9.28515625" style="36" customWidth="1"/>
    <col min="10513" max="10516" width="8.28515625" style="36" customWidth="1"/>
    <col min="10517" max="10753" width="8.7109375" style="36"/>
    <col min="10754" max="10754" width="2.28515625" style="36" customWidth="1"/>
    <col min="10755" max="10758" width="9.7109375" style="36" customWidth="1"/>
    <col min="10759" max="10759" width="7.7109375" style="36" customWidth="1"/>
    <col min="10760" max="10760" width="11.7109375" style="36" customWidth="1"/>
    <col min="10761" max="10761" width="12.28515625" style="36" customWidth="1"/>
    <col min="10762" max="10762" width="7.28515625" style="36" customWidth="1"/>
    <col min="10763" max="10763" width="11.5703125" style="36" customWidth="1"/>
    <col min="10764" max="10764" width="7.28515625" style="36" customWidth="1"/>
    <col min="10765" max="10765" width="1.7109375" style="36" customWidth="1"/>
    <col min="10766" max="10768" width="9.28515625" style="36" customWidth="1"/>
    <col min="10769" max="10772" width="8.28515625" style="36" customWidth="1"/>
    <col min="10773" max="11009" width="8.7109375" style="36"/>
    <col min="11010" max="11010" width="2.28515625" style="36" customWidth="1"/>
    <col min="11011" max="11014" width="9.7109375" style="36" customWidth="1"/>
    <col min="11015" max="11015" width="7.7109375" style="36" customWidth="1"/>
    <col min="11016" max="11016" width="11.7109375" style="36" customWidth="1"/>
    <col min="11017" max="11017" width="12.28515625" style="36" customWidth="1"/>
    <col min="11018" max="11018" width="7.28515625" style="36" customWidth="1"/>
    <col min="11019" max="11019" width="11.5703125" style="36" customWidth="1"/>
    <col min="11020" max="11020" width="7.28515625" style="36" customWidth="1"/>
    <col min="11021" max="11021" width="1.7109375" style="36" customWidth="1"/>
    <col min="11022" max="11024" width="9.28515625" style="36" customWidth="1"/>
    <col min="11025" max="11028" width="8.28515625" style="36" customWidth="1"/>
    <col min="11029" max="11265" width="8.7109375" style="36"/>
    <col min="11266" max="11266" width="2.28515625" style="36" customWidth="1"/>
    <col min="11267" max="11270" width="9.7109375" style="36" customWidth="1"/>
    <col min="11271" max="11271" width="7.7109375" style="36" customWidth="1"/>
    <col min="11272" max="11272" width="11.7109375" style="36" customWidth="1"/>
    <col min="11273" max="11273" width="12.28515625" style="36" customWidth="1"/>
    <col min="11274" max="11274" width="7.28515625" style="36" customWidth="1"/>
    <col min="11275" max="11275" width="11.5703125" style="36" customWidth="1"/>
    <col min="11276" max="11276" width="7.28515625" style="36" customWidth="1"/>
    <col min="11277" max="11277" width="1.7109375" style="36" customWidth="1"/>
    <col min="11278" max="11280" width="9.28515625" style="36" customWidth="1"/>
    <col min="11281" max="11284" width="8.28515625" style="36" customWidth="1"/>
    <col min="11285" max="11521" width="8.7109375" style="36"/>
    <col min="11522" max="11522" width="2.28515625" style="36" customWidth="1"/>
    <col min="11523" max="11526" width="9.7109375" style="36" customWidth="1"/>
    <col min="11527" max="11527" width="7.7109375" style="36" customWidth="1"/>
    <col min="11528" max="11528" width="11.7109375" style="36" customWidth="1"/>
    <col min="11529" max="11529" width="12.28515625" style="36" customWidth="1"/>
    <col min="11530" max="11530" width="7.28515625" style="36" customWidth="1"/>
    <col min="11531" max="11531" width="11.5703125" style="36" customWidth="1"/>
    <col min="11532" max="11532" width="7.28515625" style="36" customWidth="1"/>
    <col min="11533" max="11533" width="1.7109375" style="36" customWidth="1"/>
    <col min="11534" max="11536" width="9.28515625" style="36" customWidth="1"/>
    <col min="11537" max="11540" width="8.28515625" style="36" customWidth="1"/>
    <col min="11541" max="11777" width="8.7109375" style="36"/>
    <col min="11778" max="11778" width="2.28515625" style="36" customWidth="1"/>
    <col min="11779" max="11782" width="9.7109375" style="36" customWidth="1"/>
    <col min="11783" max="11783" width="7.7109375" style="36" customWidth="1"/>
    <col min="11784" max="11784" width="11.7109375" style="36" customWidth="1"/>
    <col min="11785" max="11785" width="12.28515625" style="36" customWidth="1"/>
    <col min="11786" max="11786" width="7.28515625" style="36" customWidth="1"/>
    <col min="11787" max="11787" width="11.5703125" style="36" customWidth="1"/>
    <col min="11788" max="11788" width="7.28515625" style="36" customWidth="1"/>
    <col min="11789" max="11789" width="1.7109375" style="36" customWidth="1"/>
    <col min="11790" max="11792" width="9.28515625" style="36" customWidth="1"/>
    <col min="11793" max="11796" width="8.28515625" style="36" customWidth="1"/>
    <col min="11797" max="12033" width="8.7109375" style="36"/>
    <col min="12034" max="12034" width="2.28515625" style="36" customWidth="1"/>
    <col min="12035" max="12038" width="9.7109375" style="36" customWidth="1"/>
    <col min="12039" max="12039" width="7.7109375" style="36" customWidth="1"/>
    <col min="12040" max="12040" width="11.7109375" style="36" customWidth="1"/>
    <col min="12041" max="12041" width="12.28515625" style="36" customWidth="1"/>
    <col min="12042" max="12042" width="7.28515625" style="36" customWidth="1"/>
    <col min="12043" max="12043" width="11.5703125" style="36" customWidth="1"/>
    <col min="12044" max="12044" width="7.28515625" style="36" customWidth="1"/>
    <col min="12045" max="12045" width="1.7109375" style="36" customWidth="1"/>
    <col min="12046" max="12048" width="9.28515625" style="36" customWidth="1"/>
    <col min="12049" max="12052" width="8.28515625" style="36" customWidth="1"/>
    <col min="12053" max="12289" width="8.7109375" style="36"/>
    <col min="12290" max="12290" width="2.28515625" style="36" customWidth="1"/>
    <col min="12291" max="12294" width="9.7109375" style="36" customWidth="1"/>
    <col min="12295" max="12295" width="7.7109375" style="36" customWidth="1"/>
    <col min="12296" max="12296" width="11.7109375" style="36" customWidth="1"/>
    <col min="12297" max="12297" width="12.28515625" style="36" customWidth="1"/>
    <col min="12298" max="12298" width="7.28515625" style="36" customWidth="1"/>
    <col min="12299" max="12299" width="11.5703125" style="36" customWidth="1"/>
    <col min="12300" max="12300" width="7.28515625" style="36" customWidth="1"/>
    <col min="12301" max="12301" width="1.7109375" style="36" customWidth="1"/>
    <col min="12302" max="12304" width="9.28515625" style="36" customWidth="1"/>
    <col min="12305" max="12308" width="8.28515625" style="36" customWidth="1"/>
    <col min="12309" max="12545" width="8.7109375" style="36"/>
    <col min="12546" max="12546" width="2.28515625" style="36" customWidth="1"/>
    <col min="12547" max="12550" width="9.7109375" style="36" customWidth="1"/>
    <col min="12551" max="12551" width="7.7109375" style="36" customWidth="1"/>
    <col min="12552" max="12552" width="11.7109375" style="36" customWidth="1"/>
    <col min="12553" max="12553" width="12.28515625" style="36" customWidth="1"/>
    <col min="12554" max="12554" width="7.28515625" style="36" customWidth="1"/>
    <col min="12555" max="12555" width="11.5703125" style="36" customWidth="1"/>
    <col min="12556" max="12556" width="7.28515625" style="36" customWidth="1"/>
    <col min="12557" max="12557" width="1.7109375" style="36" customWidth="1"/>
    <col min="12558" max="12560" width="9.28515625" style="36" customWidth="1"/>
    <col min="12561" max="12564" width="8.28515625" style="36" customWidth="1"/>
    <col min="12565" max="12801" width="8.7109375" style="36"/>
    <col min="12802" max="12802" width="2.28515625" style="36" customWidth="1"/>
    <col min="12803" max="12806" width="9.7109375" style="36" customWidth="1"/>
    <col min="12807" max="12807" width="7.7109375" style="36" customWidth="1"/>
    <col min="12808" max="12808" width="11.7109375" style="36" customWidth="1"/>
    <col min="12809" max="12809" width="12.28515625" style="36" customWidth="1"/>
    <col min="12810" max="12810" width="7.28515625" style="36" customWidth="1"/>
    <col min="12811" max="12811" width="11.5703125" style="36" customWidth="1"/>
    <col min="12812" max="12812" width="7.28515625" style="36" customWidth="1"/>
    <col min="12813" max="12813" width="1.7109375" style="36" customWidth="1"/>
    <col min="12814" max="12816" width="9.28515625" style="36" customWidth="1"/>
    <col min="12817" max="12820" width="8.28515625" style="36" customWidth="1"/>
    <col min="12821" max="13057" width="8.7109375" style="36"/>
    <col min="13058" max="13058" width="2.28515625" style="36" customWidth="1"/>
    <col min="13059" max="13062" width="9.7109375" style="36" customWidth="1"/>
    <col min="13063" max="13063" width="7.7109375" style="36" customWidth="1"/>
    <col min="13064" max="13064" width="11.7109375" style="36" customWidth="1"/>
    <col min="13065" max="13065" width="12.28515625" style="36" customWidth="1"/>
    <col min="13066" max="13066" width="7.28515625" style="36" customWidth="1"/>
    <col min="13067" max="13067" width="11.5703125" style="36" customWidth="1"/>
    <col min="13068" max="13068" width="7.28515625" style="36" customWidth="1"/>
    <col min="13069" max="13069" width="1.7109375" style="36" customWidth="1"/>
    <col min="13070" max="13072" width="9.28515625" style="36" customWidth="1"/>
    <col min="13073" max="13076" width="8.28515625" style="36" customWidth="1"/>
    <col min="13077" max="13313" width="8.7109375" style="36"/>
    <col min="13314" max="13314" width="2.28515625" style="36" customWidth="1"/>
    <col min="13315" max="13318" width="9.7109375" style="36" customWidth="1"/>
    <col min="13319" max="13319" width="7.7109375" style="36" customWidth="1"/>
    <col min="13320" max="13320" width="11.7109375" style="36" customWidth="1"/>
    <col min="13321" max="13321" width="12.28515625" style="36" customWidth="1"/>
    <col min="13322" max="13322" width="7.28515625" style="36" customWidth="1"/>
    <col min="13323" max="13323" width="11.5703125" style="36" customWidth="1"/>
    <col min="13324" max="13324" width="7.28515625" style="36" customWidth="1"/>
    <col min="13325" max="13325" width="1.7109375" style="36" customWidth="1"/>
    <col min="13326" max="13328" width="9.28515625" style="36" customWidth="1"/>
    <col min="13329" max="13332" width="8.28515625" style="36" customWidth="1"/>
    <col min="13333" max="13569" width="8.7109375" style="36"/>
    <col min="13570" max="13570" width="2.28515625" style="36" customWidth="1"/>
    <col min="13571" max="13574" width="9.7109375" style="36" customWidth="1"/>
    <col min="13575" max="13575" width="7.7109375" style="36" customWidth="1"/>
    <col min="13576" max="13576" width="11.7109375" style="36" customWidth="1"/>
    <col min="13577" max="13577" width="12.28515625" style="36" customWidth="1"/>
    <col min="13578" max="13578" width="7.28515625" style="36" customWidth="1"/>
    <col min="13579" max="13579" width="11.5703125" style="36" customWidth="1"/>
    <col min="13580" max="13580" width="7.28515625" style="36" customWidth="1"/>
    <col min="13581" max="13581" width="1.7109375" style="36" customWidth="1"/>
    <col min="13582" max="13584" width="9.28515625" style="36" customWidth="1"/>
    <col min="13585" max="13588" width="8.28515625" style="36" customWidth="1"/>
    <col min="13589" max="13825" width="8.7109375" style="36"/>
    <col min="13826" max="13826" width="2.28515625" style="36" customWidth="1"/>
    <col min="13827" max="13830" width="9.7109375" style="36" customWidth="1"/>
    <col min="13831" max="13831" width="7.7109375" style="36" customWidth="1"/>
    <col min="13832" max="13832" width="11.7109375" style="36" customWidth="1"/>
    <col min="13833" max="13833" width="12.28515625" style="36" customWidth="1"/>
    <col min="13834" max="13834" width="7.28515625" style="36" customWidth="1"/>
    <col min="13835" max="13835" width="11.5703125" style="36" customWidth="1"/>
    <col min="13836" max="13836" width="7.28515625" style="36" customWidth="1"/>
    <col min="13837" max="13837" width="1.7109375" style="36" customWidth="1"/>
    <col min="13838" max="13840" width="9.28515625" style="36" customWidth="1"/>
    <col min="13841" max="13844" width="8.28515625" style="36" customWidth="1"/>
    <col min="13845" max="14081" width="8.7109375" style="36"/>
    <col min="14082" max="14082" width="2.28515625" style="36" customWidth="1"/>
    <col min="14083" max="14086" width="9.7109375" style="36" customWidth="1"/>
    <col min="14087" max="14087" width="7.7109375" style="36" customWidth="1"/>
    <col min="14088" max="14088" width="11.7109375" style="36" customWidth="1"/>
    <col min="14089" max="14089" width="12.28515625" style="36" customWidth="1"/>
    <col min="14090" max="14090" width="7.28515625" style="36" customWidth="1"/>
    <col min="14091" max="14091" width="11.5703125" style="36" customWidth="1"/>
    <col min="14092" max="14092" width="7.28515625" style="36" customWidth="1"/>
    <col min="14093" max="14093" width="1.7109375" style="36" customWidth="1"/>
    <col min="14094" max="14096" width="9.28515625" style="36" customWidth="1"/>
    <col min="14097" max="14100" width="8.28515625" style="36" customWidth="1"/>
    <col min="14101" max="14337" width="8.7109375" style="36"/>
    <col min="14338" max="14338" width="2.28515625" style="36" customWidth="1"/>
    <col min="14339" max="14342" width="9.7109375" style="36" customWidth="1"/>
    <col min="14343" max="14343" width="7.7109375" style="36" customWidth="1"/>
    <col min="14344" max="14344" width="11.7109375" style="36" customWidth="1"/>
    <col min="14345" max="14345" width="12.28515625" style="36" customWidth="1"/>
    <col min="14346" max="14346" width="7.28515625" style="36" customWidth="1"/>
    <col min="14347" max="14347" width="11.5703125" style="36" customWidth="1"/>
    <col min="14348" max="14348" width="7.28515625" style="36" customWidth="1"/>
    <col min="14349" max="14349" width="1.7109375" style="36" customWidth="1"/>
    <col min="14350" max="14352" width="9.28515625" style="36" customWidth="1"/>
    <col min="14353" max="14356" width="8.28515625" style="36" customWidth="1"/>
    <col min="14357" max="14593" width="8.7109375" style="36"/>
    <col min="14594" max="14594" width="2.28515625" style="36" customWidth="1"/>
    <col min="14595" max="14598" width="9.7109375" style="36" customWidth="1"/>
    <col min="14599" max="14599" width="7.7109375" style="36" customWidth="1"/>
    <col min="14600" max="14600" width="11.7109375" style="36" customWidth="1"/>
    <col min="14601" max="14601" width="12.28515625" style="36" customWidth="1"/>
    <col min="14602" max="14602" width="7.28515625" style="36" customWidth="1"/>
    <col min="14603" max="14603" width="11.5703125" style="36" customWidth="1"/>
    <col min="14604" max="14604" width="7.28515625" style="36" customWidth="1"/>
    <col min="14605" max="14605" width="1.7109375" style="36" customWidth="1"/>
    <col min="14606" max="14608" width="9.28515625" style="36" customWidth="1"/>
    <col min="14609" max="14612" width="8.28515625" style="36" customWidth="1"/>
    <col min="14613" max="14849" width="8.7109375" style="36"/>
    <col min="14850" max="14850" width="2.28515625" style="36" customWidth="1"/>
    <col min="14851" max="14854" width="9.7109375" style="36" customWidth="1"/>
    <col min="14855" max="14855" width="7.7109375" style="36" customWidth="1"/>
    <col min="14856" max="14856" width="11.7109375" style="36" customWidth="1"/>
    <col min="14857" max="14857" width="12.28515625" style="36" customWidth="1"/>
    <col min="14858" max="14858" width="7.28515625" style="36" customWidth="1"/>
    <col min="14859" max="14859" width="11.5703125" style="36" customWidth="1"/>
    <col min="14860" max="14860" width="7.28515625" style="36" customWidth="1"/>
    <col min="14861" max="14861" width="1.7109375" style="36" customWidth="1"/>
    <col min="14862" max="14864" width="9.28515625" style="36" customWidth="1"/>
    <col min="14865" max="14868" width="8.28515625" style="36" customWidth="1"/>
    <col min="14869" max="15105" width="8.7109375" style="36"/>
    <col min="15106" max="15106" width="2.28515625" style="36" customWidth="1"/>
    <col min="15107" max="15110" width="9.7109375" style="36" customWidth="1"/>
    <col min="15111" max="15111" width="7.7109375" style="36" customWidth="1"/>
    <col min="15112" max="15112" width="11.7109375" style="36" customWidth="1"/>
    <col min="15113" max="15113" width="12.28515625" style="36" customWidth="1"/>
    <col min="15114" max="15114" width="7.28515625" style="36" customWidth="1"/>
    <col min="15115" max="15115" width="11.5703125" style="36" customWidth="1"/>
    <col min="15116" max="15116" width="7.28515625" style="36" customWidth="1"/>
    <col min="15117" max="15117" width="1.7109375" style="36" customWidth="1"/>
    <col min="15118" max="15120" width="9.28515625" style="36" customWidth="1"/>
    <col min="15121" max="15124" width="8.28515625" style="36" customWidth="1"/>
    <col min="15125" max="15361" width="8.7109375" style="36"/>
    <col min="15362" max="15362" width="2.28515625" style="36" customWidth="1"/>
    <col min="15363" max="15366" width="9.7109375" style="36" customWidth="1"/>
    <col min="15367" max="15367" width="7.7109375" style="36" customWidth="1"/>
    <col min="15368" max="15368" width="11.7109375" style="36" customWidth="1"/>
    <col min="15369" max="15369" width="12.28515625" style="36" customWidth="1"/>
    <col min="15370" max="15370" width="7.28515625" style="36" customWidth="1"/>
    <col min="15371" max="15371" width="11.5703125" style="36" customWidth="1"/>
    <col min="15372" max="15372" width="7.28515625" style="36" customWidth="1"/>
    <col min="15373" max="15373" width="1.7109375" style="36" customWidth="1"/>
    <col min="15374" max="15376" width="9.28515625" style="36" customWidth="1"/>
    <col min="15377" max="15380" width="8.28515625" style="36" customWidth="1"/>
    <col min="15381" max="15617" width="8.7109375" style="36"/>
    <col min="15618" max="15618" width="2.28515625" style="36" customWidth="1"/>
    <col min="15619" max="15622" width="9.7109375" style="36" customWidth="1"/>
    <col min="15623" max="15623" width="7.7109375" style="36" customWidth="1"/>
    <col min="15624" max="15624" width="11.7109375" style="36" customWidth="1"/>
    <col min="15625" max="15625" width="12.28515625" style="36" customWidth="1"/>
    <col min="15626" max="15626" width="7.28515625" style="36" customWidth="1"/>
    <col min="15627" max="15627" width="11.5703125" style="36" customWidth="1"/>
    <col min="15628" max="15628" width="7.28515625" style="36" customWidth="1"/>
    <col min="15629" max="15629" width="1.7109375" style="36" customWidth="1"/>
    <col min="15630" max="15632" width="9.28515625" style="36" customWidth="1"/>
    <col min="15633" max="15636" width="8.28515625" style="36" customWidth="1"/>
    <col min="15637" max="15873" width="8.7109375" style="36"/>
    <col min="15874" max="15874" width="2.28515625" style="36" customWidth="1"/>
    <col min="15875" max="15878" width="9.7109375" style="36" customWidth="1"/>
    <col min="15879" max="15879" width="7.7109375" style="36" customWidth="1"/>
    <col min="15880" max="15880" width="11.7109375" style="36" customWidth="1"/>
    <col min="15881" max="15881" width="12.28515625" style="36" customWidth="1"/>
    <col min="15882" max="15882" width="7.28515625" style="36" customWidth="1"/>
    <col min="15883" max="15883" width="11.5703125" style="36" customWidth="1"/>
    <col min="15884" max="15884" width="7.28515625" style="36" customWidth="1"/>
    <col min="15885" max="15885" width="1.7109375" style="36" customWidth="1"/>
    <col min="15886" max="15888" width="9.28515625" style="36" customWidth="1"/>
    <col min="15889" max="15892" width="8.28515625" style="36" customWidth="1"/>
    <col min="15893" max="16129" width="8.7109375" style="36"/>
    <col min="16130" max="16130" width="2.28515625" style="36" customWidth="1"/>
    <col min="16131" max="16134" width="9.7109375" style="36" customWidth="1"/>
    <col min="16135" max="16135" width="7.7109375" style="36" customWidth="1"/>
    <col min="16136" max="16136" width="11.7109375" style="36" customWidth="1"/>
    <col min="16137" max="16137" width="12.28515625" style="36" customWidth="1"/>
    <col min="16138" max="16138" width="7.28515625" style="36" customWidth="1"/>
    <col min="16139" max="16139" width="11.5703125" style="36" customWidth="1"/>
    <col min="16140" max="16140" width="7.28515625" style="36" customWidth="1"/>
    <col min="16141" max="16141" width="1.7109375" style="36" customWidth="1"/>
    <col min="16142" max="16144" width="9.28515625" style="36" customWidth="1"/>
    <col min="16145" max="16148" width="8.28515625" style="36" customWidth="1"/>
    <col min="16149" max="16384" width="8.7109375" style="36"/>
  </cols>
  <sheetData>
    <row r="1" spans="1:27" ht="5.25" customHeight="1" x14ac:dyDescent="0.2">
      <c r="A1" s="108"/>
      <c r="B1" s="108"/>
      <c r="C1" s="108"/>
      <c r="D1" s="108"/>
      <c r="E1" s="108"/>
      <c r="F1" s="108"/>
      <c r="G1" s="108"/>
      <c r="H1" s="108"/>
      <c r="I1" s="108"/>
      <c r="J1" s="108"/>
      <c r="K1" s="108"/>
      <c r="L1" s="108"/>
      <c r="M1" s="108"/>
      <c r="N1" s="108"/>
      <c r="O1" s="108"/>
      <c r="P1" s="108"/>
      <c r="Q1" s="108"/>
      <c r="R1" s="108"/>
      <c r="S1" s="108"/>
      <c r="T1" s="108"/>
      <c r="U1" s="108"/>
      <c r="V1" s="108"/>
      <c r="W1" s="108"/>
      <c r="X1" s="108"/>
      <c r="Y1" s="108"/>
      <c r="Z1" s="108"/>
      <c r="AA1" s="108"/>
    </row>
    <row r="2" spans="1:27" ht="3.75" customHeight="1" x14ac:dyDescent="0.2">
      <c r="A2" s="670"/>
      <c r="B2" s="246"/>
      <c r="C2" s="246"/>
      <c r="D2" s="246"/>
      <c r="E2" s="246"/>
      <c r="F2" s="246"/>
      <c r="G2" s="246"/>
      <c r="H2" s="246"/>
      <c r="I2" s="246"/>
      <c r="J2" s="246"/>
      <c r="K2" s="246"/>
      <c r="L2" s="246"/>
      <c r="M2" s="670"/>
      <c r="N2" s="108"/>
      <c r="O2" s="108"/>
      <c r="P2" s="108"/>
      <c r="Q2" s="108"/>
      <c r="R2" s="108"/>
      <c r="S2" s="108"/>
      <c r="T2" s="108"/>
      <c r="U2" s="108"/>
      <c r="V2" s="108"/>
      <c r="W2" s="108"/>
      <c r="X2" s="108"/>
      <c r="Y2" s="108"/>
      <c r="Z2" s="108"/>
      <c r="AA2" s="108"/>
    </row>
    <row r="3" spans="1:27" ht="24" customHeight="1" x14ac:dyDescent="0.2">
      <c r="A3" s="670"/>
      <c r="B3" s="250" t="s">
        <v>672</v>
      </c>
      <c r="C3" s="247"/>
      <c r="D3" s="247"/>
      <c r="E3" s="247"/>
      <c r="F3" s="247"/>
      <c r="G3" s="247"/>
      <c r="H3" s="247"/>
      <c r="I3" s="247"/>
      <c r="J3" s="247"/>
      <c r="K3" s="247"/>
      <c r="L3" s="247"/>
      <c r="M3" s="670"/>
      <c r="N3" s="642"/>
      <c r="O3" s="642"/>
      <c r="P3" s="108"/>
      <c r="Q3" s="116"/>
      <c r="R3" s="108"/>
      <c r="S3" s="108"/>
      <c r="T3" s="108"/>
      <c r="U3" s="108"/>
      <c r="V3" s="108"/>
      <c r="W3" s="108"/>
      <c r="X3" s="108"/>
      <c r="Y3" s="108"/>
      <c r="Z3" s="108"/>
      <c r="AA3" s="108"/>
    </row>
    <row r="4" spans="1:27" ht="3.75" customHeight="1" x14ac:dyDescent="0.2">
      <c r="A4" s="670"/>
      <c r="B4" s="246"/>
      <c r="C4" s="246"/>
      <c r="D4" s="246"/>
      <c r="E4" s="246"/>
      <c r="F4" s="246"/>
      <c r="G4" s="246"/>
      <c r="H4" s="246"/>
      <c r="I4" s="246"/>
      <c r="J4" s="246"/>
      <c r="K4" s="246"/>
      <c r="L4" s="246"/>
      <c r="M4" s="670"/>
      <c r="N4" s="108"/>
      <c r="O4" s="108"/>
      <c r="P4" s="108"/>
      <c r="Q4" s="108"/>
      <c r="R4" s="108"/>
      <c r="S4" s="108"/>
      <c r="T4" s="108"/>
      <c r="U4" s="108"/>
      <c r="V4" s="108"/>
      <c r="W4" s="108"/>
      <c r="X4" s="108"/>
      <c r="Y4" s="108"/>
      <c r="Z4" s="108"/>
      <c r="AA4" s="108"/>
    </row>
    <row r="5" spans="1:27" ht="6" customHeight="1" x14ac:dyDescent="0.2">
      <c r="A5" s="670"/>
      <c r="B5" s="670"/>
      <c r="C5" s="670"/>
      <c r="D5" s="670"/>
      <c r="E5" s="670"/>
      <c r="F5" s="670"/>
      <c r="G5" s="670"/>
      <c r="H5" s="670"/>
      <c r="I5" s="670"/>
      <c r="J5" s="670"/>
      <c r="K5" s="670"/>
      <c r="L5" s="670"/>
      <c r="M5" s="670"/>
      <c r="N5" s="108"/>
      <c r="O5" s="108"/>
      <c r="P5" s="108"/>
      <c r="Q5" s="108"/>
      <c r="R5" s="108"/>
      <c r="S5" s="108"/>
      <c r="T5" s="108"/>
      <c r="U5" s="108"/>
      <c r="V5" s="108"/>
      <c r="W5" s="108"/>
      <c r="X5" s="108"/>
      <c r="Y5" s="108"/>
      <c r="Z5" s="108"/>
      <c r="AA5" s="108"/>
    </row>
    <row r="6" spans="1:27" ht="16.149999999999999" customHeight="1" thickBot="1" x14ac:dyDescent="0.25">
      <c r="A6" s="670"/>
      <c r="B6" s="800"/>
      <c r="C6" s="801"/>
      <c r="D6" s="800"/>
      <c r="E6" s="801"/>
      <c r="F6" s="800"/>
      <c r="G6" s="801"/>
      <c r="H6" s="802"/>
      <c r="I6" s="670"/>
      <c r="J6" s="670"/>
      <c r="K6" s="1017" t="str">
        <f>" "&amp;ListAVS!$B$169</f>
        <v xml:space="preserve"> Wróć na początek</v>
      </c>
      <c r="L6" s="1017"/>
      <c r="M6" s="670"/>
      <c r="N6" s="108"/>
      <c r="O6" s="108"/>
      <c r="P6" s="108"/>
      <c r="Q6" s="39"/>
      <c r="R6" s="108"/>
      <c r="S6" s="108"/>
      <c r="T6" s="108"/>
      <c r="U6" s="108"/>
      <c r="V6" s="108"/>
      <c r="W6" s="108"/>
      <c r="X6" s="108"/>
      <c r="Y6" s="108"/>
      <c r="Z6" s="108"/>
      <c r="AA6" s="108"/>
    </row>
    <row r="7" spans="1:27" ht="16.149999999999999" customHeight="1" x14ac:dyDescent="0.2">
      <c r="A7" s="670"/>
      <c r="B7" s="802"/>
      <c r="C7" s="803"/>
      <c r="D7" s="802"/>
      <c r="E7" s="803"/>
      <c r="F7" s="802"/>
      <c r="G7" s="803"/>
      <c r="H7" s="802"/>
      <c r="I7" s="670"/>
      <c r="J7" s="670"/>
      <c r="K7" s="670"/>
      <c r="L7" s="670"/>
      <c r="M7" s="670"/>
      <c r="N7" s="108"/>
      <c r="O7" s="108"/>
      <c r="P7" s="108"/>
      <c r="Q7" s="108"/>
      <c r="R7" s="108"/>
      <c r="S7" s="108"/>
      <c r="T7" s="108"/>
      <c r="U7" s="108"/>
      <c r="V7" s="108"/>
      <c r="W7" s="108"/>
      <c r="X7" s="108"/>
      <c r="Y7" s="108"/>
      <c r="Z7" s="108"/>
      <c r="AA7" s="108"/>
    </row>
    <row r="8" spans="1:27" ht="16.149999999999999" customHeight="1" thickBot="1" x14ac:dyDescent="0.25">
      <c r="A8" s="670"/>
      <c r="B8" s="802"/>
      <c r="C8" s="803"/>
      <c r="D8" s="802"/>
      <c r="E8" s="803"/>
      <c r="F8" s="802"/>
      <c r="G8" s="803"/>
      <c r="H8" s="802"/>
      <c r="I8" s="670"/>
      <c r="J8" s="670"/>
      <c r="K8" s="40" t="str">
        <f>ListAVS!$B$153&amp;":"</f>
        <v>Przejdź do:</v>
      </c>
      <c r="L8" s="40"/>
      <c r="M8" s="670"/>
      <c r="N8" s="108"/>
      <c r="O8" s="108"/>
      <c r="P8" s="108"/>
      <c r="Q8" s="108"/>
      <c r="R8" s="108"/>
      <c r="S8" s="108"/>
      <c r="T8" s="108"/>
      <c r="U8" s="108"/>
      <c r="V8" s="108"/>
      <c r="W8" s="108"/>
      <c r="X8" s="108"/>
      <c r="Y8" s="108"/>
      <c r="Z8" s="108"/>
      <c r="AA8" s="108"/>
    </row>
    <row r="9" spans="1:27" ht="16.149999999999999" customHeight="1" thickBot="1" x14ac:dyDescent="0.25">
      <c r="A9" s="670"/>
      <c r="B9" s="802"/>
      <c r="C9" s="803"/>
      <c r="D9" s="802"/>
      <c r="E9" s="803"/>
      <c r="F9" s="802"/>
      <c r="G9" s="803"/>
      <c r="H9" s="802"/>
      <c r="I9" s="670"/>
      <c r="J9" s="670"/>
      <c r="K9" s="1021" t="str">
        <f>" "&amp;ListAVS!$B$160</f>
        <v xml:space="preserve"> Dodatki</v>
      </c>
      <c r="L9" s="1021"/>
      <c r="M9" s="670"/>
      <c r="N9" s="108"/>
      <c r="O9" s="108"/>
      <c r="P9" s="108"/>
      <c r="Q9" s="108"/>
      <c r="R9" s="108"/>
      <c r="S9" s="108"/>
      <c r="T9" s="108"/>
      <c r="U9" s="108"/>
      <c r="V9" s="108"/>
      <c r="W9" s="108"/>
      <c r="X9" s="108"/>
      <c r="Y9" s="108"/>
      <c r="Z9" s="108"/>
      <c r="AA9" s="108"/>
    </row>
    <row r="10" spans="1:27" ht="16.149999999999999" customHeight="1" thickBot="1" x14ac:dyDescent="0.25">
      <c r="A10" s="670"/>
      <c r="B10" s="802"/>
      <c r="C10" s="803"/>
      <c r="D10" s="802"/>
      <c r="E10" s="803"/>
      <c r="F10" s="802"/>
      <c r="G10" s="803"/>
      <c r="H10" s="802"/>
      <c r="I10" s="670"/>
      <c r="J10" s="670"/>
      <c r="K10" s="1021" t="str">
        <f>" "&amp;ListAVS!$B$157</f>
        <v xml:space="preserve"> Rodzaje korpusów</v>
      </c>
      <c r="L10" s="1021"/>
      <c r="M10" s="670"/>
      <c r="N10" s="108"/>
      <c r="O10" s="108"/>
      <c r="P10" s="108"/>
      <c r="Q10" s="108"/>
      <c r="R10" s="108"/>
      <c r="S10" s="108"/>
      <c r="T10" s="108"/>
      <c r="U10" s="108"/>
      <c r="V10" s="108"/>
      <c r="W10" s="108"/>
      <c r="X10" s="108"/>
      <c r="Y10" s="108"/>
      <c r="Z10" s="108"/>
      <c r="AA10" s="108"/>
    </row>
    <row r="11" spans="1:27" ht="16.149999999999999" customHeight="1" thickBot="1" x14ac:dyDescent="0.25">
      <c r="A11" s="670"/>
      <c r="B11" s="802"/>
      <c r="C11" s="803"/>
      <c r="D11" s="802"/>
      <c r="E11" s="803"/>
      <c r="F11" s="802"/>
      <c r="G11" s="803"/>
      <c r="H11" s="802"/>
      <c r="I11" s="670"/>
      <c r="J11" s="670"/>
      <c r="K11" s="1021" t="str">
        <f>" "&amp;ListAVS!$B$158</f>
        <v xml:space="preserve"> Zamówienie</v>
      </c>
      <c r="L11" s="1021"/>
      <c r="M11" s="670"/>
      <c r="N11" s="108"/>
      <c r="O11" s="108"/>
      <c r="P11" s="108"/>
      <c r="Q11" s="108"/>
      <c r="R11" s="108"/>
      <c r="S11" s="108"/>
      <c r="T11" s="108"/>
      <c r="U11" s="108"/>
      <c r="V11" s="108"/>
      <c r="W11" s="108"/>
      <c r="X11" s="108"/>
      <c r="Y11" s="108"/>
      <c r="Z11" s="108"/>
      <c r="AA11" s="108"/>
    </row>
    <row r="12" spans="1:27" ht="16.149999999999999" customHeight="1" x14ac:dyDescent="0.2">
      <c r="A12" s="670"/>
      <c r="B12" s="802"/>
      <c r="C12" s="803"/>
      <c r="D12" s="802"/>
      <c r="E12" s="803"/>
      <c r="F12" s="802"/>
      <c r="G12" s="803"/>
      <c r="H12" s="802"/>
      <c r="I12" s="670"/>
      <c r="J12" s="670"/>
      <c r="K12" s="108"/>
      <c r="L12" s="108"/>
      <c r="M12" s="670"/>
      <c r="N12" s="108"/>
      <c r="O12" s="108"/>
      <c r="P12" s="469"/>
      <c r="Q12" s="108"/>
      <c r="R12" s="108"/>
      <c r="S12" s="108"/>
      <c r="T12" s="108"/>
      <c r="U12" s="108"/>
      <c r="V12" s="108"/>
      <c r="W12" s="108"/>
      <c r="X12" s="108"/>
      <c r="Y12" s="108"/>
      <c r="Z12" s="108"/>
      <c r="AA12" s="108"/>
    </row>
    <row r="13" spans="1:27" ht="16.149999999999999" customHeight="1" x14ac:dyDescent="0.2">
      <c r="A13" s="670"/>
      <c r="B13" s="804"/>
      <c r="C13" s="805"/>
      <c r="D13" s="804"/>
      <c r="E13" s="805"/>
      <c r="F13" s="804"/>
      <c r="G13" s="805"/>
      <c r="H13" s="802"/>
      <c r="I13" s="670"/>
      <c r="J13" s="670"/>
      <c r="K13" s="108"/>
      <c r="L13" s="108"/>
      <c r="M13" s="670"/>
      <c r="N13" s="108"/>
      <c r="O13" s="108"/>
      <c r="P13" s="469"/>
      <c r="Q13" s="108"/>
      <c r="R13" s="108"/>
      <c r="S13" s="108"/>
      <c r="T13" s="108"/>
      <c r="U13" s="108"/>
      <c r="V13" s="108"/>
      <c r="W13" s="108"/>
      <c r="X13" s="108"/>
      <c r="Y13" s="108"/>
      <c r="Z13" s="108"/>
      <c r="AA13" s="108"/>
    </row>
    <row r="14" spans="1:27" ht="3.75" customHeight="1" x14ac:dyDescent="0.2">
      <c r="A14" s="670"/>
      <c r="B14" s="670"/>
      <c r="C14" s="670"/>
      <c r="D14" s="670"/>
      <c r="E14" s="670"/>
      <c r="F14" s="670"/>
      <c r="G14" s="670"/>
      <c r="H14" s="670"/>
      <c r="I14" s="670"/>
      <c r="J14" s="670"/>
      <c r="K14" s="108"/>
      <c r="L14" s="108"/>
      <c r="M14" s="670"/>
      <c r="N14" s="108"/>
      <c r="O14" s="108"/>
      <c r="P14" s="108"/>
      <c r="Q14" s="108"/>
      <c r="R14" s="108"/>
      <c r="S14" s="108"/>
      <c r="T14" s="108"/>
      <c r="U14" s="108"/>
      <c r="V14" s="108"/>
      <c r="W14" s="108"/>
      <c r="X14" s="108"/>
      <c r="Y14" s="108"/>
      <c r="Z14" s="108"/>
      <c r="AA14" s="108"/>
    </row>
    <row r="15" spans="1:27" ht="19.5" customHeight="1" x14ac:dyDescent="0.2">
      <c r="A15" s="670"/>
      <c r="B15" s="1024" t="s">
        <v>667</v>
      </c>
      <c r="C15" s="1025"/>
      <c r="D15" s="1024" t="s">
        <v>668</v>
      </c>
      <c r="E15" s="1025"/>
      <c r="F15" s="1024" t="s">
        <v>669</v>
      </c>
      <c r="G15" s="1025"/>
      <c r="H15" s="670"/>
      <c r="I15" s="670"/>
      <c r="J15" s="670"/>
      <c r="K15" s="108"/>
      <c r="L15" s="108"/>
      <c r="M15" s="670"/>
      <c r="N15" s="108"/>
      <c r="O15" s="108"/>
      <c r="P15" s="108"/>
      <c r="Q15" s="108"/>
      <c r="R15" s="108"/>
      <c r="S15" s="108"/>
      <c r="T15" s="108"/>
      <c r="U15" s="108"/>
      <c r="V15" s="108"/>
      <c r="W15" s="108"/>
      <c r="X15" s="108"/>
      <c r="Y15" s="108"/>
      <c r="Z15" s="108"/>
      <c r="AA15" s="108"/>
    </row>
    <row r="16" spans="1:27" ht="16.149999999999999" customHeight="1" thickBot="1" x14ac:dyDescent="0.25">
      <c r="A16" s="670"/>
      <c r="B16" s="643"/>
      <c r="C16" s="643"/>
      <c r="D16" s="643"/>
      <c r="E16" s="643"/>
      <c r="F16" s="643"/>
      <c r="G16" s="643"/>
      <c r="H16" s="643"/>
      <c r="I16" s="643"/>
      <c r="J16" s="643"/>
      <c r="K16" s="1018" t="str">
        <f>" "&amp;ListAVS!$B$402</f>
        <v xml:space="preserve"> Tabela wag</v>
      </c>
      <c r="L16" s="1018"/>
      <c r="M16" s="670"/>
      <c r="N16" s="108"/>
      <c r="O16" s="108"/>
      <c r="P16" s="108"/>
      <c r="Q16" s="108"/>
      <c r="R16" s="108"/>
      <c r="S16" s="108"/>
      <c r="T16" s="108"/>
      <c r="U16" s="108"/>
      <c r="V16" s="108"/>
      <c r="W16" s="108"/>
      <c r="X16" s="108"/>
      <c r="Y16" s="108"/>
      <c r="Z16" s="108"/>
      <c r="AA16" s="108"/>
    </row>
    <row r="17" spans="1:27" ht="16.149999999999999" customHeight="1" x14ac:dyDescent="0.2">
      <c r="A17" s="670"/>
      <c r="B17" s="644"/>
      <c r="C17" s="645"/>
      <c r="D17" s="644"/>
      <c r="E17" s="645"/>
      <c r="F17" s="644"/>
      <c r="G17" s="645"/>
      <c r="H17" s="644"/>
      <c r="I17" s="645"/>
      <c r="J17" s="643"/>
      <c r="K17" s="1019" t="str">
        <f>ListAVS!$B$398</f>
        <v>Waga materiału, szkła i ramki aluminiowej</v>
      </c>
      <c r="L17" s="1019"/>
      <c r="M17" s="670"/>
      <c r="N17" s="108"/>
      <c r="O17" s="108"/>
      <c r="P17" s="108"/>
      <c r="Q17" s="108"/>
      <c r="R17" s="108"/>
      <c r="S17" s="108"/>
      <c r="T17" s="108"/>
      <c r="U17" s="108"/>
      <c r="V17" s="108"/>
      <c r="W17" s="108"/>
      <c r="X17" s="108"/>
      <c r="Y17" s="108"/>
      <c r="Z17" s="108"/>
      <c r="AA17" s="108"/>
    </row>
    <row r="18" spans="1:27" ht="16.149999999999999" customHeight="1" x14ac:dyDescent="0.2">
      <c r="A18" s="670"/>
      <c r="B18" s="646"/>
      <c r="C18" s="647"/>
      <c r="D18" s="646"/>
      <c r="E18" s="647"/>
      <c r="F18" s="646"/>
      <c r="G18" s="647"/>
      <c r="H18" s="646"/>
      <c r="I18" s="647"/>
      <c r="J18" s="643"/>
      <c r="K18" s="1020"/>
      <c r="L18" s="1020"/>
      <c r="M18" s="670"/>
      <c r="N18" s="108"/>
      <c r="O18" s="108"/>
      <c r="P18" s="108"/>
      <c r="Q18" s="108"/>
      <c r="R18" s="108"/>
      <c r="S18" s="108"/>
      <c r="T18" s="108"/>
      <c r="U18" s="108"/>
      <c r="V18" s="108"/>
      <c r="W18" s="108"/>
      <c r="X18" s="108"/>
      <c r="Y18" s="108"/>
      <c r="Z18" s="108"/>
      <c r="AA18" s="108"/>
    </row>
    <row r="19" spans="1:27" ht="16.149999999999999" customHeight="1" x14ac:dyDescent="0.2">
      <c r="A19" s="670"/>
      <c r="B19" s="646"/>
      <c r="C19" s="647"/>
      <c r="D19" s="646"/>
      <c r="E19" s="647"/>
      <c r="F19" s="646"/>
      <c r="G19" s="647"/>
      <c r="H19" s="646"/>
      <c r="I19" s="647"/>
      <c r="J19" s="643"/>
      <c r="K19" s="1020"/>
      <c r="L19" s="1020"/>
      <c r="M19" s="670"/>
      <c r="N19" s="108"/>
      <c r="O19" s="108"/>
      <c r="P19" s="108"/>
      <c r="Q19" s="108"/>
      <c r="R19" s="108"/>
      <c r="S19" s="108"/>
      <c r="T19" s="108"/>
      <c r="U19" s="108"/>
      <c r="V19" s="108"/>
      <c r="W19" s="108"/>
      <c r="X19" s="108"/>
      <c r="Y19" s="108"/>
      <c r="Z19" s="108"/>
      <c r="AA19" s="108"/>
    </row>
    <row r="20" spans="1:27" ht="16.149999999999999" customHeight="1" x14ac:dyDescent="0.2">
      <c r="A20" s="670"/>
      <c r="B20" s="646"/>
      <c r="C20" s="647"/>
      <c r="D20" s="646"/>
      <c r="E20" s="647"/>
      <c r="F20" s="646"/>
      <c r="G20" s="647"/>
      <c r="H20" s="646"/>
      <c r="I20" s="647"/>
      <c r="J20" s="643"/>
      <c r="K20" s="648"/>
      <c r="L20" s="648"/>
      <c r="M20" s="670"/>
      <c r="N20" s="108"/>
      <c r="O20" s="108"/>
      <c r="P20" s="108"/>
      <c r="Q20" s="108"/>
      <c r="R20" s="108"/>
      <c r="S20" s="108"/>
      <c r="T20" s="108"/>
      <c r="U20" s="108"/>
      <c r="V20" s="108"/>
      <c r="W20" s="108"/>
      <c r="X20" s="108"/>
      <c r="Y20" s="108"/>
      <c r="Z20" s="108"/>
      <c r="AA20" s="108"/>
    </row>
    <row r="21" spans="1:27" ht="16.149999999999999" customHeight="1" x14ac:dyDescent="0.2">
      <c r="A21" s="670"/>
      <c r="B21" s="646"/>
      <c r="C21" s="647"/>
      <c r="D21" s="646"/>
      <c r="E21" s="647"/>
      <c r="F21" s="646"/>
      <c r="G21" s="647"/>
      <c r="H21" s="646"/>
      <c r="I21" s="647"/>
      <c r="J21" s="643"/>
      <c r="K21" s="648"/>
      <c r="L21" s="648"/>
      <c r="M21" s="670"/>
      <c r="N21" s="108"/>
      <c r="O21" s="108"/>
      <c r="P21" s="108"/>
      <c r="Q21" s="108"/>
      <c r="R21" s="108"/>
      <c r="S21" s="108"/>
      <c r="T21" s="108"/>
      <c r="U21" s="108"/>
      <c r="V21" s="108"/>
      <c r="W21" s="108"/>
      <c r="X21" s="108"/>
      <c r="Y21" s="108"/>
      <c r="Z21" s="108"/>
      <c r="AA21" s="108"/>
    </row>
    <row r="22" spans="1:27" ht="16.149999999999999" customHeight="1" x14ac:dyDescent="0.2">
      <c r="A22" s="670"/>
      <c r="B22" s="646"/>
      <c r="C22" s="647"/>
      <c r="D22" s="646"/>
      <c r="E22" s="647"/>
      <c r="F22" s="646"/>
      <c r="G22" s="647"/>
      <c r="H22" s="646"/>
      <c r="I22" s="647"/>
      <c r="J22" s="643"/>
      <c r="K22" s="648"/>
      <c r="L22" s="648"/>
      <c r="M22" s="670"/>
      <c r="N22" s="108"/>
      <c r="O22" s="108"/>
      <c r="P22" s="108"/>
      <c r="Q22" s="108"/>
      <c r="R22" s="108"/>
      <c r="S22" s="108"/>
      <c r="T22" s="108"/>
      <c r="U22" s="108"/>
      <c r="V22" s="108"/>
      <c r="W22" s="108"/>
      <c r="X22" s="108"/>
      <c r="Y22" s="108"/>
      <c r="Z22" s="108"/>
      <c r="AA22" s="108"/>
    </row>
    <row r="23" spans="1:27" ht="16.149999999999999" customHeight="1" x14ac:dyDescent="0.2">
      <c r="A23" s="670"/>
      <c r="B23" s="646"/>
      <c r="C23" s="647"/>
      <c r="D23" s="646"/>
      <c r="E23" s="647"/>
      <c r="F23" s="646"/>
      <c r="G23" s="647"/>
      <c r="H23" s="646"/>
      <c r="I23" s="647"/>
      <c r="J23" s="643"/>
      <c r="K23" s="634" t="str">
        <f>" "&amp;ListAVS!$B$155</f>
        <v xml:space="preserve"> Pomoc</v>
      </c>
      <c r="L23" s="634"/>
      <c r="M23" s="670"/>
      <c r="N23" s="108"/>
      <c r="O23" s="108"/>
      <c r="P23" s="108"/>
      <c r="Q23" s="108"/>
      <c r="R23" s="108"/>
      <c r="S23" s="108"/>
      <c r="T23" s="108"/>
      <c r="U23" s="108"/>
      <c r="V23" s="108"/>
      <c r="W23" s="108"/>
      <c r="X23" s="108"/>
      <c r="Y23" s="108"/>
      <c r="Z23" s="108"/>
      <c r="AA23" s="108"/>
    </row>
    <row r="24" spans="1:27" ht="16.149999999999999" customHeight="1" x14ac:dyDescent="0.2">
      <c r="A24" s="670"/>
      <c r="B24" s="649"/>
      <c r="C24" s="650"/>
      <c r="D24" s="649"/>
      <c r="E24" s="650"/>
      <c r="F24" s="649"/>
      <c r="G24" s="650"/>
      <c r="H24" s="649"/>
      <c r="I24" s="650"/>
      <c r="J24" s="643"/>
      <c r="K24" s="794"/>
      <c r="L24" s="794"/>
      <c r="M24" s="670"/>
      <c r="N24" s="108"/>
      <c r="O24" s="108"/>
      <c r="P24" s="108"/>
      <c r="Q24" s="108"/>
      <c r="R24" s="108"/>
      <c r="S24" s="108"/>
      <c r="T24" s="108"/>
      <c r="U24" s="108"/>
      <c r="V24" s="108"/>
      <c r="W24" s="108"/>
      <c r="X24" s="108"/>
      <c r="Y24" s="108"/>
      <c r="Z24" s="108"/>
      <c r="AA24" s="108"/>
    </row>
    <row r="25" spans="1:27" ht="3" customHeight="1" x14ac:dyDescent="0.2">
      <c r="A25" s="670"/>
      <c r="B25" s="643"/>
      <c r="C25" s="643"/>
      <c r="D25" s="643"/>
      <c r="E25" s="643"/>
      <c r="F25" s="643"/>
      <c r="G25" s="643"/>
      <c r="H25" s="643"/>
      <c r="I25" s="643"/>
      <c r="J25" s="643"/>
      <c r="K25" s="643"/>
      <c r="L25" s="643"/>
      <c r="M25" s="670"/>
      <c r="N25" s="651"/>
      <c r="O25" s="651"/>
      <c r="P25" s="108"/>
      <c r="Q25" s="108"/>
      <c r="R25" s="108"/>
      <c r="S25" s="108"/>
      <c r="T25" s="108"/>
      <c r="U25" s="108"/>
      <c r="V25" s="108"/>
      <c r="W25" s="108"/>
      <c r="X25" s="108"/>
      <c r="Y25" s="108"/>
      <c r="Z25" s="108"/>
      <c r="AA25" s="108"/>
    </row>
    <row r="26" spans="1:27" ht="19.5" customHeight="1" x14ac:dyDescent="0.2">
      <c r="A26" s="670"/>
      <c r="B26" s="1024" t="s">
        <v>3</v>
      </c>
      <c r="C26" s="1025"/>
      <c r="D26" s="1024" t="s">
        <v>4</v>
      </c>
      <c r="E26" s="1025"/>
      <c r="F26" s="1024" t="s">
        <v>5</v>
      </c>
      <c r="G26" s="1025"/>
      <c r="H26" s="1024" t="s">
        <v>638</v>
      </c>
      <c r="I26" s="1025"/>
      <c r="J26" s="670"/>
      <c r="K26" s="670"/>
      <c r="L26" s="670"/>
      <c r="M26" s="670"/>
      <c r="N26" s="108"/>
      <c r="O26" s="108"/>
      <c r="P26" s="108"/>
      <c r="Q26" s="108"/>
      <c r="R26" s="108"/>
      <c r="S26" s="108"/>
      <c r="T26" s="108"/>
      <c r="U26" s="108"/>
      <c r="V26" s="108"/>
      <c r="W26" s="108"/>
      <c r="X26" s="108"/>
      <c r="Y26" s="108"/>
      <c r="Z26" s="108"/>
      <c r="AA26" s="108"/>
    </row>
    <row r="27" spans="1:27" ht="16.149999999999999" customHeight="1" x14ac:dyDescent="0.2">
      <c r="A27" s="670"/>
      <c r="B27" s="670"/>
      <c r="C27" s="670"/>
      <c r="D27" s="670"/>
      <c r="E27" s="670"/>
      <c r="F27" s="670"/>
      <c r="G27" s="670"/>
      <c r="H27" s="670"/>
      <c r="I27" s="670"/>
      <c r="J27" s="670"/>
      <c r="K27" s="670"/>
      <c r="L27" s="670"/>
      <c r="M27" s="670"/>
      <c r="N27" s="108"/>
      <c r="O27" s="108"/>
      <c r="P27" s="108"/>
      <c r="Q27" s="108"/>
      <c r="R27" s="108"/>
      <c r="S27" s="108"/>
      <c r="T27" s="108"/>
      <c r="U27" s="108"/>
      <c r="V27" s="108"/>
      <c r="W27" s="108"/>
      <c r="X27" s="108"/>
      <c r="Y27" s="108"/>
      <c r="Z27" s="108"/>
      <c r="AA27" s="108"/>
    </row>
    <row r="28" spans="1:27" ht="16.149999999999999" customHeight="1" x14ac:dyDescent="0.2">
      <c r="A28" s="670"/>
      <c r="B28" s="1011" t="str">
        <f>ListAVS!$B$145&amp;" * "</f>
        <v xml:space="preserve">Kolor zaślepek * </v>
      </c>
      <c r="C28" s="1013"/>
      <c r="D28" s="670"/>
      <c r="E28" s="670"/>
      <c r="F28" s="806"/>
      <c r="G28" s="670"/>
      <c r="H28" s="108"/>
      <c r="I28" s="108"/>
      <c r="J28" s="108"/>
      <c r="K28" s="670"/>
      <c r="L28" s="670"/>
      <c r="M28" s="670"/>
      <c r="N28" s="108"/>
      <c r="O28" s="108"/>
      <c r="P28" s="117">
        <f>U28</f>
        <v>1</v>
      </c>
      <c r="Q28" s="108"/>
      <c r="R28" s="116">
        <v>1</v>
      </c>
      <c r="S28" s="108"/>
      <c r="T28" s="108"/>
      <c r="U28" s="370">
        <v>1</v>
      </c>
      <c r="V28" s="652"/>
      <c r="W28" s="371">
        <v>3</v>
      </c>
      <c r="X28" s="108"/>
      <c r="Y28" s="108"/>
      <c r="Z28" s="108"/>
      <c r="AA28" s="108"/>
    </row>
    <row r="29" spans="1:27" ht="16.149999999999999" customHeight="1" x14ac:dyDescent="0.2">
      <c r="A29" s="670"/>
      <c r="B29" s="670"/>
      <c r="C29" s="807"/>
      <c r="D29" s="807"/>
      <c r="E29" s="807"/>
      <c r="F29" s="807"/>
      <c r="G29" s="670"/>
      <c r="H29" s="670"/>
      <c r="I29" s="653"/>
      <c r="J29" s="653"/>
      <c r="K29" s="653"/>
      <c r="L29" s="653"/>
      <c r="M29" s="670"/>
      <c r="N29" s="108"/>
      <c r="O29" s="108"/>
      <c r="P29" s="39"/>
      <c r="Q29" s="299"/>
      <c r="R29" s="39"/>
      <c r="S29" s="108"/>
      <c r="T29" s="108"/>
      <c r="U29" s="372"/>
      <c r="V29" s="654"/>
      <c r="W29" s="372"/>
      <c r="X29" s="108"/>
      <c r="Y29" s="108"/>
      <c r="Z29" s="108"/>
      <c r="AA29" s="108"/>
    </row>
    <row r="30" spans="1:27" ht="16.149999999999999" customHeight="1" x14ac:dyDescent="0.2">
      <c r="A30" s="670"/>
      <c r="B30" s="808" t="str">
        <f>ListAVS!$B$242&amp;" [kg/m3]"</f>
        <v>Masa objętościowa materiału frontu [kg/m3]</v>
      </c>
      <c r="C30" s="809"/>
      <c r="D30" s="809"/>
      <c r="E30" s="809"/>
      <c r="F30" s="655"/>
      <c r="G30" s="809"/>
      <c r="H30" s="809"/>
      <c r="I30" s="969" t="str">
        <f>ListAVS!$B$199&amp;"      "</f>
        <v xml:space="preserve">Zmienić      </v>
      </c>
      <c r="J30" s="108"/>
      <c r="K30" s="670"/>
      <c r="L30" s="108"/>
      <c r="M30" s="670"/>
      <c r="N30" s="108"/>
      <c r="O30" s="108"/>
      <c r="P30" s="39" t="s">
        <v>6</v>
      </c>
      <c r="Q30" s="299"/>
      <c r="R30" s="39" t="s">
        <v>0</v>
      </c>
      <c r="S30" s="108"/>
      <c r="T30" s="108"/>
      <c r="U30" s="372" t="s">
        <v>6</v>
      </c>
      <c r="V30" s="654"/>
      <c r="W30" s="372" t="s">
        <v>0</v>
      </c>
      <c r="X30" s="108"/>
      <c r="Y30" s="108"/>
      <c r="Z30" s="108"/>
      <c r="AA30" s="108"/>
    </row>
    <row r="31" spans="1:27" ht="16.149999999999999" customHeight="1" x14ac:dyDescent="0.2">
      <c r="A31" s="670"/>
      <c r="B31" s="810" t="str">
        <f>MenuAVS!H74</f>
        <v xml:space="preserve">MDF  </v>
      </c>
      <c r="C31" s="811">
        <f>Q74</f>
        <v>760</v>
      </c>
      <c r="D31" s="812"/>
      <c r="E31" s="810" t="str">
        <f>MenuAVS!H76</f>
        <v xml:space="preserve">Płyta kompaktowa  </v>
      </c>
      <c r="F31" s="811">
        <f>Q76</f>
        <v>1350</v>
      </c>
      <c r="G31" s="812"/>
      <c r="H31" s="810" t="str">
        <f>MenuAVS!H79</f>
        <v xml:space="preserve">Ceramika  </v>
      </c>
      <c r="I31" s="811">
        <f>Q79</f>
        <v>2400</v>
      </c>
      <c r="J31" s="108"/>
      <c r="K31" s="108"/>
      <c r="L31" s="108"/>
      <c r="M31" s="670"/>
      <c r="N31" s="108"/>
      <c r="O31" s="108"/>
      <c r="P31" s="37" t="str">
        <f>ListAVS!$B$146</f>
        <v>Jasnoszary (HGR)</v>
      </c>
      <c r="Q31" s="108"/>
      <c r="R31" s="108" t="str">
        <f>ListAVS!$B$43</f>
        <v>Ceny podstawowe</v>
      </c>
      <c r="S31" s="108"/>
      <c r="T31" s="108"/>
      <c r="U31" s="373" t="str">
        <f>ListAVS!$B$146</f>
        <v>Jasnoszary (HGR)</v>
      </c>
      <c r="V31" s="652"/>
      <c r="W31" s="652" t="str">
        <f>ListAVS!$B$43</f>
        <v>Ceny podstawowe</v>
      </c>
      <c r="X31" s="108"/>
      <c r="Y31" s="108"/>
      <c r="Z31" s="108"/>
      <c r="AA31" s="108"/>
    </row>
    <row r="32" spans="1:27" ht="16.149999999999999" customHeight="1" x14ac:dyDescent="0.2">
      <c r="A32" s="670"/>
      <c r="B32" s="810" t="str">
        <f>MenuAVS!H75</f>
        <v xml:space="preserve">Płyta wiórowa  </v>
      </c>
      <c r="C32" s="813">
        <f>Q75</f>
        <v>680</v>
      </c>
      <c r="D32" s="812"/>
      <c r="E32" s="810" t="str">
        <f>MenuAVS!H77</f>
        <v xml:space="preserve">Płyta kompozytowa  </v>
      </c>
      <c r="F32" s="813">
        <f>Q77</f>
        <v>1700</v>
      </c>
      <c r="G32" s="812"/>
      <c r="H32" s="810" t="str">
        <f>MenuAVS!H80</f>
        <v xml:space="preserve">Beton  </v>
      </c>
      <c r="I32" s="813">
        <f>Q80</f>
        <v>2300</v>
      </c>
      <c r="J32" s="108"/>
      <c r="K32" s="108"/>
      <c r="L32" s="108"/>
      <c r="M32" s="670"/>
      <c r="N32" s="108"/>
      <c r="O32" s="108"/>
      <c r="P32" s="37" t="str">
        <f>ListAVS!$B$147</f>
        <v>Ciemnoszary (TGR)</v>
      </c>
      <c r="Q32" s="108"/>
      <c r="R32" s="108" t="str">
        <f>ListAVS!$B$44</f>
        <v>Ceny zakupu</v>
      </c>
      <c r="S32" s="108"/>
      <c r="T32" s="108"/>
      <c r="U32" s="373" t="str">
        <f>ListAVS!$B$147</f>
        <v>Ciemnoszary (TGR)</v>
      </c>
      <c r="V32" s="652"/>
      <c r="W32" s="652" t="str">
        <f>ListAVS!$B$44</f>
        <v>Ceny zakupu</v>
      </c>
      <c r="X32" s="108"/>
      <c r="Y32" s="108"/>
      <c r="Z32" s="108"/>
      <c r="AA32" s="108"/>
    </row>
    <row r="33" spans="1:27" ht="16.149999999999999" customHeight="1" x14ac:dyDescent="0.2">
      <c r="A33" s="670"/>
      <c r="B33" s="810" t="str">
        <f>MenuAVS!H81</f>
        <v xml:space="preserve">Szkło  </v>
      </c>
      <c r="C33" s="813">
        <f>Q81</f>
        <v>2500</v>
      </c>
      <c r="D33" s="812"/>
      <c r="E33" s="810" t="str">
        <f>MenuAVS!H78</f>
        <v xml:space="preserve">Kamień  </v>
      </c>
      <c r="F33" s="813">
        <f>Q78</f>
        <v>2600</v>
      </c>
      <c r="G33" s="812"/>
      <c r="H33" s="656"/>
      <c r="I33" s="656"/>
      <c r="J33" s="108"/>
      <c r="K33" s="108"/>
      <c r="L33" s="108"/>
      <c r="M33" s="670"/>
      <c r="N33" s="108"/>
      <c r="O33" s="108"/>
      <c r="P33" s="37" t="str">
        <f>ListAVS!$B$148</f>
        <v>Jedwabiście biały (SW)</v>
      </c>
      <c r="Q33" s="108"/>
      <c r="R33" s="108" t="str">
        <f>ListAVS!$B$45</f>
        <v>Ze zniżką</v>
      </c>
      <c r="S33" s="108"/>
      <c r="T33" s="108"/>
      <c r="U33" s="373" t="str">
        <f>ListAVS!$B$148</f>
        <v>Jedwabiście biały (SW)</v>
      </c>
      <c r="V33" s="652"/>
      <c r="W33" s="652" t="str">
        <f>ListAVS!$B$45</f>
        <v>Ze zniżką</v>
      </c>
      <c r="X33" s="108"/>
      <c r="Y33" s="108"/>
      <c r="Z33" s="108"/>
      <c r="AA33" s="108"/>
    </row>
    <row r="34" spans="1:27" ht="16.149999999999999" customHeight="1" x14ac:dyDescent="0.2">
      <c r="A34" s="670"/>
      <c r="B34" s="796"/>
      <c r="C34" s="248"/>
      <c r="D34" s="249"/>
      <c r="E34" s="249"/>
      <c r="F34" s="274"/>
      <c r="G34" s="670"/>
      <c r="H34" s="108"/>
      <c r="I34" s="108"/>
      <c r="J34" s="108"/>
      <c r="K34" s="108"/>
      <c r="L34" s="108"/>
      <c r="M34" s="108"/>
      <c r="N34" s="108"/>
      <c r="O34" s="108"/>
      <c r="P34" s="37"/>
      <c r="Q34" s="108"/>
      <c r="R34" s="108"/>
      <c r="S34" s="108"/>
      <c r="T34" s="108"/>
      <c r="U34" s="373"/>
      <c r="V34" s="652"/>
      <c r="W34" s="652"/>
      <c r="X34" s="108"/>
      <c r="Y34" s="108"/>
      <c r="Z34" s="108"/>
      <c r="AA34" s="108"/>
    </row>
    <row r="35" spans="1:27" ht="16.149999999999999" customHeight="1" x14ac:dyDescent="0.2">
      <c r="A35" s="670"/>
      <c r="B35" s="796"/>
      <c r="C35" s="670"/>
      <c r="D35" s="670"/>
      <c r="E35" s="670"/>
      <c r="F35" s="812"/>
      <c r="G35" s="812"/>
      <c r="H35" s="814" t="str">
        <f>ListAVS!$B$19&amp;" / "&amp;ListAVS!$B$21</f>
        <v>Szerokie ramki aluminiowe / Wąskie ramki aluminiowe</v>
      </c>
      <c r="I35" s="657" t="str">
        <f>ListAVS!$B$49&amp;"      "</f>
        <v xml:space="preserve">Ustawić      </v>
      </c>
      <c r="J35" s="108"/>
      <c r="K35" s="670"/>
      <c r="L35" s="670"/>
      <c r="M35" s="670"/>
      <c r="N35" s="108"/>
      <c r="O35" s="108"/>
      <c r="P35" s="108"/>
      <c r="Q35" s="108"/>
      <c r="R35" s="108"/>
      <c r="S35" s="108"/>
      <c r="T35" s="108"/>
      <c r="U35" s="108"/>
      <c r="V35" s="108"/>
      <c r="W35" s="108"/>
      <c r="X35" s="108"/>
      <c r="Y35" s="108"/>
      <c r="Z35" s="108"/>
      <c r="AA35" s="108"/>
    </row>
    <row r="36" spans="1:27" ht="3.75" customHeight="1" x14ac:dyDescent="0.2">
      <c r="A36" s="670"/>
      <c r="B36" s="815"/>
      <c r="C36" s="815"/>
      <c r="D36" s="815"/>
      <c r="E36" s="815"/>
      <c r="F36" s="815"/>
      <c r="G36" s="815"/>
      <c r="H36" s="815"/>
      <c r="I36" s="815"/>
      <c r="J36" s="815"/>
      <c r="K36" s="815"/>
      <c r="L36" s="815"/>
      <c r="M36" s="670"/>
      <c r="N36" s="108"/>
      <c r="O36" s="108"/>
      <c r="P36" s="108"/>
      <c r="Q36" s="108"/>
      <c r="R36" s="108"/>
      <c r="S36" s="108"/>
      <c r="T36" s="108"/>
      <c r="U36" s="108"/>
      <c r="V36" s="108"/>
      <c r="W36" s="108"/>
      <c r="X36" s="108"/>
      <c r="Y36" s="108"/>
      <c r="Z36" s="108"/>
      <c r="AA36" s="108"/>
    </row>
    <row r="37" spans="1:27" ht="5.25" customHeight="1" x14ac:dyDescent="0.2">
      <c r="A37" s="670"/>
      <c r="B37" s="670"/>
      <c r="C37" s="670"/>
      <c r="D37" s="670"/>
      <c r="E37" s="670"/>
      <c r="F37" s="670"/>
      <c r="G37" s="670"/>
      <c r="H37" s="670"/>
      <c r="I37" s="670"/>
      <c r="J37" s="670"/>
      <c r="K37" s="670"/>
      <c r="L37" s="670"/>
      <c r="M37" s="670"/>
      <c r="N37" s="108"/>
      <c r="O37" s="108"/>
      <c r="P37" s="108"/>
      <c r="Q37" s="108"/>
      <c r="R37" s="108"/>
      <c r="S37" s="108"/>
      <c r="T37" s="108"/>
      <c r="U37" s="108"/>
      <c r="V37" s="108"/>
      <c r="W37" s="108"/>
      <c r="X37" s="108"/>
      <c r="Y37" s="108"/>
      <c r="Z37" s="108"/>
      <c r="AA37" s="108"/>
    </row>
    <row r="38" spans="1:27" ht="12.75" x14ac:dyDescent="0.2">
      <c r="A38" s="670"/>
      <c r="B38" s="670"/>
      <c r="C38" s="670"/>
      <c r="D38" s="670"/>
      <c r="E38" s="670"/>
      <c r="F38" s="670"/>
      <c r="G38" s="670"/>
      <c r="H38" s="670"/>
      <c r="I38" s="670"/>
      <c r="J38" s="670"/>
      <c r="K38" s="670"/>
      <c r="L38" s="670"/>
      <c r="M38" s="670"/>
      <c r="N38" s="108"/>
      <c r="O38" s="108"/>
      <c r="P38" s="108"/>
      <c r="Q38" s="108"/>
      <c r="R38" s="108"/>
      <c r="S38" s="108"/>
      <c r="T38" s="108"/>
      <c r="U38" s="108"/>
      <c r="V38" s="108"/>
      <c r="W38" s="108"/>
      <c r="X38" s="108"/>
      <c r="Y38" s="108"/>
      <c r="Z38" s="108"/>
      <c r="AA38" s="108"/>
    </row>
    <row r="39" spans="1:27" ht="12.75" x14ac:dyDescent="0.2">
      <c r="A39" s="670"/>
      <c r="B39" s="670"/>
      <c r="C39" s="1026" t="str">
        <f>ListAVS!$B$12&amp;" "&amp;ListAVS!$B$13&amp;" "&amp;ListAVS!$B$238</f>
        <v>Aplikacja ta ułatwia zamawianie systemów AVENTOS. Wyniki nie muszą być dokładne, szczególnie w przypadku wyliczeń wagi. Firma Blum ani sprzedawcy nie ręczą za ich prawidłowość.</v>
      </c>
      <c r="D39" s="1026"/>
      <c r="E39" s="1026"/>
      <c r="F39" s="1026"/>
      <c r="G39" s="1026"/>
      <c r="H39" s="1026"/>
      <c r="I39" s="1026"/>
      <c r="J39" s="658"/>
      <c r="K39" s="670"/>
      <c r="L39" s="670"/>
      <c r="M39" s="670"/>
      <c r="N39" s="108"/>
      <c r="O39" s="108"/>
      <c r="P39" s="108"/>
      <c r="Q39" s="108"/>
      <c r="R39" s="108"/>
      <c r="S39" s="108"/>
      <c r="T39" s="108"/>
      <c r="U39" s="108"/>
      <c r="V39" s="108"/>
      <c r="W39" s="108"/>
      <c r="X39" s="108"/>
      <c r="Y39" s="108"/>
      <c r="Z39" s="108"/>
      <c r="AA39" s="108"/>
    </row>
    <row r="40" spans="1:27" ht="12.75" x14ac:dyDescent="0.2">
      <c r="A40" s="670"/>
      <c r="B40" s="394"/>
      <c r="C40" s="1026"/>
      <c r="D40" s="1026"/>
      <c r="E40" s="1026"/>
      <c r="F40" s="1026"/>
      <c r="G40" s="1026"/>
      <c r="H40" s="1026"/>
      <c r="I40" s="1026"/>
      <c r="J40" s="658"/>
      <c r="K40" s="670"/>
      <c r="L40" s="670"/>
      <c r="M40" s="670"/>
      <c r="N40" s="108"/>
      <c r="O40" s="108"/>
      <c r="P40" s="108"/>
      <c r="Q40" s="108"/>
      <c r="R40" s="108"/>
      <c r="S40" s="108"/>
      <c r="T40" s="108"/>
      <c r="U40" s="108"/>
      <c r="V40" s="108"/>
      <c r="W40" s="108"/>
      <c r="X40" s="108"/>
      <c r="Y40" s="108"/>
      <c r="Z40" s="108"/>
      <c r="AA40" s="108"/>
    </row>
    <row r="41" spans="1:27" ht="12.75" x14ac:dyDescent="0.2">
      <c r="A41" s="670"/>
      <c r="B41" s="670"/>
      <c r="C41" s="1026"/>
      <c r="D41" s="1026"/>
      <c r="E41" s="1026"/>
      <c r="F41" s="1026"/>
      <c r="G41" s="1026"/>
      <c r="H41" s="1026"/>
      <c r="I41" s="1026"/>
      <c r="J41" s="658"/>
      <c r="K41" s="670"/>
      <c r="L41" s="670"/>
      <c r="M41" s="670"/>
      <c r="N41" s="108"/>
      <c r="O41" s="108"/>
      <c r="P41" s="108"/>
      <c r="Q41" s="108"/>
      <c r="R41" s="108"/>
      <c r="S41" s="108"/>
      <c r="T41" s="108"/>
      <c r="U41" s="108"/>
      <c r="V41" s="108"/>
      <c r="W41" s="108"/>
      <c r="X41" s="108"/>
      <c r="Y41" s="108"/>
      <c r="Z41" s="108"/>
      <c r="AA41" s="108"/>
    </row>
    <row r="42" spans="1:27" ht="12.75" x14ac:dyDescent="0.2">
      <c r="A42" s="670"/>
      <c r="B42" s="670"/>
      <c r="C42" s="653" t="str">
        <f>"* "&amp;ListAVS!B416</f>
        <v>* Wybór koloru wpłynie również na kolor Tip-On oraz adapterów do Tip-On</v>
      </c>
      <c r="D42" s="670"/>
      <c r="E42" s="670"/>
      <c r="F42" s="670"/>
      <c r="G42" s="670"/>
      <c r="H42" s="670"/>
      <c r="I42" s="670"/>
      <c r="J42" s="670"/>
      <c r="K42" s="670"/>
      <c r="L42" s="670"/>
      <c r="M42" s="670"/>
      <c r="N42" s="108"/>
      <c r="O42" s="108"/>
      <c r="P42" s="108"/>
      <c r="Q42" s="108"/>
      <c r="R42" s="108"/>
      <c r="S42" s="108"/>
      <c r="T42" s="108"/>
      <c r="U42" s="108"/>
      <c r="V42" s="108"/>
      <c r="W42" s="108"/>
      <c r="X42" s="108"/>
      <c r="Y42" s="108"/>
      <c r="Z42" s="108"/>
      <c r="AA42" s="108"/>
    </row>
    <row r="43" spans="1:27" ht="12.75" x14ac:dyDescent="0.2">
      <c r="A43" s="670"/>
      <c r="B43" s="670"/>
      <c r="C43" s="670"/>
      <c r="D43" s="658"/>
      <c r="E43" s="658"/>
      <c r="F43" s="658"/>
      <c r="G43" s="658"/>
      <c r="H43" s="658"/>
      <c r="I43" s="658"/>
      <c r="J43" s="658"/>
      <c r="K43" s="670"/>
      <c r="L43" s="670"/>
      <c r="M43" s="670"/>
      <c r="N43" s="108"/>
      <c r="O43" s="108"/>
      <c r="P43" s="108"/>
      <c r="Q43" s="108"/>
      <c r="R43" s="108"/>
      <c r="S43" s="108"/>
      <c r="T43" s="108"/>
      <c r="U43" s="108"/>
      <c r="V43" s="108"/>
      <c r="W43" s="108"/>
      <c r="X43" s="108"/>
      <c r="Y43" s="108"/>
      <c r="Z43" s="108"/>
      <c r="AA43" s="108"/>
    </row>
    <row r="44" spans="1:27" ht="12.75" x14ac:dyDescent="0.2">
      <c r="A44" s="670"/>
      <c r="B44" s="670"/>
      <c r="C44" s="394"/>
      <c r="D44" s="670"/>
      <c r="E44" s="670"/>
      <c r="F44" s="670"/>
      <c r="G44" s="670"/>
      <c r="H44" s="670"/>
      <c r="I44" s="670"/>
      <c r="J44" s="670"/>
      <c r="K44" s="670"/>
      <c r="L44" s="670"/>
      <c r="M44" s="670"/>
      <c r="N44" s="108"/>
      <c r="O44" s="108"/>
      <c r="P44" s="108"/>
      <c r="Q44" s="108"/>
      <c r="R44" s="108"/>
      <c r="S44" s="108"/>
      <c r="T44" s="108"/>
      <c r="U44" s="108"/>
      <c r="V44" s="108"/>
      <c r="W44" s="108"/>
      <c r="X44" s="108"/>
      <c r="Y44" s="108"/>
      <c r="Z44" s="108"/>
      <c r="AA44" s="108"/>
    </row>
    <row r="45" spans="1:27" ht="12.75" x14ac:dyDescent="0.2">
      <c r="A45" s="670"/>
      <c r="B45" s="670"/>
      <c r="C45" s="394"/>
      <c r="D45" s="670"/>
      <c r="E45" s="670"/>
      <c r="F45" s="670"/>
      <c r="G45" s="670"/>
      <c r="H45" s="670"/>
      <c r="I45" s="670"/>
      <c r="J45" s="670"/>
      <c r="K45" s="670"/>
      <c r="L45" s="670"/>
      <c r="M45" s="670"/>
      <c r="N45" s="108"/>
      <c r="O45" s="108"/>
      <c r="P45" s="108"/>
      <c r="Q45" s="108"/>
      <c r="R45" s="108"/>
      <c r="S45" s="108"/>
      <c r="T45" s="108"/>
      <c r="U45" s="108"/>
      <c r="V45" s="108"/>
      <c r="W45" s="108"/>
      <c r="X45" s="108"/>
      <c r="Y45" s="108"/>
      <c r="Z45" s="108"/>
      <c r="AA45" s="108"/>
    </row>
    <row r="46" spans="1:27" ht="12.75" x14ac:dyDescent="0.2">
      <c r="A46" s="670"/>
      <c r="B46" s="670"/>
      <c r="C46" s="394"/>
      <c r="D46" s="670"/>
      <c r="E46" s="670"/>
      <c r="F46" s="670"/>
      <c r="G46" s="670"/>
      <c r="H46" s="670"/>
      <c r="I46" s="670"/>
      <c r="J46" s="670"/>
      <c r="K46" s="670"/>
      <c r="L46" s="670"/>
      <c r="M46" s="670"/>
      <c r="N46" s="108"/>
      <c r="O46" s="108"/>
      <c r="P46" s="108"/>
      <c r="Q46" s="108"/>
      <c r="R46" s="108"/>
      <c r="S46" s="108"/>
      <c r="T46" s="108"/>
      <c r="U46" s="108"/>
      <c r="V46" s="108"/>
      <c r="W46" s="108"/>
      <c r="X46" s="108"/>
      <c r="Y46" s="108"/>
      <c r="Z46" s="108"/>
      <c r="AA46" s="108"/>
    </row>
    <row r="47" spans="1:27" ht="12.75" x14ac:dyDescent="0.2">
      <c r="A47" s="670"/>
      <c r="B47" s="670"/>
      <c r="C47" s="394"/>
      <c r="D47" s="670"/>
      <c r="E47" s="670"/>
      <c r="F47" s="670"/>
      <c r="G47" s="670"/>
      <c r="H47" s="670"/>
      <c r="I47" s="670"/>
      <c r="J47" s="670"/>
      <c r="K47" s="670"/>
      <c r="L47" s="670"/>
      <c r="M47" s="670"/>
      <c r="N47" s="108"/>
      <c r="O47" s="108"/>
      <c r="P47" s="108"/>
      <c r="Q47" s="108"/>
      <c r="R47" s="108"/>
      <c r="S47" s="108"/>
      <c r="T47" s="108"/>
      <c r="U47" s="108"/>
      <c r="V47" s="108"/>
      <c r="W47" s="108"/>
      <c r="X47" s="108"/>
      <c r="Y47" s="108"/>
      <c r="Z47" s="108"/>
      <c r="AA47" s="108"/>
    </row>
    <row r="48" spans="1:27" ht="12.75" x14ac:dyDescent="0.2">
      <c r="A48" s="670"/>
      <c r="B48" s="670"/>
      <c r="C48" s="394"/>
      <c r="D48" s="670"/>
      <c r="E48" s="670"/>
      <c r="F48" s="670"/>
      <c r="G48" s="670"/>
      <c r="H48" s="670"/>
      <c r="I48" s="670"/>
      <c r="J48" s="670"/>
      <c r="K48" s="670"/>
      <c r="L48" s="670"/>
      <c r="M48" s="670"/>
      <c r="N48" s="108"/>
      <c r="O48" s="108"/>
      <c r="P48" s="108"/>
      <c r="Q48" s="108"/>
      <c r="R48" s="108"/>
      <c r="S48" s="108"/>
      <c r="T48" s="108"/>
      <c r="U48" s="108"/>
      <c r="V48" s="108"/>
      <c r="W48" s="108"/>
      <c r="X48" s="108"/>
      <c r="Y48" s="108"/>
      <c r="Z48" s="108"/>
      <c r="AA48" s="108"/>
    </row>
    <row r="49" spans="1:27" ht="12.75" x14ac:dyDescent="0.2">
      <c r="A49" s="670"/>
      <c r="B49" s="670"/>
      <c r="C49" s="394"/>
      <c r="D49" s="670"/>
      <c r="E49" s="670"/>
      <c r="F49" s="670"/>
      <c r="G49" s="670"/>
      <c r="H49" s="670"/>
      <c r="I49" s="670"/>
      <c r="J49" s="670"/>
      <c r="K49" s="670"/>
      <c r="L49" s="670"/>
      <c r="M49" s="670"/>
      <c r="N49" s="108"/>
      <c r="O49" s="108"/>
      <c r="P49" s="108"/>
      <c r="Q49" s="108"/>
      <c r="R49" s="108"/>
      <c r="S49" s="108"/>
      <c r="T49" s="108"/>
      <c r="U49" s="108"/>
      <c r="V49" s="108"/>
      <c r="W49" s="108"/>
      <c r="X49" s="108"/>
      <c r="Y49" s="108"/>
      <c r="Z49" s="108"/>
      <c r="AA49" s="108"/>
    </row>
    <row r="50" spans="1:27" ht="12.75" x14ac:dyDescent="0.2">
      <c r="A50" s="670"/>
      <c r="B50" s="670"/>
      <c r="C50" s="394"/>
      <c r="D50" s="670"/>
      <c r="E50" s="670"/>
      <c r="F50" s="670"/>
      <c r="G50" s="670"/>
      <c r="H50" s="670"/>
      <c r="I50" s="670"/>
      <c r="J50" s="670"/>
      <c r="K50" s="670"/>
      <c r="L50" s="670"/>
      <c r="M50" s="670"/>
      <c r="N50" s="108"/>
      <c r="O50" s="108"/>
      <c r="P50" s="108"/>
      <c r="Q50" s="108"/>
      <c r="R50" s="108"/>
      <c r="S50" s="108"/>
      <c r="T50" s="108"/>
      <c r="U50" s="108"/>
      <c r="V50" s="108"/>
      <c r="W50" s="108"/>
      <c r="X50" s="108"/>
      <c r="Y50" s="108"/>
      <c r="Z50" s="108"/>
      <c r="AA50" s="108"/>
    </row>
    <row r="51" spans="1:27" ht="12.75" x14ac:dyDescent="0.2">
      <c r="A51" s="670"/>
      <c r="B51" s="670"/>
      <c r="C51" s="394"/>
      <c r="D51" s="670"/>
      <c r="E51" s="670"/>
      <c r="F51" s="670"/>
      <c r="G51" s="670"/>
      <c r="H51" s="670"/>
      <c r="I51" s="670"/>
      <c r="J51" s="670"/>
      <c r="K51" s="670"/>
      <c r="L51" s="670"/>
      <c r="M51" s="670"/>
      <c r="N51" s="108"/>
      <c r="O51" s="108"/>
      <c r="P51" s="108"/>
      <c r="Q51" s="108"/>
      <c r="R51" s="108"/>
      <c r="S51" s="108"/>
      <c r="T51" s="108"/>
      <c r="U51" s="108"/>
      <c r="V51" s="108"/>
      <c r="W51" s="108"/>
      <c r="X51" s="108"/>
      <c r="Y51" s="108"/>
      <c r="Z51" s="108"/>
      <c r="AA51" s="108"/>
    </row>
    <row r="52" spans="1:27" ht="12.75" x14ac:dyDescent="0.2">
      <c r="A52" s="670"/>
      <c r="B52" s="670"/>
      <c r="C52" s="394"/>
      <c r="D52" s="670"/>
      <c r="E52" s="670"/>
      <c r="F52" s="670"/>
      <c r="G52" s="670"/>
      <c r="H52" s="670"/>
      <c r="I52" s="670"/>
      <c r="J52" s="670"/>
      <c r="K52" s="670"/>
      <c r="L52" s="670"/>
      <c r="M52" s="670"/>
      <c r="N52" s="108"/>
      <c r="O52" s="108"/>
      <c r="P52" s="108"/>
      <c r="Q52" s="108"/>
      <c r="R52" s="108"/>
      <c r="S52" s="108"/>
      <c r="T52" s="108"/>
      <c r="U52" s="108"/>
      <c r="V52" s="108"/>
      <c r="W52" s="108"/>
      <c r="X52" s="108"/>
      <c r="Y52" s="108"/>
      <c r="Z52" s="108"/>
      <c r="AA52" s="108"/>
    </row>
    <row r="53" spans="1:27" ht="12.75" x14ac:dyDescent="0.2">
      <c r="A53" s="670"/>
      <c r="B53" s="670"/>
      <c r="C53" s="394"/>
      <c r="D53" s="670"/>
      <c r="E53" s="670"/>
      <c r="F53" s="670"/>
      <c r="G53" s="670"/>
      <c r="H53" s="670"/>
      <c r="I53" s="670"/>
      <c r="J53" s="670"/>
      <c r="K53" s="670"/>
      <c r="L53" s="670"/>
      <c r="M53" s="670"/>
      <c r="N53" s="108"/>
      <c r="O53" s="108"/>
      <c r="P53" s="108"/>
      <c r="Q53" s="108"/>
      <c r="R53" s="108"/>
      <c r="S53" s="108"/>
      <c r="T53" s="108"/>
      <c r="U53" s="108"/>
      <c r="V53" s="108"/>
      <c r="W53" s="108"/>
      <c r="X53" s="108"/>
      <c r="Y53" s="108"/>
      <c r="Z53" s="108"/>
      <c r="AA53" s="108"/>
    </row>
    <row r="54" spans="1:27" ht="12.75" x14ac:dyDescent="0.2">
      <c r="A54" s="670"/>
      <c r="B54" s="670"/>
      <c r="C54" s="394"/>
      <c r="D54" s="670"/>
      <c r="E54" s="670"/>
      <c r="F54" s="670"/>
      <c r="G54" s="670"/>
      <c r="H54" s="670"/>
      <c r="I54" s="670"/>
      <c r="J54" s="670"/>
      <c r="K54" s="670"/>
      <c r="L54" s="670"/>
      <c r="M54" s="670"/>
      <c r="N54" s="108"/>
      <c r="O54" s="108"/>
      <c r="P54" s="108"/>
      <c r="Q54" s="108"/>
      <c r="R54" s="108"/>
      <c r="S54" s="108"/>
      <c r="T54" s="108"/>
      <c r="U54" s="108"/>
      <c r="V54" s="108"/>
      <c r="W54" s="108"/>
      <c r="X54" s="108"/>
      <c r="Y54" s="108"/>
      <c r="Z54" s="108"/>
      <c r="AA54" s="108"/>
    </row>
    <row r="55" spans="1:27" ht="12.75" x14ac:dyDescent="0.2">
      <c r="A55" s="670"/>
      <c r="B55" s="670"/>
      <c r="C55" s="394"/>
      <c r="D55" s="670"/>
      <c r="E55" s="670"/>
      <c r="F55" s="670"/>
      <c r="G55" s="670"/>
      <c r="H55" s="670"/>
      <c r="I55" s="670"/>
      <c r="J55" s="670"/>
      <c r="K55" s="670"/>
      <c r="L55" s="670"/>
      <c r="M55" s="670"/>
      <c r="N55" s="108"/>
      <c r="O55" s="108"/>
      <c r="P55" s="108"/>
      <c r="Q55" s="108"/>
      <c r="R55" s="108"/>
      <c r="S55" s="108"/>
      <c r="T55" s="108"/>
      <c r="U55" s="108"/>
      <c r="V55" s="108"/>
      <c r="W55" s="108"/>
      <c r="X55" s="108"/>
      <c r="Y55" s="108"/>
      <c r="Z55" s="108"/>
      <c r="AA55" s="108"/>
    </row>
    <row r="56" spans="1:27" ht="12.75" x14ac:dyDescent="0.2">
      <c r="A56" s="670"/>
      <c r="B56" s="670"/>
      <c r="C56" s="394"/>
      <c r="D56" s="670"/>
      <c r="E56" s="670"/>
      <c r="F56" s="670"/>
      <c r="G56" s="670"/>
      <c r="H56" s="670"/>
      <c r="I56" s="670"/>
      <c r="J56" s="670"/>
      <c r="K56" s="670"/>
      <c r="L56" s="670"/>
      <c r="M56" s="670"/>
      <c r="N56" s="108"/>
      <c r="O56" s="108"/>
      <c r="P56" s="108"/>
      <c r="Q56" s="108"/>
      <c r="R56" s="108"/>
      <c r="S56" s="108"/>
      <c r="T56" s="108"/>
      <c r="U56" s="108"/>
      <c r="V56" s="108"/>
      <c r="W56" s="108"/>
      <c r="X56" s="108"/>
      <c r="Y56" s="108"/>
      <c r="Z56" s="108"/>
      <c r="AA56" s="108"/>
    </row>
    <row r="57" spans="1:27" ht="12.75" x14ac:dyDescent="0.2">
      <c r="A57" s="670"/>
      <c r="B57" s="670"/>
      <c r="C57" s="394"/>
      <c r="D57" s="670"/>
      <c r="E57" s="670"/>
      <c r="F57" s="670"/>
      <c r="G57" s="670"/>
      <c r="H57" s="670"/>
      <c r="I57" s="670"/>
      <c r="J57" s="670"/>
      <c r="K57" s="670"/>
      <c r="L57" s="670"/>
      <c r="M57" s="670"/>
      <c r="N57" s="108"/>
      <c r="O57" s="108"/>
      <c r="P57" s="108"/>
      <c r="Q57" s="108"/>
      <c r="R57" s="108"/>
      <c r="S57" s="108"/>
      <c r="T57" s="108"/>
      <c r="U57" s="108"/>
      <c r="V57" s="108"/>
      <c r="W57" s="108"/>
      <c r="X57" s="108"/>
      <c r="Y57" s="108"/>
      <c r="Z57" s="108"/>
      <c r="AA57" s="108"/>
    </row>
    <row r="58" spans="1:27" ht="12.75" x14ac:dyDescent="0.2">
      <c r="A58" s="670"/>
      <c r="B58" s="670"/>
      <c r="C58" s="394"/>
      <c r="D58" s="670"/>
      <c r="E58" s="670"/>
      <c r="F58" s="670"/>
      <c r="G58" s="670"/>
      <c r="H58" s="670"/>
      <c r="I58" s="670"/>
      <c r="J58" s="670"/>
      <c r="K58" s="670"/>
      <c r="L58" s="670"/>
      <c r="M58" s="670"/>
      <c r="N58" s="108"/>
      <c r="O58" s="108"/>
      <c r="P58" s="108"/>
      <c r="Q58" s="108"/>
      <c r="R58" s="108"/>
      <c r="S58" s="108"/>
      <c r="T58" s="108"/>
      <c r="U58" s="108"/>
      <c r="V58" s="108"/>
      <c r="W58" s="108"/>
      <c r="X58" s="108"/>
      <c r="Y58" s="108"/>
      <c r="Z58" s="108"/>
      <c r="AA58" s="108"/>
    </row>
    <row r="59" spans="1:27" ht="12.75" x14ac:dyDescent="0.2">
      <c r="A59" s="670"/>
      <c r="B59" s="670"/>
      <c r="C59" s="394"/>
      <c r="D59" s="670"/>
      <c r="E59" s="670"/>
      <c r="F59" s="670"/>
      <c r="G59" s="670"/>
      <c r="H59" s="670"/>
      <c r="I59" s="670"/>
      <c r="J59" s="670"/>
      <c r="K59" s="670"/>
      <c r="L59" s="670"/>
      <c r="M59" s="670"/>
      <c r="N59" s="108"/>
      <c r="O59" s="108"/>
      <c r="P59" s="108"/>
      <c r="Q59" s="108"/>
      <c r="R59" s="108"/>
      <c r="S59" s="108"/>
      <c r="T59" s="108"/>
      <c r="U59" s="108"/>
      <c r="V59" s="108"/>
      <c r="W59" s="108"/>
      <c r="X59" s="108"/>
      <c r="Y59" s="108"/>
      <c r="Z59" s="108"/>
      <c r="AA59" s="108"/>
    </row>
    <row r="60" spans="1:27" ht="12.75" x14ac:dyDescent="0.2">
      <c r="A60" s="670"/>
      <c r="B60" s="670"/>
      <c r="C60" s="394"/>
      <c r="D60" s="670"/>
      <c r="E60" s="670"/>
      <c r="F60" s="670"/>
      <c r="G60" s="670"/>
      <c r="H60" s="670"/>
      <c r="I60" s="670"/>
      <c r="J60" s="670"/>
      <c r="K60" s="670"/>
      <c r="L60" s="670"/>
      <c r="M60" s="670"/>
      <c r="N60" s="108"/>
      <c r="O60" s="108"/>
      <c r="P60" s="108"/>
      <c r="Q60" s="108"/>
      <c r="R60" s="108"/>
      <c r="S60" s="108"/>
      <c r="T60" s="108"/>
      <c r="U60" s="108"/>
      <c r="V60" s="108"/>
      <c r="W60" s="108"/>
      <c r="X60" s="108"/>
      <c r="Y60" s="108"/>
      <c r="Z60" s="108"/>
      <c r="AA60" s="108"/>
    </row>
    <row r="61" spans="1:27" ht="12.75" x14ac:dyDescent="0.2">
      <c r="A61" s="670"/>
      <c r="B61" s="670"/>
      <c r="C61" s="394"/>
      <c r="D61" s="670"/>
      <c r="E61" s="670"/>
      <c r="F61" s="670"/>
      <c r="G61" s="670"/>
      <c r="H61" s="670"/>
      <c r="I61" s="670"/>
      <c r="J61" s="670"/>
      <c r="K61" s="670"/>
      <c r="L61" s="670"/>
      <c r="M61" s="670"/>
      <c r="N61" s="108"/>
      <c r="O61" s="108"/>
      <c r="P61" s="108"/>
      <c r="Q61" s="108"/>
      <c r="R61" s="108"/>
      <c r="S61" s="108"/>
      <c r="T61" s="108"/>
      <c r="U61" s="108"/>
      <c r="V61" s="108"/>
      <c r="W61" s="108"/>
      <c r="X61" s="108"/>
      <c r="Y61" s="108"/>
      <c r="Z61" s="108"/>
      <c r="AA61" s="108"/>
    </row>
    <row r="62" spans="1:27" ht="12.75" x14ac:dyDescent="0.2">
      <c r="A62" s="670"/>
      <c r="B62" s="670"/>
      <c r="C62" s="394"/>
      <c r="D62" s="670"/>
      <c r="E62" s="670"/>
      <c r="F62" s="670"/>
      <c r="G62" s="670"/>
      <c r="H62" s="670"/>
      <c r="I62" s="670"/>
      <c r="J62" s="670"/>
      <c r="K62" s="670"/>
      <c r="L62" s="670"/>
      <c r="M62" s="670"/>
      <c r="N62" s="108"/>
      <c r="O62" s="108"/>
      <c r="P62" s="108"/>
      <c r="Q62" s="108"/>
      <c r="R62" s="108"/>
      <c r="S62" s="108"/>
      <c r="T62" s="108"/>
      <c r="U62" s="108"/>
      <c r="V62" s="108"/>
      <c r="W62" s="108"/>
      <c r="X62" s="108"/>
      <c r="Y62" s="108"/>
      <c r="Z62" s="108"/>
      <c r="AA62" s="108"/>
    </row>
    <row r="63" spans="1:27" ht="12.75" x14ac:dyDescent="0.2">
      <c r="A63" s="670"/>
      <c r="B63" s="670"/>
      <c r="C63" s="394"/>
      <c r="D63" s="670"/>
      <c r="E63" s="670"/>
      <c r="F63" s="670"/>
      <c r="G63" s="670"/>
      <c r="H63" s="670"/>
      <c r="I63" s="670"/>
      <c r="J63" s="670"/>
      <c r="K63" s="670"/>
      <c r="L63" s="670"/>
      <c r="M63" s="670"/>
      <c r="N63" s="108"/>
      <c r="O63" s="108"/>
      <c r="P63" s="108"/>
      <c r="Q63" s="108"/>
      <c r="R63" s="108"/>
      <c r="S63" s="108"/>
      <c r="T63" s="108"/>
      <c r="U63" s="108"/>
      <c r="V63" s="108"/>
      <c r="W63" s="108"/>
      <c r="X63" s="108"/>
      <c r="Y63" s="108"/>
      <c r="Z63" s="108"/>
      <c r="AA63" s="108"/>
    </row>
    <row r="64" spans="1:27" ht="12.75" x14ac:dyDescent="0.2">
      <c r="A64" s="670"/>
      <c r="B64" s="670"/>
      <c r="C64" s="394"/>
      <c r="D64" s="670"/>
      <c r="E64" s="670"/>
      <c r="F64" s="670"/>
      <c r="G64" s="670"/>
      <c r="H64" s="670"/>
      <c r="I64" s="670"/>
      <c r="J64" s="670"/>
      <c r="K64" s="670"/>
      <c r="L64" s="670"/>
      <c r="M64" s="670"/>
      <c r="N64" s="108"/>
      <c r="O64" s="108"/>
      <c r="P64" s="108"/>
      <c r="Q64" s="108"/>
      <c r="R64" s="108"/>
      <c r="S64" s="108"/>
      <c r="T64" s="108"/>
      <c r="U64" s="108"/>
      <c r="V64" s="108"/>
      <c r="W64" s="108"/>
      <c r="X64" s="108"/>
      <c r="Y64" s="108"/>
      <c r="Z64" s="108"/>
      <c r="AA64" s="108"/>
    </row>
    <row r="65" spans="1:27" ht="12.6" customHeight="1" x14ac:dyDescent="0.2">
      <c r="A65" s="670"/>
      <c r="B65" s="794"/>
      <c r="C65" s="794"/>
      <c r="D65" s="794"/>
      <c r="E65" s="794"/>
      <c r="F65" s="794"/>
      <c r="G65" s="794"/>
      <c r="H65" s="794"/>
      <c r="I65" s="794"/>
      <c r="J65" s="794"/>
      <c r="K65" s="794"/>
      <c r="L65" s="670"/>
      <c r="M65" s="670"/>
      <c r="N65" s="108"/>
      <c r="O65" s="108"/>
      <c r="P65" s="108"/>
      <c r="Q65" s="108"/>
      <c r="R65" s="108"/>
      <c r="S65" s="108"/>
      <c r="T65" s="108"/>
      <c r="U65" s="108"/>
      <c r="V65" s="108"/>
      <c r="W65" s="108"/>
      <c r="X65" s="108"/>
      <c r="Y65" s="108"/>
      <c r="Z65" s="108"/>
      <c r="AA65" s="108"/>
    </row>
    <row r="66" spans="1:27" ht="12.75" x14ac:dyDescent="0.2">
      <c r="A66" s="670"/>
      <c r="B66" s="670"/>
      <c r="C66" s="670"/>
      <c r="D66" s="670"/>
      <c r="E66" s="670"/>
      <c r="F66" s="670"/>
      <c r="G66" s="670"/>
      <c r="H66" s="670"/>
      <c r="I66" s="670"/>
      <c r="J66" s="670"/>
      <c r="K66" s="670"/>
      <c r="L66" s="670"/>
      <c r="M66" s="670"/>
      <c r="N66" s="108"/>
      <c r="O66" s="108"/>
      <c r="P66" s="108"/>
      <c r="Q66" s="108"/>
      <c r="R66" s="108"/>
      <c r="S66" s="108"/>
      <c r="T66" s="108"/>
      <c r="U66" s="108"/>
      <c r="V66" s="108"/>
      <c r="W66" s="108"/>
      <c r="X66" s="108"/>
      <c r="Y66" s="108"/>
      <c r="Z66" s="108"/>
      <c r="AA66" s="108"/>
    </row>
    <row r="67" spans="1:27" x14ac:dyDescent="0.2">
      <c r="A67" s="108"/>
      <c r="B67" s="108"/>
      <c r="C67" s="108"/>
      <c r="D67" s="108"/>
      <c r="E67" s="108"/>
      <c r="F67" s="108"/>
      <c r="G67" s="108"/>
      <c r="H67" s="108"/>
      <c r="I67" s="108"/>
      <c r="J67" s="108"/>
      <c r="K67" s="108"/>
      <c r="L67" s="108"/>
      <c r="M67" s="108"/>
      <c r="N67" s="108"/>
      <c r="O67" s="108"/>
      <c r="P67" s="108"/>
      <c r="Q67" s="108"/>
      <c r="R67" s="108"/>
      <c r="S67" s="108"/>
      <c r="T67" s="108"/>
      <c r="U67" s="108"/>
      <c r="V67" s="108"/>
      <c r="W67" s="108"/>
      <c r="X67" s="108"/>
      <c r="Y67" s="108"/>
      <c r="Z67" s="108"/>
      <c r="AA67" s="108"/>
    </row>
    <row r="68" spans="1:27" x14ac:dyDescent="0.2">
      <c r="A68" s="108"/>
      <c r="B68" s="108"/>
      <c r="C68" s="108"/>
      <c r="D68" s="108"/>
      <c r="E68" s="108"/>
      <c r="F68" s="108"/>
      <c r="G68" s="108"/>
      <c r="H68" s="108"/>
      <c r="I68" s="108"/>
      <c r="J68" s="108"/>
      <c r="K68" s="108"/>
      <c r="L68" s="108"/>
      <c r="M68" s="108"/>
      <c r="N68" s="108"/>
      <c r="O68" s="108"/>
      <c r="P68" s="108"/>
      <c r="Q68" s="108"/>
      <c r="R68" s="108"/>
      <c r="S68" s="108"/>
      <c r="T68" s="108"/>
      <c r="U68" s="108"/>
      <c r="V68" s="108"/>
      <c r="W68" s="108"/>
      <c r="X68" s="108"/>
      <c r="Y68" s="108"/>
      <c r="Z68" s="108"/>
      <c r="AA68" s="108"/>
    </row>
    <row r="69" spans="1:27" ht="16.149999999999999" customHeight="1" x14ac:dyDescent="0.2">
      <c r="A69" s="980"/>
      <c r="B69" s="108"/>
      <c r="C69" s="108"/>
      <c r="D69" s="108"/>
      <c r="E69" s="659"/>
      <c r="F69" s="660"/>
      <c r="G69" s="108"/>
      <c r="H69" s="108"/>
      <c r="I69" s="659"/>
      <c r="J69" s="659"/>
      <c r="K69" s="661"/>
      <c r="L69" s="120"/>
      <c r="M69" s="108"/>
      <c r="N69" s="108"/>
      <c r="O69" s="108"/>
      <c r="P69" s="108"/>
      <c r="Q69" s="108"/>
      <c r="R69" s="108"/>
      <c r="S69" s="108"/>
      <c r="T69" s="108"/>
      <c r="U69" s="108"/>
      <c r="V69" s="108"/>
      <c r="W69" s="108"/>
      <c r="X69" s="108"/>
      <c r="Y69" s="108"/>
      <c r="Z69" s="108"/>
      <c r="AA69" s="108"/>
    </row>
    <row r="70" spans="1:27" ht="16.149999999999999" customHeight="1" x14ac:dyDescent="0.25">
      <c r="A70" s="980"/>
      <c r="B70" s="108"/>
      <c r="C70" s="108"/>
      <c r="D70" s="108"/>
      <c r="E70" s="108"/>
      <c r="F70" s="108"/>
      <c r="G70" s="108"/>
      <c r="H70" s="108"/>
      <c r="I70" s="108"/>
      <c r="J70" s="108"/>
      <c r="K70" s="662" t="str">
        <f>ListAVS!$B$402</f>
        <v>Tabela wag</v>
      </c>
      <c r="L70" s="120"/>
      <c r="M70" s="108"/>
      <c r="N70" s="108"/>
      <c r="O70" s="108"/>
      <c r="P70" s="108"/>
      <c r="Q70" s="108"/>
      <c r="R70" s="108"/>
      <c r="S70" s="108"/>
      <c r="T70" s="108"/>
      <c r="U70" s="108"/>
      <c r="V70" s="108"/>
      <c r="W70" s="108"/>
      <c r="X70" s="108"/>
      <c r="Y70" s="108"/>
      <c r="Z70" s="108"/>
      <c r="AA70" s="108"/>
    </row>
    <row r="71" spans="1:27" ht="16.149999999999999" customHeight="1" x14ac:dyDescent="0.2">
      <c r="A71" s="980"/>
      <c r="B71" s="108"/>
      <c r="C71" s="108"/>
      <c r="D71" s="108"/>
      <c r="E71" s="670"/>
      <c r="F71" s="670"/>
      <c r="G71" s="670"/>
      <c r="H71" s="670"/>
      <c r="I71" s="670"/>
      <c r="J71" s="670"/>
      <c r="K71" s="663" t="str">
        <f>ListAVS!$B$407&amp;"        "</f>
        <v xml:space="preserve">Możesz ustawić wartości dla wszystkich podnośników lub zmienić ustawienia podczas planowania poszczególnych podnośników        </v>
      </c>
      <c r="L71" s="120"/>
      <c r="M71" s="108"/>
      <c r="N71" s="108"/>
      <c r="O71" s="108"/>
      <c r="P71" s="108"/>
      <c r="Q71" s="108"/>
      <c r="R71" s="108"/>
      <c r="S71" s="108"/>
      <c r="T71" s="108"/>
      <c r="U71" s="108"/>
      <c r="V71" s="108"/>
      <c r="W71" s="108"/>
      <c r="X71" s="108"/>
      <c r="Y71" s="108"/>
      <c r="Z71" s="108"/>
      <c r="AA71" s="108"/>
    </row>
    <row r="72" spans="1:27" ht="16.149999999999999" customHeight="1" x14ac:dyDescent="0.2">
      <c r="A72" s="980"/>
      <c r="B72" s="108"/>
      <c r="C72" s="108"/>
      <c r="D72" s="108"/>
      <c r="E72" s="670"/>
      <c r="F72" s="670"/>
      <c r="G72" s="670"/>
      <c r="H72" s="670"/>
      <c r="I72" s="670"/>
      <c r="J72" s="670"/>
      <c r="K72" s="664" t="str">
        <f>ListAVS!$B$242&amp;" [kg/m3]"</f>
        <v>Masa objętościowa materiału frontu [kg/m3]</v>
      </c>
      <c r="L72" s="660"/>
      <c r="M72" s="108"/>
      <c r="N72" s="108"/>
      <c r="O72" s="108"/>
      <c r="P72" s="108"/>
      <c r="Q72" s="108"/>
      <c r="R72" s="108"/>
      <c r="S72" s="108"/>
      <c r="T72" s="108"/>
      <c r="U72" s="108"/>
      <c r="V72" s="108"/>
      <c r="W72" s="108"/>
      <c r="X72" s="108"/>
      <c r="Y72" s="108"/>
      <c r="Z72" s="108"/>
      <c r="AA72" s="108"/>
    </row>
    <row r="73" spans="1:27" ht="16.149999999999999" customHeight="1" x14ac:dyDescent="0.2">
      <c r="A73" s="980"/>
      <c r="B73" s="108"/>
      <c r="C73" s="108"/>
      <c r="D73" s="108"/>
      <c r="E73" s="670"/>
      <c r="F73" s="670"/>
      <c r="G73" s="670"/>
      <c r="H73" s="670"/>
      <c r="I73" s="816" t="str">
        <f>ListAVS!$B$399</f>
        <v>Wartość proponowana</v>
      </c>
      <c r="J73" s="816"/>
      <c r="K73" s="817" t="str">
        <f>ListAVS!$B$401</f>
        <v>Własny</v>
      </c>
      <c r="L73" s="660"/>
      <c r="M73" s="108"/>
      <c r="N73" s="108"/>
      <c r="O73" s="108"/>
      <c r="P73" s="108"/>
      <c r="Q73" s="108"/>
      <c r="R73" s="108"/>
      <c r="S73" s="108"/>
      <c r="T73" s="108"/>
      <c r="U73" s="108"/>
      <c r="V73" s="108"/>
      <c r="W73" s="108"/>
      <c r="X73" s="108"/>
      <c r="Y73" s="108"/>
      <c r="Z73" s="108"/>
      <c r="AA73" s="108"/>
    </row>
    <row r="74" spans="1:27" ht="16.149999999999999" customHeight="1" x14ac:dyDescent="0.2">
      <c r="A74" s="980"/>
      <c r="B74" s="108"/>
      <c r="C74" s="108"/>
      <c r="D74" s="659"/>
      <c r="E74" s="671"/>
      <c r="F74" s="670"/>
      <c r="G74" s="670"/>
      <c r="H74" s="797" t="str">
        <f>Param!G11&amp;" "</f>
        <v xml:space="preserve">MDF  </v>
      </c>
      <c r="I74" s="818">
        <f>Param!H11</f>
        <v>760</v>
      </c>
      <c r="J74" s="818"/>
      <c r="K74" s="260"/>
      <c r="L74" s="660"/>
      <c r="M74" s="108"/>
      <c r="N74" s="661">
        <f>IF(K74&gt;0, 1, 0)</f>
        <v>0</v>
      </c>
      <c r="O74" s="108"/>
      <c r="P74" s="108"/>
      <c r="Q74" s="665">
        <f>IF($K74&gt;0, $K74, I74)</f>
        <v>760</v>
      </c>
      <c r="R74" s="132"/>
      <c r="S74" s="108"/>
      <c r="T74" s="108"/>
      <c r="U74" s="108"/>
      <c r="V74" s="108"/>
      <c r="W74" s="108"/>
      <c r="X74" s="108"/>
      <c r="Y74" s="108"/>
      <c r="Z74" s="108"/>
      <c r="AA74" s="108"/>
    </row>
    <row r="75" spans="1:27" ht="16.149999999999999" customHeight="1" x14ac:dyDescent="0.2">
      <c r="A75" s="980"/>
      <c r="B75" s="108"/>
      <c r="C75" s="108"/>
      <c r="D75" s="659"/>
      <c r="E75" s="671"/>
      <c r="F75" s="670"/>
      <c r="G75" s="670"/>
      <c r="H75" s="797" t="str">
        <f>Param!G12&amp;" "</f>
        <v xml:space="preserve">Płyta wiórowa  </v>
      </c>
      <c r="I75" s="818">
        <f>Param!H12</f>
        <v>680</v>
      </c>
      <c r="J75" s="818"/>
      <c r="K75" s="260"/>
      <c r="L75" s="660"/>
      <c r="M75" s="108"/>
      <c r="N75" s="661">
        <f t="shared" ref="N75:N93" si="0">IF(K75&gt;0, 1, 0)</f>
        <v>0</v>
      </c>
      <c r="O75" s="108"/>
      <c r="P75" s="108"/>
      <c r="Q75" s="665">
        <f t="shared" ref="Q75:Q81" si="1">IF($K75&gt;0, $K75, I75)</f>
        <v>680</v>
      </c>
      <c r="R75" s="132"/>
      <c r="S75" s="108"/>
      <c r="T75" s="108"/>
      <c r="U75" s="108"/>
      <c r="V75" s="108"/>
      <c r="W75" s="108"/>
      <c r="X75" s="108"/>
      <c r="Y75" s="108"/>
      <c r="Z75" s="108"/>
      <c r="AA75" s="108"/>
    </row>
    <row r="76" spans="1:27" ht="16.149999999999999" customHeight="1" x14ac:dyDescent="0.2">
      <c r="A76" s="980"/>
      <c r="B76" s="108"/>
      <c r="C76" s="108"/>
      <c r="D76" s="659"/>
      <c r="E76" s="671"/>
      <c r="F76" s="670"/>
      <c r="G76" s="670"/>
      <c r="H76" s="797" t="str">
        <f>Param!G13&amp;" "</f>
        <v xml:space="preserve">Płyta kompaktowa  </v>
      </c>
      <c r="I76" s="818">
        <f>Param!H13</f>
        <v>1350</v>
      </c>
      <c r="J76" s="818"/>
      <c r="K76" s="260"/>
      <c r="L76" s="108"/>
      <c r="M76" s="108"/>
      <c r="N76" s="661">
        <f t="shared" si="0"/>
        <v>0</v>
      </c>
      <c r="O76" s="108"/>
      <c r="P76" s="108"/>
      <c r="Q76" s="665">
        <f t="shared" si="1"/>
        <v>1350</v>
      </c>
      <c r="R76" s="132"/>
      <c r="S76" s="108"/>
      <c r="T76" s="108"/>
      <c r="U76" s="108"/>
      <c r="V76" s="108"/>
      <c r="W76" s="108"/>
      <c r="X76" s="108"/>
      <c r="Y76" s="108"/>
      <c r="Z76" s="108"/>
      <c r="AA76" s="108"/>
    </row>
    <row r="77" spans="1:27" ht="16.149999999999999" customHeight="1" x14ac:dyDescent="0.2">
      <c r="A77" s="980"/>
      <c r="B77" s="108"/>
      <c r="C77" s="108"/>
      <c r="D77" s="108"/>
      <c r="E77" s="670"/>
      <c r="F77" s="670"/>
      <c r="G77" s="670"/>
      <c r="H77" s="797" t="str">
        <f>Param!G14&amp;" "</f>
        <v xml:space="preserve">Płyta kompozytowa  </v>
      </c>
      <c r="I77" s="818">
        <f>Param!H14</f>
        <v>1700</v>
      </c>
      <c r="J77" s="818"/>
      <c r="K77" s="260"/>
      <c r="L77" s="659"/>
      <c r="M77" s="108"/>
      <c r="N77" s="661">
        <f t="shared" si="0"/>
        <v>0</v>
      </c>
      <c r="O77" s="108"/>
      <c r="P77" s="108"/>
      <c r="Q77" s="665">
        <f t="shared" si="1"/>
        <v>1700</v>
      </c>
      <c r="R77" s="132"/>
      <c r="S77" s="108"/>
      <c r="T77" s="108"/>
      <c r="U77" s="108"/>
      <c r="V77" s="108"/>
      <c r="W77" s="108"/>
      <c r="X77" s="108"/>
      <c r="Y77" s="108"/>
      <c r="Z77" s="108"/>
      <c r="AA77" s="108"/>
    </row>
    <row r="78" spans="1:27" ht="16.149999999999999" customHeight="1" x14ac:dyDescent="0.2">
      <c r="A78" s="980"/>
      <c r="B78" s="108"/>
      <c r="C78" s="108"/>
      <c r="D78" s="108"/>
      <c r="E78" s="670"/>
      <c r="F78" s="670"/>
      <c r="G78" s="670"/>
      <c r="H78" s="797" t="str">
        <f>Param!G15&amp;" "</f>
        <v xml:space="preserve">Kamień  </v>
      </c>
      <c r="I78" s="818">
        <f>Param!H15</f>
        <v>2600</v>
      </c>
      <c r="J78" s="818"/>
      <c r="K78" s="260"/>
      <c r="L78" s="666"/>
      <c r="M78" s="108"/>
      <c r="N78" s="661">
        <f t="shared" si="0"/>
        <v>0</v>
      </c>
      <c r="O78" s="108"/>
      <c r="P78" s="108"/>
      <c r="Q78" s="665">
        <f t="shared" si="1"/>
        <v>2600</v>
      </c>
      <c r="R78" s="132"/>
      <c r="S78" s="108"/>
      <c r="T78" s="108"/>
      <c r="U78" s="108"/>
      <c r="V78" s="108"/>
      <c r="W78" s="108"/>
      <c r="X78" s="108"/>
      <c r="Y78" s="108"/>
      <c r="Z78" s="108"/>
      <c r="AA78" s="108"/>
    </row>
    <row r="79" spans="1:27" ht="16.149999999999999" customHeight="1" x14ac:dyDescent="0.2">
      <c r="A79" s="980"/>
      <c r="B79" s="108"/>
      <c r="C79" s="108"/>
      <c r="D79" s="108"/>
      <c r="E79" s="670"/>
      <c r="F79" s="670"/>
      <c r="G79" s="670"/>
      <c r="H79" s="797" t="str">
        <f>Param!G16&amp;" "</f>
        <v xml:space="preserve">Ceramika  </v>
      </c>
      <c r="I79" s="818">
        <f>Param!H16</f>
        <v>2400</v>
      </c>
      <c r="J79" s="818"/>
      <c r="K79" s="260"/>
      <c r="L79" s="299"/>
      <c r="M79" s="108"/>
      <c r="N79" s="661">
        <f t="shared" si="0"/>
        <v>0</v>
      </c>
      <c r="O79" s="108"/>
      <c r="P79" s="108"/>
      <c r="Q79" s="665">
        <f t="shared" si="1"/>
        <v>2400</v>
      </c>
      <c r="R79" s="132"/>
      <c r="S79" s="108"/>
      <c r="T79" s="108"/>
      <c r="U79" s="108"/>
      <c r="V79" s="108"/>
      <c r="W79" s="108"/>
      <c r="X79" s="108"/>
      <c r="Y79" s="108"/>
      <c r="Z79" s="108"/>
      <c r="AA79" s="108"/>
    </row>
    <row r="80" spans="1:27" ht="16.149999999999999" customHeight="1" x14ac:dyDescent="0.2">
      <c r="A80" s="980"/>
      <c r="B80" s="108"/>
      <c r="C80" s="108"/>
      <c r="D80" s="108"/>
      <c r="E80" s="670"/>
      <c r="F80" s="670"/>
      <c r="G80" s="670"/>
      <c r="H80" s="797" t="str">
        <f>Param!G17&amp;" "</f>
        <v xml:space="preserve">Beton  </v>
      </c>
      <c r="I80" s="818">
        <f>Param!H17</f>
        <v>2300</v>
      </c>
      <c r="J80" s="818"/>
      <c r="K80" s="260"/>
      <c r="L80" s="108"/>
      <c r="M80" s="108"/>
      <c r="N80" s="661">
        <f t="shared" si="0"/>
        <v>0</v>
      </c>
      <c r="O80" s="108"/>
      <c r="P80" s="108"/>
      <c r="Q80" s="665">
        <f t="shared" si="1"/>
        <v>2300</v>
      </c>
      <c r="R80" s="132"/>
      <c r="S80" s="108"/>
      <c r="T80" s="108"/>
      <c r="U80" s="108"/>
      <c r="V80" s="108"/>
      <c r="W80" s="108"/>
      <c r="X80" s="108"/>
      <c r="Y80" s="108"/>
      <c r="Z80" s="108"/>
      <c r="AA80" s="108"/>
    </row>
    <row r="81" spans="1:27" ht="16.149999999999999" customHeight="1" x14ac:dyDescent="0.2">
      <c r="A81" s="980"/>
      <c r="B81" s="108"/>
      <c r="C81" s="108"/>
      <c r="D81" s="108"/>
      <c r="E81" s="670"/>
      <c r="F81" s="670"/>
      <c r="G81" s="670"/>
      <c r="H81" s="797" t="str">
        <f>Param!G18&amp;" "</f>
        <v xml:space="preserve">Szkło  </v>
      </c>
      <c r="I81" s="818">
        <f>Param!H18</f>
        <v>2500</v>
      </c>
      <c r="J81" s="818"/>
      <c r="K81" s="260"/>
      <c r="L81" s="108"/>
      <c r="M81" s="108"/>
      <c r="N81" s="661">
        <f t="shared" si="0"/>
        <v>0</v>
      </c>
      <c r="O81" s="108"/>
      <c r="P81" s="108"/>
      <c r="Q81" s="665">
        <f t="shared" si="1"/>
        <v>2500</v>
      </c>
      <c r="R81" s="132"/>
      <c r="S81" s="108"/>
      <c r="T81" s="108"/>
      <c r="U81" s="108"/>
      <c r="V81" s="108"/>
      <c r="W81" s="108"/>
      <c r="X81" s="108"/>
      <c r="Y81" s="108"/>
      <c r="Z81" s="108"/>
      <c r="AA81" s="108"/>
    </row>
    <row r="82" spans="1:27" ht="16.149999999999999" customHeight="1" x14ac:dyDescent="0.2">
      <c r="A82" s="980"/>
      <c r="B82" s="108"/>
      <c r="C82" s="108"/>
      <c r="D82" s="108"/>
      <c r="E82" s="1027" t="str">
        <f>ListAVS!$B$106</f>
        <v>Aby uzyskać dokładne wartości, skontaktuj się z dostawcą materiału</v>
      </c>
      <c r="F82" s="1027"/>
      <c r="G82" s="1027"/>
      <c r="H82" s="1027"/>
      <c r="I82" s="1027"/>
      <c r="J82" s="1027"/>
      <c r="K82" s="1027"/>
      <c r="L82" s="667"/>
      <c r="M82" s="108"/>
      <c r="N82" s="661">
        <f t="shared" si="0"/>
        <v>0</v>
      </c>
      <c r="O82" s="108"/>
      <c r="P82" s="108"/>
      <c r="Q82" s="108"/>
      <c r="R82" s="132"/>
      <c r="S82" s="108"/>
      <c r="T82" s="108"/>
      <c r="U82" s="108"/>
      <c r="V82" s="108"/>
      <c r="W82" s="108"/>
      <c r="X82" s="108"/>
      <c r="Y82" s="108"/>
      <c r="Z82" s="108"/>
      <c r="AA82" s="108"/>
    </row>
    <row r="83" spans="1:27" ht="16.149999999999999" customHeight="1" x14ac:dyDescent="0.2">
      <c r="A83" s="980"/>
      <c r="B83" s="108"/>
      <c r="C83" s="108"/>
      <c r="D83" s="108"/>
      <c r="E83" s="659"/>
      <c r="F83" s="659"/>
      <c r="G83" s="659"/>
      <c r="H83" s="659"/>
      <c r="I83" s="659"/>
      <c r="J83" s="659"/>
      <c r="K83" s="659"/>
      <c r="L83" s="108"/>
      <c r="M83" s="108"/>
      <c r="N83" s="661"/>
      <c r="O83" s="108"/>
      <c r="P83" s="108"/>
      <c r="Q83" s="108"/>
      <c r="R83" s="108"/>
      <c r="S83" s="108"/>
      <c r="T83" s="108"/>
      <c r="U83" s="108"/>
      <c r="V83" s="108"/>
      <c r="W83" s="108"/>
      <c r="X83" s="108"/>
      <c r="Y83" s="108"/>
      <c r="Z83" s="108"/>
      <c r="AA83" s="108"/>
    </row>
    <row r="84" spans="1:27" ht="15.75" customHeight="1" x14ac:dyDescent="0.2">
      <c r="A84" s="980"/>
      <c r="B84" s="108"/>
      <c r="C84" s="108"/>
      <c r="D84" s="108"/>
      <c r="E84" s="797"/>
      <c r="F84" s="797"/>
      <c r="G84" s="797"/>
      <c r="H84" s="819"/>
      <c r="I84" s="108"/>
      <c r="J84" s="108"/>
      <c r="K84" s="278" t="str">
        <f>ListAVS!$D$247&amp;" [kg/bm]"</f>
        <v xml:space="preserve"> [kg/bm]</v>
      </c>
      <c r="L84" s="108"/>
      <c r="M84" s="108"/>
      <c r="N84" s="661"/>
      <c r="O84" s="108"/>
      <c r="P84" s="108"/>
      <c r="Q84" s="108"/>
      <c r="R84" s="108"/>
      <c r="S84" s="108"/>
      <c r="T84" s="108"/>
      <c r="U84" s="108"/>
      <c r="V84" s="108"/>
      <c r="W84" s="108"/>
      <c r="X84" s="108"/>
      <c r="Y84" s="108"/>
      <c r="Z84" s="108"/>
      <c r="AA84" s="108"/>
    </row>
    <row r="85" spans="1:27" ht="15.75" customHeight="1" x14ac:dyDescent="0.2">
      <c r="A85" s="980"/>
      <c r="B85" s="108"/>
      <c r="C85" s="108"/>
      <c r="D85" s="108"/>
      <c r="E85" s="797"/>
      <c r="F85" s="797"/>
      <c r="G85" s="797"/>
      <c r="H85" s="820"/>
      <c r="I85" s="821" t="str">
        <f>ListAVS!$B$399</f>
        <v>Wartość proponowana</v>
      </c>
      <c r="J85" s="821"/>
      <c r="K85" s="817" t="str">
        <f>ListAVS!$B$401</f>
        <v>Własny</v>
      </c>
      <c r="L85" s="108"/>
      <c r="M85" s="108"/>
      <c r="N85" s="661"/>
      <c r="O85" s="108"/>
      <c r="P85" s="108"/>
      <c r="Q85" s="108"/>
      <c r="R85" s="108"/>
      <c r="S85" s="108"/>
      <c r="T85" s="108"/>
      <c r="U85" s="108"/>
      <c r="V85" s="108"/>
      <c r="W85" s="108"/>
      <c r="X85" s="108"/>
      <c r="Y85" s="108"/>
      <c r="Z85" s="108"/>
      <c r="AA85" s="108"/>
    </row>
    <row r="86" spans="1:27" ht="15.75" customHeight="1" x14ac:dyDescent="0.2">
      <c r="A86" s="980"/>
      <c r="B86" s="108"/>
      <c r="C86" s="108"/>
      <c r="D86" s="108"/>
      <c r="E86" s="797"/>
      <c r="F86" s="797"/>
      <c r="G86" s="821" t="str">
        <f>ListAVS!$D$19&amp;" "&amp;ListAVS!$D$422&amp;"  "</f>
        <v xml:space="preserve">   </v>
      </c>
      <c r="H86" s="108"/>
      <c r="I86" s="822">
        <f>Param!H24</f>
        <v>0.62</v>
      </c>
      <c r="J86" s="822"/>
      <c r="K86" s="516"/>
      <c r="L86" s="108"/>
      <c r="M86" s="108"/>
      <c r="N86" s="661">
        <f t="shared" si="0"/>
        <v>0</v>
      </c>
      <c r="O86" s="108"/>
      <c r="P86" s="108"/>
      <c r="Q86" s="665">
        <f>IF($K86&gt;0, $K86, I86)</f>
        <v>0.62</v>
      </c>
      <c r="R86" s="108"/>
      <c r="S86" s="108"/>
      <c r="T86" s="108"/>
      <c r="U86" s="108"/>
      <c r="V86" s="108"/>
      <c r="W86" s="108"/>
      <c r="X86" s="108"/>
      <c r="Y86" s="108"/>
      <c r="Z86" s="108"/>
      <c r="AA86" s="108"/>
    </row>
    <row r="87" spans="1:27" ht="15.75" customHeight="1" x14ac:dyDescent="0.2">
      <c r="A87" s="980"/>
      <c r="B87" s="108"/>
      <c r="C87" s="108"/>
      <c r="D87" s="108"/>
      <c r="E87" s="797"/>
      <c r="F87" s="797"/>
      <c r="G87" s="821" t="str">
        <f>ListAVS!$D$19&amp;" "&amp;ListAVS!$D$423&amp;"  "</f>
        <v xml:space="preserve">   </v>
      </c>
      <c r="H87" s="108"/>
      <c r="I87" s="822">
        <f>Param!H25</f>
        <v>0.63</v>
      </c>
      <c r="J87" s="822"/>
      <c r="K87" s="516"/>
      <c r="L87" s="108"/>
      <c r="M87" s="108"/>
      <c r="N87" s="661">
        <f t="shared" si="0"/>
        <v>0</v>
      </c>
      <c r="O87" s="108"/>
      <c r="P87" s="108"/>
      <c r="Q87" s="665">
        <f>IF($K87&gt;0, $K87, I87)</f>
        <v>0.63</v>
      </c>
      <c r="R87" s="108"/>
      <c r="S87" s="108"/>
      <c r="T87" s="108"/>
      <c r="U87" s="108"/>
      <c r="V87" s="108"/>
      <c r="W87" s="108"/>
      <c r="X87" s="108"/>
      <c r="Y87" s="108"/>
      <c r="Z87" s="108"/>
      <c r="AA87" s="108"/>
    </row>
    <row r="88" spans="1:27" ht="15.75" customHeight="1" x14ac:dyDescent="0.2">
      <c r="A88" s="980"/>
      <c r="B88" s="108"/>
      <c r="C88" s="108"/>
      <c r="D88" s="108"/>
      <c r="E88" s="797"/>
      <c r="F88" s="797"/>
      <c r="G88" s="797"/>
      <c r="H88" s="821" t="str">
        <f>ListAVS!$B$405&amp;" [kg/set] *  "</f>
        <v xml:space="preserve">Waga materiału łączącego  [kg/set] *  </v>
      </c>
      <c r="I88" s="822">
        <f>Param!H26</f>
        <v>0.61</v>
      </c>
      <c r="J88" s="822"/>
      <c r="K88" s="516"/>
      <c r="L88" s="108"/>
      <c r="M88" s="108"/>
      <c r="N88" s="661">
        <f t="shared" si="0"/>
        <v>0</v>
      </c>
      <c r="O88" s="108"/>
      <c r="P88" s="108"/>
      <c r="Q88" s="665">
        <f>IF($K88&gt;0, $K88, I88)</f>
        <v>0.61</v>
      </c>
      <c r="R88" s="108"/>
      <c r="S88" s="108"/>
      <c r="T88" s="108"/>
      <c r="U88" s="108"/>
      <c r="V88" s="108"/>
      <c r="W88" s="108"/>
      <c r="X88" s="108"/>
      <c r="Y88" s="108"/>
      <c r="Z88" s="108"/>
      <c r="AA88" s="108"/>
    </row>
    <row r="89" spans="1:27" ht="15.75" customHeight="1" x14ac:dyDescent="0.2">
      <c r="A89" s="980"/>
      <c r="B89" s="108"/>
      <c r="C89" s="108"/>
      <c r="D89" s="108"/>
      <c r="E89" s="797"/>
      <c r="F89" s="797"/>
      <c r="G89" s="797"/>
      <c r="H89" s="823"/>
      <c r="I89" s="279"/>
      <c r="J89" s="279"/>
      <c r="K89" s="797"/>
      <c r="L89" s="108"/>
      <c r="M89" s="108"/>
      <c r="N89" s="661"/>
      <c r="O89" s="108"/>
      <c r="P89" s="108"/>
      <c r="Q89" s="108"/>
      <c r="R89" s="108"/>
      <c r="S89" s="108"/>
      <c r="T89" s="108"/>
      <c r="U89" s="108"/>
      <c r="V89" s="108"/>
      <c r="W89" s="108"/>
      <c r="X89" s="108"/>
      <c r="Y89" s="108"/>
      <c r="Z89" s="108"/>
      <c r="AA89" s="108"/>
    </row>
    <row r="90" spans="1:27" ht="15.75" customHeight="1" x14ac:dyDescent="0.2">
      <c r="A90" s="980"/>
      <c r="B90" s="108"/>
      <c r="C90" s="108"/>
      <c r="D90" s="108"/>
      <c r="E90" s="797"/>
      <c r="F90" s="797"/>
      <c r="G90" s="797"/>
      <c r="H90" s="823"/>
      <c r="I90" s="279"/>
      <c r="J90" s="279"/>
      <c r="K90" s="797"/>
      <c r="L90" s="108"/>
      <c r="M90" s="108"/>
      <c r="N90" s="661"/>
      <c r="O90" s="108"/>
      <c r="P90" s="108"/>
      <c r="Q90" s="108"/>
      <c r="R90" s="108"/>
      <c r="S90" s="108"/>
      <c r="T90" s="108"/>
      <c r="U90" s="108"/>
      <c r="V90" s="108"/>
      <c r="W90" s="108"/>
      <c r="X90" s="108"/>
      <c r="Y90" s="108"/>
      <c r="Z90" s="108"/>
      <c r="AA90" s="108"/>
    </row>
    <row r="91" spans="1:27" ht="15.75" customHeight="1" x14ac:dyDescent="0.2">
      <c r="A91" s="980"/>
      <c r="B91" s="108"/>
      <c r="C91" s="108"/>
      <c r="D91" s="108"/>
      <c r="E91" s="797"/>
      <c r="F91" s="797"/>
      <c r="G91" s="821" t="str">
        <f>ListAVS!$D$21&amp;" "&amp;ListAVS!$D$422&amp;"  "</f>
        <v xml:space="preserve">   </v>
      </c>
      <c r="H91" s="108"/>
      <c r="I91" s="822">
        <f>Param!H29</f>
        <v>0.31</v>
      </c>
      <c r="J91" s="822"/>
      <c r="K91" s="516"/>
      <c r="L91" s="108"/>
      <c r="M91" s="108"/>
      <c r="N91" s="661">
        <f t="shared" si="0"/>
        <v>0</v>
      </c>
      <c r="O91" s="108"/>
      <c r="P91" s="108"/>
      <c r="Q91" s="665">
        <f>IF($K91&gt;0, $K91, I91)</f>
        <v>0.31</v>
      </c>
      <c r="R91" s="108"/>
      <c r="S91" s="108"/>
      <c r="T91" s="108"/>
      <c r="U91" s="108"/>
      <c r="V91" s="108"/>
      <c r="W91" s="108"/>
      <c r="X91" s="108"/>
      <c r="Y91" s="108"/>
      <c r="Z91" s="108"/>
      <c r="AA91" s="108"/>
    </row>
    <row r="92" spans="1:27" ht="15.75" customHeight="1" x14ac:dyDescent="0.2">
      <c r="A92" s="980"/>
      <c r="B92" s="108"/>
      <c r="C92" s="108"/>
      <c r="D92" s="108"/>
      <c r="E92" s="797"/>
      <c r="F92" s="797"/>
      <c r="G92" s="821" t="str">
        <f>ListAVS!$D$21&amp;" "&amp;ListAVS!$D$423&amp;"  "</f>
        <v xml:space="preserve">   </v>
      </c>
      <c r="H92" s="108"/>
      <c r="I92" s="822">
        <f>Param!H30</f>
        <v>0.32</v>
      </c>
      <c r="J92" s="822"/>
      <c r="K92" s="516"/>
      <c r="L92" s="108"/>
      <c r="M92" s="108"/>
      <c r="N92" s="661">
        <f t="shared" si="0"/>
        <v>0</v>
      </c>
      <c r="O92" s="108"/>
      <c r="P92" s="108"/>
      <c r="Q92" s="665">
        <f>IF($K92&gt;0, $K92, I92)</f>
        <v>0.32</v>
      </c>
      <c r="R92" s="108"/>
      <c r="S92" s="108"/>
      <c r="T92" s="108"/>
      <c r="U92" s="108"/>
      <c r="V92" s="108"/>
      <c r="W92" s="108"/>
      <c r="X92" s="108"/>
      <c r="Y92" s="108"/>
      <c r="Z92" s="108"/>
      <c r="AA92" s="108"/>
    </row>
    <row r="93" spans="1:27" ht="15.75" customHeight="1" x14ac:dyDescent="0.2">
      <c r="A93" s="980"/>
      <c r="B93" s="108"/>
      <c r="C93" s="108"/>
      <c r="D93" s="108"/>
      <c r="E93" s="797"/>
      <c r="F93" s="797"/>
      <c r="G93" s="797"/>
      <c r="H93" s="821" t="str">
        <f>ListAVS!$B$405&amp;" [kg/set] *  "</f>
        <v xml:space="preserve">Waga materiału łączącego  [kg/set] *  </v>
      </c>
      <c r="I93" s="822">
        <f>Param!H31</f>
        <v>0.46</v>
      </c>
      <c r="J93" s="822"/>
      <c r="K93" s="516"/>
      <c r="L93" s="108"/>
      <c r="M93" s="108"/>
      <c r="N93" s="661">
        <f t="shared" si="0"/>
        <v>0</v>
      </c>
      <c r="O93" s="108"/>
      <c r="P93" s="108"/>
      <c r="Q93" s="665">
        <f>IF($K93&gt;0, $K93, I93)</f>
        <v>0.46</v>
      </c>
      <c r="R93" s="108"/>
      <c r="S93" s="108"/>
      <c r="T93" s="108"/>
      <c r="U93" s="108"/>
      <c r="V93" s="108"/>
      <c r="W93" s="108"/>
      <c r="X93" s="108"/>
      <c r="Y93" s="108"/>
      <c r="Z93" s="108"/>
      <c r="AA93" s="108"/>
    </row>
    <row r="94" spans="1:27" ht="16.149999999999999" customHeight="1" x14ac:dyDescent="0.2">
      <c r="A94" s="980"/>
      <c r="B94" s="108"/>
      <c r="C94" s="108"/>
      <c r="D94" s="108"/>
      <c r="E94" s="108"/>
      <c r="F94" s="108"/>
      <c r="G94" s="108"/>
      <c r="H94" s="108"/>
      <c r="I94" s="108"/>
      <c r="J94" s="108"/>
      <c r="K94" s="108"/>
      <c r="L94" s="668"/>
      <c r="M94" s="108"/>
      <c r="N94" s="108"/>
      <c r="O94" s="108"/>
      <c r="P94" s="108"/>
      <c r="Q94" s="108"/>
      <c r="R94" s="108"/>
      <c r="S94" s="108"/>
      <c r="T94" s="108"/>
      <c r="U94" s="108"/>
      <c r="V94" s="108"/>
      <c r="W94" s="108"/>
      <c r="X94" s="108"/>
      <c r="Y94" s="108"/>
      <c r="Z94" s="108"/>
      <c r="AA94" s="108"/>
    </row>
    <row r="95" spans="1:27" ht="16.149999999999999" customHeight="1" x14ac:dyDescent="0.2">
      <c r="A95" s="980"/>
      <c r="B95" s="108"/>
      <c r="C95" s="108"/>
      <c r="D95" s="659"/>
      <c r="E95" s="1027" t="str">
        <f>ListAVS!$B$106</f>
        <v>Aby uzyskać dokładne wartości, skontaktuj się z dostawcą materiału</v>
      </c>
      <c r="F95" s="1027"/>
      <c r="G95" s="1027"/>
      <c r="H95" s="1027"/>
      <c r="I95" s="1027"/>
      <c r="J95" s="1027"/>
      <c r="K95" s="1027"/>
      <c r="L95" s="108"/>
      <c r="M95" s="108"/>
      <c r="N95" s="661">
        <f>SUM(N74:N94)</f>
        <v>0</v>
      </c>
      <c r="O95" s="108"/>
      <c r="P95" s="108"/>
      <c r="Q95" s="108"/>
      <c r="R95" s="108"/>
      <c r="S95" s="108"/>
      <c r="T95" s="108"/>
      <c r="U95" s="108"/>
      <c r="V95" s="108"/>
      <c r="W95" s="108"/>
      <c r="X95" s="108"/>
      <c r="Y95" s="108"/>
      <c r="Z95" s="108"/>
      <c r="AA95" s="108"/>
    </row>
    <row r="96" spans="1:27" ht="16.149999999999999" customHeight="1" x14ac:dyDescent="0.2">
      <c r="A96" s="980"/>
      <c r="B96" s="108"/>
      <c r="C96" s="108"/>
      <c r="D96" s="659"/>
      <c r="E96" s="659"/>
      <c r="F96" s="659"/>
      <c r="G96" s="659"/>
      <c r="H96" s="659"/>
      <c r="I96" s="659"/>
      <c r="J96" s="659"/>
      <c r="K96" s="659"/>
      <c r="L96" s="108"/>
      <c r="M96" s="108"/>
      <c r="N96" s="108"/>
      <c r="O96" s="108"/>
      <c r="P96" s="108"/>
      <c r="Q96" s="108"/>
      <c r="R96" s="108"/>
      <c r="S96" s="108"/>
      <c r="T96" s="108"/>
      <c r="U96" s="108"/>
      <c r="V96" s="108"/>
      <c r="W96" s="108"/>
      <c r="X96" s="108"/>
      <c r="Y96" s="108"/>
      <c r="Z96" s="108"/>
      <c r="AA96" s="108"/>
    </row>
    <row r="97" spans="1:27" ht="16.149999999999999" customHeight="1" x14ac:dyDescent="0.2">
      <c r="A97" s="980"/>
      <c r="B97" s="108"/>
      <c r="C97" s="108"/>
      <c r="D97" s="108"/>
      <c r="E97" s="108"/>
      <c r="F97" s="108"/>
      <c r="G97" s="108"/>
      <c r="H97" s="108"/>
      <c r="I97" s="108"/>
      <c r="J97" s="108"/>
      <c r="K97" s="108"/>
      <c r="L97" s="108"/>
      <c r="M97" s="108"/>
      <c r="N97" s="108"/>
      <c r="O97" s="108"/>
      <c r="P97" s="108"/>
      <c r="Q97" s="108"/>
      <c r="R97" s="108"/>
      <c r="S97" s="108"/>
      <c r="T97" s="108"/>
      <c r="U97" s="108"/>
      <c r="V97" s="108"/>
      <c r="W97" s="108"/>
      <c r="X97" s="108"/>
      <c r="Y97" s="108"/>
      <c r="Z97" s="108"/>
      <c r="AA97" s="108"/>
    </row>
    <row r="98" spans="1:27" ht="16.149999999999999" customHeight="1" x14ac:dyDescent="0.2">
      <c r="A98" s="980"/>
      <c r="B98" s="108"/>
      <c r="C98" s="108"/>
      <c r="D98" s="108"/>
      <c r="E98" s="108"/>
      <c r="F98" s="108"/>
      <c r="G98" s="108"/>
      <c r="H98" s="108"/>
      <c r="I98" s="108"/>
      <c r="J98" s="108"/>
      <c r="K98" s="663" t="str">
        <f>ListAVS!$B$408&amp;"        "</f>
        <v xml:space="preserve">Jeśli chcesz zachować zmiany, wróć do wstępu i zapisz plik.        </v>
      </c>
      <c r="L98" s="108"/>
      <c r="M98" s="108"/>
      <c r="N98" s="108"/>
      <c r="O98" s="108"/>
      <c r="P98" s="108"/>
      <c r="Q98" s="108"/>
      <c r="R98" s="108"/>
      <c r="S98" s="108"/>
      <c r="T98" s="108"/>
      <c r="U98" s="108"/>
      <c r="V98" s="108"/>
      <c r="W98" s="108"/>
      <c r="X98" s="108"/>
      <c r="Y98" s="108"/>
      <c r="Z98" s="108"/>
      <c r="AA98" s="108"/>
    </row>
    <row r="99" spans="1:27" ht="16.149999999999999" customHeight="1" x14ac:dyDescent="0.2">
      <c r="A99" s="980"/>
      <c r="B99" s="108"/>
      <c r="C99" s="108"/>
      <c r="D99" s="108"/>
      <c r="E99" s="108"/>
      <c r="F99" s="108"/>
      <c r="G99" s="108"/>
      <c r="H99" s="108"/>
      <c r="I99" s="108"/>
      <c r="J99" s="108"/>
      <c r="K99" s="108"/>
      <c r="L99" s="108"/>
      <c r="M99" s="108"/>
      <c r="N99" s="108"/>
      <c r="O99" s="108"/>
      <c r="P99" s="108"/>
      <c r="Q99" s="108"/>
      <c r="R99" s="108"/>
      <c r="S99" s="108"/>
      <c r="T99" s="108"/>
      <c r="U99" s="108"/>
      <c r="V99" s="108"/>
      <c r="W99" s="108"/>
      <c r="X99" s="108"/>
      <c r="Y99" s="108"/>
      <c r="Z99" s="108"/>
      <c r="AA99" s="108"/>
    </row>
    <row r="100" spans="1:27" ht="16.149999999999999" customHeight="1" x14ac:dyDescent="0.2">
      <c r="A100" s="980"/>
      <c r="B100" s="108"/>
      <c r="C100" s="108"/>
      <c r="D100" s="108"/>
      <c r="E100" s="108"/>
      <c r="F100" s="108"/>
      <c r="G100" s="108"/>
      <c r="H100" s="108"/>
      <c r="I100" s="108"/>
      <c r="J100" s="108"/>
      <c r="K100" s="108"/>
      <c r="L100" s="669" t="str">
        <f>ListAVS!$B$168</f>
        <v>Z powrotem</v>
      </c>
      <c r="M100" s="108"/>
      <c r="N100" s="108"/>
      <c r="O100" s="108"/>
      <c r="P100" s="108"/>
      <c r="Q100" s="108"/>
      <c r="R100" s="108"/>
      <c r="S100" s="108"/>
      <c r="T100" s="108"/>
      <c r="U100" s="108"/>
      <c r="V100" s="108"/>
      <c r="W100" s="108"/>
      <c r="X100" s="108"/>
      <c r="Y100" s="108"/>
      <c r="Z100" s="108"/>
      <c r="AA100" s="108"/>
    </row>
    <row r="101" spans="1:27" x14ac:dyDescent="0.2">
      <c r="A101" s="980"/>
      <c r="B101" s="108"/>
      <c r="C101" s="108"/>
      <c r="D101" s="108"/>
      <c r="E101" s="108"/>
      <c r="F101" s="108"/>
      <c r="G101" s="108"/>
      <c r="H101" s="108"/>
      <c r="I101" s="108"/>
      <c r="J101" s="108"/>
      <c r="K101" s="108"/>
      <c r="L101" s="108"/>
      <c r="M101" s="108"/>
      <c r="N101" s="108"/>
      <c r="O101" s="108"/>
      <c r="P101" s="108"/>
      <c r="Q101" s="108"/>
      <c r="R101" s="108"/>
      <c r="S101" s="108"/>
      <c r="T101" s="108"/>
      <c r="U101" s="108"/>
      <c r="V101" s="108"/>
      <c r="W101" s="108"/>
      <c r="X101" s="108"/>
      <c r="Y101" s="108"/>
      <c r="Z101" s="108"/>
      <c r="AA101" s="108"/>
    </row>
    <row r="102" spans="1:27" x14ac:dyDescent="0.2">
      <c r="A102" s="980"/>
      <c r="B102" s="108"/>
      <c r="C102" s="108"/>
      <c r="D102" s="108"/>
      <c r="E102" s="108"/>
      <c r="F102" s="108"/>
      <c r="G102" s="108"/>
      <c r="H102" s="108"/>
      <c r="I102" s="108"/>
      <c r="J102" s="108"/>
      <c r="K102" s="108"/>
      <c r="L102" s="108"/>
      <c r="M102" s="108"/>
      <c r="N102" s="108"/>
      <c r="O102" s="108"/>
      <c r="P102" s="108"/>
      <c r="Q102" s="108"/>
      <c r="R102" s="108"/>
      <c r="S102" s="108"/>
      <c r="T102" s="108"/>
      <c r="U102" s="108"/>
      <c r="V102" s="108"/>
      <c r="W102" s="108"/>
      <c r="X102" s="108"/>
      <c r="Y102" s="108"/>
      <c r="Z102" s="108"/>
      <c r="AA102" s="108"/>
    </row>
    <row r="103" spans="1:27" x14ac:dyDescent="0.2">
      <c r="A103" s="980"/>
      <c r="B103" s="108"/>
      <c r="C103" s="108"/>
      <c r="D103" s="108"/>
      <c r="E103" s="108"/>
      <c r="F103" s="108"/>
      <c r="G103" s="108"/>
      <c r="H103" s="108"/>
      <c r="I103" s="108"/>
      <c r="J103" s="108"/>
      <c r="K103" s="108"/>
      <c r="L103" s="108"/>
      <c r="M103" s="108"/>
      <c r="N103" s="108"/>
      <c r="O103" s="108"/>
      <c r="P103" s="108"/>
      <c r="Q103" s="108"/>
      <c r="R103" s="108"/>
      <c r="S103" s="108"/>
      <c r="T103" s="108"/>
      <c r="U103" s="108"/>
      <c r="V103" s="108"/>
      <c r="W103" s="108"/>
      <c r="X103" s="108"/>
      <c r="Y103" s="108"/>
      <c r="Z103" s="108"/>
      <c r="AA103" s="108"/>
    </row>
    <row r="104" spans="1:27" x14ac:dyDescent="0.2">
      <c r="A104" s="108"/>
      <c r="B104" s="108"/>
      <c r="C104" s="108"/>
      <c r="D104" s="108"/>
      <c r="E104" s="108"/>
      <c r="F104" s="108"/>
      <c r="G104" s="108"/>
      <c r="H104" s="108"/>
      <c r="I104" s="108"/>
      <c r="J104" s="108"/>
      <c r="K104" s="108"/>
      <c r="L104" s="108"/>
      <c r="M104" s="108"/>
      <c r="N104" s="108"/>
      <c r="O104" s="108"/>
      <c r="P104" s="108"/>
      <c r="Q104" s="108"/>
      <c r="R104" s="108"/>
      <c r="S104" s="108"/>
      <c r="T104" s="108"/>
      <c r="U104" s="108"/>
      <c r="V104" s="108"/>
      <c r="W104" s="108"/>
      <c r="X104" s="108"/>
      <c r="Y104" s="108"/>
      <c r="Z104" s="108"/>
      <c r="AA104" s="108"/>
    </row>
    <row r="105" spans="1:27" x14ac:dyDescent="0.2">
      <c r="A105" s="108"/>
      <c r="B105" s="108"/>
      <c r="C105" s="108"/>
      <c r="D105" s="108"/>
      <c r="E105" s="108"/>
      <c r="F105" s="108"/>
      <c r="G105" s="108"/>
      <c r="H105" s="108"/>
      <c r="I105" s="108"/>
      <c r="J105" s="108"/>
      <c r="K105" s="108"/>
      <c r="L105" s="108"/>
      <c r="M105" s="108"/>
      <c r="N105" s="108"/>
      <c r="O105" s="108"/>
      <c r="P105" s="108"/>
      <c r="Q105" s="108"/>
      <c r="R105" s="108"/>
      <c r="S105" s="108"/>
      <c r="T105" s="108"/>
      <c r="U105" s="108"/>
      <c r="V105" s="108"/>
      <c r="W105" s="108"/>
      <c r="X105" s="108"/>
      <c r="Y105" s="108"/>
      <c r="Z105" s="108"/>
      <c r="AA105" s="108"/>
    </row>
    <row r="106" spans="1:27" x14ac:dyDescent="0.2">
      <c r="A106" s="108"/>
      <c r="B106" s="108"/>
      <c r="C106" s="108"/>
      <c r="D106" s="108"/>
      <c r="E106" s="108"/>
      <c r="F106" s="108"/>
      <c r="G106" s="108"/>
      <c r="H106" s="108"/>
      <c r="I106" s="108"/>
      <c r="J106" s="108"/>
      <c r="K106" s="108"/>
      <c r="L106" s="108"/>
      <c r="M106" s="108"/>
      <c r="N106" s="108"/>
      <c r="O106" s="108"/>
      <c r="P106" s="108"/>
      <c r="Q106" s="108"/>
      <c r="R106" s="108"/>
      <c r="S106" s="108"/>
      <c r="T106" s="108"/>
      <c r="U106" s="108"/>
      <c r="V106" s="108"/>
      <c r="W106" s="108"/>
      <c r="X106" s="108"/>
      <c r="Y106" s="108"/>
      <c r="Z106" s="108"/>
      <c r="AA106" s="108"/>
    </row>
    <row r="107" spans="1:27" x14ac:dyDescent="0.2">
      <c r="A107" s="108"/>
      <c r="B107" s="108"/>
      <c r="C107" s="108"/>
      <c r="D107" s="108"/>
      <c r="E107" s="108"/>
      <c r="F107" s="108"/>
      <c r="G107" s="108"/>
      <c r="H107" s="108"/>
      <c r="I107" s="108"/>
      <c r="J107" s="108"/>
      <c r="K107" s="108"/>
      <c r="L107" s="108"/>
      <c r="M107" s="108"/>
      <c r="N107" s="108"/>
      <c r="O107" s="108"/>
      <c r="P107" s="108"/>
      <c r="Q107" s="108"/>
      <c r="R107" s="108"/>
      <c r="S107" s="108"/>
      <c r="T107" s="108"/>
      <c r="U107" s="108"/>
      <c r="V107" s="108"/>
      <c r="W107" s="108"/>
      <c r="X107" s="108"/>
      <c r="Y107" s="108"/>
      <c r="Z107" s="108"/>
      <c r="AA107" s="108"/>
    </row>
    <row r="108" spans="1:27" x14ac:dyDescent="0.2">
      <c r="A108" s="108"/>
      <c r="B108" s="108"/>
      <c r="C108" s="108"/>
      <c r="D108" s="108"/>
      <c r="E108" s="108"/>
      <c r="F108" s="108"/>
      <c r="G108" s="108"/>
      <c r="H108" s="108"/>
      <c r="I108" s="108"/>
      <c r="J108" s="108"/>
      <c r="K108" s="108"/>
      <c r="L108" s="108"/>
      <c r="M108" s="108"/>
      <c r="N108" s="108"/>
      <c r="O108" s="108"/>
      <c r="P108" s="108"/>
      <c r="Q108" s="108"/>
      <c r="R108" s="108"/>
      <c r="S108" s="108"/>
      <c r="T108" s="108"/>
      <c r="U108" s="108"/>
      <c r="V108" s="108"/>
      <c r="W108" s="108"/>
      <c r="X108" s="108"/>
      <c r="Y108" s="108"/>
      <c r="Z108" s="108"/>
      <c r="AA108" s="108"/>
    </row>
    <row r="109" spans="1:27" x14ac:dyDescent="0.2">
      <c r="A109" s="108"/>
      <c r="B109" s="108"/>
      <c r="C109" s="108"/>
      <c r="D109" s="108"/>
      <c r="E109" s="108"/>
      <c r="F109" s="108"/>
      <c r="G109" s="108"/>
      <c r="H109" s="108"/>
      <c r="I109" s="108"/>
      <c r="J109" s="108"/>
      <c r="K109" s="108"/>
      <c r="L109" s="108"/>
      <c r="M109" s="108"/>
      <c r="N109" s="108"/>
      <c r="O109" s="108"/>
      <c r="P109" s="108"/>
      <c r="Q109" s="108"/>
      <c r="R109" s="108"/>
      <c r="S109" s="108"/>
      <c r="T109" s="108"/>
      <c r="U109" s="108"/>
      <c r="V109" s="108"/>
      <c r="W109" s="108"/>
      <c r="X109" s="108"/>
      <c r="Y109" s="108"/>
      <c r="Z109" s="108"/>
      <c r="AA109" s="108"/>
    </row>
    <row r="110" spans="1:27" x14ac:dyDescent="0.2">
      <c r="A110" s="108"/>
      <c r="B110" s="108"/>
      <c r="C110" s="108"/>
      <c r="D110" s="108"/>
      <c r="E110" s="108"/>
      <c r="F110" s="108"/>
      <c r="G110" s="108"/>
      <c r="H110" s="108"/>
      <c r="I110" s="108"/>
      <c r="J110" s="108"/>
      <c r="K110" s="108"/>
      <c r="L110" s="108"/>
      <c r="M110" s="108"/>
      <c r="N110" s="108"/>
      <c r="O110" s="108"/>
      <c r="P110" s="108"/>
      <c r="Q110" s="108"/>
      <c r="R110" s="108"/>
      <c r="S110" s="108"/>
      <c r="T110" s="108"/>
      <c r="U110" s="108"/>
      <c r="V110" s="108"/>
      <c r="W110" s="108"/>
      <c r="X110" s="108"/>
      <c r="Y110" s="108"/>
      <c r="Z110" s="108"/>
      <c r="AA110" s="108"/>
    </row>
    <row r="111" spans="1:27" x14ac:dyDescent="0.2">
      <c r="A111" s="108"/>
      <c r="B111" s="108"/>
      <c r="C111" s="108"/>
      <c r="D111" s="108"/>
      <c r="E111" s="108"/>
      <c r="F111" s="108"/>
      <c r="G111" s="108"/>
      <c r="H111" s="108"/>
      <c r="I111" s="108"/>
      <c r="J111" s="108"/>
      <c r="K111" s="108"/>
      <c r="L111" s="108"/>
      <c r="M111" s="108"/>
      <c r="N111" s="108"/>
      <c r="O111" s="108"/>
      <c r="P111" s="108"/>
      <c r="Q111" s="108"/>
      <c r="R111" s="108"/>
      <c r="S111" s="108"/>
      <c r="T111" s="108"/>
      <c r="U111" s="108"/>
      <c r="V111" s="108"/>
      <c r="W111" s="108"/>
      <c r="X111" s="108"/>
      <c r="Y111" s="108"/>
      <c r="Z111" s="108"/>
      <c r="AA111" s="108"/>
    </row>
    <row r="112" spans="1:27" x14ac:dyDescent="0.2">
      <c r="A112" s="108"/>
      <c r="B112" s="108"/>
      <c r="C112" s="108"/>
      <c r="D112" s="108"/>
      <c r="E112" s="108"/>
      <c r="F112" s="108"/>
      <c r="G112" s="108"/>
      <c r="H112" s="108"/>
      <c r="I112" s="108"/>
      <c r="J112" s="108"/>
      <c r="K112" s="108"/>
      <c r="L112" s="108"/>
      <c r="M112" s="108"/>
      <c r="N112" s="108"/>
      <c r="O112" s="108"/>
      <c r="P112" s="108"/>
      <c r="Q112" s="108"/>
      <c r="R112" s="108"/>
      <c r="S112" s="108"/>
      <c r="T112" s="108"/>
      <c r="U112" s="108"/>
      <c r="V112" s="108"/>
      <c r="W112" s="108"/>
      <c r="X112" s="108"/>
      <c r="Y112" s="108"/>
      <c r="Z112" s="108"/>
      <c r="AA112" s="108"/>
    </row>
    <row r="113" spans="1:27" x14ac:dyDescent="0.2">
      <c r="A113" s="108"/>
      <c r="B113" s="108"/>
      <c r="C113" s="108"/>
      <c r="D113" s="108"/>
      <c r="E113" s="108"/>
      <c r="F113" s="108"/>
      <c r="G113" s="108"/>
      <c r="H113" s="108"/>
      <c r="I113" s="108"/>
      <c r="J113" s="108"/>
      <c r="K113" s="108"/>
      <c r="L113" s="108"/>
      <c r="M113" s="108"/>
      <c r="N113" s="108"/>
      <c r="O113" s="108"/>
      <c r="P113" s="108"/>
      <c r="Q113" s="108"/>
      <c r="R113" s="108"/>
      <c r="S113" s="108"/>
      <c r="T113" s="108"/>
      <c r="U113" s="108"/>
      <c r="V113" s="108"/>
      <c r="W113" s="108"/>
      <c r="X113" s="108"/>
      <c r="Y113" s="108"/>
      <c r="Z113" s="108"/>
      <c r="AA113" s="108"/>
    </row>
    <row r="114" spans="1:27" x14ac:dyDescent="0.2">
      <c r="A114" s="108"/>
      <c r="B114" s="108"/>
      <c r="C114" s="108"/>
      <c r="D114" s="108"/>
      <c r="E114" s="108"/>
      <c r="F114" s="108"/>
      <c r="G114" s="108"/>
      <c r="H114" s="108"/>
      <c r="I114" s="108"/>
      <c r="J114" s="108"/>
      <c r="K114" s="108"/>
      <c r="L114" s="108"/>
      <c r="M114" s="108"/>
      <c r="N114" s="108"/>
      <c r="O114" s="108"/>
      <c r="P114" s="108"/>
      <c r="Q114" s="108"/>
      <c r="R114" s="108"/>
      <c r="S114" s="108"/>
      <c r="T114" s="108"/>
      <c r="U114" s="108"/>
      <c r="V114" s="108"/>
      <c r="W114" s="108"/>
      <c r="X114" s="108"/>
      <c r="Y114" s="108"/>
      <c r="Z114" s="108"/>
      <c r="AA114" s="108"/>
    </row>
    <row r="115" spans="1:27" x14ac:dyDescent="0.2">
      <c r="A115" s="108"/>
      <c r="B115" s="108"/>
      <c r="C115" s="108"/>
      <c r="D115" s="108"/>
      <c r="E115" s="108"/>
      <c r="F115" s="108"/>
      <c r="G115" s="108"/>
      <c r="H115" s="108"/>
      <c r="I115" s="108"/>
      <c r="J115" s="108"/>
      <c r="K115" s="108"/>
      <c r="L115" s="108"/>
      <c r="M115" s="108"/>
      <c r="N115" s="108"/>
      <c r="O115" s="108"/>
      <c r="P115" s="108"/>
      <c r="Q115" s="108"/>
      <c r="R115" s="108"/>
      <c r="S115" s="108"/>
      <c r="T115" s="108"/>
      <c r="U115" s="108"/>
      <c r="V115" s="108"/>
      <c r="W115" s="108"/>
      <c r="X115" s="108"/>
      <c r="Y115" s="108"/>
      <c r="Z115" s="108"/>
      <c r="AA115" s="108"/>
    </row>
    <row r="116" spans="1:27" x14ac:dyDescent="0.2">
      <c r="A116" s="108"/>
      <c r="B116" s="108"/>
      <c r="C116" s="108"/>
      <c r="D116" s="108"/>
      <c r="E116" s="108"/>
      <c r="F116" s="108"/>
      <c r="G116" s="108"/>
      <c r="H116" s="108"/>
      <c r="I116" s="108"/>
      <c r="J116" s="108"/>
      <c r="K116" s="108"/>
      <c r="L116" s="108"/>
      <c r="M116" s="108"/>
      <c r="N116" s="108"/>
      <c r="O116" s="108"/>
      <c r="P116" s="108"/>
      <c r="Q116" s="108"/>
      <c r="R116" s="108"/>
      <c r="S116" s="108"/>
      <c r="T116" s="108"/>
      <c r="U116" s="108"/>
      <c r="V116" s="108"/>
      <c r="W116" s="108"/>
      <c r="X116" s="108"/>
      <c r="Y116" s="108"/>
      <c r="Z116" s="108"/>
      <c r="AA116" s="108"/>
    </row>
    <row r="117" spans="1:27" x14ac:dyDescent="0.2">
      <c r="A117" s="980"/>
      <c r="B117" s="108"/>
      <c r="C117" s="108"/>
      <c r="D117" s="108"/>
      <c r="E117" s="108"/>
      <c r="F117" s="108"/>
      <c r="G117" s="108"/>
      <c r="H117" s="108"/>
      <c r="I117" s="108"/>
      <c r="J117" s="108"/>
      <c r="K117" s="108"/>
      <c r="L117" s="108"/>
      <c r="M117" s="108"/>
      <c r="N117" s="108"/>
      <c r="O117" s="108"/>
      <c r="P117" s="108"/>
      <c r="Q117" s="108"/>
      <c r="R117" s="108"/>
      <c r="S117" s="108"/>
      <c r="T117" s="108"/>
      <c r="U117" s="108"/>
      <c r="V117" s="108"/>
      <c r="W117" s="108"/>
      <c r="X117" s="108"/>
      <c r="Y117" s="108"/>
      <c r="Z117" s="108"/>
      <c r="AA117" s="108"/>
    </row>
    <row r="118" spans="1:27" x14ac:dyDescent="0.2">
      <c r="A118" s="980"/>
      <c r="B118" s="108"/>
      <c r="C118" s="108"/>
      <c r="D118" s="108"/>
      <c r="E118" s="108"/>
      <c r="F118" s="108"/>
      <c r="G118" s="108"/>
      <c r="H118" s="108"/>
      <c r="I118" s="108"/>
      <c r="J118" s="108"/>
      <c r="K118" s="108"/>
      <c r="L118" s="108"/>
      <c r="M118" s="108"/>
      <c r="N118" s="108"/>
      <c r="O118" s="108"/>
      <c r="P118" s="108"/>
      <c r="Q118" s="108"/>
      <c r="R118" s="108"/>
      <c r="S118" s="108"/>
      <c r="T118" s="108"/>
      <c r="U118" s="108"/>
      <c r="V118" s="108"/>
      <c r="W118" s="108"/>
      <c r="X118" s="108"/>
      <c r="Y118" s="108"/>
      <c r="Z118" s="108"/>
      <c r="AA118" s="108"/>
    </row>
    <row r="119" spans="1:27" x14ac:dyDescent="0.2">
      <c r="A119" s="980"/>
      <c r="B119" s="108"/>
      <c r="C119" s="108"/>
      <c r="D119" s="108"/>
      <c r="E119" s="108"/>
      <c r="F119" s="108"/>
      <c r="G119" s="108"/>
      <c r="H119" s="108"/>
      <c r="I119" s="108"/>
      <c r="J119" s="108"/>
      <c r="K119" s="108"/>
      <c r="L119" s="108"/>
      <c r="M119" s="108"/>
      <c r="N119" s="108"/>
      <c r="O119" s="108"/>
      <c r="P119" s="108"/>
      <c r="Q119" s="108"/>
      <c r="R119" s="108"/>
      <c r="S119" s="108"/>
      <c r="T119" s="108"/>
      <c r="U119" s="108"/>
      <c r="V119" s="108"/>
      <c r="W119" s="108"/>
      <c r="X119" s="108"/>
      <c r="Y119" s="108"/>
      <c r="Z119" s="108"/>
      <c r="AA119" s="108"/>
    </row>
    <row r="120" spans="1:27" ht="15.75" x14ac:dyDescent="0.25">
      <c r="A120" s="980"/>
      <c r="B120" s="108"/>
      <c r="C120" s="638" t="str">
        <f>"      "&amp;ListAVS!$B$154</f>
        <v xml:space="preserve">      Wprowadzenie do planowania</v>
      </c>
      <c r="D120" s="225"/>
      <c r="E120" s="225"/>
      <c r="F120" s="225"/>
      <c r="G120" s="225"/>
      <c r="H120" s="225"/>
      <c r="I120" s="108"/>
      <c r="J120" s="108"/>
      <c r="K120" s="108"/>
      <c r="L120" s="108"/>
      <c r="M120" s="108"/>
      <c r="N120" s="108"/>
      <c r="O120" s="108"/>
      <c r="P120" s="108"/>
      <c r="Q120" s="108"/>
      <c r="R120" s="108"/>
      <c r="S120" s="108"/>
      <c r="T120" s="108"/>
      <c r="U120" s="108"/>
      <c r="V120" s="108"/>
      <c r="W120" s="108"/>
      <c r="X120" s="108"/>
      <c r="Y120" s="108"/>
      <c r="Z120" s="108"/>
      <c r="AA120" s="108"/>
    </row>
    <row r="121" spans="1:27" s="245" customFormat="1" ht="15" customHeight="1" x14ac:dyDescent="0.2">
      <c r="A121" s="980"/>
      <c r="B121" s="670"/>
      <c r="C121" s="670"/>
      <c r="D121" s="670"/>
      <c r="E121" s="670"/>
      <c r="F121" s="670"/>
      <c r="G121" s="670"/>
      <c r="H121" s="670"/>
      <c r="I121" s="670"/>
      <c r="J121" s="670"/>
      <c r="K121" s="670"/>
      <c r="L121" s="670"/>
      <c r="M121" s="670"/>
      <c r="N121" s="670"/>
      <c r="O121" s="670"/>
      <c r="P121" s="670"/>
      <c r="Q121" s="670"/>
      <c r="R121" s="670"/>
      <c r="S121" s="670"/>
      <c r="T121" s="670"/>
      <c r="U121" s="670"/>
      <c r="V121" s="670"/>
      <c r="W121" s="670"/>
      <c r="X121" s="670"/>
      <c r="Y121" s="670"/>
      <c r="Z121" s="670"/>
      <c r="AA121" s="670"/>
    </row>
    <row r="122" spans="1:27" s="245" customFormat="1" ht="15" customHeight="1" x14ac:dyDescent="0.2">
      <c r="A122" s="980"/>
      <c r="B122" s="670"/>
      <c r="C122" s="670" t="str">
        <f>ListAVS!$B$282</f>
        <v>Na ekranie głównym wybierz, które ceny mają być wyświetlane:</v>
      </c>
      <c r="D122" s="670"/>
      <c r="E122" s="670"/>
      <c r="F122" s="670"/>
      <c r="G122" s="670"/>
      <c r="H122" s="670"/>
      <c r="I122" s="670"/>
      <c r="J122" s="670"/>
      <c r="K122" s="670"/>
      <c r="L122" s="670"/>
      <c r="M122" s="670"/>
      <c r="N122" s="670"/>
      <c r="O122" s="670"/>
      <c r="P122" s="670"/>
      <c r="Q122" s="670"/>
      <c r="R122" s="670"/>
      <c r="S122" s="670"/>
      <c r="T122" s="670"/>
      <c r="U122" s="670"/>
      <c r="V122" s="670"/>
      <c r="W122" s="670"/>
      <c r="X122" s="670"/>
      <c r="Y122" s="670"/>
      <c r="Z122" s="670"/>
      <c r="AA122" s="670"/>
    </row>
    <row r="123" spans="1:27" s="245" customFormat="1" ht="15" customHeight="1" x14ac:dyDescent="0.2">
      <c r="A123" s="980"/>
      <c r="B123" s="670"/>
      <c r="C123" s="670" t="str">
        <f>" - "&amp;ListAVS!$B$283</f>
        <v xml:space="preserve"> - Ceny podstawowe (z cennika) bez zniżki</v>
      </c>
      <c r="D123" s="670"/>
      <c r="E123" s="670"/>
      <c r="F123" s="670"/>
      <c r="G123" s="670"/>
      <c r="H123" s="670"/>
      <c r="I123" s="670"/>
      <c r="J123" s="670"/>
      <c r="K123" s="670"/>
      <c r="L123" s="670"/>
      <c r="M123" s="670"/>
      <c r="N123" s="670"/>
      <c r="O123" s="670"/>
      <c r="P123" s="670"/>
      <c r="Q123" s="670"/>
      <c r="R123" s="670"/>
      <c r="S123" s="670"/>
      <c r="T123" s="670"/>
      <c r="U123" s="670"/>
      <c r="V123" s="670"/>
      <c r="W123" s="670"/>
      <c r="X123" s="670"/>
      <c r="Y123" s="670"/>
      <c r="Z123" s="670"/>
      <c r="AA123" s="670"/>
    </row>
    <row r="124" spans="1:27" s="245" customFormat="1" ht="15" customHeight="1" x14ac:dyDescent="0.2">
      <c r="A124" s="980"/>
      <c r="B124" s="670"/>
      <c r="C124" s="670" t="str">
        <f>" - "&amp;ListAVS!$B$44&amp;" ("&amp;ListAVS!$B$48&amp;")"</f>
        <v xml:space="preserve"> - Ceny zakupu (Ceny ze zniżką wpisaną w „Formularzu”)</v>
      </c>
      <c r="D124" s="670"/>
      <c r="E124" s="670"/>
      <c r="F124" s="670"/>
      <c r="G124" s="670"/>
      <c r="H124" s="670"/>
      <c r="I124" s="670"/>
      <c r="J124" s="670"/>
      <c r="K124" s="670"/>
      <c r="L124" s="670"/>
      <c r="M124" s="670"/>
      <c r="N124" s="670"/>
      <c r="O124" s="670"/>
      <c r="P124" s="670"/>
      <c r="Q124" s="670"/>
      <c r="R124" s="670"/>
      <c r="S124" s="670"/>
      <c r="T124" s="670"/>
      <c r="U124" s="670"/>
      <c r="V124" s="670"/>
      <c r="W124" s="670"/>
      <c r="X124" s="670"/>
      <c r="Y124" s="670"/>
      <c r="Z124" s="670"/>
      <c r="AA124" s="670"/>
    </row>
    <row r="125" spans="1:27" s="245" customFormat="1" ht="15" customHeight="1" x14ac:dyDescent="0.2">
      <c r="A125" s="980"/>
      <c r="B125" s="670"/>
      <c r="C125" s="671" t="str">
        <f>" - "&amp;ListAVS!$B$47</f>
        <v xml:space="preserve"> - Ceny z wybraną zniżką</v>
      </c>
      <c r="D125" s="670"/>
      <c r="E125" s="670"/>
      <c r="F125" s="670"/>
      <c r="G125" s="670"/>
      <c r="H125" s="670"/>
      <c r="I125" s="670"/>
      <c r="J125" s="670"/>
      <c r="K125" s="670"/>
      <c r="L125" s="670"/>
      <c r="M125" s="670"/>
      <c r="N125" s="670"/>
      <c r="O125" s="670"/>
      <c r="P125" s="670"/>
      <c r="Q125" s="670"/>
      <c r="R125" s="670"/>
      <c r="S125" s="670"/>
      <c r="T125" s="670"/>
      <c r="U125" s="670"/>
      <c r="V125" s="670"/>
      <c r="W125" s="670"/>
      <c r="X125" s="670"/>
      <c r="Y125" s="670"/>
      <c r="Z125" s="670"/>
      <c r="AA125" s="670"/>
    </row>
    <row r="126" spans="1:27" s="245" customFormat="1" ht="15" customHeight="1" x14ac:dyDescent="0.2">
      <c r="A126" s="980"/>
      <c r="B126" s="670"/>
      <c r="C126" s="672" t="str">
        <f>"       "&amp;ListAVS!$B$284</f>
        <v xml:space="preserve">       Jeżeli wpiszesz cenę z minusem, wyświetli się cena wyższa o podaną wartość</v>
      </c>
      <c r="D126" s="670"/>
      <c r="E126" s="670"/>
      <c r="F126" s="670"/>
      <c r="G126" s="670"/>
      <c r="H126" s="670"/>
      <c r="I126" s="670"/>
      <c r="J126" s="670"/>
      <c r="K126" s="670"/>
      <c r="L126" s="670"/>
      <c r="M126" s="670"/>
      <c r="N126" s="670"/>
      <c r="O126" s="670"/>
      <c r="P126" s="670"/>
      <c r="Q126" s="670"/>
      <c r="R126" s="670"/>
      <c r="S126" s="670"/>
      <c r="T126" s="670"/>
      <c r="U126" s="670"/>
      <c r="V126" s="670"/>
      <c r="W126" s="670"/>
      <c r="X126" s="670"/>
      <c r="Y126" s="670"/>
      <c r="Z126" s="670"/>
      <c r="AA126" s="670"/>
    </row>
    <row r="127" spans="1:27" s="245" customFormat="1" ht="15" customHeight="1" x14ac:dyDescent="0.2">
      <c r="A127" s="980"/>
      <c r="B127" s="670"/>
      <c r="C127" s="670"/>
      <c r="D127" s="670"/>
      <c r="E127" s="670"/>
      <c r="F127" s="670"/>
      <c r="G127" s="670"/>
      <c r="H127" s="670"/>
      <c r="I127" s="670"/>
      <c r="J127" s="670"/>
      <c r="K127" s="670"/>
      <c r="L127" s="670"/>
      <c r="M127" s="670"/>
      <c r="N127" s="670"/>
      <c r="O127" s="670"/>
      <c r="P127" s="670"/>
      <c r="Q127" s="670"/>
      <c r="R127" s="670"/>
      <c r="S127" s="670"/>
      <c r="T127" s="670"/>
      <c r="U127" s="670"/>
      <c r="V127" s="670"/>
      <c r="W127" s="670"/>
      <c r="X127" s="670"/>
      <c r="Y127" s="670"/>
      <c r="Z127" s="670"/>
      <c r="AA127" s="670"/>
    </row>
    <row r="128" spans="1:27" s="245" customFormat="1" ht="15" customHeight="1" x14ac:dyDescent="0.2">
      <c r="A128" s="980"/>
      <c r="B128" s="670"/>
      <c r="C128" s="670" t="str">
        <f>ListAVS!$B$286</f>
        <v>Wybierz kolor zaślepek</v>
      </c>
      <c r="D128" s="670"/>
      <c r="E128" s="670"/>
      <c r="F128" s="670"/>
      <c r="G128" s="670"/>
      <c r="H128" s="670"/>
      <c r="I128" s="670"/>
      <c r="J128" s="670"/>
      <c r="K128" s="670"/>
      <c r="L128" s="670"/>
      <c r="M128" s="670"/>
      <c r="N128" s="670"/>
      <c r="O128" s="670"/>
      <c r="P128" s="670"/>
      <c r="Q128" s="670"/>
      <c r="R128" s="670"/>
      <c r="S128" s="670"/>
      <c r="T128" s="670"/>
      <c r="U128" s="670"/>
      <c r="V128" s="670"/>
      <c r="W128" s="670"/>
      <c r="X128" s="670"/>
      <c r="Y128" s="670"/>
      <c r="Z128" s="670"/>
      <c r="AA128" s="670"/>
    </row>
    <row r="129" spans="1:27" s="245" customFormat="1" ht="15" customHeight="1" x14ac:dyDescent="0.2">
      <c r="A129" s="980"/>
      <c r="B129" s="670"/>
      <c r="C129" s="670" t="str">
        <f>ListAVS!$B$287</f>
        <v>Wybór będzie miał wpływ na kolor zaślepek wszystkich wybranych siłowników</v>
      </c>
      <c r="D129" s="670"/>
      <c r="E129" s="670"/>
      <c r="F129" s="670"/>
      <c r="G129" s="670"/>
      <c r="H129" s="670"/>
      <c r="I129" s="670"/>
      <c r="J129" s="670"/>
      <c r="K129" s="670"/>
      <c r="L129" s="670"/>
      <c r="M129" s="670"/>
      <c r="N129" s="670"/>
      <c r="O129" s="670"/>
      <c r="P129" s="670"/>
      <c r="Q129" s="670"/>
      <c r="R129" s="670"/>
      <c r="S129" s="670"/>
      <c r="T129" s="670"/>
      <c r="U129" s="670"/>
      <c r="V129" s="670"/>
      <c r="W129" s="670"/>
      <c r="X129" s="670"/>
      <c r="Y129" s="670"/>
      <c r="Z129" s="670"/>
      <c r="AA129" s="670"/>
    </row>
    <row r="130" spans="1:27" s="245" customFormat="1" ht="15" customHeight="1" x14ac:dyDescent="0.2">
      <c r="A130" s="980"/>
      <c r="B130" s="670"/>
      <c r="C130" s="670"/>
      <c r="D130" s="670"/>
      <c r="E130" s="670"/>
      <c r="F130" s="670"/>
      <c r="G130" s="670"/>
      <c r="H130" s="670"/>
      <c r="I130" s="670"/>
      <c r="J130" s="670"/>
      <c r="K130" s="670"/>
      <c r="L130" s="670"/>
      <c r="M130" s="670"/>
      <c r="N130" s="670"/>
      <c r="O130" s="670"/>
      <c r="P130" s="670"/>
      <c r="Q130" s="670"/>
      <c r="R130" s="670"/>
      <c r="S130" s="670"/>
      <c r="T130" s="670"/>
      <c r="U130" s="670"/>
      <c r="V130" s="670"/>
      <c r="W130" s="670"/>
      <c r="X130" s="670"/>
      <c r="Y130" s="670"/>
      <c r="Z130" s="670"/>
      <c r="AA130" s="670"/>
    </row>
    <row r="131" spans="1:27" s="245" customFormat="1" ht="15" customHeight="1" x14ac:dyDescent="0.2">
      <c r="A131" s="980"/>
      <c r="B131" s="670"/>
      <c r="C131" s="670" t="str">
        <f>ListAVS!$B$289</f>
        <v>Kliknij na zdjęcie lub opis, aby przejść do żądanego typu podnośnika.</v>
      </c>
      <c r="D131" s="670"/>
      <c r="E131" s="670"/>
      <c r="F131" s="670"/>
      <c r="G131" s="670"/>
      <c r="H131" s="670"/>
      <c r="I131" s="670"/>
      <c r="J131" s="670"/>
      <c r="K131" s="670"/>
      <c r="L131" s="670"/>
      <c r="M131" s="670"/>
      <c r="N131" s="670"/>
      <c r="O131" s="670"/>
      <c r="P131" s="670"/>
      <c r="Q131" s="670"/>
      <c r="R131" s="670"/>
      <c r="S131" s="670"/>
      <c r="T131" s="670"/>
      <c r="U131" s="670"/>
      <c r="V131" s="670"/>
      <c r="W131" s="670"/>
      <c r="X131" s="670"/>
      <c r="Y131" s="670"/>
      <c r="Z131" s="670"/>
      <c r="AA131" s="670"/>
    </row>
    <row r="132" spans="1:27" s="245" customFormat="1" ht="15" customHeight="1" x14ac:dyDescent="0.2">
      <c r="A132" s="980"/>
      <c r="B132" s="670"/>
      <c r="C132" s="670"/>
      <c r="D132" s="670"/>
      <c r="E132" s="670"/>
      <c r="F132" s="670"/>
      <c r="G132" s="670"/>
      <c r="H132" s="670"/>
      <c r="I132" s="670"/>
      <c r="J132" s="670"/>
      <c r="K132" s="670"/>
      <c r="L132" s="670"/>
      <c r="M132" s="670"/>
      <c r="N132" s="670"/>
      <c r="O132" s="670"/>
      <c r="P132" s="670"/>
      <c r="Q132" s="670"/>
      <c r="R132" s="670"/>
      <c r="S132" s="670"/>
      <c r="T132" s="670"/>
      <c r="U132" s="670"/>
      <c r="V132" s="670"/>
      <c r="W132" s="670"/>
      <c r="X132" s="670"/>
      <c r="Y132" s="670"/>
      <c r="Z132" s="670"/>
      <c r="AA132" s="670"/>
    </row>
    <row r="133" spans="1:27" s="245" customFormat="1" ht="15" customHeight="1" x14ac:dyDescent="0.2">
      <c r="A133" s="980"/>
      <c r="B133" s="670"/>
      <c r="C133" s="670"/>
      <c r="D133" s="670"/>
      <c r="E133" s="670"/>
      <c r="F133" s="670"/>
      <c r="G133" s="670"/>
      <c r="H133" s="670"/>
      <c r="I133" s="670"/>
      <c r="J133" s="670"/>
      <c r="K133" s="670"/>
      <c r="L133" s="670"/>
      <c r="M133" s="670"/>
      <c r="N133" s="670"/>
      <c r="O133" s="670"/>
      <c r="P133" s="670"/>
      <c r="Q133" s="670"/>
      <c r="R133" s="670"/>
      <c r="S133" s="670"/>
      <c r="T133" s="670"/>
      <c r="U133" s="670"/>
      <c r="V133" s="670"/>
      <c r="W133" s="670"/>
      <c r="X133" s="670"/>
      <c r="Y133" s="670"/>
      <c r="Z133" s="670"/>
      <c r="AA133" s="670"/>
    </row>
    <row r="134" spans="1:27" s="245" customFormat="1" ht="15" customHeight="1" x14ac:dyDescent="0.2">
      <c r="A134" s="980"/>
      <c r="B134" s="670"/>
      <c r="C134" s="670" t="str">
        <f>ListAVS!$B$291&amp;":"</f>
        <v>Legenda:</v>
      </c>
      <c r="D134" s="670"/>
      <c r="E134" s="670"/>
      <c r="F134" s="670"/>
      <c r="G134" s="670"/>
      <c r="H134" s="670"/>
      <c r="I134" s="670"/>
      <c r="J134" s="670"/>
      <c r="K134" s="670"/>
      <c r="L134" s="670"/>
      <c r="M134" s="670"/>
      <c r="N134" s="670"/>
      <c r="O134" s="670"/>
      <c r="P134" s="670"/>
      <c r="Q134" s="670"/>
      <c r="R134" s="670"/>
      <c r="S134" s="670"/>
      <c r="T134" s="670"/>
      <c r="U134" s="670"/>
      <c r="V134" s="670"/>
      <c r="W134" s="670"/>
      <c r="X134" s="670"/>
      <c r="Y134" s="670"/>
      <c r="Z134" s="670"/>
      <c r="AA134" s="670"/>
    </row>
    <row r="135" spans="1:27" s="245" customFormat="1" ht="15" customHeight="1" x14ac:dyDescent="0.2">
      <c r="A135" s="980"/>
      <c r="B135" s="670"/>
      <c r="C135" s="670"/>
      <c r="D135" s="670"/>
      <c r="E135" s="670"/>
      <c r="F135" s="670"/>
      <c r="G135" s="670"/>
      <c r="H135" s="670"/>
      <c r="I135" s="670"/>
      <c r="J135" s="670"/>
      <c r="K135" s="670"/>
      <c r="L135" s="670"/>
      <c r="M135" s="670"/>
      <c r="N135" s="670"/>
      <c r="O135" s="670"/>
      <c r="P135" s="670"/>
      <c r="Q135" s="670"/>
      <c r="R135" s="670"/>
      <c r="S135" s="670"/>
      <c r="T135" s="670"/>
      <c r="U135" s="670"/>
      <c r="V135" s="670"/>
      <c r="W135" s="670"/>
      <c r="X135" s="670"/>
      <c r="Y135" s="670"/>
      <c r="Z135" s="670"/>
      <c r="AA135" s="670"/>
    </row>
    <row r="136" spans="1:27" s="245" customFormat="1" ht="15" customHeight="1" x14ac:dyDescent="0.2">
      <c r="A136" s="980"/>
      <c r="B136" s="670"/>
      <c r="C136" s="671" t="str">
        <f>"         "&amp;ListAVS!B292</f>
        <v xml:space="preserve">         Zmiana wyświetlanych wartości</v>
      </c>
      <c r="D136" s="670"/>
      <c r="E136" s="670"/>
      <c r="F136" s="670"/>
      <c r="G136" s="670"/>
      <c r="H136" s="670"/>
      <c r="I136" s="670"/>
      <c r="J136" s="670"/>
      <c r="K136" s="670"/>
      <c r="L136" s="670"/>
      <c r="M136" s="670"/>
      <c r="N136" s="670"/>
      <c r="O136" s="670"/>
      <c r="P136" s="670"/>
      <c r="Q136" s="670"/>
      <c r="R136" s="670"/>
      <c r="S136" s="670"/>
      <c r="T136" s="670"/>
      <c r="U136" s="670"/>
      <c r="V136" s="670"/>
      <c r="W136" s="670"/>
      <c r="X136" s="670"/>
      <c r="Y136" s="670"/>
      <c r="Z136" s="670"/>
      <c r="AA136" s="670"/>
    </row>
    <row r="137" spans="1:27" s="245" customFormat="1" ht="15" customHeight="1" x14ac:dyDescent="0.2">
      <c r="A137" s="980"/>
      <c r="B137" s="670"/>
      <c r="C137" s="671" t="str">
        <f>"         "&amp;ListAVS!B293</f>
        <v xml:space="preserve">         Obliczenie wagi</v>
      </c>
      <c r="D137" s="670"/>
      <c r="E137" s="670"/>
      <c r="F137" s="670"/>
      <c r="G137" s="670"/>
      <c r="H137" s="670"/>
      <c r="I137" s="670"/>
      <c r="J137" s="670"/>
      <c r="K137" s="670"/>
      <c r="L137" s="670"/>
      <c r="M137" s="670"/>
      <c r="N137" s="670"/>
      <c r="O137" s="670"/>
      <c r="P137" s="670"/>
      <c r="Q137" s="670"/>
      <c r="R137" s="670"/>
      <c r="S137" s="670"/>
      <c r="T137" s="670"/>
      <c r="U137" s="670"/>
      <c r="V137" s="670"/>
      <c r="W137" s="670"/>
      <c r="X137" s="670"/>
      <c r="Y137" s="670"/>
      <c r="Z137" s="670"/>
      <c r="AA137" s="670"/>
    </row>
    <row r="138" spans="1:27" s="245" customFormat="1" ht="15" customHeight="1" x14ac:dyDescent="0.2">
      <c r="A138" s="980"/>
      <c r="B138" s="670"/>
      <c r="C138" s="670"/>
      <c r="D138" s="670"/>
      <c r="E138" s="670"/>
      <c r="F138" s="670"/>
      <c r="G138" s="670"/>
      <c r="H138" s="670"/>
      <c r="I138" s="670"/>
      <c r="J138" s="670"/>
      <c r="K138" s="670"/>
      <c r="L138" s="670"/>
      <c r="M138" s="670"/>
      <c r="N138" s="670"/>
      <c r="O138" s="670"/>
      <c r="P138" s="670"/>
      <c r="Q138" s="670"/>
      <c r="R138" s="670"/>
      <c r="S138" s="670"/>
      <c r="T138" s="670"/>
      <c r="U138" s="670"/>
      <c r="V138" s="670"/>
      <c r="W138" s="670"/>
      <c r="X138" s="670"/>
      <c r="Y138" s="670"/>
      <c r="Z138" s="670"/>
      <c r="AA138" s="670"/>
    </row>
    <row r="139" spans="1:27" s="245" customFormat="1" ht="15" customHeight="1" x14ac:dyDescent="0.2">
      <c r="A139" s="980"/>
      <c r="B139" s="670"/>
      <c r="C139" s="807" t="str">
        <f>"         "&amp;ListAVS!B295</f>
        <v xml:space="preserve">         Uwaga</v>
      </c>
      <c r="D139" s="670"/>
      <c r="E139" s="670"/>
      <c r="F139" s="670"/>
      <c r="G139" s="670"/>
      <c r="H139" s="670"/>
      <c r="I139" s="670"/>
      <c r="J139" s="670"/>
      <c r="K139" s="670"/>
      <c r="L139" s="670"/>
      <c r="M139" s="670"/>
      <c r="N139" s="670"/>
      <c r="O139" s="670"/>
      <c r="P139" s="670"/>
      <c r="Q139" s="670"/>
      <c r="R139" s="670"/>
      <c r="S139" s="670"/>
      <c r="T139" s="670"/>
      <c r="U139" s="670"/>
      <c r="V139" s="670"/>
      <c r="W139" s="670"/>
      <c r="X139" s="670"/>
      <c r="Y139" s="670"/>
      <c r="Z139" s="670"/>
      <c r="AA139" s="670"/>
    </row>
    <row r="140" spans="1:27" s="245" customFormat="1" ht="15" customHeight="1" x14ac:dyDescent="0.2">
      <c r="A140" s="980"/>
      <c r="B140" s="670"/>
      <c r="C140" s="671" t="str">
        <f>"         "&amp;ListAVS!B296</f>
        <v xml:space="preserve">         Informacje i wyjaśnienia</v>
      </c>
      <c r="D140" s="670"/>
      <c r="E140" s="670"/>
      <c r="F140" s="670"/>
      <c r="G140" s="670"/>
      <c r="H140" s="670"/>
      <c r="I140" s="670"/>
      <c r="J140" s="670"/>
      <c r="K140" s="670"/>
      <c r="L140" s="670"/>
      <c r="M140" s="670"/>
      <c r="N140" s="670"/>
      <c r="O140" s="670"/>
      <c r="P140" s="670"/>
      <c r="Q140" s="670"/>
      <c r="R140" s="670"/>
      <c r="S140" s="670"/>
      <c r="T140" s="670"/>
      <c r="U140" s="670"/>
      <c r="V140" s="670"/>
      <c r="W140" s="670"/>
      <c r="X140" s="670"/>
      <c r="Y140" s="670"/>
      <c r="Z140" s="670"/>
      <c r="AA140" s="670"/>
    </row>
    <row r="141" spans="1:27" s="245" customFormat="1" ht="15" customHeight="1" x14ac:dyDescent="0.2">
      <c r="A141" s="980"/>
      <c r="B141" s="670"/>
      <c r="C141" s="671" t="str">
        <f>"         "&amp;ListAVS!B297</f>
        <v xml:space="preserve">         Wskazówka</v>
      </c>
      <c r="D141" s="670"/>
      <c r="E141" s="670"/>
      <c r="F141" s="670"/>
      <c r="G141" s="670"/>
      <c r="H141" s="670"/>
      <c r="I141" s="670"/>
      <c r="J141" s="670"/>
      <c r="K141" s="670"/>
      <c r="L141" s="670"/>
      <c r="M141" s="670"/>
      <c r="N141" s="670"/>
      <c r="O141" s="670"/>
      <c r="P141" s="670"/>
      <c r="Q141" s="670"/>
      <c r="R141" s="670"/>
      <c r="S141" s="670"/>
      <c r="T141" s="670"/>
      <c r="U141" s="670"/>
      <c r="V141" s="670"/>
      <c r="W141" s="670"/>
      <c r="X141" s="670"/>
      <c r="Y141" s="670"/>
      <c r="Z141" s="670"/>
      <c r="AA141" s="670"/>
    </row>
    <row r="142" spans="1:27" s="245" customFormat="1" ht="15" customHeight="1" x14ac:dyDescent="0.2">
      <c r="A142" s="980"/>
      <c r="B142" s="670"/>
      <c r="C142" s="671" t="str">
        <f>"         "&amp;ListAVS!B298</f>
        <v xml:space="preserve">         Pomoc</v>
      </c>
      <c r="D142" s="670"/>
      <c r="E142" s="670"/>
      <c r="F142" s="670"/>
      <c r="G142" s="670"/>
      <c r="H142" s="670"/>
      <c r="I142" s="670"/>
      <c r="J142" s="670"/>
      <c r="K142" s="670"/>
      <c r="L142" s="670"/>
      <c r="M142" s="670"/>
      <c r="N142" s="670"/>
      <c r="O142" s="670"/>
      <c r="P142" s="670"/>
      <c r="Q142" s="670"/>
      <c r="R142" s="670"/>
      <c r="S142" s="670"/>
      <c r="T142" s="670"/>
      <c r="U142" s="670"/>
      <c r="V142" s="670"/>
      <c r="W142" s="670"/>
      <c r="X142" s="670"/>
      <c r="Y142" s="670"/>
      <c r="Z142" s="670"/>
      <c r="AA142" s="670"/>
    </row>
    <row r="143" spans="1:27" s="245" customFormat="1" ht="15" customHeight="1" x14ac:dyDescent="0.2">
      <c r="A143" s="980"/>
      <c r="B143" s="670"/>
      <c r="C143" s="671"/>
      <c r="D143" s="670"/>
      <c r="E143" s="670"/>
      <c r="F143" s="670"/>
      <c r="G143" s="670"/>
      <c r="H143" s="670"/>
      <c r="I143" s="670"/>
      <c r="J143" s="670"/>
      <c r="K143" s="670"/>
      <c r="L143" s="670"/>
      <c r="M143" s="670"/>
      <c r="N143" s="670"/>
      <c r="O143" s="670"/>
      <c r="P143" s="670"/>
      <c r="Q143" s="670"/>
      <c r="R143" s="670"/>
      <c r="S143" s="670"/>
      <c r="T143" s="670"/>
      <c r="U143" s="670"/>
      <c r="V143" s="670"/>
      <c r="W143" s="670"/>
      <c r="X143" s="670"/>
      <c r="Y143" s="670"/>
      <c r="Z143" s="670"/>
      <c r="AA143" s="670"/>
    </row>
    <row r="144" spans="1:27" s="245" customFormat="1" ht="15" customHeight="1" x14ac:dyDescent="0.2">
      <c r="A144" s="980"/>
      <c r="B144" s="670"/>
      <c r="C144" s="670"/>
      <c r="D144" s="670"/>
      <c r="E144" s="670"/>
      <c r="F144" s="670"/>
      <c r="G144" s="670"/>
      <c r="H144" s="670"/>
      <c r="I144" s="670"/>
      <c r="J144" s="670"/>
      <c r="K144" s="670"/>
      <c r="L144" s="670"/>
      <c r="M144" s="670"/>
      <c r="N144" s="670"/>
      <c r="O144" s="670"/>
      <c r="P144" s="670"/>
      <c r="Q144" s="670"/>
      <c r="R144" s="670"/>
      <c r="S144" s="670"/>
      <c r="T144" s="670"/>
      <c r="U144" s="670"/>
      <c r="V144" s="670"/>
      <c r="W144" s="670"/>
      <c r="X144" s="670"/>
      <c r="Y144" s="670"/>
      <c r="Z144" s="670"/>
      <c r="AA144" s="670"/>
    </row>
    <row r="145" spans="1:27" s="245" customFormat="1" ht="15" customHeight="1" x14ac:dyDescent="0.2">
      <c r="A145" s="980"/>
      <c r="B145" s="670"/>
      <c r="C145" s="670"/>
      <c r="D145" s="670"/>
      <c r="E145" s="670"/>
      <c r="F145" s="670"/>
      <c r="G145" s="670"/>
      <c r="H145" s="670"/>
      <c r="I145" s="670"/>
      <c r="J145" s="670"/>
      <c r="K145" s="670"/>
      <c r="L145" s="670"/>
      <c r="M145" s="670"/>
      <c r="N145" s="670"/>
      <c r="O145" s="670"/>
      <c r="P145" s="670"/>
      <c r="Q145" s="670"/>
      <c r="R145" s="670"/>
      <c r="S145" s="670"/>
      <c r="T145" s="670"/>
      <c r="U145" s="670"/>
      <c r="V145" s="670"/>
      <c r="W145" s="670"/>
      <c r="X145" s="670"/>
      <c r="Y145" s="670"/>
      <c r="Z145" s="670"/>
      <c r="AA145" s="670"/>
    </row>
    <row r="146" spans="1:27" s="245" customFormat="1" ht="15" customHeight="1" x14ac:dyDescent="0.2">
      <c r="A146" s="980"/>
      <c r="B146" s="670"/>
      <c r="C146" s="670"/>
      <c r="D146" s="670"/>
      <c r="E146" s="670"/>
      <c r="F146" s="670"/>
      <c r="G146" s="670"/>
      <c r="H146" s="670"/>
      <c r="I146" s="670"/>
      <c r="J146" s="670"/>
      <c r="K146" s="670"/>
      <c r="L146" s="670"/>
      <c r="M146" s="670"/>
      <c r="N146" s="670"/>
      <c r="O146" s="670"/>
      <c r="P146" s="670"/>
      <c r="Q146" s="670"/>
      <c r="R146" s="670"/>
      <c r="S146" s="670"/>
      <c r="T146" s="670"/>
      <c r="U146" s="670"/>
      <c r="V146" s="670"/>
      <c r="W146" s="670"/>
      <c r="X146" s="670"/>
      <c r="Y146" s="670"/>
      <c r="Z146" s="670"/>
      <c r="AA146" s="670"/>
    </row>
    <row r="147" spans="1:27" x14ac:dyDescent="0.2">
      <c r="A147" s="980"/>
      <c r="B147" s="108"/>
      <c r="C147" s="108"/>
      <c r="D147" s="108"/>
      <c r="E147" s="108"/>
      <c r="F147" s="108"/>
      <c r="G147" s="108"/>
      <c r="H147" s="108"/>
      <c r="I147" s="108"/>
      <c r="J147" s="108"/>
      <c r="K147" s="108"/>
      <c r="L147" s="108"/>
      <c r="M147" s="108"/>
      <c r="N147" s="108"/>
      <c r="O147" s="108"/>
      <c r="P147" s="108"/>
      <c r="Q147" s="108"/>
      <c r="R147" s="108"/>
      <c r="S147" s="108"/>
      <c r="T147" s="108"/>
      <c r="U147" s="108"/>
      <c r="V147" s="108"/>
      <c r="W147" s="108"/>
      <c r="X147" s="108"/>
      <c r="Y147" s="108"/>
      <c r="Z147" s="108"/>
      <c r="AA147" s="108"/>
    </row>
    <row r="148" spans="1:27" x14ac:dyDescent="0.2">
      <c r="A148" s="980"/>
      <c r="B148" s="108"/>
      <c r="C148" s="108"/>
      <c r="D148" s="108"/>
      <c r="E148" s="108"/>
      <c r="F148" s="108"/>
      <c r="G148" s="108"/>
      <c r="H148" s="108"/>
      <c r="I148" s="108"/>
      <c r="J148" s="108"/>
      <c r="K148" s="108"/>
      <c r="L148" s="108"/>
      <c r="M148" s="108"/>
      <c r="N148" s="108"/>
      <c r="O148" s="108"/>
      <c r="P148" s="108"/>
      <c r="Q148" s="108"/>
      <c r="R148" s="108"/>
      <c r="S148" s="108"/>
      <c r="T148" s="108"/>
      <c r="U148" s="108"/>
      <c r="V148" s="108"/>
      <c r="W148" s="108"/>
      <c r="X148" s="108"/>
      <c r="Y148" s="108"/>
      <c r="Z148" s="108"/>
      <c r="AA148" s="108"/>
    </row>
    <row r="149" spans="1:27" x14ac:dyDescent="0.2">
      <c r="A149" s="980"/>
      <c r="B149" s="108"/>
      <c r="C149" s="108"/>
      <c r="D149" s="108"/>
      <c r="E149" s="108"/>
      <c r="F149" s="108"/>
      <c r="G149" s="108"/>
      <c r="H149" s="108"/>
      <c r="I149" s="108"/>
      <c r="J149" s="108"/>
      <c r="K149" s="108"/>
      <c r="L149" s="108"/>
      <c r="M149" s="108"/>
      <c r="N149" s="108"/>
      <c r="O149" s="108"/>
      <c r="P149" s="108"/>
      <c r="Q149" s="108"/>
      <c r="R149" s="108"/>
      <c r="S149" s="108"/>
      <c r="T149" s="108"/>
      <c r="U149" s="108"/>
      <c r="V149" s="108"/>
      <c r="W149" s="108"/>
      <c r="X149" s="108"/>
      <c r="Y149" s="108"/>
      <c r="Z149" s="108"/>
      <c r="AA149" s="108"/>
    </row>
    <row r="150" spans="1:27" ht="12.75" x14ac:dyDescent="0.2">
      <c r="A150" s="980"/>
      <c r="B150" s="108"/>
      <c r="C150" s="108"/>
      <c r="D150" s="108"/>
      <c r="E150" s="108"/>
      <c r="F150" s="108"/>
      <c r="G150" s="669" t="str">
        <f>ListAVS!$B$168</f>
        <v>Z powrotem</v>
      </c>
      <c r="H150" s="673"/>
      <c r="I150" s="108"/>
      <c r="J150" s="108"/>
      <c r="K150" s="108"/>
      <c r="L150" s="108"/>
      <c r="M150" s="108"/>
      <c r="N150" s="108"/>
      <c r="O150" s="108"/>
      <c r="P150" s="108"/>
      <c r="Q150" s="108"/>
      <c r="R150" s="108"/>
      <c r="S150" s="108"/>
      <c r="T150" s="108"/>
      <c r="U150" s="108"/>
      <c r="V150" s="108"/>
      <c r="W150" s="108"/>
      <c r="X150" s="108"/>
      <c r="Y150" s="108"/>
      <c r="Z150" s="108"/>
      <c r="AA150" s="108"/>
    </row>
    <row r="151" spans="1:27" x14ac:dyDescent="0.2">
      <c r="A151" s="980"/>
      <c r="B151" s="108"/>
      <c r="C151" s="108"/>
      <c r="D151" s="108"/>
      <c r="E151" s="108"/>
      <c r="F151" s="108"/>
      <c r="G151" s="108"/>
      <c r="H151" s="108"/>
      <c r="I151" s="108"/>
      <c r="J151" s="108"/>
      <c r="K151" s="108"/>
      <c r="L151" s="108"/>
      <c r="M151" s="108"/>
      <c r="N151" s="108"/>
      <c r="O151" s="108"/>
      <c r="P151" s="108"/>
      <c r="Q151" s="108"/>
      <c r="R151" s="108"/>
      <c r="S151" s="108"/>
      <c r="T151" s="108"/>
      <c r="U151" s="108"/>
      <c r="V151" s="108"/>
      <c r="W151" s="108"/>
      <c r="X151" s="108"/>
      <c r="Y151" s="108"/>
      <c r="Z151" s="108"/>
      <c r="AA151" s="108"/>
    </row>
    <row r="152" spans="1:27" x14ac:dyDescent="0.2">
      <c r="A152" s="980"/>
      <c r="B152" s="108"/>
      <c r="C152" s="108"/>
      <c r="D152" s="108"/>
      <c r="E152" s="108"/>
      <c r="F152" s="108"/>
      <c r="G152" s="108"/>
      <c r="H152" s="108"/>
      <c r="I152" s="108"/>
      <c r="J152" s="108"/>
      <c r="K152" s="108"/>
      <c r="L152" s="108"/>
      <c r="M152" s="108"/>
      <c r="N152" s="108"/>
      <c r="O152" s="108"/>
      <c r="P152" s="108"/>
      <c r="Q152" s="108"/>
      <c r="R152" s="108"/>
      <c r="S152" s="108"/>
      <c r="T152" s="108"/>
      <c r="U152" s="108"/>
      <c r="V152" s="108"/>
      <c r="W152" s="108"/>
      <c r="X152" s="108"/>
      <c r="Y152" s="108"/>
      <c r="Z152" s="108"/>
      <c r="AA152" s="108"/>
    </row>
    <row r="153" spans="1:27" x14ac:dyDescent="0.2">
      <c r="A153" s="980"/>
      <c r="B153" s="108"/>
      <c r="C153" s="108"/>
      <c r="D153" s="108"/>
      <c r="E153" s="108"/>
      <c r="F153" s="108"/>
      <c r="G153" s="108"/>
      <c r="H153" s="108"/>
      <c r="I153" s="108"/>
      <c r="J153" s="108"/>
      <c r="K153" s="108"/>
      <c r="L153" s="108"/>
      <c r="M153" s="108"/>
      <c r="N153" s="108"/>
      <c r="O153" s="108"/>
      <c r="P153" s="108"/>
      <c r="Q153" s="108"/>
      <c r="R153" s="108"/>
      <c r="S153" s="108"/>
      <c r="T153" s="108"/>
      <c r="U153" s="108"/>
      <c r="V153" s="108"/>
      <c r="W153" s="108"/>
      <c r="X153" s="108"/>
      <c r="Y153" s="108"/>
      <c r="Z153" s="108"/>
      <c r="AA153" s="108"/>
    </row>
    <row r="154" spans="1:27" x14ac:dyDescent="0.2">
      <c r="A154" s="980"/>
      <c r="B154" s="108"/>
      <c r="C154" s="108"/>
      <c r="D154" s="108"/>
      <c r="E154" s="108"/>
      <c r="F154" s="108"/>
      <c r="G154" s="108"/>
      <c r="H154" s="108"/>
      <c r="I154" s="108"/>
      <c r="J154" s="108"/>
      <c r="K154" s="108"/>
      <c r="L154" s="108"/>
      <c r="M154" s="108"/>
      <c r="N154" s="108"/>
      <c r="O154" s="108"/>
      <c r="P154" s="108"/>
      <c r="Q154" s="108"/>
      <c r="R154" s="108"/>
      <c r="S154" s="108"/>
      <c r="T154" s="108"/>
      <c r="U154" s="108"/>
      <c r="V154" s="108"/>
      <c r="W154" s="108"/>
      <c r="X154" s="108"/>
      <c r="Y154" s="108"/>
      <c r="Z154" s="108"/>
      <c r="AA154" s="108"/>
    </row>
    <row r="155" spans="1:27" x14ac:dyDescent="0.2">
      <c r="A155" s="980"/>
      <c r="B155" s="108"/>
      <c r="C155" s="108"/>
      <c r="D155" s="108"/>
      <c r="E155" s="108"/>
      <c r="F155" s="108"/>
      <c r="G155" s="108"/>
      <c r="H155" s="108"/>
      <c r="I155" s="108"/>
      <c r="J155" s="108"/>
      <c r="K155" s="108"/>
      <c r="L155" s="108"/>
      <c r="M155" s="108"/>
      <c r="N155" s="108"/>
      <c r="O155" s="108"/>
      <c r="P155" s="108"/>
      <c r="Q155" s="108"/>
      <c r="R155" s="108"/>
      <c r="S155" s="108"/>
      <c r="T155" s="108"/>
      <c r="U155" s="108"/>
      <c r="V155" s="108"/>
      <c r="W155" s="108"/>
      <c r="X155" s="108"/>
      <c r="Y155" s="108"/>
      <c r="Z155" s="108"/>
      <c r="AA155" s="108"/>
    </row>
    <row r="156" spans="1:27" x14ac:dyDescent="0.2">
      <c r="A156" s="980"/>
      <c r="B156" s="108"/>
      <c r="C156" s="108"/>
      <c r="D156" s="108"/>
      <c r="E156" s="108"/>
      <c r="F156" s="108"/>
      <c r="G156" s="108"/>
      <c r="H156" s="108"/>
      <c r="I156" s="108"/>
      <c r="J156" s="108"/>
      <c r="K156" s="108"/>
      <c r="L156" s="108"/>
      <c r="M156" s="108"/>
      <c r="N156" s="108"/>
      <c r="O156" s="108"/>
      <c r="P156" s="108"/>
      <c r="Q156" s="108"/>
      <c r="R156" s="108"/>
      <c r="S156" s="108"/>
      <c r="T156" s="108"/>
      <c r="U156" s="108"/>
      <c r="V156" s="108"/>
      <c r="W156" s="108"/>
      <c r="X156" s="108"/>
      <c r="Y156" s="108"/>
      <c r="Z156" s="108"/>
      <c r="AA156" s="108"/>
    </row>
    <row r="157" spans="1:27" x14ac:dyDescent="0.2">
      <c r="A157" s="980"/>
      <c r="B157" s="108"/>
      <c r="C157" s="108"/>
      <c r="D157" s="108"/>
      <c r="E157" s="108"/>
      <c r="F157" s="108"/>
      <c r="G157" s="108"/>
      <c r="H157" s="108"/>
      <c r="I157" s="108"/>
      <c r="J157" s="108"/>
      <c r="K157" s="108"/>
      <c r="L157" s="108"/>
      <c r="M157" s="108"/>
      <c r="N157" s="108"/>
      <c r="O157" s="108"/>
      <c r="P157" s="108"/>
      <c r="Q157" s="108"/>
      <c r="R157" s="108"/>
      <c r="S157" s="108"/>
      <c r="T157" s="108"/>
      <c r="U157" s="108"/>
      <c r="V157" s="108"/>
      <c r="W157" s="108"/>
      <c r="X157" s="108"/>
      <c r="Y157" s="108"/>
      <c r="Z157" s="108"/>
      <c r="AA157" s="108"/>
    </row>
    <row r="158" spans="1:27" x14ac:dyDescent="0.2">
      <c r="A158" s="980"/>
      <c r="B158" s="108"/>
      <c r="C158" s="108"/>
      <c r="D158" s="108"/>
      <c r="E158" s="108"/>
      <c r="F158" s="108"/>
      <c r="G158" s="108"/>
      <c r="H158" s="108"/>
      <c r="I158" s="108"/>
      <c r="J158" s="108"/>
      <c r="K158" s="108"/>
      <c r="L158" s="108"/>
      <c r="M158" s="108"/>
      <c r="N158" s="108"/>
      <c r="O158" s="108"/>
      <c r="P158" s="108"/>
      <c r="Q158" s="108"/>
      <c r="R158" s="108"/>
      <c r="S158" s="108"/>
      <c r="T158" s="108"/>
      <c r="U158" s="108"/>
      <c r="V158" s="108"/>
      <c r="W158" s="108"/>
      <c r="X158" s="108"/>
      <c r="Y158" s="108"/>
      <c r="Z158" s="108"/>
      <c r="AA158" s="108"/>
    </row>
    <row r="159" spans="1:27" x14ac:dyDescent="0.2">
      <c r="A159" s="980"/>
      <c r="B159" s="108"/>
      <c r="C159" s="108"/>
      <c r="D159" s="108"/>
      <c r="E159" s="108"/>
      <c r="F159" s="108"/>
      <c r="G159" s="108"/>
      <c r="H159" s="108"/>
      <c r="I159" s="108"/>
      <c r="J159" s="108"/>
      <c r="K159" s="108"/>
      <c r="L159" s="108"/>
      <c r="M159" s="108"/>
      <c r="N159" s="108"/>
      <c r="O159" s="108"/>
      <c r="P159" s="108"/>
      <c r="Q159" s="108"/>
      <c r="R159" s="108"/>
      <c r="S159" s="108"/>
      <c r="T159" s="108"/>
      <c r="U159" s="108"/>
      <c r="V159" s="108"/>
      <c r="W159" s="108"/>
      <c r="X159" s="108"/>
      <c r="Y159" s="108"/>
      <c r="Z159" s="108"/>
      <c r="AA159" s="108"/>
    </row>
    <row r="160" spans="1:27" x14ac:dyDescent="0.2">
      <c r="A160" s="980"/>
      <c r="B160" s="108"/>
      <c r="C160" s="108"/>
      <c r="D160" s="108"/>
      <c r="E160" s="108"/>
      <c r="F160" s="108"/>
      <c r="G160" s="108"/>
      <c r="H160" s="108"/>
      <c r="I160" s="108"/>
      <c r="J160" s="108"/>
      <c r="K160" s="108"/>
      <c r="L160" s="108"/>
      <c r="M160" s="108"/>
      <c r="N160" s="108"/>
      <c r="O160" s="108"/>
      <c r="P160" s="108"/>
      <c r="Q160" s="108"/>
      <c r="R160" s="108"/>
      <c r="S160" s="108"/>
      <c r="T160" s="108"/>
      <c r="U160" s="108"/>
      <c r="V160" s="108"/>
      <c r="W160" s="108"/>
      <c r="X160" s="108"/>
      <c r="Y160" s="108"/>
      <c r="Z160" s="108"/>
      <c r="AA160" s="108"/>
    </row>
    <row r="175" spans="2:5" x14ac:dyDescent="0.2">
      <c r="B175" s="1022"/>
      <c r="C175" s="1023"/>
      <c r="E175" s="112"/>
    </row>
    <row r="249" ht="14.25" customHeight="1" x14ac:dyDescent="0.2"/>
    <row r="255" ht="14.25" customHeight="1" x14ac:dyDescent="0.2"/>
    <row r="266" ht="15" customHeight="1" x14ac:dyDescent="0.2"/>
    <row r="267" ht="17.25" customHeight="1" x14ac:dyDescent="0.2"/>
    <row r="269" ht="15.75" customHeight="1" x14ac:dyDescent="0.2"/>
    <row r="270" ht="17.25" customHeight="1" x14ac:dyDescent="0.2"/>
    <row r="271" ht="17.25" customHeight="1" x14ac:dyDescent="0.2"/>
    <row r="272" ht="17.25" customHeight="1" x14ac:dyDescent="0.2"/>
    <row r="273" ht="17.25" customHeight="1" x14ac:dyDescent="0.2"/>
    <row r="304" spans="1:1" x14ac:dyDescent="0.2">
      <c r="A304" s="996"/>
    </row>
    <row r="305" spans="1:1" x14ac:dyDescent="0.2">
      <c r="A305" s="996"/>
    </row>
    <row r="306" spans="1:1" x14ac:dyDescent="0.2">
      <c r="A306" s="996"/>
    </row>
    <row r="307" spans="1:1" x14ac:dyDescent="0.2">
      <c r="A307" s="996"/>
    </row>
    <row r="308" spans="1:1" x14ac:dyDescent="0.2">
      <c r="A308" s="996"/>
    </row>
    <row r="309" spans="1:1" x14ac:dyDescent="0.2">
      <c r="A309" s="996"/>
    </row>
    <row r="310" spans="1:1" x14ac:dyDescent="0.2">
      <c r="A310" s="996"/>
    </row>
    <row r="311" spans="1:1" x14ac:dyDescent="0.2">
      <c r="A311" s="996"/>
    </row>
    <row r="312" spans="1:1" x14ac:dyDescent="0.2">
      <c r="A312" s="996"/>
    </row>
    <row r="313" spans="1:1" x14ac:dyDescent="0.2">
      <c r="A313" s="996"/>
    </row>
    <row r="314" spans="1:1" x14ac:dyDescent="0.2">
      <c r="A314" s="996"/>
    </row>
    <row r="315" spans="1:1" x14ac:dyDescent="0.2">
      <c r="A315" s="996"/>
    </row>
    <row r="330" spans="2:5" x14ac:dyDescent="0.2">
      <c r="B330" s="1022" t="str">
        <f>ListAVS!$D$153&amp; " List"</f>
        <v xml:space="preserve"> List</v>
      </c>
      <c r="C330" s="1023"/>
      <c r="E330" s="112">
        <f>ListAVS!$D$169</f>
        <v>0</v>
      </c>
    </row>
  </sheetData>
  <sheetProtection algorithmName="SHA-512" hashValue="mSEGWtNv7bqiM8CpGDrCsn6U3OhFcfoepNNLbKz+gJin2kYyNHaNCuHBa7jh3Xj4AlWkqfF3GvPSrHxOTCdhNw==" saltValue="lJHgHJN97WF/UEAqozcwQQ==" spinCount="100000" sheet="1" objects="1" scenarios="1"/>
  <mergeCells count="22">
    <mergeCell ref="A304:A315"/>
    <mergeCell ref="B330:C330"/>
    <mergeCell ref="B15:C15"/>
    <mergeCell ref="B175:C175"/>
    <mergeCell ref="B28:C28"/>
    <mergeCell ref="C39:I41"/>
    <mergeCell ref="D15:E15"/>
    <mergeCell ref="A69:A103"/>
    <mergeCell ref="A117:A160"/>
    <mergeCell ref="B26:C26"/>
    <mergeCell ref="D26:E26"/>
    <mergeCell ref="F26:G26"/>
    <mergeCell ref="E95:K95"/>
    <mergeCell ref="F15:G15"/>
    <mergeCell ref="E82:K82"/>
    <mergeCell ref="H26:I26"/>
    <mergeCell ref="K6:L6"/>
    <mergeCell ref="K16:L16"/>
    <mergeCell ref="K17:L19"/>
    <mergeCell ref="K9:L9"/>
    <mergeCell ref="K10:L10"/>
    <mergeCell ref="K11:L11"/>
  </mergeCells>
  <hyperlinks>
    <hyperlink ref="K23" location="HF!A400" tooltip=" " display="HF!A400" xr:uid="{5CB6114A-3205-45DC-8DDC-2473B8E6DE1A}"/>
    <hyperlink ref="K23:L23" location="MenuAVS!A120" tooltip=" " display="MenuAVS!A120" xr:uid="{51FC85A0-5C84-410F-AD72-F8F981914CF7}"/>
    <hyperlink ref="B330:C330" location="List!A1" tooltip=" " display="List!A1" xr:uid="{5B3C49B2-85DC-423A-834B-43C4AAF9F989}"/>
    <hyperlink ref="E330" location="Menu!A1" tooltip=" " display="Menu!A1" xr:uid="{A17547CA-7357-478F-AAE9-B2BA90505B8C}"/>
    <hyperlink ref="I30" location="MenuAVS!A70" tooltip=" " display="MenuAVS!A70" xr:uid="{679FC113-C2FE-499A-864E-3979BD34F751}"/>
    <hyperlink ref="D15:E15" location="HS!A1" tooltip=" " display="AVENTOS HS" xr:uid="{6495B87A-A2A5-4D93-8625-2C50DC617A19}"/>
    <hyperlink ref="F15:G15" location="HL!A1" tooltip=" " display="AVENTOS HL" xr:uid="{4780D8F8-4E1B-45D0-B883-6B367336A3BC}"/>
    <hyperlink ref="B26:C26" location="HK!A1" tooltip=" " display="AVENTOS HK top" xr:uid="{C9BA5066-4D56-44AA-9921-43AF715379B9}"/>
    <hyperlink ref="D26:E26" location="HKS!A1" tooltip=" " display="AVENTOS HK-S" xr:uid="{51C2304B-5381-430E-B412-9A5274E16744}"/>
    <hyperlink ref="K16:L16" location="MenuAVS!A70" tooltip=" " display="MenuAVS!A70" xr:uid="{B0507762-4404-42D8-B837-BE201ADBBF15}"/>
    <hyperlink ref="K6:L6" location="Form!A1" tooltip=" " display="Form!A1" xr:uid="{4E83B684-0131-4850-AB1F-12BD56C67F83}"/>
    <hyperlink ref="F26:G26" location="HKXS!A1" tooltip=" " display="AVENTOS HK-XS" xr:uid="{4F2F28EC-7F53-4E6D-BB7C-548ECFAD6EF8}"/>
    <hyperlink ref="B15:C15" location="HF!A1" tooltip=" " display="AVENTOS HF" xr:uid="{8EC262B2-96ED-46EE-B414-042E5BFB8005}"/>
    <hyperlink ref="G150" location="MenuAVS!A1" tooltip=" " display="MenuAVS!A1" xr:uid="{2D7DC04C-DC17-40E3-80C1-6B0DD0683890}"/>
    <hyperlink ref="K10" location="FormLBX!A1" tooltip=" " display="BOXPLAN LBX" xr:uid="{29C0BD75-A124-490E-88E8-B2897824303C}"/>
    <hyperlink ref="K11" location="FormLBX!A1" tooltip=" " display="BOXPLAN LBX" xr:uid="{E27AB2A6-CE7F-466A-9CC2-11C2812BAAF6}"/>
    <hyperlink ref="K9" location="FormLBX!A1" tooltip=" " display="BOXPLAN LBX" xr:uid="{149692DF-7550-4332-845A-899CA860DE58}"/>
    <hyperlink ref="K10:L10" location="SumAVS!A1" tooltip=" " display="SumAVS!A1" xr:uid="{B0BC8751-9848-46E3-9E71-F883F81E1B72}"/>
    <hyperlink ref="K11:L11" location="OrdAVS!A1" tooltip=" " display="OrdAVS!A1" xr:uid="{87CACD43-83ED-4990-8EC4-670267486CC3}"/>
    <hyperlink ref="L100" location="MenuAVS!A1" tooltip=" " display="MenuAVS!A1" xr:uid="{D81F192C-BD13-45FE-8D4A-2284A292512A}"/>
    <hyperlink ref="I35" location="MenuAVS!A70" tooltip=" " display="MenuAVS!A70" xr:uid="{7D465FF8-9F5A-46E5-981F-ECAA632B2016}"/>
    <hyperlink ref="K9:L9" location="AcsAVS!A1" tooltip=" " display="AcsAVS!A1" xr:uid="{BA8C6D53-66CC-4162-910D-8C08245A6026}"/>
    <hyperlink ref="H26:I26" location="HKi!A1" tooltip=" " display="AVENTOS HKi" xr:uid="{8C7A6BE1-CB9D-4316-81FC-837DCF5666F8}"/>
  </hyperlinks>
  <pageMargins left="0.25" right="0.25" top="0.75" bottom="0.75" header="0.3" footer="0.3"/>
  <pageSetup paperSize="9" orientation="portrait" horizontalDpi="4294967293"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86017" r:id="rId4" name="Drop Down 1">
              <controlPr defaultSize="0" autoLine="0" autoPict="0">
                <anchor moveWithCells="1">
                  <from>
                    <xdr:col>3</xdr:col>
                    <xdr:colOff>9525</xdr:colOff>
                    <xdr:row>27</xdr:row>
                    <xdr:rowOff>0</xdr:rowOff>
                  </from>
                  <to>
                    <xdr:col>4</xdr:col>
                    <xdr:colOff>552450</xdr:colOff>
                    <xdr:row>27</xdr:row>
                    <xdr:rowOff>200025</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9076F-2372-4BF8-BC29-DC74556C49A0}">
  <sheetPr codeName="Sheet31">
    <tabColor theme="3"/>
  </sheetPr>
  <dimension ref="A1:BB178"/>
  <sheetViews>
    <sheetView showGridLines="0" showRowColHeaders="0" workbookViewId="0">
      <selection activeCell="K36" sqref="K36"/>
    </sheetView>
  </sheetViews>
  <sheetFormatPr defaultColWidth="8.28515625" defaultRowHeight="12" x14ac:dyDescent="0.2"/>
  <cols>
    <col min="1" max="1" width="1.28515625" style="37" customWidth="1"/>
    <col min="2" max="9" width="8.5703125" style="37" customWidth="1"/>
    <col min="10" max="10" width="6.7109375" style="37" customWidth="1"/>
    <col min="11" max="11" width="10.42578125" style="37" customWidth="1"/>
    <col min="12" max="12" width="17.28515625" style="37" customWidth="1"/>
    <col min="13" max="14" width="6.42578125" style="37" hidden="1" customWidth="1"/>
    <col min="15" max="15" width="6.42578125" style="118" hidden="1" customWidth="1"/>
    <col min="16" max="16" width="10" style="37" hidden="1" customWidth="1"/>
    <col min="17" max="17" width="6" style="118" hidden="1" customWidth="1"/>
    <col min="18" max="18" width="6.42578125" style="37" hidden="1" customWidth="1"/>
    <col min="19" max="20" width="7.7109375" style="37" hidden="1" customWidth="1"/>
    <col min="21" max="24" width="6.7109375" style="37" hidden="1" customWidth="1"/>
    <col min="25" max="25" width="37.28515625" style="37" hidden="1" customWidth="1"/>
    <col min="26" max="26" width="13.5703125" style="37" hidden="1" customWidth="1"/>
    <col min="27" max="29" width="6.7109375" style="37" hidden="1" customWidth="1"/>
    <col min="30" max="30" width="9.42578125" style="37" hidden="1" customWidth="1"/>
    <col min="31" max="36" width="7.7109375" style="37" hidden="1" customWidth="1"/>
    <col min="37" max="37" width="15.5703125" style="36" hidden="1" customWidth="1"/>
    <col min="38" max="38" width="3.28515625" style="36" hidden="1" customWidth="1"/>
    <col min="39" max="39" width="5.28515625" style="36" customWidth="1"/>
    <col min="40" max="40" width="23.42578125" style="36" customWidth="1"/>
    <col min="41" max="42" width="8.28515625" style="121"/>
    <col min="43" max="44" width="13.28515625" style="121" customWidth="1"/>
    <col min="45" max="45" width="19.7109375" style="121" customWidth="1"/>
    <col min="46" max="46" width="19.7109375" style="122" customWidth="1"/>
    <col min="47" max="47" width="14.28515625" style="122" customWidth="1"/>
    <col min="48" max="49" width="8.28515625" style="122"/>
    <col min="50" max="214" width="8.28515625" style="121"/>
    <col min="215" max="215" width="1.28515625" style="121" customWidth="1"/>
    <col min="216" max="223" width="7.7109375" style="121" customWidth="1"/>
    <col min="224" max="224" width="6.42578125" style="121" customWidth="1"/>
    <col min="225" max="225" width="9.28515625" style="121" customWidth="1"/>
    <col min="226" max="226" width="15.42578125" style="121" customWidth="1"/>
    <col min="227" max="230" width="6.42578125" style="121" customWidth="1"/>
    <col min="231" max="231" width="6" style="121" customWidth="1"/>
    <col min="232" max="232" width="6.42578125" style="121" customWidth="1"/>
    <col min="233" max="234" width="7.7109375" style="121" customWidth="1"/>
    <col min="235" max="235" width="6.7109375" style="121" customWidth="1"/>
    <col min="236" max="236" width="7.7109375" style="121" customWidth="1"/>
    <col min="237" max="240" width="6.42578125" style="121" customWidth="1"/>
    <col min="241" max="241" width="3.7109375" style="121" customWidth="1"/>
    <col min="242" max="242" width="6.42578125" style="121" customWidth="1"/>
    <col min="243" max="243" width="3.7109375" style="121" customWidth="1"/>
    <col min="244" max="244" width="6.42578125" style="121" customWidth="1"/>
    <col min="245" max="245" width="3.7109375" style="121" customWidth="1"/>
    <col min="246" max="251" width="6.42578125" style="121" customWidth="1"/>
    <col min="252" max="252" width="3.7109375" style="121" customWidth="1"/>
    <col min="253" max="253" width="6.42578125" style="121" customWidth="1"/>
    <col min="254" max="254" width="3.7109375" style="121" customWidth="1"/>
    <col min="255" max="255" width="6.42578125" style="121" customWidth="1"/>
    <col min="256" max="256" width="3.7109375" style="121" customWidth="1"/>
    <col min="257" max="262" width="6.42578125" style="121" customWidth="1"/>
    <col min="263" max="263" width="3.7109375" style="121" customWidth="1"/>
    <col min="264" max="264" width="6.42578125" style="121" customWidth="1"/>
    <col min="265" max="265" width="3.7109375" style="121" customWidth="1"/>
    <col min="266" max="266" width="6.42578125" style="121" customWidth="1"/>
    <col min="267" max="267" width="3.7109375" style="121" customWidth="1"/>
    <col min="268" max="268" width="6.42578125" style="121" customWidth="1"/>
    <col min="269" max="269" width="7.7109375" style="121" customWidth="1"/>
    <col min="270" max="270" width="15.5703125" style="121" customWidth="1"/>
    <col min="271" max="271" width="3.28515625" style="121" customWidth="1"/>
    <col min="272" max="272" width="5.28515625" style="121" customWidth="1"/>
    <col min="273" max="273" width="23.42578125" style="121" customWidth="1"/>
    <col min="274" max="293" width="8.28515625" style="121"/>
    <col min="294" max="296" width="10.42578125" style="121" customWidth="1"/>
    <col min="297" max="297" width="1" style="121" customWidth="1"/>
    <col min="298" max="298" width="8.28515625" style="121"/>
    <col min="299" max="301" width="10.42578125" style="121" customWidth="1"/>
    <col min="302" max="302" width="5.7109375" style="121" customWidth="1"/>
    <col min="303" max="303" width="14.28515625" style="121" customWidth="1"/>
    <col min="304" max="470" width="8.28515625" style="121"/>
    <col min="471" max="471" width="1.28515625" style="121" customWidth="1"/>
    <col min="472" max="479" width="7.7109375" style="121" customWidth="1"/>
    <col min="480" max="480" width="6.42578125" style="121" customWidth="1"/>
    <col min="481" max="481" width="9.28515625" style="121" customWidth="1"/>
    <col min="482" max="482" width="15.42578125" style="121" customWidth="1"/>
    <col min="483" max="486" width="6.42578125" style="121" customWidth="1"/>
    <col min="487" max="487" width="6" style="121" customWidth="1"/>
    <col min="488" max="488" width="6.42578125" style="121" customWidth="1"/>
    <col min="489" max="490" width="7.7109375" style="121" customWidth="1"/>
    <col min="491" max="491" width="6.7109375" style="121" customWidth="1"/>
    <col min="492" max="492" width="7.7109375" style="121" customWidth="1"/>
    <col min="493" max="496" width="6.42578125" style="121" customWidth="1"/>
    <col min="497" max="497" width="3.7109375" style="121" customWidth="1"/>
    <col min="498" max="498" width="6.42578125" style="121" customWidth="1"/>
    <col min="499" max="499" width="3.7109375" style="121" customWidth="1"/>
    <col min="500" max="500" width="6.42578125" style="121" customWidth="1"/>
    <col min="501" max="501" width="3.7109375" style="121" customWidth="1"/>
    <col min="502" max="507" width="6.42578125" style="121" customWidth="1"/>
    <col min="508" max="508" width="3.7109375" style="121" customWidth="1"/>
    <col min="509" max="509" width="6.42578125" style="121" customWidth="1"/>
    <col min="510" max="510" width="3.7109375" style="121" customWidth="1"/>
    <col min="511" max="511" width="6.42578125" style="121" customWidth="1"/>
    <col min="512" max="512" width="3.7109375" style="121" customWidth="1"/>
    <col min="513" max="518" width="6.42578125" style="121" customWidth="1"/>
    <col min="519" max="519" width="3.7109375" style="121" customWidth="1"/>
    <col min="520" max="520" width="6.42578125" style="121" customWidth="1"/>
    <col min="521" max="521" width="3.7109375" style="121" customWidth="1"/>
    <col min="522" max="522" width="6.42578125" style="121" customWidth="1"/>
    <col min="523" max="523" width="3.7109375" style="121" customWidth="1"/>
    <col min="524" max="524" width="6.42578125" style="121" customWidth="1"/>
    <col min="525" max="525" width="7.7109375" style="121" customWidth="1"/>
    <col min="526" max="526" width="15.5703125" style="121" customWidth="1"/>
    <col min="527" max="527" width="3.28515625" style="121" customWidth="1"/>
    <col min="528" max="528" width="5.28515625" style="121" customWidth="1"/>
    <col min="529" max="529" width="23.42578125" style="121" customWidth="1"/>
    <col min="530" max="549" width="8.28515625" style="121"/>
    <col min="550" max="552" width="10.42578125" style="121" customWidth="1"/>
    <col min="553" max="553" width="1" style="121" customWidth="1"/>
    <col min="554" max="554" width="8.28515625" style="121"/>
    <col min="555" max="557" width="10.42578125" style="121" customWidth="1"/>
    <col min="558" max="558" width="5.7109375" style="121" customWidth="1"/>
    <col min="559" max="559" width="14.28515625" style="121" customWidth="1"/>
    <col min="560" max="726" width="8.28515625" style="121"/>
    <col min="727" max="727" width="1.28515625" style="121" customWidth="1"/>
    <col min="728" max="735" width="7.7109375" style="121" customWidth="1"/>
    <col min="736" max="736" width="6.42578125" style="121" customWidth="1"/>
    <col min="737" max="737" width="9.28515625" style="121" customWidth="1"/>
    <col min="738" max="738" width="15.42578125" style="121" customWidth="1"/>
    <col min="739" max="742" width="6.42578125" style="121" customWidth="1"/>
    <col min="743" max="743" width="6" style="121" customWidth="1"/>
    <col min="744" max="744" width="6.42578125" style="121" customWidth="1"/>
    <col min="745" max="746" width="7.7109375" style="121" customWidth="1"/>
    <col min="747" max="747" width="6.7109375" style="121" customWidth="1"/>
    <col min="748" max="748" width="7.7109375" style="121" customWidth="1"/>
    <col min="749" max="752" width="6.42578125" style="121" customWidth="1"/>
    <col min="753" max="753" width="3.7109375" style="121" customWidth="1"/>
    <col min="754" max="754" width="6.42578125" style="121" customWidth="1"/>
    <col min="755" max="755" width="3.7109375" style="121" customWidth="1"/>
    <col min="756" max="756" width="6.42578125" style="121" customWidth="1"/>
    <col min="757" max="757" width="3.7109375" style="121" customWidth="1"/>
    <col min="758" max="763" width="6.42578125" style="121" customWidth="1"/>
    <col min="764" max="764" width="3.7109375" style="121" customWidth="1"/>
    <col min="765" max="765" width="6.42578125" style="121" customWidth="1"/>
    <col min="766" max="766" width="3.7109375" style="121" customWidth="1"/>
    <col min="767" max="767" width="6.42578125" style="121" customWidth="1"/>
    <col min="768" max="768" width="3.7109375" style="121" customWidth="1"/>
    <col min="769" max="774" width="6.42578125" style="121" customWidth="1"/>
    <col min="775" max="775" width="3.7109375" style="121" customWidth="1"/>
    <col min="776" max="776" width="6.42578125" style="121" customWidth="1"/>
    <col min="777" max="777" width="3.7109375" style="121" customWidth="1"/>
    <col min="778" max="778" width="6.42578125" style="121" customWidth="1"/>
    <col min="779" max="779" width="3.7109375" style="121" customWidth="1"/>
    <col min="780" max="780" width="6.42578125" style="121" customWidth="1"/>
    <col min="781" max="781" width="7.7109375" style="121" customWidth="1"/>
    <col min="782" max="782" width="15.5703125" style="121" customWidth="1"/>
    <col min="783" max="783" width="3.28515625" style="121" customWidth="1"/>
    <col min="784" max="784" width="5.28515625" style="121" customWidth="1"/>
    <col min="785" max="785" width="23.42578125" style="121" customWidth="1"/>
    <col min="786" max="805" width="8.28515625" style="121"/>
    <col min="806" max="808" width="10.42578125" style="121" customWidth="1"/>
    <col min="809" max="809" width="1" style="121" customWidth="1"/>
    <col min="810" max="810" width="8.28515625" style="121"/>
    <col min="811" max="813" width="10.42578125" style="121" customWidth="1"/>
    <col min="814" max="814" width="5.7109375" style="121" customWidth="1"/>
    <col min="815" max="815" width="14.28515625" style="121" customWidth="1"/>
    <col min="816" max="982" width="8.28515625" style="121"/>
    <col min="983" max="983" width="1.28515625" style="121" customWidth="1"/>
    <col min="984" max="991" width="7.7109375" style="121" customWidth="1"/>
    <col min="992" max="992" width="6.42578125" style="121" customWidth="1"/>
    <col min="993" max="993" width="9.28515625" style="121" customWidth="1"/>
    <col min="994" max="994" width="15.42578125" style="121" customWidth="1"/>
    <col min="995" max="998" width="6.42578125" style="121" customWidth="1"/>
    <col min="999" max="999" width="6" style="121" customWidth="1"/>
    <col min="1000" max="1000" width="6.42578125" style="121" customWidth="1"/>
    <col min="1001" max="1002" width="7.7109375" style="121" customWidth="1"/>
    <col min="1003" max="1003" width="6.7109375" style="121" customWidth="1"/>
    <col min="1004" max="1004" width="7.7109375" style="121" customWidth="1"/>
    <col min="1005" max="1008" width="6.42578125" style="121" customWidth="1"/>
    <col min="1009" max="1009" width="3.7109375" style="121" customWidth="1"/>
    <col min="1010" max="1010" width="6.42578125" style="121" customWidth="1"/>
    <col min="1011" max="1011" width="3.7109375" style="121" customWidth="1"/>
    <col min="1012" max="1012" width="6.42578125" style="121" customWidth="1"/>
    <col min="1013" max="1013" width="3.7109375" style="121" customWidth="1"/>
    <col min="1014" max="1019" width="6.42578125" style="121" customWidth="1"/>
    <col min="1020" max="1020" width="3.7109375" style="121" customWidth="1"/>
    <col min="1021" max="1021" width="6.42578125" style="121" customWidth="1"/>
    <col min="1022" max="1022" width="3.7109375" style="121" customWidth="1"/>
    <col min="1023" max="1023" width="6.42578125" style="121" customWidth="1"/>
    <col min="1024" max="1024" width="3.7109375" style="121" customWidth="1"/>
    <col min="1025" max="1030" width="6.42578125" style="121" customWidth="1"/>
    <col min="1031" max="1031" width="3.7109375" style="121" customWidth="1"/>
    <col min="1032" max="1032" width="6.42578125" style="121" customWidth="1"/>
    <col min="1033" max="1033" width="3.7109375" style="121" customWidth="1"/>
    <col min="1034" max="1034" width="6.42578125" style="121" customWidth="1"/>
    <col min="1035" max="1035" width="3.7109375" style="121" customWidth="1"/>
    <col min="1036" max="1036" width="6.42578125" style="121" customWidth="1"/>
    <col min="1037" max="1037" width="7.7109375" style="121" customWidth="1"/>
    <col min="1038" max="1038" width="15.5703125" style="121" customWidth="1"/>
    <col min="1039" max="1039" width="3.28515625" style="121" customWidth="1"/>
    <col min="1040" max="1040" width="5.28515625" style="121" customWidth="1"/>
    <col min="1041" max="1041" width="23.42578125" style="121" customWidth="1"/>
    <col min="1042" max="1061" width="8.28515625" style="121"/>
    <col min="1062" max="1064" width="10.42578125" style="121" customWidth="1"/>
    <col min="1065" max="1065" width="1" style="121" customWidth="1"/>
    <col min="1066" max="1066" width="8.28515625" style="121"/>
    <col min="1067" max="1069" width="10.42578125" style="121" customWidth="1"/>
    <col min="1070" max="1070" width="5.7109375" style="121" customWidth="1"/>
    <col min="1071" max="1071" width="14.28515625" style="121" customWidth="1"/>
    <col min="1072" max="1238" width="8.28515625" style="121"/>
    <col min="1239" max="1239" width="1.28515625" style="121" customWidth="1"/>
    <col min="1240" max="1247" width="7.7109375" style="121" customWidth="1"/>
    <col min="1248" max="1248" width="6.42578125" style="121" customWidth="1"/>
    <col min="1249" max="1249" width="9.28515625" style="121" customWidth="1"/>
    <col min="1250" max="1250" width="15.42578125" style="121" customWidth="1"/>
    <col min="1251" max="1254" width="6.42578125" style="121" customWidth="1"/>
    <col min="1255" max="1255" width="6" style="121" customWidth="1"/>
    <col min="1256" max="1256" width="6.42578125" style="121" customWidth="1"/>
    <col min="1257" max="1258" width="7.7109375" style="121" customWidth="1"/>
    <col min="1259" max="1259" width="6.7109375" style="121" customWidth="1"/>
    <col min="1260" max="1260" width="7.7109375" style="121" customWidth="1"/>
    <col min="1261" max="1264" width="6.42578125" style="121" customWidth="1"/>
    <col min="1265" max="1265" width="3.7109375" style="121" customWidth="1"/>
    <col min="1266" max="1266" width="6.42578125" style="121" customWidth="1"/>
    <col min="1267" max="1267" width="3.7109375" style="121" customWidth="1"/>
    <col min="1268" max="1268" width="6.42578125" style="121" customWidth="1"/>
    <col min="1269" max="1269" width="3.7109375" style="121" customWidth="1"/>
    <col min="1270" max="1275" width="6.42578125" style="121" customWidth="1"/>
    <col min="1276" max="1276" width="3.7109375" style="121" customWidth="1"/>
    <col min="1277" max="1277" width="6.42578125" style="121" customWidth="1"/>
    <col min="1278" max="1278" width="3.7109375" style="121" customWidth="1"/>
    <col min="1279" max="1279" width="6.42578125" style="121" customWidth="1"/>
    <col min="1280" max="1280" width="3.7109375" style="121" customWidth="1"/>
    <col min="1281" max="1286" width="6.42578125" style="121" customWidth="1"/>
    <col min="1287" max="1287" width="3.7109375" style="121" customWidth="1"/>
    <col min="1288" max="1288" width="6.42578125" style="121" customWidth="1"/>
    <col min="1289" max="1289" width="3.7109375" style="121" customWidth="1"/>
    <col min="1290" max="1290" width="6.42578125" style="121" customWidth="1"/>
    <col min="1291" max="1291" width="3.7109375" style="121" customWidth="1"/>
    <col min="1292" max="1292" width="6.42578125" style="121" customWidth="1"/>
    <col min="1293" max="1293" width="7.7109375" style="121" customWidth="1"/>
    <col min="1294" max="1294" width="15.5703125" style="121" customWidth="1"/>
    <col min="1295" max="1295" width="3.28515625" style="121" customWidth="1"/>
    <col min="1296" max="1296" width="5.28515625" style="121" customWidth="1"/>
    <col min="1297" max="1297" width="23.42578125" style="121" customWidth="1"/>
    <col min="1298" max="1317" width="8.28515625" style="121"/>
    <col min="1318" max="1320" width="10.42578125" style="121" customWidth="1"/>
    <col min="1321" max="1321" width="1" style="121" customWidth="1"/>
    <col min="1322" max="1322" width="8.28515625" style="121"/>
    <col min="1323" max="1325" width="10.42578125" style="121" customWidth="1"/>
    <col min="1326" max="1326" width="5.7109375" style="121" customWidth="1"/>
    <col min="1327" max="1327" width="14.28515625" style="121" customWidth="1"/>
    <col min="1328" max="1494" width="8.28515625" style="121"/>
    <col min="1495" max="1495" width="1.28515625" style="121" customWidth="1"/>
    <col min="1496" max="1503" width="7.7109375" style="121" customWidth="1"/>
    <col min="1504" max="1504" width="6.42578125" style="121" customWidth="1"/>
    <col min="1505" max="1505" width="9.28515625" style="121" customWidth="1"/>
    <col min="1506" max="1506" width="15.42578125" style="121" customWidth="1"/>
    <col min="1507" max="1510" width="6.42578125" style="121" customWidth="1"/>
    <col min="1511" max="1511" width="6" style="121" customWidth="1"/>
    <col min="1512" max="1512" width="6.42578125" style="121" customWidth="1"/>
    <col min="1513" max="1514" width="7.7109375" style="121" customWidth="1"/>
    <col min="1515" max="1515" width="6.7109375" style="121" customWidth="1"/>
    <col min="1516" max="1516" width="7.7109375" style="121" customWidth="1"/>
    <col min="1517" max="1520" width="6.42578125" style="121" customWidth="1"/>
    <col min="1521" max="1521" width="3.7109375" style="121" customWidth="1"/>
    <col min="1522" max="1522" width="6.42578125" style="121" customWidth="1"/>
    <col min="1523" max="1523" width="3.7109375" style="121" customWidth="1"/>
    <col min="1524" max="1524" width="6.42578125" style="121" customWidth="1"/>
    <col min="1525" max="1525" width="3.7109375" style="121" customWidth="1"/>
    <col min="1526" max="1531" width="6.42578125" style="121" customWidth="1"/>
    <col min="1532" max="1532" width="3.7109375" style="121" customWidth="1"/>
    <col min="1533" max="1533" width="6.42578125" style="121" customWidth="1"/>
    <col min="1534" max="1534" width="3.7109375" style="121" customWidth="1"/>
    <col min="1535" max="1535" width="6.42578125" style="121" customWidth="1"/>
    <col min="1536" max="1536" width="3.7109375" style="121" customWidth="1"/>
    <col min="1537" max="1542" width="6.42578125" style="121" customWidth="1"/>
    <col min="1543" max="1543" width="3.7109375" style="121" customWidth="1"/>
    <col min="1544" max="1544" width="6.42578125" style="121" customWidth="1"/>
    <col min="1545" max="1545" width="3.7109375" style="121" customWidth="1"/>
    <col min="1546" max="1546" width="6.42578125" style="121" customWidth="1"/>
    <col min="1547" max="1547" width="3.7109375" style="121" customWidth="1"/>
    <col min="1548" max="1548" width="6.42578125" style="121" customWidth="1"/>
    <col min="1549" max="1549" width="7.7109375" style="121" customWidth="1"/>
    <col min="1550" max="1550" width="15.5703125" style="121" customWidth="1"/>
    <col min="1551" max="1551" width="3.28515625" style="121" customWidth="1"/>
    <col min="1552" max="1552" width="5.28515625" style="121" customWidth="1"/>
    <col min="1553" max="1553" width="23.42578125" style="121" customWidth="1"/>
    <col min="1554" max="1573" width="8.28515625" style="121"/>
    <col min="1574" max="1576" width="10.42578125" style="121" customWidth="1"/>
    <col min="1577" max="1577" width="1" style="121" customWidth="1"/>
    <col min="1578" max="1578" width="8.28515625" style="121"/>
    <col min="1579" max="1581" width="10.42578125" style="121" customWidth="1"/>
    <col min="1582" max="1582" width="5.7109375" style="121" customWidth="1"/>
    <col min="1583" max="1583" width="14.28515625" style="121" customWidth="1"/>
    <col min="1584" max="1750" width="8.28515625" style="121"/>
    <col min="1751" max="1751" width="1.28515625" style="121" customWidth="1"/>
    <col min="1752" max="1759" width="7.7109375" style="121" customWidth="1"/>
    <col min="1760" max="1760" width="6.42578125" style="121" customWidth="1"/>
    <col min="1761" max="1761" width="9.28515625" style="121" customWidth="1"/>
    <col min="1762" max="1762" width="15.42578125" style="121" customWidth="1"/>
    <col min="1763" max="1766" width="6.42578125" style="121" customWidth="1"/>
    <col min="1767" max="1767" width="6" style="121" customWidth="1"/>
    <col min="1768" max="1768" width="6.42578125" style="121" customWidth="1"/>
    <col min="1769" max="1770" width="7.7109375" style="121" customWidth="1"/>
    <col min="1771" max="1771" width="6.7109375" style="121" customWidth="1"/>
    <col min="1772" max="1772" width="7.7109375" style="121" customWidth="1"/>
    <col min="1773" max="1776" width="6.42578125" style="121" customWidth="1"/>
    <col min="1777" max="1777" width="3.7109375" style="121" customWidth="1"/>
    <col min="1778" max="1778" width="6.42578125" style="121" customWidth="1"/>
    <col min="1779" max="1779" width="3.7109375" style="121" customWidth="1"/>
    <col min="1780" max="1780" width="6.42578125" style="121" customWidth="1"/>
    <col min="1781" max="1781" width="3.7109375" style="121" customWidth="1"/>
    <col min="1782" max="1787" width="6.42578125" style="121" customWidth="1"/>
    <col min="1788" max="1788" width="3.7109375" style="121" customWidth="1"/>
    <col min="1789" max="1789" width="6.42578125" style="121" customWidth="1"/>
    <col min="1790" max="1790" width="3.7109375" style="121" customWidth="1"/>
    <col min="1791" max="1791" width="6.42578125" style="121" customWidth="1"/>
    <col min="1792" max="1792" width="3.7109375" style="121" customWidth="1"/>
    <col min="1793" max="1798" width="6.42578125" style="121" customWidth="1"/>
    <col min="1799" max="1799" width="3.7109375" style="121" customWidth="1"/>
    <col min="1800" max="1800" width="6.42578125" style="121" customWidth="1"/>
    <col min="1801" max="1801" width="3.7109375" style="121" customWidth="1"/>
    <col min="1802" max="1802" width="6.42578125" style="121" customWidth="1"/>
    <col min="1803" max="1803" width="3.7109375" style="121" customWidth="1"/>
    <col min="1804" max="1804" width="6.42578125" style="121" customWidth="1"/>
    <col min="1805" max="1805" width="7.7109375" style="121" customWidth="1"/>
    <col min="1806" max="1806" width="15.5703125" style="121" customWidth="1"/>
    <col min="1807" max="1807" width="3.28515625" style="121" customWidth="1"/>
    <col min="1808" max="1808" width="5.28515625" style="121" customWidth="1"/>
    <col min="1809" max="1809" width="23.42578125" style="121" customWidth="1"/>
    <col min="1810" max="1829" width="8.28515625" style="121"/>
    <col min="1830" max="1832" width="10.42578125" style="121" customWidth="1"/>
    <col min="1833" max="1833" width="1" style="121" customWidth="1"/>
    <col min="1834" max="1834" width="8.28515625" style="121"/>
    <col min="1835" max="1837" width="10.42578125" style="121" customWidth="1"/>
    <col min="1838" max="1838" width="5.7109375" style="121" customWidth="1"/>
    <col min="1839" max="1839" width="14.28515625" style="121" customWidth="1"/>
    <col min="1840" max="2006" width="8.28515625" style="121"/>
    <col min="2007" max="2007" width="1.28515625" style="121" customWidth="1"/>
    <col min="2008" max="2015" width="7.7109375" style="121" customWidth="1"/>
    <col min="2016" max="2016" width="6.42578125" style="121" customWidth="1"/>
    <col min="2017" max="2017" width="9.28515625" style="121" customWidth="1"/>
    <col min="2018" max="2018" width="15.42578125" style="121" customWidth="1"/>
    <col min="2019" max="2022" width="6.42578125" style="121" customWidth="1"/>
    <col min="2023" max="2023" width="6" style="121" customWidth="1"/>
    <col min="2024" max="2024" width="6.42578125" style="121" customWidth="1"/>
    <col min="2025" max="2026" width="7.7109375" style="121" customWidth="1"/>
    <col min="2027" max="2027" width="6.7109375" style="121" customWidth="1"/>
    <col min="2028" max="2028" width="7.7109375" style="121" customWidth="1"/>
    <col min="2029" max="2032" width="6.42578125" style="121" customWidth="1"/>
    <col min="2033" max="2033" width="3.7109375" style="121" customWidth="1"/>
    <col min="2034" max="2034" width="6.42578125" style="121" customWidth="1"/>
    <col min="2035" max="2035" width="3.7109375" style="121" customWidth="1"/>
    <col min="2036" max="2036" width="6.42578125" style="121" customWidth="1"/>
    <col min="2037" max="2037" width="3.7109375" style="121" customWidth="1"/>
    <col min="2038" max="2043" width="6.42578125" style="121" customWidth="1"/>
    <col min="2044" max="2044" width="3.7109375" style="121" customWidth="1"/>
    <col min="2045" max="2045" width="6.42578125" style="121" customWidth="1"/>
    <col min="2046" max="2046" width="3.7109375" style="121" customWidth="1"/>
    <col min="2047" max="2047" width="6.42578125" style="121" customWidth="1"/>
    <col min="2048" max="2048" width="3.7109375" style="121" customWidth="1"/>
    <col min="2049" max="2054" width="6.42578125" style="121" customWidth="1"/>
    <col min="2055" max="2055" width="3.7109375" style="121" customWidth="1"/>
    <col min="2056" max="2056" width="6.42578125" style="121" customWidth="1"/>
    <col min="2057" max="2057" width="3.7109375" style="121" customWidth="1"/>
    <col min="2058" max="2058" width="6.42578125" style="121" customWidth="1"/>
    <col min="2059" max="2059" width="3.7109375" style="121" customWidth="1"/>
    <col min="2060" max="2060" width="6.42578125" style="121" customWidth="1"/>
    <col min="2061" max="2061" width="7.7109375" style="121" customWidth="1"/>
    <col min="2062" max="2062" width="15.5703125" style="121" customWidth="1"/>
    <col min="2063" max="2063" width="3.28515625" style="121" customWidth="1"/>
    <col min="2064" max="2064" width="5.28515625" style="121" customWidth="1"/>
    <col min="2065" max="2065" width="23.42578125" style="121" customWidth="1"/>
    <col min="2066" max="2085" width="8.28515625" style="121"/>
    <col min="2086" max="2088" width="10.42578125" style="121" customWidth="1"/>
    <col min="2089" max="2089" width="1" style="121" customWidth="1"/>
    <col min="2090" max="2090" width="8.28515625" style="121"/>
    <col min="2091" max="2093" width="10.42578125" style="121" customWidth="1"/>
    <col min="2094" max="2094" width="5.7109375" style="121" customWidth="1"/>
    <col min="2095" max="2095" width="14.28515625" style="121" customWidth="1"/>
    <col min="2096" max="2262" width="8.28515625" style="121"/>
    <col min="2263" max="2263" width="1.28515625" style="121" customWidth="1"/>
    <col min="2264" max="2271" width="7.7109375" style="121" customWidth="1"/>
    <col min="2272" max="2272" width="6.42578125" style="121" customWidth="1"/>
    <col min="2273" max="2273" width="9.28515625" style="121" customWidth="1"/>
    <col min="2274" max="2274" width="15.42578125" style="121" customWidth="1"/>
    <col min="2275" max="2278" width="6.42578125" style="121" customWidth="1"/>
    <col min="2279" max="2279" width="6" style="121" customWidth="1"/>
    <col min="2280" max="2280" width="6.42578125" style="121" customWidth="1"/>
    <col min="2281" max="2282" width="7.7109375" style="121" customWidth="1"/>
    <col min="2283" max="2283" width="6.7109375" style="121" customWidth="1"/>
    <col min="2284" max="2284" width="7.7109375" style="121" customWidth="1"/>
    <col min="2285" max="2288" width="6.42578125" style="121" customWidth="1"/>
    <col min="2289" max="2289" width="3.7109375" style="121" customWidth="1"/>
    <col min="2290" max="2290" width="6.42578125" style="121" customWidth="1"/>
    <col min="2291" max="2291" width="3.7109375" style="121" customWidth="1"/>
    <col min="2292" max="2292" width="6.42578125" style="121" customWidth="1"/>
    <col min="2293" max="2293" width="3.7109375" style="121" customWidth="1"/>
    <col min="2294" max="2299" width="6.42578125" style="121" customWidth="1"/>
    <col min="2300" max="2300" width="3.7109375" style="121" customWidth="1"/>
    <col min="2301" max="2301" width="6.42578125" style="121" customWidth="1"/>
    <col min="2302" max="2302" width="3.7109375" style="121" customWidth="1"/>
    <col min="2303" max="2303" width="6.42578125" style="121" customWidth="1"/>
    <col min="2304" max="2304" width="3.7109375" style="121" customWidth="1"/>
    <col min="2305" max="2310" width="6.42578125" style="121" customWidth="1"/>
    <col min="2311" max="2311" width="3.7109375" style="121" customWidth="1"/>
    <col min="2312" max="2312" width="6.42578125" style="121" customWidth="1"/>
    <col min="2313" max="2313" width="3.7109375" style="121" customWidth="1"/>
    <col min="2314" max="2314" width="6.42578125" style="121" customWidth="1"/>
    <col min="2315" max="2315" width="3.7109375" style="121" customWidth="1"/>
    <col min="2316" max="2316" width="6.42578125" style="121" customWidth="1"/>
    <col min="2317" max="2317" width="7.7109375" style="121" customWidth="1"/>
    <col min="2318" max="2318" width="15.5703125" style="121" customWidth="1"/>
    <col min="2319" max="2319" width="3.28515625" style="121" customWidth="1"/>
    <col min="2320" max="2320" width="5.28515625" style="121" customWidth="1"/>
    <col min="2321" max="2321" width="23.42578125" style="121" customWidth="1"/>
    <col min="2322" max="2341" width="8.28515625" style="121"/>
    <col min="2342" max="2344" width="10.42578125" style="121" customWidth="1"/>
    <col min="2345" max="2345" width="1" style="121" customWidth="1"/>
    <col min="2346" max="2346" width="8.28515625" style="121"/>
    <col min="2347" max="2349" width="10.42578125" style="121" customWidth="1"/>
    <col min="2350" max="2350" width="5.7109375" style="121" customWidth="1"/>
    <col min="2351" max="2351" width="14.28515625" style="121" customWidth="1"/>
    <col min="2352" max="2518" width="8.28515625" style="121"/>
    <col min="2519" max="2519" width="1.28515625" style="121" customWidth="1"/>
    <col min="2520" max="2527" width="7.7109375" style="121" customWidth="1"/>
    <col min="2528" max="2528" width="6.42578125" style="121" customWidth="1"/>
    <col min="2529" max="2529" width="9.28515625" style="121" customWidth="1"/>
    <col min="2530" max="2530" width="15.42578125" style="121" customWidth="1"/>
    <col min="2531" max="2534" width="6.42578125" style="121" customWidth="1"/>
    <col min="2535" max="2535" width="6" style="121" customWidth="1"/>
    <col min="2536" max="2536" width="6.42578125" style="121" customWidth="1"/>
    <col min="2537" max="2538" width="7.7109375" style="121" customWidth="1"/>
    <col min="2539" max="2539" width="6.7109375" style="121" customWidth="1"/>
    <col min="2540" max="2540" width="7.7109375" style="121" customWidth="1"/>
    <col min="2541" max="2544" width="6.42578125" style="121" customWidth="1"/>
    <col min="2545" max="2545" width="3.7109375" style="121" customWidth="1"/>
    <col min="2546" max="2546" width="6.42578125" style="121" customWidth="1"/>
    <col min="2547" max="2547" width="3.7109375" style="121" customWidth="1"/>
    <col min="2548" max="2548" width="6.42578125" style="121" customWidth="1"/>
    <col min="2549" max="2549" width="3.7109375" style="121" customWidth="1"/>
    <col min="2550" max="2555" width="6.42578125" style="121" customWidth="1"/>
    <col min="2556" max="2556" width="3.7109375" style="121" customWidth="1"/>
    <col min="2557" max="2557" width="6.42578125" style="121" customWidth="1"/>
    <col min="2558" max="2558" width="3.7109375" style="121" customWidth="1"/>
    <col min="2559" max="2559" width="6.42578125" style="121" customWidth="1"/>
    <col min="2560" max="2560" width="3.7109375" style="121" customWidth="1"/>
    <col min="2561" max="2566" width="6.42578125" style="121" customWidth="1"/>
    <col min="2567" max="2567" width="3.7109375" style="121" customWidth="1"/>
    <col min="2568" max="2568" width="6.42578125" style="121" customWidth="1"/>
    <col min="2569" max="2569" width="3.7109375" style="121" customWidth="1"/>
    <col min="2570" max="2570" width="6.42578125" style="121" customWidth="1"/>
    <col min="2571" max="2571" width="3.7109375" style="121" customWidth="1"/>
    <col min="2572" max="2572" width="6.42578125" style="121" customWidth="1"/>
    <col min="2573" max="2573" width="7.7109375" style="121" customWidth="1"/>
    <col min="2574" max="2574" width="15.5703125" style="121" customWidth="1"/>
    <col min="2575" max="2575" width="3.28515625" style="121" customWidth="1"/>
    <col min="2576" max="2576" width="5.28515625" style="121" customWidth="1"/>
    <col min="2577" max="2577" width="23.42578125" style="121" customWidth="1"/>
    <col min="2578" max="2597" width="8.28515625" style="121"/>
    <col min="2598" max="2600" width="10.42578125" style="121" customWidth="1"/>
    <col min="2601" max="2601" width="1" style="121" customWidth="1"/>
    <col min="2602" max="2602" width="8.28515625" style="121"/>
    <col min="2603" max="2605" width="10.42578125" style="121" customWidth="1"/>
    <col min="2606" max="2606" width="5.7109375" style="121" customWidth="1"/>
    <col min="2607" max="2607" width="14.28515625" style="121" customWidth="1"/>
    <col min="2608" max="2774" width="8.28515625" style="121"/>
    <col min="2775" max="2775" width="1.28515625" style="121" customWidth="1"/>
    <col min="2776" max="2783" width="7.7109375" style="121" customWidth="1"/>
    <col min="2784" max="2784" width="6.42578125" style="121" customWidth="1"/>
    <col min="2785" max="2785" width="9.28515625" style="121" customWidth="1"/>
    <col min="2786" max="2786" width="15.42578125" style="121" customWidth="1"/>
    <col min="2787" max="2790" width="6.42578125" style="121" customWidth="1"/>
    <col min="2791" max="2791" width="6" style="121" customWidth="1"/>
    <col min="2792" max="2792" width="6.42578125" style="121" customWidth="1"/>
    <col min="2793" max="2794" width="7.7109375" style="121" customWidth="1"/>
    <col min="2795" max="2795" width="6.7109375" style="121" customWidth="1"/>
    <col min="2796" max="2796" width="7.7109375" style="121" customWidth="1"/>
    <col min="2797" max="2800" width="6.42578125" style="121" customWidth="1"/>
    <col min="2801" max="2801" width="3.7109375" style="121" customWidth="1"/>
    <col min="2802" max="2802" width="6.42578125" style="121" customWidth="1"/>
    <col min="2803" max="2803" width="3.7109375" style="121" customWidth="1"/>
    <col min="2804" max="2804" width="6.42578125" style="121" customWidth="1"/>
    <col min="2805" max="2805" width="3.7109375" style="121" customWidth="1"/>
    <col min="2806" max="2811" width="6.42578125" style="121" customWidth="1"/>
    <col min="2812" max="2812" width="3.7109375" style="121" customWidth="1"/>
    <col min="2813" max="2813" width="6.42578125" style="121" customWidth="1"/>
    <col min="2814" max="2814" width="3.7109375" style="121" customWidth="1"/>
    <col min="2815" max="2815" width="6.42578125" style="121" customWidth="1"/>
    <col min="2816" max="2816" width="3.7109375" style="121" customWidth="1"/>
    <col min="2817" max="2822" width="6.42578125" style="121" customWidth="1"/>
    <col min="2823" max="2823" width="3.7109375" style="121" customWidth="1"/>
    <col min="2824" max="2824" width="6.42578125" style="121" customWidth="1"/>
    <col min="2825" max="2825" width="3.7109375" style="121" customWidth="1"/>
    <col min="2826" max="2826" width="6.42578125" style="121" customWidth="1"/>
    <col min="2827" max="2827" width="3.7109375" style="121" customWidth="1"/>
    <col min="2828" max="2828" width="6.42578125" style="121" customWidth="1"/>
    <col min="2829" max="2829" width="7.7109375" style="121" customWidth="1"/>
    <col min="2830" max="2830" width="15.5703125" style="121" customWidth="1"/>
    <col min="2831" max="2831" width="3.28515625" style="121" customWidth="1"/>
    <col min="2832" max="2832" width="5.28515625" style="121" customWidth="1"/>
    <col min="2833" max="2833" width="23.42578125" style="121" customWidth="1"/>
    <col min="2834" max="2853" width="8.28515625" style="121"/>
    <col min="2854" max="2856" width="10.42578125" style="121" customWidth="1"/>
    <col min="2857" max="2857" width="1" style="121" customWidth="1"/>
    <col min="2858" max="2858" width="8.28515625" style="121"/>
    <col min="2859" max="2861" width="10.42578125" style="121" customWidth="1"/>
    <col min="2862" max="2862" width="5.7109375" style="121" customWidth="1"/>
    <col min="2863" max="2863" width="14.28515625" style="121" customWidth="1"/>
    <col min="2864" max="3030" width="8.28515625" style="121"/>
    <col min="3031" max="3031" width="1.28515625" style="121" customWidth="1"/>
    <col min="3032" max="3039" width="7.7109375" style="121" customWidth="1"/>
    <col min="3040" max="3040" width="6.42578125" style="121" customWidth="1"/>
    <col min="3041" max="3041" width="9.28515625" style="121" customWidth="1"/>
    <col min="3042" max="3042" width="15.42578125" style="121" customWidth="1"/>
    <col min="3043" max="3046" width="6.42578125" style="121" customWidth="1"/>
    <col min="3047" max="3047" width="6" style="121" customWidth="1"/>
    <col min="3048" max="3048" width="6.42578125" style="121" customWidth="1"/>
    <col min="3049" max="3050" width="7.7109375" style="121" customWidth="1"/>
    <col min="3051" max="3051" width="6.7109375" style="121" customWidth="1"/>
    <col min="3052" max="3052" width="7.7109375" style="121" customWidth="1"/>
    <col min="3053" max="3056" width="6.42578125" style="121" customWidth="1"/>
    <col min="3057" max="3057" width="3.7109375" style="121" customWidth="1"/>
    <col min="3058" max="3058" width="6.42578125" style="121" customWidth="1"/>
    <col min="3059" max="3059" width="3.7109375" style="121" customWidth="1"/>
    <col min="3060" max="3060" width="6.42578125" style="121" customWidth="1"/>
    <col min="3061" max="3061" width="3.7109375" style="121" customWidth="1"/>
    <col min="3062" max="3067" width="6.42578125" style="121" customWidth="1"/>
    <col min="3068" max="3068" width="3.7109375" style="121" customWidth="1"/>
    <col min="3069" max="3069" width="6.42578125" style="121" customWidth="1"/>
    <col min="3070" max="3070" width="3.7109375" style="121" customWidth="1"/>
    <col min="3071" max="3071" width="6.42578125" style="121" customWidth="1"/>
    <col min="3072" max="3072" width="3.7109375" style="121" customWidth="1"/>
    <col min="3073" max="3078" width="6.42578125" style="121" customWidth="1"/>
    <col min="3079" max="3079" width="3.7109375" style="121" customWidth="1"/>
    <col min="3080" max="3080" width="6.42578125" style="121" customWidth="1"/>
    <col min="3081" max="3081" width="3.7109375" style="121" customWidth="1"/>
    <col min="3082" max="3082" width="6.42578125" style="121" customWidth="1"/>
    <col min="3083" max="3083" width="3.7109375" style="121" customWidth="1"/>
    <col min="3084" max="3084" width="6.42578125" style="121" customWidth="1"/>
    <col min="3085" max="3085" width="7.7109375" style="121" customWidth="1"/>
    <col min="3086" max="3086" width="15.5703125" style="121" customWidth="1"/>
    <col min="3087" max="3087" width="3.28515625" style="121" customWidth="1"/>
    <col min="3088" max="3088" width="5.28515625" style="121" customWidth="1"/>
    <col min="3089" max="3089" width="23.42578125" style="121" customWidth="1"/>
    <col min="3090" max="3109" width="8.28515625" style="121"/>
    <col min="3110" max="3112" width="10.42578125" style="121" customWidth="1"/>
    <col min="3113" max="3113" width="1" style="121" customWidth="1"/>
    <col min="3114" max="3114" width="8.28515625" style="121"/>
    <col min="3115" max="3117" width="10.42578125" style="121" customWidth="1"/>
    <col min="3118" max="3118" width="5.7109375" style="121" customWidth="1"/>
    <col min="3119" max="3119" width="14.28515625" style="121" customWidth="1"/>
    <col min="3120" max="3286" width="8.28515625" style="121"/>
    <col min="3287" max="3287" width="1.28515625" style="121" customWidth="1"/>
    <col min="3288" max="3295" width="7.7109375" style="121" customWidth="1"/>
    <col min="3296" max="3296" width="6.42578125" style="121" customWidth="1"/>
    <col min="3297" max="3297" width="9.28515625" style="121" customWidth="1"/>
    <col min="3298" max="3298" width="15.42578125" style="121" customWidth="1"/>
    <col min="3299" max="3302" width="6.42578125" style="121" customWidth="1"/>
    <col min="3303" max="3303" width="6" style="121" customWidth="1"/>
    <col min="3304" max="3304" width="6.42578125" style="121" customWidth="1"/>
    <col min="3305" max="3306" width="7.7109375" style="121" customWidth="1"/>
    <col min="3307" max="3307" width="6.7109375" style="121" customWidth="1"/>
    <col min="3308" max="3308" width="7.7109375" style="121" customWidth="1"/>
    <col min="3309" max="3312" width="6.42578125" style="121" customWidth="1"/>
    <col min="3313" max="3313" width="3.7109375" style="121" customWidth="1"/>
    <col min="3314" max="3314" width="6.42578125" style="121" customWidth="1"/>
    <col min="3315" max="3315" width="3.7109375" style="121" customWidth="1"/>
    <col min="3316" max="3316" width="6.42578125" style="121" customWidth="1"/>
    <col min="3317" max="3317" width="3.7109375" style="121" customWidth="1"/>
    <col min="3318" max="3323" width="6.42578125" style="121" customWidth="1"/>
    <col min="3324" max="3324" width="3.7109375" style="121" customWidth="1"/>
    <col min="3325" max="3325" width="6.42578125" style="121" customWidth="1"/>
    <col min="3326" max="3326" width="3.7109375" style="121" customWidth="1"/>
    <col min="3327" max="3327" width="6.42578125" style="121" customWidth="1"/>
    <col min="3328" max="3328" width="3.7109375" style="121" customWidth="1"/>
    <col min="3329" max="3334" width="6.42578125" style="121" customWidth="1"/>
    <col min="3335" max="3335" width="3.7109375" style="121" customWidth="1"/>
    <col min="3336" max="3336" width="6.42578125" style="121" customWidth="1"/>
    <col min="3337" max="3337" width="3.7109375" style="121" customWidth="1"/>
    <col min="3338" max="3338" width="6.42578125" style="121" customWidth="1"/>
    <col min="3339" max="3339" width="3.7109375" style="121" customWidth="1"/>
    <col min="3340" max="3340" width="6.42578125" style="121" customWidth="1"/>
    <col min="3341" max="3341" width="7.7109375" style="121" customWidth="1"/>
    <col min="3342" max="3342" width="15.5703125" style="121" customWidth="1"/>
    <col min="3343" max="3343" width="3.28515625" style="121" customWidth="1"/>
    <col min="3344" max="3344" width="5.28515625" style="121" customWidth="1"/>
    <col min="3345" max="3345" width="23.42578125" style="121" customWidth="1"/>
    <col min="3346" max="3365" width="8.28515625" style="121"/>
    <col min="3366" max="3368" width="10.42578125" style="121" customWidth="1"/>
    <col min="3369" max="3369" width="1" style="121" customWidth="1"/>
    <col min="3370" max="3370" width="8.28515625" style="121"/>
    <col min="3371" max="3373" width="10.42578125" style="121" customWidth="1"/>
    <col min="3374" max="3374" width="5.7109375" style="121" customWidth="1"/>
    <col min="3375" max="3375" width="14.28515625" style="121" customWidth="1"/>
    <col min="3376" max="3542" width="8.28515625" style="121"/>
    <col min="3543" max="3543" width="1.28515625" style="121" customWidth="1"/>
    <col min="3544" max="3551" width="7.7109375" style="121" customWidth="1"/>
    <col min="3552" max="3552" width="6.42578125" style="121" customWidth="1"/>
    <col min="3553" max="3553" width="9.28515625" style="121" customWidth="1"/>
    <col min="3554" max="3554" width="15.42578125" style="121" customWidth="1"/>
    <col min="3555" max="3558" width="6.42578125" style="121" customWidth="1"/>
    <col min="3559" max="3559" width="6" style="121" customWidth="1"/>
    <col min="3560" max="3560" width="6.42578125" style="121" customWidth="1"/>
    <col min="3561" max="3562" width="7.7109375" style="121" customWidth="1"/>
    <col min="3563" max="3563" width="6.7109375" style="121" customWidth="1"/>
    <col min="3564" max="3564" width="7.7109375" style="121" customWidth="1"/>
    <col min="3565" max="3568" width="6.42578125" style="121" customWidth="1"/>
    <col min="3569" max="3569" width="3.7109375" style="121" customWidth="1"/>
    <col min="3570" max="3570" width="6.42578125" style="121" customWidth="1"/>
    <col min="3571" max="3571" width="3.7109375" style="121" customWidth="1"/>
    <col min="3572" max="3572" width="6.42578125" style="121" customWidth="1"/>
    <col min="3573" max="3573" width="3.7109375" style="121" customWidth="1"/>
    <col min="3574" max="3579" width="6.42578125" style="121" customWidth="1"/>
    <col min="3580" max="3580" width="3.7109375" style="121" customWidth="1"/>
    <col min="3581" max="3581" width="6.42578125" style="121" customWidth="1"/>
    <col min="3582" max="3582" width="3.7109375" style="121" customWidth="1"/>
    <col min="3583" max="3583" width="6.42578125" style="121" customWidth="1"/>
    <col min="3584" max="3584" width="3.7109375" style="121" customWidth="1"/>
    <col min="3585" max="3590" width="6.42578125" style="121" customWidth="1"/>
    <col min="3591" max="3591" width="3.7109375" style="121" customWidth="1"/>
    <col min="3592" max="3592" width="6.42578125" style="121" customWidth="1"/>
    <col min="3593" max="3593" width="3.7109375" style="121" customWidth="1"/>
    <col min="3594" max="3594" width="6.42578125" style="121" customWidth="1"/>
    <col min="3595" max="3595" width="3.7109375" style="121" customWidth="1"/>
    <col min="3596" max="3596" width="6.42578125" style="121" customWidth="1"/>
    <col min="3597" max="3597" width="7.7109375" style="121" customWidth="1"/>
    <col min="3598" max="3598" width="15.5703125" style="121" customWidth="1"/>
    <col min="3599" max="3599" width="3.28515625" style="121" customWidth="1"/>
    <col min="3600" max="3600" width="5.28515625" style="121" customWidth="1"/>
    <col min="3601" max="3601" width="23.42578125" style="121" customWidth="1"/>
    <col min="3602" max="3621" width="8.28515625" style="121"/>
    <col min="3622" max="3624" width="10.42578125" style="121" customWidth="1"/>
    <col min="3625" max="3625" width="1" style="121" customWidth="1"/>
    <col min="3626" max="3626" width="8.28515625" style="121"/>
    <col min="3627" max="3629" width="10.42578125" style="121" customWidth="1"/>
    <col min="3630" max="3630" width="5.7109375" style="121" customWidth="1"/>
    <col min="3631" max="3631" width="14.28515625" style="121" customWidth="1"/>
    <col min="3632" max="3798" width="8.28515625" style="121"/>
    <col min="3799" max="3799" width="1.28515625" style="121" customWidth="1"/>
    <col min="3800" max="3807" width="7.7109375" style="121" customWidth="1"/>
    <col min="3808" max="3808" width="6.42578125" style="121" customWidth="1"/>
    <col min="3809" max="3809" width="9.28515625" style="121" customWidth="1"/>
    <col min="3810" max="3810" width="15.42578125" style="121" customWidth="1"/>
    <col min="3811" max="3814" width="6.42578125" style="121" customWidth="1"/>
    <col min="3815" max="3815" width="6" style="121" customWidth="1"/>
    <col min="3816" max="3816" width="6.42578125" style="121" customWidth="1"/>
    <col min="3817" max="3818" width="7.7109375" style="121" customWidth="1"/>
    <col min="3819" max="3819" width="6.7109375" style="121" customWidth="1"/>
    <col min="3820" max="3820" width="7.7109375" style="121" customWidth="1"/>
    <col min="3821" max="3824" width="6.42578125" style="121" customWidth="1"/>
    <col min="3825" max="3825" width="3.7109375" style="121" customWidth="1"/>
    <col min="3826" max="3826" width="6.42578125" style="121" customWidth="1"/>
    <col min="3827" max="3827" width="3.7109375" style="121" customWidth="1"/>
    <col min="3828" max="3828" width="6.42578125" style="121" customWidth="1"/>
    <col min="3829" max="3829" width="3.7109375" style="121" customWidth="1"/>
    <col min="3830" max="3835" width="6.42578125" style="121" customWidth="1"/>
    <col min="3836" max="3836" width="3.7109375" style="121" customWidth="1"/>
    <col min="3837" max="3837" width="6.42578125" style="121" customWidth="1"/>
    <col min="3838" max="3838" width="3.7109375" style="121" customWidth="1"/>
    <col min="3839" max="3839" width="6.42578125" style="121" customWidth="1"/>
    <col min="3840" max="3840" width="3.7109375" style="121" customWidth="1"/>
    <col min="3841" max="3846" width="6.42578125" style="121" customWidth="1"/>
    <col min="3847" max="3847" width="3.7109375" style="121" customWidth="1"/>
    <col min="3848" max="3848" width="6.42578125" style="121" customWidth="1"/>
    <col min="3849" max="3849" width="3.7109375" style="121" customWidth="1"/>
    <col min="3850" max="3850" width="6.42578125" style="121" customWidth="1"/>
    <col min="3851" max="3851" width="3.7109375" style="121" customWidth="1"/>
    <col min="3852" max="3852" width="6.42578125" style="121" customWidth="1"/>
    <col min="3853" max="3853" width="7.7109375" style="121" customWidth="1"/>
    <col min="3854" max="3854" width="15.5703125" style="121" customWidth="1"/>
    <col min="3855" max="3855" width="3.28515625" style="121" customWidth="1"/>
    <col min="3856" max="3856" width="5.28515625" style="121" customWidth="1"/>
    <col min="3857" max="3857" width="23.42578125" style="121" customWidth="1"/>
    <col min="3858" max="3877" width="8.28515625" style="121"/>
    <col min="3878" max="3880" width="10.42578125" style="121" customWidth="1"/>
    <col min="3881" max="3881" width="1" style="121" customWidth="1"/>
    <col min="3882" max="3882" width="8.28515625" style="121"/>
    <col min="3883" max="3885" width="10.42578125" style="121" customWidth="1"/>
    <col min="3886" max="3886" width="5.7109375" style="121" customWidth="1"/>
    <col min="3887" max="3887" width="14.28515625" style="121" customWidth="1"/>
    <col min="3888" max="4054" width="8.28515625" style="121"/>
    <col min="4055" max="4055" width="1.28515625" style="121" customWidth="1"/>
    <col min="4056" max="4063" width="7.7109375" style="121" customWidth="1"/>
    <col min="4064" max="4064" width="6.42578125" style="121" customWidth="1"/>
    <col min="4065" max="4065" width="9.28515625" style="121" customWidth="1"/>
    <col min="4066" max="4066" width="15.42578125" style="121" customWidth="1"/>
    <col min="4067" max="4070" width="6.42578125" style="121" customWidth="1"/>
    <col min="4071" max="4071" width="6" style="121" customWidth="1"/>
    <col min="4072" max="4072" width="6.42578125" style="121" customWidth="1"/>
    <col min="4073" max="4074" width="7.7109375" style="121" customWidth="1"/>
    <col min="4075" max="4075" width="6.7109375" style="121" customWidth="1"/>
    <col min="4076" max="4076" width="7.7109375" style="121" customWidth="1"/>
    <col min="4077" max="4080" width="6.42578125" style="121" customWidth="1"/>
    <col min="4081" max="4081" width="3.7109375" style="121" customWidth="1"/>
    <col min="4082" max="4082" width="6.42578125" style="121" customWidth="1"/>
    <col min="4083" max="4083" width="3.7109375" style="121" customWidth="1"/>
    <col min="4084" max="4084" width="6.42578125" style="121" customWidth="1"/>
    <col min="4085" max="4085" width="3.7109375" style="121" customWidth="1"/>
    <col min="4086" max="4091" width="6.42578125" style="121" customWidth="1"/>
    <col min="4092" max="4092" width="3.7109375" style="121" customWidth="1"/>
    <col min="4093" max="4093" width="6.42578125" style="121" customWidth="1"/>
    <col min="4094" max="4094" width="3.7109375" style="121" customWidth="1"/>
    <col min="4095" max="4095" width="6.42578125" style="121" customWidth="1"/>
    <col min="4096" max="4096" width="3.7109375" style="121" customWidth="1"/>
    <col min="4097" max="4102" width="6.42578125" style="121" customWidth="1"/>
    <col min="4103" max="4103" width="3.7109375" style="121" customWidth="1"/>
    <col min="4104" max="4104" width="6.42578125" style="121" customWidth="1"/>
    <col min="4105" max="4105" width="3.7109375" style="121" customWidth="1"/>
    <col min="4106" max="4106" width="6.42578125" style="121" customWidth="1"/>
    <col min="4107" max="4107" width="3.7109375" style="121" customWidth="1"/>
    <col min="4108" max="4108" width="6.42578125" style="121" customWidth="1"/>
    <col min="4109" max="4109" width="7.7109375" style="121" customWidth="1"/>
    <col min="4110" max="4110" width="15.5703125" style="121" customWidth="1"/>
    <col min="4111" max="4111" width="3.28515625" style="121" customWidth="1"/>
    <col min="4112" max="4112" width="5.28515625" style="121" customWidth="1"/>
    <col min="4113" max="4113" width="23.42578125" style="121" customWidth="1"/>
    <col min="4114" max="4133" width="8.28515625" style="121"/>
    <col min="4134" max="4136" width="10.42578125" style="121" customWidth="1"/>
    <col min="4137" max="4137" width="1" style="121" customWidth="1"/>
    <col min="4138" max="4138" width="8.28515625" style="121"/>
    <col min="4139" max="4141" width="10.42578125" style="121" customWidth="1"/>
    <col min="4142" max="4142" width="5.7109375" style="121" customWidth="1"/>
    <col min="4143" max="4143" width="14.28515625" style="121" customWidth="1"/>
    <col min="4144" max="4310" width="8.28515625" style="121"/>
    <col min="4311" max="4311" width="1.28515625" style="121" customWidth="1"/>
    <col min="4312" max="4319" width="7.7109375" style="121" customWidth="1"/>
    <col min="4320" max="4320" width="6.42578125" style="121" customWidth="1"/>
    <col min="4321" max="4321" width="9.28515625" style="121" customWidth="1"/>
    <col min="4322" max="4322" width="15.42578125" style="121" customWidth="1"/>
    <col min="4323" max="4326" width="6.42578125" style="121" customWidth="1"/>
    <col min="4327" max="4327" width="6" style="121" customWidth="1"/>
    <col min="4328" max="4328" width="6.42578125" style="121" customWidth="1"/>
    <col min="4329" max="4330" width="7.7109375" style="121" customWidth="1"/>
    <col min="4331" max="4331" width="6.7109375" style="121" customWidth="1"/>
    <col min="4332" max="4332" width="7.7109375" style="121" customWidth="1"/>
    <col min="4333" max="4336" width="6.42578125" style="121" customWidth="1"/>
    <col min="4337" max="4337" width="3.7109375" style="121" customWidth="1"/>
    <col min="4338" max="4338" width="6.42578125" style="121" customWidth="1"/>
    <col min="4339" max="4339" width="3.7109375" style="121" customWidth="1"/>
    <col min="4340" max="4340" width="6.42578125" style="121" customWidth="1"/>
    <col min="4341" max="4341" width="3.7109375" style="121" customWidth="1"/>
    <col min="4342" max="4347" width="6.42578125" style="121" customWidth="1"/>
    <col min="4348" max="4348" width="3.7109375" style="121" customWidth="1"/>
    <col min="4349" max="4349" width="6.42578125" style="121" customWidth="1"/>
    <col min="4350" max="4350" width="3.7109375" style="121" customWidth="1"/>
    <col min="4351" max="4351" width="6.42578125" style="121" customWidth="1"/>
    <col min="4352" max="4352" width="3.7109375" style="121" customWidth="1"/>
    <col min="4353" max="4358" width="6.42578125" style="121" customWidth="1"/>
    <col min="4359" max="4359" width="3.7109375" style="121" customWidth="1"/>
    <col min="4360" max="4360" width="6.42578125" style="121" customWidth="1"/>
    <col min="4361" max="4361" width="3.7109375" style="121" customWidth="1"/>
    <col min="4362" max="4362" width="6.42578125" style="121" customWidth="1"/>
    <col min="4363" max="4363" width="3.7109375" style="121" customWidth="1"/>
    <col min="4364" max="4364" width="6.42578125" style="121" customWidth="1"/>
    <col min="4365" max="4365" width="7.7109375" style="121" customWidth="1"/>
    <col min="4366" max="4366" width="15.5703125" style="121" customWidth="1"/>
    <col min="4367" max="4367" width="3.28515625" style="121" customWidth="1"/>
    <col min="4368" max="4368" width="5.28515625" style="121" customWidth="1"/>
    <col min="4369" max="4369" width="23.42578125" style="121" customWidth="1"/>
    <col min="4370" max="4389" width="8.28515625" style="121"/>
    <col min="4390" max="4392" width="10.42578125" style="121" customWidth="1"/>
    <col min="4393" max="4393" width="1" style="121" customWidth="1"/>
    <col min="4394" max="4394" width="8.28515625" style="121"/>
    <col min="4395" max="4397" width="10.42578125" style="121" customWidth="1"/>
    <col min="4398" max="4398" width="5.7109375" style="121" customWidth="1"/>
    <col min="4399" max="4399" width="14.28515625" style="121" customWidth="1"/>
    <col min="4400" max="4566" width="8.28515625" style="121"/>
    <col min="4567" max="4567" width="1.28515625" style="121" customWidth="1"/>
    <col min="4568" max="4575" width="7.7109375" style="121" customWidth="1"/>
    <col min="4576" max="4576" width="6.42578125" style="121" customWidth="1"/>
    <col min="4577" max="4577" width="9.28515625" style="121" customWidth="1"/>
    <col min="4578" max="4578" width="15.42578125" style="121" customWidth="1"/>
    <col min="4579" max="4582" width="6.42578125" style="121" customWidth="1"/>
    <col min="4583" max="4583" width="6" style="121" customWidth="1"/>
    <col min="4584" max="4584" width="6.42578125" style="121" customWidth="1"/>
    <col min="4585" max="4586" width="7.7109375" style="121" customWidth="1"/>
    <col min="4587" max="4587" width="6.7109375" style="121" customWidth="1"/>
    <col min="4588" max="4588" width="7.7109375" style="121" customWidth="1"/>
    <col min="4589" max="4592" width="6.42578125" style="121" customWidth="1"/>
    <col min="4593" max="4593" width="3.7109375" style="121" customWidth="1"/>
    <col min="4594" max="4594" width="6.42578125" style="121" customWidth="1"/>
    <col min="4595" max="4595" width="3.7109375" style="121" customWidth="1"/>
    <col min="4596" max="4596" width="6.42578125" style="121" customWidth="1"/>
    <col min="4597" max="4597" width="3.7109375" style="121" customWidth="1"/>
    <col min="4598" max="4603" width="6.42578125" style="121" customWidth="1"/>
    <col min="4604" max="4604" width="3.7109375" style="121" customWidth="1"/>
    <col min="4605" max="4605" width="6.42578125" style="121" customWidth="1"/>
    <col min="4606" max="4606" width="3.7109375" style="121" customWidth="1"/>
    <col min="4607" max="4607" width="6.42578125" style="121" customWidth="1"/>
    <col min="4608" max="4608" width="3.7109375" style="121" customWidth="1"/>
    <col min="4609" max="4614" width="6.42578125" style="121" customWidth="1"/>
    <col min="4615" max="4615" width="3.7109375" style="121" customWidth="1"/>
    <col min="4616" max="4616" width="6.42578125" style="121" customWidth="1"/>
    <col min="4617" max="4617" width="3.7109375" style="121" customWidth="1"/>
    <col min="4618" max="4618" width="6.42578125" style="121" customWidth="1"/>
    <col min="4619" max="4619" width="3.7109375" style="121" customWidth="1"/>
    <col min="4620" max="4620" width="6.42578125" style="121" customWidth="1"/>
    <col min="4621" max="4621" width="7.7109375" style="121" customWidth="1"/>
    <col min="4622" max="4622" width="15.5703125" style="121" customWidth="1"/>
    <col min="4623" max="4623" width="3.28515625" style="121" customWidth="1"/>
    <col min="4624" max="4624" width="5.28515625" style="121" customWidth="1"/>
    <col min="4625" max="4625" width="23.42578125" style="121" customWidth="1"/>
    <col min="4626" max="4645" width="8.28515625" style="121"/>
    <col min="4646" max="4648" width="10.42578125" style="121" customWidth="1"/>
    <col min="4649" max="4649" width="1" style="121" customWidth="1"/>
    <col min="4650" max="4650" width="8.28515625" style="121"/>
    <col min="4651" max="4653" width="10.42578125" style="121" customWidth="1"/>
    <col min="4654" max="4654" width="5.7109375" style="121" customWidth="1"/>
    <col min="4655" max="4655" width="14.28515625" style="121" customWidth="1"/>
    <col min="4656" max="4822" width="8.28515625" style="121"/>
    <col min="4823" max="4823" width="1.28515625" style="121" customWidth="1"/>
    <col min="4824" max="4831" width="7.7109375" style="121" customWidth="1"/>
    <col min="4832" max="4832" width="6.42578125" style="121" customWidth="1"/>
    <col min="4833" max="4833" width="9.28515625" style="121" customWidth="1"/>
    <col min="4834" max="4834" width="15.42578125" style="121" customWidth="1"/>
    <col min="4835" max="4838" width="6.42578125" style="121" customWidth="1"/>
    <col min="4839" max="4839" width="6" style="121" customWidth="1"/>
    <col min="4840" max="4840" width="6.42578125" style="121" customWidth="1"/>
    <col min="4841" max="4842" width="7.7109375" style="121" customWidth="1"/>
    <col min="4843" max="4843" width="6.7109375" style="121" customWidth="1"/>
    <col min="4844" max="4844" width="7.7109375" style="121" customWidth="1"/>
    <col min="4845" max="4848" width="6.42578125" style="121" customWidth="1"/>
    <col min="4849" max="4849" width="3.7109375" style="121" customWidth="1"/>
    <col min="4850" max="4850" width="6.42578125" style="121" customWidth="1"/>
    <col min="4851" max="4851" width="3.7109375" style="121" customWidth="1"/>
    <col min="4852" max="4852" width="6.42578125" style="121" customWidth="1"/>
    <col min="4853" max="4853" width="3.7109375" style="121" customWidth="1"/>
    <col min="4854" max="4859" width="6.42578125" style="121" customWidth="1"/>
    <col min="4860" max="4860" width="3.7109375" style="121" customWidth="1"/>
    <col min="4861" max="4861" width="6.42578125" style="121" customWidth="1"/>
    <col min="4862" max="4862" width="3.7109375" style="121" customWidth="1"/>
    <col min="4863" max="4863" width="6.42578125" style="121" customWidth="1"/>
    <col min="4864" max="4864" width="3.7109375" style="121" customWidth="1"/>
    <col min="4865" max="4870" width="6.42578125" style="121" customWidth="1"/>
    <col min="4871" max="4871" width="3.7109375" style="121" customWidth="1"/>
    <col min="4872" max="4872" width="6.42578125" style="121" customWidth="1"/>
    <col min="4873" max="4873" width="3.7109375" style="121" customWidth="1"/>
    <col min="4874" max="4874" width="6.42578125" style="121" customWidth="1"/>
    <col min="4875" max="4875" width="3.7109375" style="121" customWidth="1"/>
    <col min="4876" max="4876" width="6.42578125" style="121" customWidth="1"/>
    <col min="4877" max="4877" width="7.7109375" style="121" customWidth="1"/>
    <col min="4878" max="4878" width="15.5703125" style="121" customWidth="1"/>
    <col min="4879" max="4879" width="3.28515625" style="121" customWidth="1"/>
    <col min="4880" max="4880" width="5.28515625" style="121" customWidth="1"/>
    <col min="4881" max="4881" width="23.42578125" style="121" customWidth="1"/>
    <col min="4882" max="4901" width="8.28515625" style="121"/>
    <col min="4902" max="4904" width="10.42578125" style="121" customWidth="1"/>
    <col min="4905" max="4905" width="1" style="121" customWidth="1"/>
    <col min="4906" max="4906" width="8.28515625" style="121"/>
    <col min="4907" max="4909" width="10.42578125" style="121" customWidth="1"/>
    <col min="4910" max="4910" width="5.7109375" style="121" customWidth="1"/>
    <col min="4911" max="4911" width="14.28515625" style="121" customWidth="1"/>
    <col min="4912" max="5078" width="8.28515625" style="121"/>
    <col min="5079" max="5079" width="1.28515625" style="121" customWidth="1"/>
    <col min="5080" max="5087" width="7.7109375" style="121" customWidth="1"/>
    <col min="5088" max="5088" width="6.42578125" style="121" customWidth="1"/>
    <col min="5089" max="5089" width="9.28515625" style="121" customWidth="1"/>
    <col min="5090" max="5090" width="15.42578125" style="121" customWidth="1"/>
    <col min="5091" max="5094" width="6.42578125" style="121" customWidth="1"/>
    <col min="5095" max="5095" width="6" style="121" customWidth="1"/>
    <col min="5096" max="5096" width="6.42578125" style="121" customWidth="1"/>
    <col min="5097" max="5098" width="7.7109375" style="121" customWidth="1"/>
    <col min="5099" max="5099" width="6.7109375" style="121" customWidth="1"/>
    <col min="5100" max="5100" width="7.7109375" style="121" customWidth="1"/>
    <col min="5101" max="5104" width="6.42578125" style="121" customWidth="1"/>
    <col min="5105" max="5105" width="3.7109375" style="121" customWidth="1"/>
    <col min="5106" max="5106" width="6.42578125" style="121" customWidth="1"/>
    <col min="5107" max="5107" width="3.7109375" style="121" customWidth="1"/>
    <col min="5108" max="5108" width="6.42578125" style="121" customWidth="1"/>
    <col min="5109" max="5109" width="3.7109375" style="121" customWidth="1"/>
    <col min="5110" max="5115" width="6.42578125" style="121" customWidth="1"/>
    <col min="5116" max="5116" width="3.7109375" style="121" customWidth="1"/>
    <col min="5117" max="5117" width="6.42578125" style="121" customWidth="1"/>
    <col min="5118" max="5118" width="3.7109375" style="121" customWidth="1"/>
    <col min="5119" max="5119" width="6.42578125" style="121" customWidth="1"/>
    <col min="5120" max="5120" width="3.7109375" style="121" customWidth="1"/>
    <col min="5121" max="5126" width="6.42578125" style="121" customWidth="1"/>
    <col min="5127" max="5127" width="3.7109375" style="121" customWidth="1"/>
    <col min="5128" max="5128" width="6.42578125" style="121" customWidth="1"/>
    <col min="5129" max="5129" width="3.7109375" style="121" customWidth="1"/>
    <col min="5130" max="5130" width="6.42578125" style="121" customWidth="1"/>
    <col min="5131" max="5131" width="3.7109375" style="121" customWidth="1"/>
    <col min="5132" max="5132" width="6.42578125" style="121" customWidth="1"/>
    <col min="5133" max="5133" width="7.7109375" style="121" customWidth="1"/>
    <col min="5134" max="5134" width="15.5703125" style="121" customWidth="1"/>
    <col min="5135" max="5135" width="3.28515625" style="121" customWidth="1"/>
    <col min="5136" max="5136" width="5.28515625" style="121" customWidth="1"/>
    <col min="5137" max="5137" width="23.42578125" style="121" customWidth="1"/>
    <col min="5138" max="5157" width="8.28515625" style="121"/>
    <col min="5158" max="5160" width="10.42578125" style="121" customWidth="1"/>
    <col min="5161" max="5161" width="1" style="121" customWidth="1"/>
    <col min="5162" max="5162" width="8.28515625" style="121"/>
    <col min="5163" max="5165" width="10.42578125" style="121" customWidth="1"/>
    <col min="5166" max="5166" width="5.7109375" style="121" customWidth="1"/>
    <col min="5167" max="5167" width="14.28515625" style="121" customWidth="1"/>
    <col min="5168" max="5334" width="8.28515625" style="121"/>
    <col min="5335" max="5335" width="1.28515625" style="121" customWidth="1"/>
    <col min="5336" max="5343" width="7.7109375" style="121" customWidth="1"/>
    <col min="5344" max="5344" width="6.42578125" style="121" customWidth="1"/>
    <col min="5345" max="5345" width="9.28515625" style="121" customWidth="1"/>
    <col min="5346" max="5346" width="15.42578125" style="121" customWidth="1"/>
    <col min="5347" max="5350" width="6.42578125" style="121" customWidth="1"/>
    <col min="5351" max="5351" width="6" style="121" customWidth="1"/>
    <col min="5352" max="5352" width="6.42578125" style="121" customWidth="1"/>
    <col min="5353" max="5354" width="7.7109375" style="121" customWidth="1"/>
    <col min="5355" max="5355" width="6.7109375" style="121" customWidth="1"/>
    <col min="5356" max="5356" width="7.7109375" style="121" customWidth="1"/>
    <col min="5357" max="5360" width="6.42578125" style="121" customWidth="1"/>
    <col min="5361" max="5361" width="3.7109375" style="121" customWidth="1"/>
    <col min="5362" max="5362" width="6.42578125" style="121" customWidth="1"/>
    <col min="5363" max="5363" width="3.7109375" style="121" customWidth="1"/>
    <col min="5364" max="5364" width="6.42578125" style="121" customWidth="1"/>
    <col min="5365" max="5365" width="3.7109375" style="121" customWidth="1"/>
    <col min="5366" max="5371" width="6.42578125" style="121" customWidth="1"/>
    <col min="5372" max="5372" width="3.7109375" style="121" customWidth="1"/>
    <col min="5373" max="5373" width="6.42578125" style="121" customWidth="1"/>
    <col min="5374" max="5374" width="3.7109375" style="121" customWidth="1"/>
    <col min="5375" max="5375" width="6.42578125" style="121" customWidth="1"/>
    <col min="5376" max="5376" width="3.7109375" style="121" customWidth="1"/>
    <col min="5377" max="5382" width="6.42578125" style="121" customWidth="1"/>
    <col min="5383" max="5383" width="3.7109375" style="121" customWidth="1"/>
    <col min="5384" max="5384" width="6.42578125" style="121" customWidth="1"/>
    <col min="5385" max="5385" width="3.7109375" style="121" customWidth="1"/>
    <col min="5386" max="5386" width="6.42578125" style="121" customWidth="1"/>
    <col min="5387" max="5387" width="3.7109375" style="121" customWidth="1"/>
    <col min="5388" max="5388" width="6.42578125" style="121" customWidth="1"/>
    <col min="5389" max="5389" width="7.7109375" style="121" customWidth="1"/>
    <col min="5390" max="5390" width="15.5703125" style="121" customWidth="1"/>
    <col min="5391" max="5391" width="3.28515625" style="121" customWidth="1"/>
    <col min="5392" max="5392" width="5.28515625" style="121" customWidth="1"/>
    <col min="5393" max="5393" width="23.42578125" style="121" customWidth="1"/>
    <col min="5394" max="5413" width="8.28515625" style="121"/>
    <col min="5414" max="5416" width="10.42578125" style="121" customWidth="1"/>
    <col min="5417" max="5417" width="1" style="121" customWidth="1"/>
    <col min="5418" max="5418" width="8.28515625" style="121"/>
    <col min="5419" max="5421" width="10.42578125" style="121" customWidth="1"/>
    <col min="5422" max="5422" width="5.7109375" style="121" customWidth="1"/>
    <col min="5423" max="5423" width="14.28515625" style="121" customWidth="1"/>
    <col min="5424" max="5590" width="8.28515625" style="121"/>
    <col min="5591" max="5591" width="1.28515625" style="121" customWidth="1"/>
    <col min="5592" max="5599" width="7.7109375" style="121" customWidth="1"/>
    <col min="5600" max="5600" width="6.42578125" style="121" customWidth="1"/>
    <col min="5601" max="5601" width="9.28515625" style="121" customWidth="1"/>
    <col min="5602" max="5602" width="15.42578125" style="121" customWidth="1"/>
    <col min="5603" max="5606" width="6.42578125" style="121" customWidth="1"/>
    <col min="5607" max="5607" width="6" style="121" customWidth="1"/>
    <col min="5608" max="5608" width="6.42578125" style="121" customWidth="1"/>
    <col min="5609" max="5610" width="7.7109375" style="121" customWidth="1"/>
    <col min="5611" max="5611" width="6.7109375" style="121" customWidth="1"/>
    <col min="5612" max="5612" width="7.7109375" style="121" customWidth="1"/>
    <col min="5613" max="5616" width="6.42578125" style="121" customWidth="1"/>
    <col min="5617" max="5617" width="3.7109375" style="121" customWidth="1"/>
    <col min="5618" max="5618" width="6.42578125" style="121" customWidth="1"/>
    <col min="5619" max="5619" width="3.7109375" style="121" customWidth="1"/>
    <col min="5620" max="5620" width="6.42578125" style="121" customWidth="1"/>
    <col min="5621" max="5621" width="3.7109375" style="121" customWidth="1"/>
    <col min="5622" max="5627" width="6.42578125" style="121" customWidth="1"/>
    <col min="5628" max="5628" width="3.7109375" style="121" customWidth="1"/>
    <col min="5629" max="5629" width="6.42578125" style="121" customWidth="1"/>
    <col min="5630" max="5630" width="3.7109375" style="121" customWidth="1"/>
    <col min="5631" max="5631" width="6.42578125" style="121" customWidth="1"/>
    <col min="5632" max="5632" width="3.7109375" style="121" customWidth="1"/>
    <col min="5633" max="5638" width="6.42578125" style="121" customWidth="1"/>
    <col min="5639" max="5639" width="3.7109375" style="121" customWidth="1"/>
    <col min="5640" max="5640" width="6.42578125" style="121" customWidth="1"/>
    <col min="5641" max="5641" width="3.7109375" style="121" customWidth="1"/>
    <col min="5642" max="5642" width="6.42578125" style="121" customWidth="1"/>
    <col min="5643" max="5643" width="3.7109375" style="121" customWidth="1"/>
    <col min="5644" max="5644" width="6.42578125" style="121" customWidth="1"/>
    <col min="5645" max="5645" width="7.7109375" style="121" customWidth="1"/>
    <col min="5646" max="5646" width="15.5703125" style="121" customWidth="1"/>
    <col min="5647" max="5647" width="3.28515625" style="121" customWidth="1"/>
    <col min="5648" max="5648" width="5.28515625" style="121" customWidth="1"/>
    <col min="5649" max="5649" width="23.42578125" style="121" customWidth="1"/>
    <col min="5650" max="5669" width="8.28515625" style="121"/>
    <col min="5670" max="5672" width="10.42578125" style="121" customWidth="1"/>
    <col min="5673" max="5673" width="1" style="121" customWidth="1"/>
    <col min="5674" max="5674" width="8.28515625" style="121"/>
    <col min="5675" max="5677" width="10.42578125" style="121" customWidth="1"/>
    <col min="5678" max="5678" width="5.7109375" style="121" customWidth="1"/>
    <col min="5679" max="5679" width="14.28515625" style="121" customWidth="1"/>
    <col min="5680" max="5846" width="8.28515625" style="121"/>
    <col min="5847" max="5847" width="1.28515625" style="121" customWidth="1"/>
    <col min="5848" max="5855" width="7.7109375" style="121" customWidth="1"/>
    <col min="5856" max="5856" width="6.42578125" style="121" customWidth="1"/>
    <col min="5857" max="5857" width="9.28515625" style="121" customWidth="1"/>
    <col min="5858" max="5858" width="15.42578125" style="121" customWidth="1"/>
    <col min="5859" max="5862" width="6.42578125" style="121" customWidth="1"/>
    <col min="5863" max="5863" width="6" style="121" customWidth="1"/>
    <col min="5864" max="5864" width="6.42578125" style="121" customWidth="1"/>
    <col min="5865" max="5866" width="7.7109375" style="121" customWidth="1"/>
    <col min="5867" max="5867" width="6.7109375" style="121" customWidth="1"/>
    <col min="5868" max="5868" width="7.7109375" style="121" customWidth="1"/>
    <col min="5869" max="5872" width="6.42578125" style="121" customWidth="1"/>
    <col min="5873" max="5873" width="3.7109375" style="121" customWidth="1"/>
    <col min="5874" max="5874" width="6.42578125" style="121" customWidth="1"/>
    <col min="5875" max="5875" width="3.7109375" style="121" customWidth="1"/>
    <col min="5876" max="5876" width="6.42578125" style="121" customWidth="1"/>
    <col min="5877" max="5877" width="3.7109375" style="121" customWidth="1"/>
    <col min="5878" max="5883" width="6.42578125" style="121" customWidth="1"/>
    <col min="5884" max="5884" width="3.7109375" style="121" customWidth="1"/>
    <col min="5885" max="5885" width="6.42578125" style="121" customWidth="1"/>
    <col min="5886" max="5886" width="3.7109375" style="121" customWidth="1"/>
    <col min="5887" max="5887" width="6.42578125" style="121" customWidth="1"/>
    <col min="5888" max="5888" width="3.7109375" style="121" customWidth="1"/>
    <col min="5889" max="5894" width="6.42578125" style="121" customWidth="1"/>
    <col min="5895" max="5895" width="3.7109375" style="121" customWidth="1"/>
    <col min="5896" max="5896" width="6.42578125" style="121" customWidth="1"/>
    <col min="5897" max="5897" width="3.7109375" style="121" customWidth="1"/>
    <col min="5898" max="5898" width="6.42578125" style="121" customWidth="1"/>
    <col min="5899" max="5899" width="3.7109375" style="121" customWidth="1"/>
    <col min="5900" max="5900" width="6.42578125" style="121" customWidth="1"/>
    <col min="5901" max="5901" width="7.7109375" style="121" customWidth="1"/>
    <col min="5902" max="5902" width="15.5703125" style="121" customWidth="1"/>
    <col min="5903" max="5903" width="3.28515625" style="121" customWidth="1"/>
    <col min="5904" max="5904" width="5.28515625" style="121" customWidth="1"/>
    <col min="5905" max="5905" width="23.42578125" style="121" customWidth="1"/>
    <col min="5906" max="5925" width="8.28515625" style="121"/>
    <col min="5926" max="5928" width="10.42578125" style="121" customWidth="1"/>
    <col min="5929" max="5929" width="1" style="121" customWidth="1"/>
    <col min="5930" max="5930" width="8.28515625" style="121"/>
    <col min="5931" max="5933" width="10.42578125" style="121" customWidth="1"/>
    <col min="5934" max="5934" width="5.7109375" style="121" customWidth="1"/>
    <col min="5935" max="5935" width="14.28515625" style="121" customWidth="1"/>
    <col min="5936" max="6102" width="8.28515625" style="121"/>
    <col min="6103" max="6103" width="1.28515625" style="121" customWidth="1"/>
    <col min="6104" max="6111" width="7.7109375" style="121" customWidth="1"/>
    <col min="6112" max="6112" width="6.42578125" style="121" customWidth="1"/>
    <col min="6113" max="6113" width="9.28515625" style="121" customWidth="1"/>
    <col min="6114" max="6114" width="15.42578125" style="121" customWidth="1"/>
    <col min="6115" max="6118" width="6.42578125" style="121" customWidth="1"/>
    <col min="6119" max="6119" width="6" style="121" customWidth="1"/>
    <col min="6120" max="6120" width="6.42578125" style="121" customWidth="1"/>
    <col min="6121" max="6122" width="7.7109375" style="121" customWidth="1"/>
    <col min="6123" max="6123" width="6.7109375" style="121" customWidth="1"/>
    <col min="6124" max="6124" width="7.7109375" style="121" customWidth="1"/>
    <col min="6125" max="6128" width="6.42578125" style="121" customWidth="1"/>
    <col min="6129" max="6129" width="3.7109375" style="121" customWidth="1"/>
    <col min="6130" max="6130" width="6.42578125" style="121" customWidth="1"/>
    <col min="6131" max="6131" width="3.7109375" style="121" customWidth="1"/>
    <col min="6132" max="6132" width="6.42578125" style="121" customWidth="1"/>
    <col min="6133" max="6133" width="3.7109375" style="121" customWidth="1"/>
    <col min="6134" max="6139" width="6.42578125" style="121" customWidth="1"/>
    <col min="6140" max="6140" width="3.7109375" style="121" customWidth="1"/>
    <col min="6141" max="6141" width="6.42578125" style="121" customWidth="1"/>
    <col min="6142" max="6142" width="3.7109375" style="121" customWidth="1"/>
    <col min="6143" max="6143" width="6.42578125" style="121" customWidth="1"/>
    <col min="6144" max="6144" width="3.7109375" style="121" customWidth="1"/>
    <col min="6145" max="6150" width="6.42578125" style="121" customWidth="1"/>
    <col min="6151" max="6151" width="3.7109375" style="121" customWidth="1"/>
    <col min="6152" max="6152" width="6.42578125" style="121" customWidth="1"/>
    <col min="6153" max="6153" width="3.7109375" style="121" customWidth="1"/>
    <col min="6154" max="6154" width="6.42578125" style="121" customWidth="1"/>
    <col min="6155" max="6155" width="3.7109375" style="121" customWidth="1"/>
    <col min="6156" max="6156" width="6.42578125" style="121" customWidth="1"/>
    <col min="6157" max="6157" width="7.7109375" style="121" customWidth="1"/>
    <col min="6158" max="6158" width="15.5703125" style="121" customWidth="1"/>
    <col min="6159" max="6159" width="3.28515625" style="121" customWidth="1"/>
    <col min="6160" max="6160" width="5.28515625" style="121" customWidth="1"/>
    <col min="6161" max="6161" width="23.42578125" style="121" customWidth="1"/>
    <col min="6162" max="6181" width="8.28515625" style="121"/>
    <col min="6182" max="6184" width="10.42578125" style="121" customWidth="1"/>
    <col min="6185" max="6185" width="1" style="121" customWidth="1"/>
    <col min="6186" max="6186" width="8.28515625" style="121"/>
    <col min="6187" max="6189" width="10.42578125" style="121" customWidth="1"/>
    <col min="6190" max="6190" width="5.7109375" style="121" customWidth="1"/>
    <col min="6191" max="6191" width="14.28515625" style="121" customWidth="1"/>
    <col min="6192" max="6358" width="8.28515625" style="121"/>
    <col min="6359" max="6359" width="1.28515625" style="121" customWidth="1"/>
    <col min="6360" max="6367" width="7.7109375" style="121" customWidth="1"/>
    <col min="6368" max="6368" width="6.42578125" style="121" customWidth="1"/>
    <col min="6369" max="6369" width="9.28515625" style="121" customWidth="1"/>
    <col min="6370" max="6370" width="15.42578125" style="121" customWidth="1"/>
    <col min="6371" max="6374" width="6.42578125" style="121" customWidth="1"/>
    <col min="6375" max="6375" width="6" style="121" customWidth="1"/>
    <col min="6376" max="6376" width="6.42578125" style="121" customWidth="1"/>
    <col min="6377" max="6378" width="7.7109375" style="121" customWidth="1"/>
    <col min="6379" max="6379" width="6.7109375" style="121" customWidth="1"/>
    <col min="6380" max="6380" width="7.7109375" style="121" customWidth="1"/>
    <col min="6381" max="6384" width="6.42578125" style="121" customWidth="1"/>
    <col min="6385" max="6385" width="3.7109375" style="121" customWidth="1"/>
    <col min="6386" max="6386" width="6.42578125" style="121" customWidth="1"/>
    <col min="6387" max="6387" width="3.7109375" style="121" customWidth="1"/>
    <col min="6388" max="6388" width="6.42578125" style="121" customWidth="1"/>
    <col min="6389" max="6389" width="3.7109375" style="121" customWidth="1"/>
    <col min="6390" max="6395" width="6.42578125" style="121" customWidth="1"/>
    <col min="6396" max="6396" width="3.7109375" style="121" customWidth="1"/>
    <col min="6397" max="6397" width="6.42578125" style="121" customWidth="1"/>
    <col min="6398" max="6398" width="3.7109375" style="121" customWidth="1"/>
    <col min="6399" max="6399" width="6.42578125" style="121" customWidth="1"/>
    <col min="6400" max="6400" width="3.7109375" style="121" customWidth="1"/>
    <col min="6401" max="6406" width="6.42578125" style="121" customWidth="1"/>
    <col min="6407" max="6407" width="3.7109375" style="121" customWidth="1"/>
    <col min="6408" max="6408" width="6.42578125" style="121" customWidth="1"/>
    <col min="6409" max="6409" width="3.7109375" style="121" customWidth="1"/>
    <col min="6410" max="6410" width="6.42578125" style="121" customWidth="1"/>
    <col min="6411" max="6411" width="3.7109375" style="121" customWidth="1"/>
    <col min="6412" max="6412" width="6.42578125" style="121" customWidth="1"/>
    <col min="6413" max="6413" width="7.7109375" style="121" customWidth="1"/>
    <col min="6414" max="6414" width="15.5703125" style="121" customWidth="1"/>
    <col min="6415" max="6415" width="3.28515625" style="121" customWidth="1"/>
    <col min="6416" max="6416" width="5.28515625" style="121" customWidth="1"/>
    <col min="6417" max="6417" width="23.42578125" style="121" customWidth="1"/>
    <col min="6418" max="6437" width="8.28515625" style="121"/>
    <col min="6438" max="6440" width="10.42578125" style="121" customWidth="1"/>
    <col min="6441" max="6441" width="1" style="121" customWidth="1"/>
    <col min="6442" max="6442" width="8.28515625" style="121"/>
    <col min="6443" max="6445" width="10.42578125" style="121" customWidth="1"/>
    <col min="6446" max="6446" width="5.7109375" style="121" customWidth="1"/>
    <col min="6447" max="6447" width="14.28515625" style="121" customWidth="1"/>
    <col min="6448" max="6614" width="8.28515625" style="121"/>
    <col min="6615" max="6615" width="1.28515625" style="121" customWidth="1"/>
    <col min="6616" max="6623" width="7.7109375" style="121" customWidth="1"/>
    <col min="6624" max="6624" width="6.42578125" style="121" customWidth="1"/>
    <col min="6625" max="6625" width="9.28515625" style="121" customWidth="1"/>
    <col min="6626" max="6626" width="15.42578125" style="121" customWidth="1"/>
    <col min="6627" max="6630" width="6.42578125" style="121" customWidth="1"/>
    <col min="6631" max="6631" width="6" style="121" customWidth="1"/>
    <col min="6632" max="6632" width="6.42578125" style="121" customWidth="1"/>
    <col min="6633" max="6634" width="7.7109375" style="121" customWidth="1"/>
    <col min="6635" max="6635" width="6.7109375" style="121" customWidth="1"/>
    <col min="6636" max="6636" width="7.7109375" style="121" customWidth="1"/>
    <col min="6637" max="6640" width="6.42578125" style="121" customWidth="1"/>
    <col min="6641" max="6641" width="3.7109375" style="121" customWidth="1"/>
    <col min="6642" max="6642" width="6.42578125" style="121" customWidth="1"/>
    <col min="6643" max="6643" width="3.7109375" style="121" customWidth="1"/>
    <col min="6644" max="6644" width="6.42578125" style="121" customWidth="1"/>
    <col min="6645" max="6645" width="3.7109375" style="121" customWidth="1"/>
    <col min="6646" max="6651" width="6.42578125" style="121" customWidth="1"/>
    <col min="6652" max="6652" width="3.7109375" style="121" customWidth="1"/>
    <col min="6653" max="6653" width="6.42578125" style="121" customWidth="1"/>
    <col min="6654" max="6654" width="3.7109375" style="121" customWidth="1"/>
    <col min="6655" max="6655" width="6.42578125" style="121" customWidth="1"/>
    <col min="6656" max="6656" width="3.7109375" style="121" customWidth="1"/>
    <col min="6657" max="6662" width="6.42578125" style="121" customWidth="1"/>
    <col min="6663" max="6663" width="3.7109375" style="121" customWidth="1"/>
    <col min="6664" max="6664" width="6.42578125" style="121" customWidth="1"/>
    <col min="6665" max="6665" width="3.7109375" style="121" customWidth="1"/>
    <col min="6666" max="6666" width="6.42578125" style="121" customWidth="1"/>
    <col min="6667" max="6667" width="3.7109375" style="121" customWidth="1"/>
    <col min="6668" max="6668" width="6.42578125" style="121" customWidth="1"/>
    <col min="6669" max="6669" width="7.7109375" style="121" customWidth="1"/>
    <col min="6670" max="6670" width="15.5703125" style="121" customWidth="1"/>
    <col min="6671" max="6671" width="3.28515625" style="121" customWidth="1"/>
    <col min="6672" max="6672" width="5.28515625" style="121" customWidth="1"/>
    <col min="6673" max="6673" width="23.42578125" style="121" customWidth="1"/>
    <col min="6674" max="6693" width="8.28515625" style="121"/>
    <col min="6694" max="6696" width="10.42578125" style="121" customWidth="1"/>
    <col min="6697" max="6697" width="1" style="121" customWidth="1"/>
    <col min="6698" max="6698" width="8.28515625" style="121"/>
    <col min="6699" max="6701" width="10.42578125" style="121" customWidth="1"/>
    <col min="6702" max="6702" width="5.7109375" style="121" customWidth="1"/>
    <col min="6703" max="6703" width="14.28515625" style="121" customWidth="1"/>
    <col min="6704" max="6870" width="8.28515625" style="121"/>
    <col min="6871" max="6871" width="1.28515625" style="121" customWidth="1"/>
    <col min="6872" max="6879" width="7.7109375" style="121" customWidth="1"/>
    <col min="6880" max="6880" width="6.42578125" style="121" customWidth="1"/>
    <col min="6881" max="6881" width="9.28515625" style="121" customWidth="1"/>
    <col min="6882" max="6882" width="15.42578125" style="121" customWidth="1"/>
    <col min="6883" max="6886" width="6.42578125" style="121" customWidth="1"/>
    <col min="6887" max="6887" width="6" style="121" customWidth="1"/>
    <col min="6888" max="6888" width="6.42578125" style="121" customWidth="1"/>
    <col min="6889" max="6890" width="7.7109375" style="121" customWidth="1"/>
    <col min="6891" max="6891" width="6.7109375" style="121" customWidth="1"/>
    <col min="6892" max="6892" width="7.7109375" style="121" customWidth="1"/>
    <col min="6893" max="6896" width="6.42578125" style="121" customWidth="1"/>
    <col min="6897" max="6897" width="3.7109375" style="121" customWidth="1"/>
    <col min="6898" max="6898" width="6.42578125" style="121" customWidth="1"/>
    <col min="6899" max="6899" width="3.7109375" style="121" customWidth="1"/>
    <col min="6900" max="6900" width="6.42578125" style="121" customWidth="1"/>
    <col min="6901" max="6901" width="3.7109375" style="121" customWidth="1"/>
    <col min="6902" max="6907" width="6.42578125" style="121" customWidth="1"/>
    <col min="6908" max="6908" width="3.7109375" style="121" customWidth="1"/>
    <col min="6909" max="6909" width="6.42578125" style="121" customWidth="1"/>
    <col min="6910" max="6910" width="3.7109375" style="121" customWidth="1"/>
    <col min="6911" max="6911" width="6.42578125" style="121" customWidth="1"/>
    <col min="6912" max="6912" width="3.7109375" style="121" customWidth="1"/>
    <col min="6913" max="6918" width="6.42578125" style="121" customWidth="1"/>
    <col min="6919" max="6919" width="3.7109375" style="121" customWidth="1"/>
    <col min="6920" max="6920" width="6.42578125" style="121" customWidth="1"/>
    <col min="6921" max="6921" width="3.7109375" style="121" customWidth="1"/>
    <col min="6922" max="6922" width="6.42578125" style="121" customWidth="1"/>
    <col min="6923" max="6923" width="3.7109375" style="121" customWidth="1"/>
    <col min="6924" max="6924" width="6.42578125" style="121" customWidth="1"/>
    <col min="6925" max="6925" width="7.7109375" style="121" customWidth="1"/>
    <col min="6926" max="6926" width="15.5703125" style="121" customWidth="1"/>
    <col min="6927" max="6927" width="3.28515625" style="121" customWidth="1"/>
    <col min="6928" max="6928" width="5.28515625" style="121" customWidth="1"/>
    <col min="6929" max="6929" width="23.42578125" style="121" customWidth="1"/>
    <col min="6930" max="6949" width="8.28515625" style="121"/>
    <col min="6950" max="6952" width="10.42578125" style="121" customWidth="1"/>
    <col min="6953" max="6953" width="1" style="121" customWidth="1"/>
    <col min="6954" max="6954" width="8.28515625" style="121"/>
    <col min="6955" max="6957" width="10.42578125" style="121" customWidth="1"/>
    <col min="6958" max="6958" width="5.7109375" style="121" customWidth="1"/>
    <col min="6959" max="6959" width="14.28515625" style="121" customWidth="1"/>
    <col min="6960" max="7126" width="8.28515625" style="121"/>
    <col min="7127" max="7127" width="1.28515625" style="121" customWidth="1"/>
    <col min="7128" max="7135" width="7.7109375" style="121" customWidth="1"/>
    <col min="7136" max="7136" width="6.42578125" style="121" customWidth="1"/>
    <col min="7137" max="7137" width="9.28515625" style="121" customWidth="1"/>
    <col min="7138" max="7138" width="15.42578125" style="121" customWidth="1"/>
    <col min="7139" max="7142" width="6.42578125" style="121" customWidth="1"/>
    <col min="7143" max="7143" width="6" style="121" customWidth="1"/>
    <col min="7144" max="7144" width="6.42578125" style="121" customWidth="1"/>
    <col min="7145" max="7146" width="7.7109375" style="121" customWidth="1"/>
    <col min="7147" max="7147" width="6.7109375" style="121" customWidth="1"/>
    <col min="7148" max="7148" width="7.7109375" style="121" customWidth="1"/>
    <col min="7149" max="7152" width="6.42578125" style="121" customWidth="1"/>
    <col min="7153" max="7153" width="3.7109375" style="121" customWidth="1"/>
    <col min="7154" max="7154" width="6.42578125" style="121" customWidth="1"/>
    <col min="7155" max="7155" width="3.7109375" style="121" customWidth="1"/>
    <col min="7156" max="7156" width="6.42578125" style="121" customWidth="1"/>
    <col min="7157" max="7157" width="3.7109375" style="121" customWidth="1"/>
    <col min="7158" max="7163" width="6.42578125" style="121" customWidth="1"/>
    <col min="7164" max="7164" width="3.7109375" style="121" customWidth="1"/>
    <col min="7165" max="7165" width="6.42578125" style="121" customWidth="1"/>
    <col min="7166" max="7166" width="3.7109375" style="121" customWidth="1"/>
    <col min="7167" max="7167" width="6.42578125" style="121" customWidth="1"/>
    <col min="7168" max="7168" width="3.7109375" style="121" customWidth="1"/>
    <col min="7169" max="7174" width="6.42578125" style="121" customWidth="1"/>
    <col min="7175" max="7175" width="3.7109375" style="121" customWidth="1"/>
    <col min="7176" max="7176" width="6.42578125" style="121" customWidth="1"/>
    <col min="7177" max="7177" width="3.7109375" style="121" customWidth="1"/>
    <col min="7178" max="7178" width="6.42578125" style="121" customWidth="1"/>
    <col min="7179" max="7179" width="3.7109375" style="121" customWidth="1"/>
    <col min="7180" max="7180" width="6.42578125" style="121" customWidth="1"/>
    <col min="7181" max="7181" width="7.7109375" style="121" customWidth="1"/>
    <col min="7182" max="7182" width="15.5703125" style="121" customWidth="1"/>
    <col min="7183" max="7183" width="3.28515625" style="121" customWidth="1"/>
    <col min="7184" max="7184" width="5.28515625" style="121" customWidth="1"/>
    <col min="7185" max="7185" width="23.42578125" style="121" customWidth="1"/>
    <col min="7186" max="7205" width="8.28515625" style="121"/>
    <col min="7206" max="7208" width="10.42578125" style="121" customWidth="1"/>
    <col min="7209" max="7209" width="1" style="121" customWidth="1"/>
    <col min="7210" max="7210" width="8.28515625" style="121"/>
    <col min="7211" max="7213" width="10.42578125" style="121" customWidth="1"/>
    <col min="7214" max="7214" width="5.7109375" style="121" customWidth="1"/>
    <col min="7215" max="7215" width="14.28515625" style="121" customWidth="1"/>
    <col min="7216" max="7382" width="8.28515625" style="121"/>
    <col min="7383" max="7383" width="1.28515625" style="121" customWidth="1"/>
    <col min="7384" max="7391" width="7.7109375" style="121" customWidth="1"/>
    <col min="7392" max="7392" width="6.42578125" style="121" customWidth="1"/>
    <col min="7393" max="7393" width="9.28515625" style="121" customWidth="1"/>
    <col min="7394" max="7394" width="15.42578125" style="121" customWidth="1"/>
    <col min="7395" max="7398" width="6.42578125" style="121" customWidth="1"/>
    <col min="7399" max="7399" width="6" style="121" customWidth="1"/>
    <col min="7400" max="7400" width="6.42578125" style="121" customWidth="1"/>
    <col min="7401" max="7402" width="7.7109375" style="121" customWidth="1"/>
    <col min="7403" max="7403" width="6.7109375" style="121" customWidth="1"/>
    <col min="7404" max="7404" width="7.7109375" style="121" customWidth="1"/>
    <col min="7405" max="7408" width="6.42578125" style="121" customWidth="1"/>
    <col min="7409" max="7409" width="3.7109375" style="121" customWidth="1"/>
    <col min="7410" max="7410" width="6.42578125" style="121" customWidth="1"/>
    <col min="7411" max="7411" width="3.7109375" style="121" customWidth="1"/>
    <col min="7412" max="7412" width="6.42578125" style="121" customWidth="1"/>
    <col min="7413" max="7413" width="3.7109375" style="121" customWidth="1"/>
    <col min="7414" max="7419" width="6.42578125" style="121" customWidth="1"/>
    <col min="7420" max="7420" width="3.7109375" style="121" customWidth="1"/>
    <col min="7421" max="7421" width="6.42578125" style="121" customWidth="1"/>
    <col min="7422" max="7422" width="3.7109375" style="121" customWidth="1"/>
    <col min="7423" max="7423" width="6.42578125" style="121" customWidth="1"/>
    <col min="7424" max="7424" width="3.7109375" style="121" customWidth="1"/>
    <col min="7425" max="7430" width="6.42578125" style="121" customWidth="1"/>
    <col min="7431" max="7431" width="3.7109375" style="121" customWidth="1"/>
    <col min="7432" max="7432" width="6.42578125" style="121" customWidth="1"/>
    <col min="7433" max="7433" width="3.7109375" style="121" customWidth="1"/>
    <col min="7434" max="7434" width="6.42578125" style="121" customWidth="1"/>
    <col min="7435" max="7435" width="3.7109375" style="121" customWidth="1"/>
    <col min="7436" max="7436" width="6.42578125" style="121" customWidth="1"/>
    <col min="7437" max="7437" width="7.7109375" style="121" customWidth="1"/>
    <col min="7438" max="7438" width="15.5703125" style="121" customWidth="1"/>
    <col min="7439" max="7439" width="3.28515625" style="121" customWidth="1"/>
    <col min="7440" max="7440" width="5.28515625" style="121" customWidth="1"/>
    <col min="7441" max="7441" width="23.42578125" style="121" customWidth="1"/>
    <col min="7442" max="7461" width="8.28515625" style="121"/>
    <col min="7462" max="7464" width="10.42578125" style="121" customWidth="1"/>
    <col min="7465" max="7465" width="1" style="121" customWidth="1"/>
    <col min="7466" max="7466" width="8.28515625" style="121"/>
    <col min="7467" max="7469" width="10.42578125" style="121" customWidth="1"/>
    <col min="7470" max="7470" width="5.7109375" style="121" customWidth="1"/>
    <col min="7471" max="7471" width="14.28515625" style="121" customWidth="1"/>
    <col min="7472" max="7638" width="8.28515625" style="121"/>
    <col min="7639" max="7639" width="1.28515625" style="121" customWidth="1"/>
    <col min="7640" max="7647" width="7.7109375" style="121" customWidth="1"/>
    <col min="7648" max="7648" width="6.42578125" style="121" customWidth="1"/>
    <col min="7649" max="7649" width="9.28515625" style="121" customWidth="1"/>
    <col min="7650" max="7650" width="15.42578125" style="121" customWidth="1"/>
    <col min="7651" max="7654" width="6.42578125" style="121" customWidth="1"/>
    <col min="7655" max="7655" width="6" style="121" customWidth="1"/>
    <col min="7656" max="7656" width="6.42578125" style="121" customWidth="1"/>
    <col min="7657" max="7658" width="7.7109375" style="121" customWidth="1"/>
    <col min="7659" max="7659" width="6.7109375" style="121" customWidth="1"/>
    <col min="7660" max="7660" width="7.7109375" style="121" customWidth="1"/>
    <col min="7661" max="7664" width="6.42578125" style="121" customWidth="1"/>
    <col min="7665" max="7665" width="3.7109375" style="121" customWidth="1"/>
    <col min="7666" max="7666" width="6.42578125" style="121" customWidth="1"/>
    <col min="7667" max="7667" width="3.7109375" style="121" customWidth="1"/>
    <col min="7668" max="7668" width="6.42578125" style="121" customWidth="1"/>
    <col min="7669" max="7669" width="3.7109375" style="121" customWidth="1"/>
    <col min="7670" max="7675" width="6.42578125" style="121" customWidth="1"/>
    <col min="7676" max="7676" width="3.7109375" style="121" customWidth="1"/>
    <col min="7677" max="7677" width="6.42578125" style="121" customWidth="1"/>
    <col min="7678" max="7678" width="3.7109375" style="121" customWidth="1"/>
    <col min="7679" max="7679" width="6.42578125" style="121" customWidth="1"/>
    <col min="7680" max="7680" width="3.7109375" style="121" customWidth="1"/>
    <col min="7681" max="7686" width="6.42578125" style="121" customWidth="1"/>
    <col min="7687" max="7687" width="3.7109375" style="121" customWidth="1"/>
    <col min="7688" max="7688" width="6.42578125" style="121" customWidth="1"/>
    <col min="7689" max="7689" width="3.7109375" style="121" customWidth="1"/>
    <col min="7690" max="7690" width="6.42578125" style="121" customWidth="1"/>
    <col min="7691" max="7691" width="3.7109375" style="121" customWidth="1"/>
    <col min="7692" max="7692" width="6.42578125" style="121" customWidth="1"/>
    <col min="7693" max="7693" width="7.7109375" style="121" customWidth="1"/>
    <col min="7694" max="7694" width="15.5703125" style="121" customWidth="1"/>
    <col min="7695" max="7695" width="3.28515625" style="121" customWidth="1"/>
    <col min="7696" max="7696" width="5.28515625" style="121" customWidth="1"/>
    <col min="7697" max="7697" width="23.42578125" style="121" customWidth="1"/>
    <col min="7698" max="7717" width="8.28515625" style="121"/>
    <col min="7718" max="7720" width="10.42578125" style="121" customWidth="1"/>
    <col min="7721" max="7721" width="1" style="121" customWidth="1"/>
    <col min="7722" max="7722" width="8.28515625" style="121"/>
    <col min="7723" max="7725" width="10.42578125" style="121" customWidth="1"/>
    <col min="7726" max="7726" width="5.7109375" style="121" customWidth="1"/>
    <col min="7727" max="7727" width="14.28515625" style="121" customWidth="1"/>
    <col min="7728" max="7894" width="8.28515625" style="121"/>
    <col min="7895" max="7895" width="1.28515625" style="121" customWidth="1"/>
    <col min="7896" max="7903" width="7.7109375" style="121" customWidth="1"/>
    <col min="7904" max="7904" width="6.42578125" style="121" customWidth="1"/>
    <col min="7905" max="7905" width="9.28515625" style="121" customWidth="1"/>
    <col min="7906" max="7906" width="15.42578125" style="121" customWidth="1"/>
    <col min="7907" max="7910" width="6.42578125" style="121" customWidth="1"/>
    <col min="7911" max="7911" width="6" style="121" customWidth="1"/>
    <col min="7912" max="7912" width="6.42578125" style="121" customWidth="1"/>
    <col min="7913" max="7914" width="7.7109375" style="121" customWidth="1"/>
    <col min="7915" max="7915" width="6.7109375" style="121" customWidth="1"/>
    <col min="7916" max="7916" width="7.7109375" style="121" customWidth="1"/>
    <col min="7917" max="7920" width="6.42578125" style="121" customWidth="1"/>
    <col min="7921" max="7921" width="3.7109375" style="121" customWidth="1"/>
    <col min="7922" max="7922" width="6.42578125" style="121" customWidth="1"/>
    <col min="7923" max="7923" width="3.7109375" style="121" customWidth="1"/>
    <col min="7924" max="7924" width="6.42578125" style="121" customWidth="1"/>
    <col min="7925" max="7925" width="3.7109375" style="121" customWidth="1"/>
    <col min="7926" max="7931" width="6.42578125" style="121" customWidth="1"/>
    <col min="7932" max="7932" width="3.7109375" style="121" customWidth="1"/>
    <col min="7933" max="7933" width="6.42578125" style="121" customWidth="1"/>
    <col min="7934" max="7934" width="3.7109375" style="121" customWidth="1"/>
    <col min="7935" max="7935" width="6.42578125" style="121" customWidth="1"/>
    <col min="7936" max="7936" width="3.7109375" style="121" customWidth="1"/>
    <col min="7937" max="7942" width="6.42578125" style="121" customWidth="1"/>
    <col min="7943" max="7943" width="3.7109375" style="121" customWidth="1"/>
    <col min="7944" max="7944" width="6.42578125" style="121" customWidth="1"/>
    <col min="7945" max="7945" width="3.7109375" style="121" customWidth="1"/>
    <col min="7946" max="7946" width="6.42578125" style="121" customWidth="1"/>
    <col min="7947" max="7947" width="3.7109375" style="121" customWidth="1"/>
    <col min="7948" max="7948" width="6.42578125" style="121" customWidth="1"/>
    <col min="7949" max="7949" width="7.7109375" style="121" customWidth="1"/>
    <col min="7950" max="7950" width="15.5703125" style="121" customWidth="1"/>
    <col min="7951" max="7951" width="3.28515625" style="121" customWidth="1"/>
    <col min="7952" max="7952" width="5.28515625" style="121" customWidth="1"/>
    <col min="7953" max="7953" width="23.42578125" style="121" customWidth="1"/>
    <col min="7954" max="7973" width="8.28515625" style="121"/>
    <col min="7974" max="7976" width="10.42578125" style="121" customWidth="1"/>
    <col min="7977" max="7977" width="1" style="121" customWidth="1"/>
    <col min="7978" max="7978" width="8.28515625" style="121"/>
    <col min="7979" max="7981" width="10.42578125" style="121" customWidth="1"/>
    <col min="7982" max="7982" width="5.7109375" style="121" customWidth="1"/>
    <col min="7983" max="7983" width="14.28515625" style="121" customWidth="1"/>
    <col min="7984" max="8150" width="8.28515625" style="121"/>
    <col min="8151" max="8151" width="1.28515625" style="121" customWidth="1"/>
    <col min="8152" max="8159" width="7.7109375" style="121" customWidth="1"/>
    <col min="8160" max="8160" width="6.42578125" style="121" customWidth="1"/>
    <col min="8161" max="8161" width="9.28515625" style="121" customWidth="1"/>
    <col min="8162" max="8162" width="15.42578125" style="121" customWidth="1"/>
    <col min="8163" max="8166" width="6.42578125" style="121" customWidth="1"/>
    <col min="8167" max="8167" width="6" style="121" customWidth="1"/>
    <col min="8168" max="8168" width="6.42578125" style="121" customWidth="1"/>
    <col min="8169" max="8170" width="7.7109375" style="121" customWidth="1"/>
    <col min="8171" max="8171" width="6.7109375" style="121" customWidth="1"/>
    <col min="8172" max="8172" width="7.7109375" style="121" customWidth="1"/>
    <col min="8173" max="8176" width="6.42578125" style="121" customWidth="1"/>
    <col min="8177" max="8177" width="3.7109375" style="121" customWidth="1"/>
    <col min="8178" max="8178" width="6.42578125" style="121" customWidth="1"/>
    <col min="8179" max="8179" width="3.7109375" style="121" customWidth="1"/>
    <col min="8180" max="8180" width="6.42578125" style="121" customWidth="1"/>
    <col min="8181" max="8181" width="3.7109375" style="121" customWidth="1"/>
    <col min="8182" max="8187" width="6.42578125" style="121" customWidth="1"/>
    <col min="8188" max="8188" width="3.7109375" style="121" customWidth="1"/>
    <col min="8189" max="8189" width="6.42578125" style="121" customWidth="1"/>
    <col min="8190" max="8190" width="3.7109375" style="121" customWidth="1"/>
    <col min="8191" max="8191" width="6.42578125" style="121" customWidth="1"/>
    <col min="8192" max="8192" width="3.7109375" style="121" customWidth="1"/>
    <col min="8193" max="8198" width="6.42578125" style="121" customWidth="1"/>
    <col min="8199" max="8199" width="3.7109375" style="121" customWidth="1"/>
    <col min="8200" max="8200" width="6.42578125" style="121" customWidth="1"/>
    <col min="8201" max="8201" width="3.7109375" style="121" customWidth="1"/>
    <col min="8202" max="8202" width="6.42578125" style="121" customWidth="1"/>
    <col min="8203" max="8203" width="3.7109375" style="121" customWidth="1"/>
    <col min="8204" max="8204" width="6.42578125" style="121" customWidth="1"/>
    <col min="8205" max="8205" width="7.7109375" style="121" customWidth="1"/>
    <col min="8206" max="8206" width="15.5703125" style="121" customWidth="1"/>
    <col min="8207" max="8207" width="3.28515625" style="121" customWidth="1"/>
    <col min="8208" max="8208" width="5.28515625" style="121" customWidth="1"/>
    <col min="8209" max="8209" width="23.42578125" style="121" customWidth="1"/>
    <col min="8210" max="8229" width="8.28515625" style="121"/>
    <col min="8230" max="8232" width="10.42578125" style="121" customWidth="1"/>
    <col min="8233" max="8233" width="1" style="121" customWidth="1"/>
    <col min="8234" max="8234" width="8.28515625" style="121"/>
    <col min="8235" max="8237" width="10.42578125" style="121" customWidth="1"/>
    <col min="8238" max="8238" width="5.7109375" style="121" customWidth="1"/>
    <col min="8239" max="8239" width="14.28515625" style="121" customWidth="1"/>
    <col min="8240" max="8406" width="8.28515625" style="121"/>
    <col min="8407" max="8407" width="1.28515625" style="121" customWidth="1"/>
    <col min="8408" max="8415" width="7.7109375" style="121" customWidth="1"/>
    <col min="8416" max="8416" width="6.42578125" style="121" customWidth="1"/>
    <col min="8417" max="8417" width="9.28515625" style="121" customWidth="1"/>
    <col min="8418" max="8418" width="15.42578125" style="121" customWidth="1"/>
    <col min="8419" max="8422" width="6.42578125" style="121" customWidth="1"/>
    <col min="8423" max="8423" width="6" style="121" customWidth="1"/>
    <col min="8424" max="8424" width="6.42578125" style="121" customWidth="1"/>
    <col min="8425" max="8426" width="7.7109375" style="121" customWidth="1"/>
    <col min="8427" max="8427" width="6.7109375" style="121" customWidth="1"/>
    <col min="8428" max="8428" width="7.7109375" style="121" customWidth="1"/>
    <col min="8429" max="8432" width="6.42578125" style="121" customWidth="1"/>
    <col min="8433" max="8433" width="3.7109375" style="121" customWidth="1"/>
    <col min="8434" max="8434" width="6.42578125" style="121" customWidth="1"/>
    <col min="8435" max="8435" width="3.7109375" style="121" customWidth="1"/>
    <col min="8436" max="8436" width="6.42578125" style="121" customWidth="1"/>
    <col min="8437" max="8437" width="3.7109375" style="121" customWidth="1"/>
    <col min="8438" max="8443" width="6.42578125" style="121" customWidth="1"/>
    <col min="8444" max="8444" width="3.7109375" style="121" customWidth="1"/>
    <col min="8445" max="8445" width="6.42578125" style="121" customWidth="1"/>
    <col min="8446" max="8446" width="3.7109375" style="121" customWidth="1"/>
    <col min="8447" max="8447" width="6.42578125" style="121" customWidth="1"/>
    <col min="8448" max="8448" width="3.7109375" style="121" customWidth="1"/>
    <col min="8449" max="8454" width="6.42578125" style="121" customWidth="1"/>
    <col min="8455" max="8455" width="3.7109375" style="121" customWidth="1"/>
    <col min="8456" max="8456" width="6.42578125" style="121" customWidth="1"/>
    <col min="8457" max="8457" width="3.7109375" style="121" customWidth="1"/>
    <col min="8458" max="8458" width="6.42578125" style="121" customWidth="1"/>
    <col min="8459" max="8459" width="3.7109375" style="121" customWidth="1"/>
    <col min="8460" max="8460" width="6.42578125" style="121" customWidth="1"/>
    <col min="8461" max="8461" width="7.7109375" style="121" customWidth="1"/>
    <col min="8462" max="8462" width="15.5703125" style="121" customWidth="1"/>
    <col min="8463" max="8463" width="3.28515625" style="121" customWidth="1"/>
    <col min="8464" max="8464" width="5.28515625" style="121" customWidth="1"/>
    <col min="8465" max="8465" width="23.42578125" style="121" customWidth="1"/>
    <col min="8466" max="8485" width="8.28515625" style="121"/>
    <col min="8486" max="8488" width="10.42578125" style="121" customWidth="1"/>
    <col min="8489" max="8489" width="1" style="121" customWidth="1"/>
    <col min="8490" max="8490" width="8.28515625" style="121"/>
    <col min="8491" max="8493" width="10.42578125" style="121" customWidth="1"/>
    <col min="8494" max="8494" width="5.7109375" style="121" customWidth="1"/>
    <col min="8495" max="8495" width="14.28515625" style="121" customWidth="1"/>
    <col min="8496" max="8662" width="8.28515625" style="121"/>
    <col min="8663" max="8663" width="1.28515625" style="121" customWidth="1"/>
    <col min="8664" max="8671" width="7.7109375" style="121" customWidth="1"/>
    <col min="8672" max="8672" width="6.42578125" style="121" customWidth="1"/>
    <col min="8673" max="8673" width="9.28515625" style="121" customWidth="1"/>
    <col min="8674" max="8674" width="15.42578125" style="121" customWidth="1"/>
    <col min="8675" max="8678" width="6.42578125" style="121" customWidth="1"/>
    <col min="8679" max="8679" width="6" style="121" customWidth="1"/>
    <col min="8680" max="8680" width="6.42578125" style="121" customWidth="1"/>
    <col min="8681" max="8682" width="7.7109375" style="121" customWidth="1"/>
    <col min="8683" max="8683" width="6.7109375" style="121" customWidth="1"/>
    <col min="8684" max="8684" width="7.7109375" style="121" customWidth="1"/>
    <col min="8685" max="8688" width="6.42578125" style="121" customWidth="1"/>
    <col min="8689" max="8689" width="3.7109375" style="121" customWidth="1"/>
    <col min="8690" max="8690" width="6.42578125" style="121" customWidth="1"/>
    <col min="8691" max="8691" width="3.7109375" style="121" customWidth="1"/>
    <col min="8692" max="8692" width="6.42578125" style="121" customWidth="1"/>
    <col min="8693" max="8693" width="3.7109375" style="121" customWidth="1"/>
    <col min="8694" max="8699" width="6.42578125" style="121" customWidth="1"/>
    <col min="8700" max="8700" width="3.7109375" style="121" customWidth="1"/>
    <col min="8701" max="8701" width="6.42578125" style="121" customWidth="1"/>
    <col min="8702" max="8702" width="3.7109375" style="121" customWidth="1"/>
    <col min="8703" max="8703" width="6.42578125" style="121" customWidth="1"/>
    <col min="8704" max="8704" width="3.7109375" style="121" customWidth="1"/>
    <col min="8705" max="8710" width="6.42578125" style="121" customWidth="1"/>
    <col min="8711" max="8711" width="3.7109375" style="121" customWidth="1"/>
    <col min="8712" max="8712" width="6.42578125" style="121" customWidth="1"/>
    <col min="8713" max="8713" width="3.7109375" style="121" customWidth="1"/>
    <col min="8714" max="8714" width="6.42578125" style="121" customWidth="1"/>
    <col min="8715" max="8715" width="3.7109375" style="121" customWidth="1"/>
    <col min="8716" max="8716" width="6.42578125" style="121" customWidth="1"/>
    <col min="8717" max="8717" width="7.7109375" style="121" customWidth="1"/>
    <col min="8718" max="8718" width="15.5703125" style="121" customWidth="1"/>
    <col min="8719" max="8719" width="3.28515625" style="121" customWidth="1"/>
    <col min="8720" max="8720" width="5.28515625" style="121" customWidth="1"/>
    <col min="8721" max="8721" width="23.42578125" style="121" customWidth="1"/>
    <col min="8722" max="8741" width="8.28515625" style="121"/>
    <col min="8742" max="8744" width="10.42578125" style="121" customWidth="1"/>
    <col min="8745" max="8745" width="1" style="121" customWidth="1"/>
    <col min="8746" max="8746" width="8.28515625" style="121"/>
    <col min="8747" max="8749" width="10.42578125" style="121" customWidth="1"/>
    <col min="8750" max="8750" width="5.7109375" style="121" customWidth="1"/>
    <col min="8751" max="8751" width="14.28515625" style="121" customWidth="1"/>
    <col min="8752" max="8918" width="8.28515625" style="121"/>
    <col min="8919" max="8919" width="1.28515625" style="121" customWidth="1"/>
    <col min="8920" max="8927" width="7.7109375" style="121" customWidth="1"/>
    <col min="8928" max="8928" width="6.42578125" style="121" customWidth="1"/>
    <col min="8929" max="8929" width="9.28515625" style="121" customWidth="1"/>
    <col min="8930" max="8930" width="15.42578125" style="121" customWidth="1"/>
    <col min="8931" max="8934" width="6.42578125" style="121" customWidth="1"/>
    <col min="8935" max="8935" width="6" style="121" customWidth="1"/>
    <col min="8936" max="8936" width="6.42578125" style="121" customWidth="1"/>
    <col min="8937" max="8938" width="7.7109375" style="121" customWidth="1"/>
    <col min="8939" max="8939" width="6.7109375" style="121" customWidth="1"/>
    <col min="8940" max="8940" width="7.7109375" style="121" customWidth="1"/>
    <col min="8941" max="8944" width="6.42578125" style="121" customWidth="1"/>
    <col min="8945" max="8945" width="3.7109375" style="121" customWidth="1"/>
    <col min="8946" max="8946" width="6.42578125" style="121" customWidth="1"/>
    <col min="8947" max="8947" width="3.7109375" style="121" customWidth="1"/>
    <col min="8948" max="8948" width="6.42578125" style="121" customWidth="1"/>
    <col min="8949" max="8949" width="3.7109375" style="121" customWidth="1"/>
    <col min="8950" max="8955" width="6.42578125" style="121" customWidth="1"/>
    <col min="8956" max="8956" width="3.7109375" style="121" customWidth="1"/>
    <col min="8957" max="8957" width="6.42578125" style="121" customWidth="1"/>
    <col min="8958" max="8958" width="3.7109375" style="121" customWidth="1"/>
    <col min="8959" max="8959" width="6.42578125" style="121" customWidth="1"/>
    <col min="8960" max="8960" width="3.7109375" style="121" customWidth="1"/>
    <col min="8961" max="8966" width="6.42578125" style="121" customWidth="1"/>
    <col min="8967" max="8967" width="3.7109375" style="121" customWidth="1"/>
    <col min="8968" max="8968" width="6.42578125" style="121" customWidth="1"/>
    <col min="8969" max="8969" width="3.7109375" style="121" customWidth="1"/>
    <col min="8970" max="8970" width="6.42578125" style="121" customWidth="1"/>
    <col min="8971" max="8971" width="3.7109375" style="121" customWidth="1"/>
    <col min="8972" max="8972" width="6.42578125" style="121" customWidth="1"/>
    <col min="8973" max="8973" width="7.7109375" style="121" customWidth="1"/>
    <col min="8974" max="8974" width="15.5703125" style="121" customWidth="1"/>
    <col min="8975" max="8975" width="3.28515625" style="121" customWidth="1"/>
    <col min="8976" max="8976" width="5.28515625" style="121" customWidth="1"/>
    <col min="8977" max="8977" width="23.42578125" style="121" customWidth="1"/>
    <col min="8978" max="8997" width="8.28515625" style="121"/>
    <col min="8998" max="9000" width="10.42578125" style="121" customWidth="1"/>
    <col min="9001" max="9001" width="1" style="121" customWidth="1"/>
    <col min="9002" max="9002" width="8.28515625" style="121"/>
    <col min="9003" max="9005" width="10.42578125" style="121" customWidth="1"/>
    <col min="9006" max="9006" width="5.7109375" style="121" customWidth="1"/>
    <col min="9007" max="9007" width="14.28515625" style="121" customWidth="1"/>
    <col min="9008" max="9174" width="8.28515625" style="121"/>
    <col min="9175" max="9175" width="1.28515625" style="121" customWidth="1"/>
    <col min="9176" max="9183" width="7.7109375" style="121" customWidth="1"/>
    <col min="9184" max="9184" width="6.42578125" style="121" customWidth="1"/>
    <col min="9185" max="9185" width="9.28515625" style="121" customWidth="1"/>
    <col min="9186" max="9186" width="15.42578125" style="121" customWidth="1"/>
    <col min="9187" max="9190" width="6.42578125" style="121" customWidth="1"/>
    <col min="9191" max="9191" width="6" style="121" customWidth="1"/>
    <col min="9192" max="9192" width="6.42578125" style="121" customWidth="1"/>
    <col min="9193" max="9194" width="7.7109375" style="121" customWidth="1"/>
    <col min="9195" max="9195" width="6.7109375" style="121" customWidth="1"/>
    <col min="9196" max="9196" width="7.7109375" style="121" customWidth="1"/>
    <col min="9197" max="9200" width="6.42578125" style="121" customWidth="1"/>
    <col min="9201" max="9201" width="3.7109375" style="121" customWidth="1"/>
    <col min="9202" max="9202" width="6.42578125" style="121" customWidth="1"/>
    <col min="9203" max="9203" width="3.7109375" style="121" customWidth="1"/>
    <col min="9204" max="9204" width="6.42578125" style="121" customWidth="1"/>
    <col min="9205" max="9205" width="3.7109375" style="121" customWidth="1"/>
    <col min="9206" max="9211" width="6.42578125" style="121" customWidth="1"/>
    <col min="9212" max="9212" width="3.7109375" style="121" customWidth="1"/>
    <col min="9213" max="9213" width="6.42578125" style="121" customWidth="1"/>
    <col min="9214" max="9214" width="3.7109375" style="121" customWidth="1"/>
    <col min="9215" max="9215" width="6.42578125" style="121" customWidth="1"/>
    <col min="9216" max="9216" width="3.7109375" style="121" customWidth="1"/>
    <col min="9217" max="9222" width="6.42578125" style="121" customWidth="1"/>
    <col min="9223" max="9223" width="3.7109375" style="121" customWidth="1"/>
    <col min="9224" max="9224" width="6.42578125" style="121" customWidth="1"/>
    <col min="9225" max="9225" width="3.7109375" style="121" customWidth="1"/>
    <col min="9226" max="9226" width="6.42578125" style="121" customWidth="1"/>
    <col min="9227" max="9227" width="3.7109375" style="121" customWidth="1"/>
    <col min="9228" max="9228" width="6.42578125" style="121" customWidth="1"/>
    <col min="9229" max="9229" width="7.7109375" style="121" customWidth="1"/>
    <col min="9230" max="9230" width="15.5703125" style="121" customWidth="1"/>
    <col min="9231" max="9231" width="3.28515625" style="121" customWidth="1"/>
    <col min="9232" max="9232" width="5.28515625" style="121" customWidth="1"/>
    <col min="9233" max="9233" width="23.42578125" style="121" customWidth="1"/>
    <col min="9234" max="9253" width="8.28515625" style="121"/>
    <col min="9254" max="9256" width="10.42578125" style="121" customWidth="1"/>
    <col min="9257" max="9257" width="1" style="121" customWidth="1"/>
    <col min="9258" max="9258" width="8.28515625" style="121"/>
    <col min="9259" max="9261" width="10.42578125" style="121" customWidth="1"/>
    <col min="9262" max="9262" width="5.7109375" style="121" customWidth="1"/>
    <col min="9263" max="9263" width="14.28515625" style="121" customWidth="1"/>
    <col min="9264" max="9430" width="8.28515625" style="121"/>
    <col min="9431" max="9431" width="1.28515625" style="121" customWidth="1"/>
    <col min="9432" max="9439" width="7.7109375" style="121" customWidth="1"/>
    <col min="9440" max="9440" width="6.42578125" style="121" customWidth="1"/>
    <col min="9441" max="9441" width="9.28515625" style="121" customWidth="1"/>
    <col min="9442" max="9442" width="15.42578125" style="121" customWidth="1"/>
    <col min="9443" max="9446" width="6.42578125" style="121" customWidth="1"/>
    <col min="9447" max="9447" width="6" style="121" customWidth="1"/>
    <col min="9448" max="9448" width="6.42578125" style="121" customWidth="1"/>
    <col min="9449" max="9450" width="7.7109375" style="121" customWidth="1"/>
    <col min="9451" max="9451" width="6.7109375" style="121" customWidth="1"/>
    <col min="9452" max="9452" width="7.7109375" style="121" customWidth="1"/>
    <col min="9453" max="9456" width="6.42578125" style="121" customWidth="1"/>
    <col min="9457" max="9457" width="3.7109375" style="121" customWidth="1"/>
    <col min="9458" max="9458" width="6.42578125" style="121" customWidth="1"/>
    <col min="9459" max="9459" width="3.7109375" style="121" customWidth="1"/>
    <col min="9460" max="9460" width="6.42578125" style="121" customWidth="1"/>
    <col min="9461" max="9461" width="3.7109375" style="121" customWidth="1"/>
    <col min="9462" max="9467" width="6.42578125" style="121" customWidth="1"/>
    <col min="9468" max="9468" width="3.7109375" style="121" customWidth="1"/>
    <col min="9469" max="9469" width="6.42578125" style="121" customWidth="1"/>
    <col min="9470" max="9470" width="3.7109375" style="121" customWidth="1"/>
    <col min="9471" max="9471" width="6.42578125" style="121" customWidth="1"/>
    <col min="9472" max="9472" width="3.7109375" style="121" customWidth="1"/>
    <col min="9473" max="9478" width="6.42578125" style="121" customWidth="1"/>
    <col min="9479" max="9479" width="3.7109375" style="121" customWidth="1"/>
    <col min="9480" max="9480" width="6.42578125" style="121" customWidth="1"/>
    <col min="9481" max="9481" width="3.7109375" style="121" customWidth="1"/>
    <col min="9482" max="9482" width="6.42578125" style="121" customWidth="1"/>
    <col min="9483" max="9483" width="3.7109375" style="121" customWidth="1"/>
    <col min="9484" max="9484" width="6.42578125" style="121" customWidth="1"/>
    <col min="9485" max="9485" width="7.7109375" style="121" customWidth="1"/>
    <col min="9486" max="9486" width="15.5703125" style="121" customWidth="1"/>
    <col min="9487" max="9487" width="3.28515625" style="121" customWidth="1"/>
    <col min="9488" max="9488" width="5.28515625" style="121" customWidth="1"/>
    <col min="9489" max="9489" width="23.42578125" style="121" customWidth="1"/>
    <col min="9490" max="9509" width="8.28515625" style="121"/>
    <col min="9510" max="9512" width="10.42578125" style="121" customWidth="1"/>
    <col min="9513" max="9513" width="1" style="121" customWidth="1"/>
    <col min="9514" max="9514" width="8.28515625" style="121"/>
    <col min="9515" max="9517" width="10.42578125" style="121" customWidth="1"/>
    <col min="9518" max="9518" width="5.7109375" style="121" customWidth="1"/>
    <col min="9519" max="9519" width="14.28515625" style="121" customWidth="1"/>
    <col min="9520" max="9686" width="8.28515625" style="121"/>
    <col min="9687" max="9687" width="1.28515625" style="121" customWidth="1"/>
    <col min="9688" max="9695" width="7.7109375" style="121" customWidth="1"/>
    <col min="9696" max="9696" width="6.42578125" style="121" customWidth="1"/>
    <col min="9697" max="9697" width="9.28515625" style="121" customWidth="1"/>
    <col min="9698" max="9698" width="15.42578125" style="121" customWidth="1"/>
    <col min="9699" max="9702" width="6.42578125" style="121" customWidth="1"/>
    <col min="9703" max="9703" width="6" style="121" customWidth="1"/>
    <col min="9704" max="9704" width="6.42578125" style="121" customWidth="1"/>
    <col min="9705" max="9706" width="7.7109375" style="121" customWidth="1"/>
    <col min="9707" max="9707" width="6.7109375" style="121" customWidth="1"/>
    <col min="9708" max="9708" width="7.7109375" style="121" customWidth="1"/>
    <col min="9709" max="9712" width="6.42578125" style="121" customWidth="1"/>
    <col min="9713" max="9713" width="3.7109375" style="121" customWidth="1"/>
    <col min="9714" max="9714" width="6.42578125" style="121" customWidth="1"/>
    <col min="9715" max="9715" width="3.7109375" style="121" customWidth="1"/>
    <col min="9716" max="9716" width="6.42578125" style="121" customWidth="1"/>
    <col min="9717" max="9717" width="3.7109375" style="121" customWidth="1"/>
    <col min="9718" max="9723" width="6.42578125" style="121" customWidth="1"/>
    <col min="9724" max="9724" width="3.7109375" style="121" customWidth="1"/>
    <col min="9725" max="9725" width="6.42578125" style="121" customWidth="1"/>
    <col min="9726" max="9726" width="3.7109375" style="121" customWidth="1"/>
    <col min="9727" max="9727" width="6.42578125" style="121" customWidth="1"/>
    <col min="9728" max="9728" width="3.7109375" style="121" customWidth="1"/>
    <col min="9729" max="9734" width="6.42578125" style="121" customWidth="1"/>
    <col min="9735" max="9735" width="3.7109375" style="121" customWidth="1"/>
    <col min="9736" max="9736" width="6.42578125" style="121" customWidth="1"/>
    <col min="9737" max="9737" width="3.7109375" style="121" customWidth="1"/>
    <col min="9738" max="9738" width="6.42578125" style="121" customWidth="1"/>
    <col min="9739" max="9739" width="3.7109375" style="121" customWidth="1"/>
    <col min="9740" max="9740" width="6.42578125" style="121" customWidth="1"/>
    <col min="9741" max="9741" width="7.7109375" style="121" customWidth="1"/>
    <col min="9742" max="9742" width="15.5703125" style="121" customWidth="1"/>
    <col min="9743" max="9743" width="3.28515625" style="121" customWidth="1"/>
    <col min="9744" max="9744" width="5.28515625" style="121" customWidth="1"/>
    <col min="9745" max="9745" width="23.42578125" style="121" customWidth="1"/>
    <col min="9746" max="9765" width="8.28515625" style="121"/>
    <col min="9766" max="9768" width="10.42578125" style="121" customWidth="1"/>
    <col min="9769" max="9769" width="1" style="121" customWidth="1"/>
    <col min="9770" max="9770" width="8.28515625" style="121"/>
    <col min="9771" max="9773" width="10.42578125" style="121" customWidth="1"/>
    <col min="9774" max="9774" width="5.7109375" style="121" customWidth="1"/>
    <col min="9775" max="9775" width="14.28515625" style="121" customWidth="1"/>
    <col min="9776" max="9942" width="8.28515625" style="121"/>
    <col min="9943" max="9943" width="1.28515625" style="121" customWidth="1"/>
    <col min="9944" max="9951" width="7.7109375" style="121" customWidth="1"/>
    <col min="9952" max="9952" width="6.42578125" style="121" customWidth="1"/>
    <col min="9953" max="9953" width="9.28515625" style="121" customWidth="1"/>
    <col min="9954" max="9954" width="15.42578125" style="121" customWidth="1"/>
    <col min="9955" max="9958" width="6.42578125" style="121" customWidth="1"/>
    <col min="9959" max="9959" width="6" style="121" customWidth="1"/>
    <col min="9960" max="9960" width="6.42578125" style="121" customWidth="1"/>
    <col min="9961" max="9962" width="7.7109375" style="121" customWidth="1"/>
    <col min="9963" max="9963" width="6.7109375" style="121" customWidth="1"/>
    <col min="9964" max="9964" width="7.7109375" style="121" customWidth="1"/>
    <col min="9965" max="9968" width="6.42578125" style="121" customWidth="1"/>
    <col min="9969" max="9969" width="3.7109375" style="121" customWidth="1"/>
    <col min="9970" max="9970" width="6.42578125" style="121" customWidth="1"/>
    <col min="9971" max="9971" width="3.7109375" style="121" customWidth="1"/>
    <col min="9972" max="9972" width="6.42578125" style="121" customWidth="1"/>
    <col min="9973" max="9973" width="3.7109375" style="121" customWidth="1"/>
    <col min="9974" max="9979" width="6.42578125" style="121" customWidth="1"/>
    <col min="9980" max="9980" width="3.7109375" style="121" customWidth="1"/>
    <col min="9981" max="9981" width="6.42578125" style="121" customWidth="1"/>
    <col min="9982" max="9982" width="3.7109375" style="121" customWidth="1"/>
    <col min="9983" max="9983" width="6.42578125" style="121" customWidth="1"/>
    <col min="9984" max="9984" width="3.7109375" style="121" customWidth="1"/>
    <col min="9985" max="9990" width="6.42578125" style="121" customWidth="1"/>
    <col min="9991" max="9991" width="3.7109375" style="121" customWidth="1"/>
    <col min="9992" max="9992" width="6.42578125" style="121" customWidth="1"/>
    <col min="9993" max="9993" width="3.7109375" style="121" customWidth="1"/>
    <col min="9994" max="9994" width="6.42578125" style="121" customWidth="1"/>
    <col min="9995" max="9995" width="3.7109375" style="121" customWidth="1"/>
    <col min="9996" max="9996" width="6.42578125" style="121" customWidth="1"/>
    <col min="9997" max="9997" width="7.7109375" style="121" customWidth="1"/>
    <col min="9998" max="9998" width="15.5703125" style="121" customWidth="1"/>
    <col min="9999" max="9999" width="3.28515625" style="121" customWidth="1"/>
    <col min="10000" max="10000" width="5.28515625" style="121" customWidth="1"/>
    <col min="10001" max="10001" width="23.42578125" style="121" customWidth="1"/>
    <col min="10002" max="10021" width="8.28515625" style="121"/>
    <col min="10022" max="10024" width="10.42578125" style="121" customWidth="1"/>
    <col min="10025" max="10025" width="1" style="121" customWidth="1"/>
    <col min="10026" max="10026" width="8.28515625" style="121"/>
    <col min="10027" max="10029" width="10.42578125" style="121" customWidth="1"/>
    <col min="10030" max="10030" width="5.7109375" style="121" customWidth="1"/>
    <col min="10031" max="10031" width="14.28515625" style="121" customWidth="1"/>
    <col min="10032" max="10198" width="8.28515625" style="121"/>
    <col min="10199" max="10199" width="1.28515625" style="121" customWidth="1"/>
    <col min="10200" max="10207" width="7.7109375" style="121" customWidth="1"/>
    <col min="10208" max="10208" width="6.42578125" style="121" customWidth="1"/>
    <col min="10209" max="10209" width="9.28515625" style="121" customWidth="1"/>
    <col min="10210" max="10210" width="15.42578125" style="121" customWidth="1"/>
    <col min="10211" max="10214" width="6.42578125" style="121" customWidth="1"/>
    <col min="10215" max="10215" width="6" style="121" customWidth="1"/>
    <col min="10216" max="10216" width="6.42578125" style="121" customWidth="1"/>
    <col min="10217" max="10218" width="7.7109375" style="121" customWidth="1"/>
    <col min="10219" max="10219" width="6.7109375" style="121" customWidth="1"/>
    <col min="10220" max="10220" width="7.7109375" style="121" customWidth="1"/>
    <col min="10221" max="10224" width="6.42578125" style="121" customWidth="1"/>
    <col min="10225" max="10225" width="3.7109375" style="121" customWidth="1"/>
    <col min="10226" max="10226" width="6.42578125" style="121" customWidth="1"/>
    <col min="10227" max="10227" width="3.7109375" style="121" customWidth="1"/>
    <col min="10228" max="10228" width="6.42578125" style="121" customWidth="1"/>
    <col min="10229" max="10229" width="3.7109375" style="121" customWidth="1"/>
    <col min="10230" max="10235" width="6.42578125" style="121" customWidth="1"/>
    <col min="10236" max="10236" width="3.7109375" style="121" customWidth="1"/>
    <col min="10237" max="10237" width="6.42578125" style="121" customWidth="1"/>
    <col min="10238" max="10238" width="3.7109375" style="121" customWidth="1"/>
    <col min="10239" max="10239" width="6.42578125" style="121" customWidth="1"/>
    <col min="10240" max="10240" width="3.7109375" style="121" customWidth="1"/>
    <col min="10241" max="10246" width="6.42578125" style="121" customWidth="1"/>
    <col min="10247" max="10247" width="3.7109375" style="121" customWidth="1"/>
    <col min="10248" max="10248" width="6.42578125" style="121" customWidth="1"/>
    <col min="10249" max="10249" width="3.7109375" style="121" customWidth="1"/>
    <col min="10250" max="10250" width="6.42578125" style="121" customWidth="1"/>
    <col min="10251" max="10251" width="3.7109375" style="121" customWidth="1"/>
    <col min="10252" max="10252" width="6.42578125" style="121" customWidth="1"/>
    <col min="10253" max="10253" width="7.7109375" style="121" customWidth="1"/>
    <col min="10254" max="10254" width="15.5703125" style="121" customWidth="1"/>
    <col min="10255" max="10255" width="3.28515625" style="121" customWidth="1"/>
    <col min="10256" max="10256" width="5.28515625" style="121" customWidth="1"/>
    <col min="10257" max="10257" width="23.42578125" style="121" customWidth="1"/>
    <col min="10258" max="10277" width="8.28515625" style="121"/>
    <col min="10278" max="10280" width="10.42578125" style="121" customWidth="1"/>
    <col min="10281" max="10281" width="1" style="121" customWidth="1"/>
    <col min="10282" max="10282" width="8.28515625" style="121"/>
    <col min="10283" max="10285" width="10.42578125" style="121" customWidth="1"/>
    <col min="10286" max="10286" width="5.7109375" style="121" customWidth="1"/>
    <col min="10287" max="10287" width="14.28515625" style="121" customWidth="1"/>
    <col min="10288" max="10454" width="8.28515625" style="121"/>
    <col min="10455" max="10455" width="1.28515625" style="121" customWidth="1"/>
    <col min="10456" max="10463" width="7.7109375" style="121" customWidth="1"/>
    <col min="10464" max="10464" width="6.42578125" style="121" customWidth="1"/>
    <col min="10465" max="10465" width="9.28515625" style="121" customWidth="1"/>
    <col min="10466" max="10466" width="15.42578125" style="121" customWidth="1"/>
    <col min="10467" max="10470" width="6.42578125" style="121" customWidth="1"/>
    <col min="10471" max="10471" width="6" style="121" customWidth="1"/>
    <col min="10472" max="10472" width="6.42578125" style="121" customWidth="1"/>
    <col min="10473" max="10474" width="7.7109375" style="121" customWidth="1"/>
    <col min="10475" max="10475" width="6.7109375" style="121" customWidth="1"/>
    <col min="10476" max="10476" width="7.7109375" style="121" customWidth="1"/>
    <col min="10477" max="10480" width="6.42578125" style="121" customWidth="1"/>
    <col min="10481" max="10481" width="3.7109375" style="121" customWidth="1"/>
    <col min="10482" max="10482" width="6.42578125" style="121" customWidth="1"/>
    <col min="10483" max="10483" width="3.7109375" style="121" customWidth="1"/>
    <col min="10484" max="10484" width="6.42578125" style="121" customWidth="1"/>
    <col min="10485" max="10485" width="3.7109375" style="121" customWidth="1"/>
    <col min="10486" max="10491" width="6.42578125" style="121" customWidth="1"/>
    <col min="10492" max="10492" width="3.7109375" style="121" customWidth="1"/>
    <col min="10493" max="10493" width="6.42578125" style="121" customWidth="1"/>
    <col min="10494" max="10494" width="3.7109375" style="121" customWidth="1"/>
    <col min="10495" max="10495" width="6.42578125" style="121" customWidth="1"/>
    <col min="10496" max="10496" width="3.7109375" style="121" customWidth="1"/>
    <col min="10497" max="10502" width="6.42578125" style="121" customWidth="1"/>
    <col min="10503" max="10503" width="3.7109375" style="121" customWidth="1"/>
    <col min="10504" max="10504" width="6.42578125" style="121" customWidth="1"/>
    <col min="10505" max="10505" width="3.7109375" style="121" customWidth="1"/>
    <col min="10506" max="10506" width="6.42578125" style="121" customWidth="1"/>
    <col min="10507" max="10507" width="3.7109375" style="121" customWidth="1"/>
    <col min="10508" max="10508" width="6.42578125" style="121" customWidth="1"/>
    <col min="10509" max="10509" width="7.7109375" style="121" customWidth="1"/>
    <col min="10510" max="10510" width="15.5703125" style="121" customWidth="1"/>
    <col min="10511" max="10511" width="3.28515625" style="121" customWidth="1"/>
    <col min="10512" max="10512" width="5.28515625" style="121" customWidth="1"/>
    <col min="10513" max="10513" width="23.42578125" style="121" customWidth="1"/>
    <col min="10514" max="10533" width="8.28515625" style="121"/>
    <col min="10534" max="10536" width="10.42578125" style="121" customWidth="1"/>
    <col min="10537" max="10537" width="1" style="121" customWidth="1"/>
    <col min="10538" max="10538" width="8.28515625" style="121"/>
    <col min="10539" max="10541" width="10.42578125" style="121" customWidth="1"/>
    <col min="10542" max="10542" width="5.7109375" style="121" customWidth="1"/>
    <col min="10543" max="10543" width="14.28515625" style="121" customWidth="1"/>
    <col min="10544" max="10710" width="8.28515625" style="121"/>
    <col min="10711" max="10711" width="1.28515625" style="121" customWidth="1"/>
    <col min="10712" max="10719" width="7.7109375" style="121" customWidth="1"/>
    <col min="10720" max="10720" width="6.42578125" style="121" customWidth="1"/>
    <col min="10721" max="10721" width="9.28515625" style="121" customWidth="1"/>
    <col min="10722" max="10722" width="15.42578125" style="121" customWidth="1"/>
    <col min="10723" max="10726" width="6.42578125" style="121" customWidth="1"/>
    <col min="10727" max="10727" width="6" style="121" customWidth="1"/>
    <col min="10728" max="10728" width="6.42578125" style="121" customWidth="1"/>
    <col min="10729" max="10730" width="7.7109375" style="121" customWidth="1"/>
    <col min="10731" max="10731" width="6.7109375" style="121" customWidth="1"/>
    <col min="10732" max="10732" width="7.7109375" style="121" customWidth="1"/>
    <col min="10733" max="10736" width="6.42578125" style="121" customWidth="1"/>
    <col min="10737" max="10737" width="3.7109375" style="121" customWidth="1"/>
    <col min="10738" max="10738" width="6.42578125" style="121" customWidth="1"/>
    <col min="10739" max="10739" width="3.7109375" style="121" customWidth="1"/>
    <col min="10740" max="10740" width="6.42578125" style="121" customWidth="1"/>
    <col min="10741" max="10741" width="3.7109375" style="121" customWidth="1"/>
    <col min="10742" max="10747" width="6.42578125" style="121" customWidth="1"/>
    <col min="10748" max="10748" width="3.7109375" style="121" customWidth="1"/>
    <col min="10749" max="10749" width="6.42578125" style="121" customWidth="1"/>
    <col min="10750" max="10750" width="3.7109375" style="121" customWidth="1"/>
    <col min="10751" max="10751" width="6.42578125" style="121" customWidth="1"/>
    <col min="10752" max="10752" width="3.7109375" style="121" customWidth="1"/>
    <col min="10753" max="10758" width="6.42578125" style="121" customWidth="1"/>
    <col min="10759" max="10759" width="3.7109375" style="121" customWidth="1"/>
    <col min="10760" max="10760" width="6.42578125" style="121" customWidth="1"/>
    <col min="10761" max="10761" width="3.7109375" style="121" customWidth="1"/>
    <col min="10762" max="10762" width="6.42578125" style="121" customWidth="1"/>
    <col min="10763" max="10763" width="3.7109375" style="121" customWidth="1"/>
    <col min="10764" max="10764" width="6.42578125" style="121" customWidth="1"/>
    <col min="10765" max="10765" width="7.7109375" style="121" customWidth="1"/>
    <col min="10766" max="10766" width="15.5703125" style="121" customWidth="1"/>
    <col min="10767" max="10767" width="3.28515625" style="121" customWidth="1"/>
    <col min="10768" max="10768" width="5.28515625" style="121" customWidth="1"/>
    <col min="10769" max="10769" width="23.42578125" style="121" customWidth="1"/>
    <col min="10770" max="10789" width="8.28515625" style="121"/>
    <col min="10790" max="10792" width="10.42578125" style="121" customWidth="1"/>
    <col min="10793" max="10793" width="1" style="121" customWidth="1"/>
    <col min="10794" max="10794" width="8.28515625" style="121"/>
    <col min="10795" max="10797" width="10.42578125" style="121" customWidth="1"/>
    <col min="10798" max="10798" width="5.7109375" style="121" customWidth="1"/>
    <col min="10799" max="10799" width="14.28515625" style="121" customWidth="1"/>
    <col min="10800" max="10966" width="8.28515625" style="121"/>
    <col min="10967" max="10967" width="1.28515625" style="121" customWidth="1"/>
    <col min="10968" max="10975" width="7.7109375" style="121" customWidth="1"/>
    <col min="10976" max="10976" width="6.42578125" style="121" customWidth="1"/>
    <col min="10977" max="10977" width="9.28515625" style="121" customWidth="1"/>
    <col min="10978" max="10978" width="15.42578125" style="121" customWidth="1"/>
    <col min="10979" max="10982" width="6.42578125" style="121" customWidth="1"/>
    <col min="10983" max="10983" width="6" style="121" customWidth="1"/>
    <col min="10984" max="10984" width="6.42578125" style="121" customWidth="1"/>
    <col min="10985" max="10986" width="7.7109375" style="121" customWidth="1"/>
    <col min="10987" max="10987" width="6.7109375" style="121" customWidth="1"/>
    <col min="10988" max="10988" width="7.7109375" style="121" customWidth="1"/>
    <col min="10989" max="10992" width="6.42578125" style="121" customWidth="1"/>
    <col min="10993" max="10993" width="3.7109375" style="121" customWidth="1"/>
    <col min="10994" max="10994" width="6.42578125" style="121" customWidth="1"/>
    <col min="10995" max="10995" width="3.7109375" style="121" customWidth="1"/>
    <col min="10996" max="10996" width="6.42578125" style="121" customWidth="1"/>
    <col min="10997" max="10997" width="3.7109375" style="121" customWidth="1"/>
    <col min="10998" max="11003" width="6.42578125" style="121" customWidth="1"/>
    <col min="11004" max="11004" width="3.7109375" style="121" customWidth="1"/>
    <col min="11005" max="11005" width="6.42578125" style="121" customWidth="1"/>
    <col min="11006" max="11006" width="3.7109375" style="121" customWidth="1"/>
    <col min="11007" max="11007" width="6.42578125" style="121" customWidth="1"/>
    <col min="11008" max="11008" width="3.7109375" style="121" customWidth="1"/>
    <col min="11009" max="11014" width="6.42578125" style="121" customWidth="1"/>
    <col min="11015" max="11015" width="3.7109375" style="121" customWidth="1"/>
    <col min="11016" max="11016" width="6.42578125" style="121" customWidth="1"/>
    <col min="11017" max="11017" width="3.7109375" style="121" customWidth="1"/>
    <col min="11018" max="11018" width="6.42578125" style="121" customWidth="1"/>
    <col min="11019" max="11019" width="3.7109375" style="121" customWidth="1"/>
    <col min="11020" max="11020" width="6.42578125" style="121" customWidth="1"/>
    <col min="11021" max="11021" width="7.7109375" style="121" customWidth="1"/>
    <col min="11022" max="11022" width="15.5703125" style="121" customWidth="1"/>
    <col min="11023" max="11023" width="3.28515625" style="121" customWidth="1"/>
    <col min="11024" max="11024" width="5.28515625" style="121" customWidth="1"/>
    <col min="11025" max="11025" width="23.42578125" style="121" customWidth="1"/>
    <col min="11026" max="11045" width="8.28515625" style="121"/>
    <col min="11046" max="11048" width="10.42578125" style="121" customWidth="1"/>
    <col min="11049" max="11049" width="1" style="121" customWidth="1"/>
    <col min="11050" max="11050" width="8.28515625" style="121"/>
    <col min="11051" max="11053" width="10.42578125" style="121" customWidth="1"/>
    <col min="11054" max="11054" width="5.7109375" style="121" customWidth="1"/>
    <col min="11055" max="11055" width="14.28515625" style="121" customWidth="1"/>
    <col min="11056" max="11222" width="8.28515625" style="121"/>
    <col min="11223" max="11223" width="1.28515625" style="121" customWidth="1"/>
    <col min="11224" max="11231" width="7.7109375" style="121" customWidth="1"/>
    <col min="11232" max="11232" width="6.42578125" style="121" customWidth="1"/>
    <col min="11233" max="11233" width="9.28515625" style="121" customWidth="1"/>
    <col min="11234" max="11234" width="15.42578125" style="121" customWidth="1"/>
    <col min="11235" max="11238" width="6.42578125" style="121" customWidth="1"/>
    <col min="11239" max="11239" width="6" style="121" customWidth="1"/>
    <col min="11240" max="11240" width="6.42578125" style="121" customWidth="1"/>
    <col min="11241" max="11242" width="7.7109375" style="121" customWidth="1"/>
    <col min="11243" max="11243" width="6.7109375" style="121" customWidth="1"/>
    <col min="11244" max="11244" width="7.7109375" style="121" customWidth="1"/>
    <col min="11245" max="11248" width="6.42578125" style="121" customWidth="1"/>
    <col min="11249" max="11249" width="3.7109375" style="121" customWidth="1"/>
    <col min="11250" max="11250" width="6.42578125" style="121" customWidth="1"/>
    <col min="11251" max="11251" width="3.7109375" style="121" customWidth="1"/>
    <col min="11252" max="11252" width="6.42578125" style="121" customWidth="1"/>
    <col min="11253" max="11253" width="3.7109375" style="121" customWidth="1"/>
    <col min="11254" max="11259" width="6.42578125" style="121" customWidth="1"/>
    <col min="11260" max="11260" width="3.7109375" style="121" customWidth="1"/>
    <col min="11261" max="11261" width="6.42578125" style="121" customWidth="1"/>
    <col min="11262" max="11262" width="3.7109375" style="121" customWidth="1"/>
    <col min="11263" max="11263" width="6.42578125" style="121" customWidth="1"/>
    <col min="11264" max="11264" width="3.7109375" style="121" customWidth="1"/>
    <col min="11265" max="11270" width="6.42578125" style="121" customWidth="1"/>
    <col min="11271" max="11271" width="3.7109375" style="121" customWidth="1"/>
    <col min="11272" max="11272" width="6.42578125" style="121" customWidth="1"/>
    <col min="11273" max="11273" width="3.7109375" style="121" customWidth="1"/>
    <col min="11274" max="11274" width="6.42578125" style="121" customWidth="1"/>
    <col min="11275" max="11275" width="3.7109375" style="121" customWidth="1"/>
    <col min="11276" max="11276" width="6.42578125" style="121" customWidth="1"/>
    <col min="11277" max="11277" width="7.7109375" style="121" customWidth="1"/>
    <col min="11278" max="11278" width="15.5703125" style="121" customWidth="1"/>
    <col min="11279" max="11279" width="3.28515625" style="121" customWidth="1"/>
    <col min="11280" max="11280" width="5.28515625" style="121" customWidth="1"/>
    <col min="11281" max="11281" width="23.42578125" style="121" customWidth="1"/>
    <col min="11282" max="11301" width="8.28515625" style="121"/>
    <col min="11302" max="11304" width="10.42578125" style="121" customWidth="1"/>
    <col min="11305" max="11305" width="1" style="121" customWidth="1"/>
    <col min="11306" max="11306" width="8.28515625" style="121"/>
    <col min="11307" max="11309" width="10.42578125" style="121" customWidth="1"/>
    <col min="11310" max="11310" width="5.7109375" style="121" customWidth="1"/>
    <col min="11311" max="11311" width="14.28515625" style="121" customWidth="1"/>
    <col min="11312" max="11478" width="8.28515625" style="121"/>
    <col min="11479" max="11479" width="1.28515625" style="121" customWidth="1"/>
    <col min="11480" max="11487" width="7.7109375" style="121" customWidth="1"/>
    <col min="11488" max="11488" width="6.42578125" style="121" customWidth="1"/>
    <col min="11489" max="11489" width="9.28515625" style="121" customWidth="1"/>
    <col min="11490" max="11490" width="15.42578125" style="121" customWidth="1"/>
    <col min="11491" max="11494" width="6.42578125" style="121" customWidth="1"/>
    <col min="11495" max="11495" width="6" style="121" customWidth="1"/>
    <col min="11496" max="11496" width="6.42578125" style="121" customWidth="1"/>
    <col min="11497" max="11498" width="7.7109375" style="121" customWidth="1"/>
    <col min="11499" max="11499" width="6.7109375" style="121" customWidth="1"/>
    <col min="11500" max="11500" width="7.7109375" style="121" customWidth="1"/>
    <col min="11501" max="11504" width="6.42578125" style="121" customWidth="1"/>
    <col min="11505" max="11505" width="3.7109375" style="121" customWidth="1"/>
    <col min="11506" max="11506" width="6.42578125" style="121" customWidth="1"/>
    <col min="11507" max="11507" width="3.7109375" style="121" customWidth="1"/>
    <col min="11508" max="11508" width="6.42578125" style="121" customWidth="1"/>
    <col min="11509" max="11509" width="3.7109375" style="121" customWidth="1"/>
    <col min="11510" max="11515" width="6.42578125" style="121" customWidth="1"/>
    <col min="11516" max="11516" width="3.7109375" style="121" customWidth="1"/>
    <col min="11517" max="11517" width="6.42578125" style="121" customWidth="1"/>
    <col min="11518" max="11518" width="3.7109375" style="121" customWidth="1"/>
    <col min="11519" max="11519" width="6.42578125" style="121" customWidth="1"/>
    <col min="11520" max="11520" width="3.7109375" style="121" customWidth="1"/>
    <col min="11521" max="11526" width="6.42578125" style="121" customWidth="1"/>
    <col min="11527" max="11527" width="3.7109375" style="121" customWidth="1"/>
    <col min="11528" max="11528" width="6.42578125" style="121" customWidth="1"/>
    <col min="11529" max="11529" width="3.7109375" style="121" customWidth="1"/>
    <col min="11530" max="11530" width="6.42578125" style="121" customWidth="1"/>
    <col min="11531" max="11531" width="3.7109375" style="121" customWidth="1"/>
    <col min="11532" max="11532" width="6.42578125" style="121" customWidth="1"/>
    <col min="11533" max="11533" width="7.7109375" style="121" customWidth="1"/>
    <col min="11534" max="11534" width="15.5703125" style="121" customWidth="1"/>
    <col min="11535" max="11535" width="3.28515625" style="121" customWidth="1"/>
    <col min="11536" max="11536" width="5.28515625" style="121" customWidth="1"/>
    <col min="11537" max="11537" width="23.42578125" style="121" customWidth="1"/>
    <col min="11538" max="11557" width="8.28515625" style="121"/>
    <col min="11558" max="11560" width="10.42578125" style="121" customWidth="1"/>
    <col min="11561" max="11561" width="1" style="121" customWidth="1"/>
    <col min="11562" max="11562" width="8.28515625" style="121"/>
    <col min="11563" max="11565" width="10.42578125" style="121" customWidth="1"/>
    <col min="11566" max="11566" width="5.7109375" style="121" customWidth="1"/>
    <col min="11567" max="11567" width="14.28515625" style="121" customWidth="1"/>
    <col min="11568" max="11734" width="8.28515625" style="121"/>
    <col min="11735" max="11735" width="1.28515625" style="121" customWidth="1"/>
    <col min="11736" max="11743" width="7.7109375" style="121" customWidth="1"/>
    <col min="11744" max="11744" width="6.42578125" style="121" customWidth="1"/>
    <col min="11745" max="11745" width="9.28515625" style="121" customWidth="1"/>
    <col min="11746" max="11746" width="15.42578125" style="121" customWidth="1"/>
    <col min="11747" max="11750" width="6.42578125" style="121" customWidth="1"/>
    <col min="11751" max="11751" width="6" style="121" customWidth="1"/>
    <col min="11752" max="11752" width="6.42578125" style="121" customWidth="1"/>
    <col min="11753" max="11754" width="7.7109375" style="121" customWidth="1"/>
    <col min="11755" max="11755" width="6.7109375" style="121" customWidth="1"/>
    <col min="11756" max="11756" width="7.7109375" style="121" customWidth="1"/>
    <col min="11757" max="11760" width="6.42578125" style="121" customWidth="1"/>
    <col min="11761" max="11761" width="3.7109375" style="121" customWidth="1"/>
    <col min="11762" max="11762" width="6.42578125" style="121" customWidth="1"/>
    <col min="11763" max="11763" width="3.7109375" style="121" customWidth="1"/>
    <col min="11764" max="11764" width="6.42578125" style="121" customWidth="1"/>
    <col min="11765" max="11765" width="3.7109375" style="121" customWidth="1"/>
    <col min="11766" max="11771" width="6.42578125" style="121" customWidth="1"/>
    <col min="11772" max="11772" width="3.7109375" style="121" customWidth="1"/>
    <col min="11773" max="11773" width="6.42578125" style="121" customWidth="1"/>
    <col min="11774" max="11774" width="3.7109375" style="121" customWidth="1"/>
    <col min="11775" max="11775" width="6.42578125" style="121" customWidth="1"/>
    <col min="11776" max="11776" width="3.7109375" style="121" customWidth="1"/>
    <col min="11777" max="11782" width="6.42578125" style="121" customWidth="1"/>
    <col min="11783" max="11783" width="3.7109375" style="121" customWidth="1"/>
    <col min="11784" max="11784" width="6.42578125" style="121" customWidth="1"/>
    <col min="11785" max="11785" width="3.7109375" style="121" customWidth="1"/>
    <col min="11786" max="11786" width="6.42578125" style="121" customWidth="1"/>
    <col min="11787" max="11787" width="3.7109375" style="121" customWidth="1"/>
    <col min="11788" max="11788" width="6.42578125" style="121" customWidth="1"/>
    <col min="11789" max="11789" width="7.7109375" style="121" customWidth="1"/>
    <col min="11790" max="11790" width="15.5703125" style="121" customWidth="1"/>
    <col min="11791" max="11791" width="3.28515625" style="121" customWidth="1"/>
    <col min="11792" max="11792" width="5.28515625" style="121" customWidth="1"/>
    <col min="11793" max="11793" width="23.42578125" style="121" customWidth="1"/>
    <col min="11794" max="11813" width="8.28515625" style="121"/>
    <col min="11814" max="11816" width="10.42578125" style="121" customWidth="1"/>
    <col min="11817" max="11817" width="1" style="121" customWidth="1"/>
    <col min="11818" max="11818" width="8.28515625" style="121"/>
    <col min="11819" max="11821" width="10.42578125" style="121" customWidth="1"/>
    <col min="11822" max="11822" width="5.7109375" style="121" customWidth="1"/>
    <col min="11823" max="11823" width="14.28515625" style="121" customWidth="1"/>
    <col min="11824" max="11990" width="8.28515625" style="121"/>
    <col min="11991" max="11991" width="1.28515625" style="121" customWidth="1"/>
    <col min="11992" max="11999" width="7.7109375" style="121" customWidth="1"/>
    <col min="12000" max="12000" width="6.42578125" style="121" customWidth="1"/>
    <col min="12001" max="12001" width="9.28515625" style="121" customWidth="1"/>
    <col min="12002" max="12002" width="15.42578125" style="121" customWidth="1"/>
    <col min="12003" max="12006" width="6.42578125" style="121" customWidth="1"/>
    <col min="12007" max="12007" width="6" style="121" customWidth="1"/>
    <col min="12008" max="12008" width="6.42578125" style="121" customWidth="1"/>
    <col min="12009" max="12010" width="7.7109375" style="121" customWidth="1"/>
    <col min="12011" max="12011" width="6.7109375" style="121" customWidth="1"/>
    <col min="12012" max="12012" width="7.7109375" style="121" customWidth="1"/>
    <col min="12013" max="12016" width="6.42578125" style="121" customWidth="1"/>
    <col min="12017" max="12017" width="3.7109375" style="121" customWidth="1"/>
    <col min="12018" max="12018" width="6.42578125" style="121" customWidth="1"/>
    <col min="12019" max="12019" width="3.7109375" style="121" customWidth="1"/>
    <col min="12020" max="12020" width="6.42578125" style="121" customWidth="1"/>
    <col min="12021" max="12021" width="3.7109375" style="121" customWidth="1"/>
    <col min="12022" max="12027" width="6.42578125" style="121" customWidth="1"/>
    <col min="12028" max="12028" width="3.7109375" style="121" customWidth="1"/>
    <col min="12029" max="12029" width="6.42578125" style="121" customWidth="1"/>
    <col min="12030" max="12030" width="3.7109375" style="121" customWidth="1"/>
    <col min="12031" max="12031" width="6.42578125" style="121" customWidth="1"/>
    <col min="12032" max="12032" width="3.7109375" style="121" customWidth="1"/>
    <col min="12033" max="12038" width="6.42578125" style="121" customWidth="1"/>
    <col min="12039" max="12039" width="3.7109375" style="121" customWidth="1"/>
    <col min="12040" max="12040" width="6.42578125" style="121" customWidth="1"/>
    <col min="12041" max="12041" width="3.7109375" style="121" customWidth="1"/>
    <col min="12042" max="12042" width="6.42578125" style="121" customWidth="1"/>
    <col min="12043" max="12043" width="3.7109375" style="121" customWidth="1"/>
    <col min="12044" max="12044" width="6.42578125" style="121" customWidth="1"/>
    <col min="12045" max="12045" width="7.7109375" style="121" customWidth="1"/>
    <col min="12046" max="12046" width="15.5703125" style="121" customWidth="1"/>
    <col min="12047" max="12047" width="3.28515625" style="121" customWidth="1"/>
    <col min="12048" max="12048" width="5.28515625" style="121" customWidth="1"/>
    <col min="12049" max="12049" width="23.42578125" style="121" customWidth="1"/>
    <col min="12050" max="12069" width="8.28515625" style="121"/>
    <col min="12070" max="12072" width="10.42578125" style="121" customWidth="1"/>
    <col min="12073" max="12073" width="1" style="121" customWidth="1"/>
    <col min="12074" max="12074" width="8.28515625" style="121"/>
    <col min="12075" max="12077" width="10.42578125" style="121" customWidth="1"/>
    <col min="12078" max="12078" width="5.7109375" style="121" customWidth="1"/>
    <col min="12079" max="12079" width="14.28515625" style="121" customWidth="1"/>
    <col min="12080" max="12246" width="8.28515625" style="121"/>
    <col min="12247" max="12247" width="1.28515625" style="121" customWidth="1"/>
    <col min="12248" max="12255" width="7.7109375" style="121" customWidth="1"/>
    <col min="12256" max="12256" width="6.42578125" style="121" customWidth="1"/>
    <col min="12257" max="12257" width="9.28515625" style="121" customWidth="1"/>
    <col min="12258" max="12258" width="15.42578125" style="121" customWidth="1"/>
    <col min="12259" max="12262" width="6.42578125" style="121" customWidth="1"/>
    <col min="12263" max="12263" width="6" style="121" customWidth="1"/>
    <col min="12264" max="12264" width="6.42578125" style="121" customWidth="1"/>
    <col min="12265" max="12266" width="7.7109375" style="121" customWidth="1"/>
    <col min="12267" max="12267" width="6.7109375" style="121" customWidth="1"/>
    <col min="12268" max="12268" width="7.7109375" style="121" customWidth="1"/>
    <col min="12269" max="12272" width="6.42578125" style="121" customWidth="1"/>
    <col min="12273" max="12273" width="3.7109375" style="121" customWidth="1"/>
    <col min="12274" max="12274" width="6.42578125" style="121" customWidth="1"/>
    <col min="12275" max="12275" width="3.7109375" style="121" customWidth="1"/>
    <col min="12276" max="12276" width="6.42578125" style="121" customWidth="1"/>
    <col min="12277" max="12277" width="3.7109375" style="121" customWidth="1"/>
    <col min="12278" max="12283" width="6.42578125" style="121" customWidth="1"/>
    <col min="12284" max="12284" width="3.7109375" style="121" customWidth="1"/>
    <col min="12285" max="12285" width="6.42578125" style="121" customWidth="1"/>
    <col min="12286" max="12286" width="3.7109375" style="121" customWidth="1"/>
    <col min="12287" max="12287" width="6.42578125" style="121" customWidth="1"/>
    <col min="12288" max="12288" width="3.7109375" style="121" customWidth="1"/>
    <col min="12289" max="12294" width="6.42578125" style="121" customWidth="1"/>
    <col min="12295" max="12295" width="3.7109375" style="121" customWidth="1"/>
    <col min="12296" max="12296" width="6.42578125" style="121" customWidth="1"/>
    <col min="12297" max="12297" width="3.7109375" style="121" customWidth="1"/>
    <col min="12298" max="12298" width="6.42578125" style="121" customWidth="1"/>
    <col min="12299" max="12299" width="3.7109375" style="121" customWidth="1"/>
    <col min="12300" max="12300" width="6.42578125" style="121" customWidth="1"/>
    <col min="12301" max="12301" width="7.7109375" style="121" customWidth="1"/>
    <col min="12302" max="12302" width="15.5703125" style="121" customWidth="1"/>
    <col min="12303" max="12303" width="3.28515625" style="121" customWidth="1"/>
    <col min="12304" max="12304" width="5.28515625" style="121" customWidth="1"/>
    <col min="12305" max="12305" width="23.42578125" style="121" customWidth="1"/>
    <col min="12306" max="12325" width="8.28515625" style="121"/>
    <col min="12326" max="12328" width="10.42578125" style="121" customWidth="1"/>
    <col min="12329" max="12329" width="1" style="121" customWidth="1"/>
    <col min="12330" max="12330" width="8.28515625" style="121"/>
    <col min="12331" max="12333" width="10.42578125" style="121" customWidth="1"/>
    <col min="12334" max="12334" width="5.7109375" style="121" customWidth="1"/>
    <col min="12335" max="12335" width="14.28515625" style="121" customWidth="1"/>
    <col min="12336" max="12502" width="8.28515625" style="121"/>
    <col min="12503" max="12503" width="1.28515625" style="121" customWidth="1"/>
    <col min="12504" max="12511" width="7.7109375" style="121" customWidth="1"/>
    <col min="12512" max="12512" width="6.42578125" style="121" customWidth="1"/>
    <col min="12513" max="12513" width="9.28515625" style="121" customWidth="1"/>
    <col min="12514" max="12514" width="15.42578125" style="121" customWidth="1"/>
    <col min="12515" max="12518" width="6.42578125" style="121" customWidth="1"/>
    <col min="12519" max="12519" width="6" style="121" customWidth="1"/>
    <col min="12520" max="12520" width="6.42578125" style="121" customWidth="1"/>
    <col min="12521" max="12522" width="7.7109375" style="121" customWidth="1"/>
    <col min="12523" max="12523" width="6.7109375" style="121" customWidth="1"/>
    <col min="12524" max="12524" width="7.7109375" style="121" customWidth="1"/>
    <col min="12525" max="12528" width="6.42578125" style="121" customWidth="1"/>
    <col min="12529" max="12529" width="3.7109375" style="121" customWidth="1"/>
    <col min="12530" max="12530" width="6.42578125" style="121" customWidth="1"/>
    <col min="12531" max="12531" width="3.7109375" style="121" customWidth="1"/>
    <col min="12532" max="12532" width="6.42578125" style="121" customWidth="1"/>
    <col min="12533" max="12533" width="3.7109375" style="121" customWidth="1"/>
    <col min="12534" max="12539" width="6.42578125" style="121" customWidth="1"/>
    <col min="12540" max="12540" width="3.7109375" style="121" customWidth="1"/>
    <col min="12541" max="12541" width="6.42578125" style="121" customWidth="1"/>
    <col min="12542" max="12542" width="3.7109375" style="121" customWidth="1"/>
    <col min="12543" max="12543" width="6.42578125" style="121" customWidth="1"/>
    <col min="12544" max="12544" width="3.7109375" style="121" customWidth="1"/>
    <col min="12545" max="12550" width="6.42578125" style="121" customWidth="1"/>
    <col min="12551" max="12551" width="3.7109375" style="121" customWidth="1"/>
    <col min="12552" max="12552" width="6.42578125" style="121" customWidth="1"/>
    <col min="12553" max="12553" width="3.7109375" style="121" customWidth="1"/>
    <col min="12554" max="12554" width="6.42578125" style="121" customWidth="1"/>
    <col min="12555" max="12555" width="3.7109375" style="121" customWidth="1"/>
    <col min="12556" max="12556" width="6.42578125" style="121" customWidth="1"/>
    <col min="12557" max="12557" width="7.7109375" style="121" customWidth="1"/>
    <col min="12558" max="12558" width="15.5703125" style="121" customWidth="1"/>
    <col min="12559" max="12559" width="3.28515625" style="121" customWidth="1"/>
    <col min="12560" max="12560" width="5.28515625" style="121" customWidth="1"/>
    <col min="12561" max="12561" width="23.42578125" style="121" customWidth="1"/>
    <col min="12562" max="12581" width="8.28515625" style="121"/>
    <col min="12582" max="12584" width="10.42578125" style="121" customWidth="1"/>
    <col min="12585" max="12585" width="1" style="121" customWidth="1"/>
    <col min="12586" max="12586" width="8.28515625" style="121"/>
    <col min="12587" max="12589" width="10.42578125" style="121" customWidth="1"/>
    <col min="12590" max="12590" width="5.7109375" style="121" customWidth="1"/>
    <col min="12591" max="12591" width="14.28515625" style="121" customWidth="1"/>
    <col min="12592" max="12758" width="8.28515625" style="121"/>
    <col min="12759" max="12759" width="1.28515625" style="121" customWidth="1"/>
    <col min="12760" max="12767" width="7.7109375" style="121" customWidth="1"/>
    <col min="12768" max="12768" width="6.42578125" style="121" customWidth="1"/>
    <col min="12769" max="12769" width="9.28515625" style="121" customWidth="1"/>
    <col min="12770" max="12770" width="15.42578125" style="121" customWidth="1"/>
    <col min="12771" max="12774" width="6.42578125" style="121" customWidth="1"/>
    <col min="12775" max="12775" width="6" style="121" customWidth="1"/>
    <col min="12776" max="12776" width="6.42578125" style="121" customWidth="1"/>
    <col min="12777" max="12778" width="7.7109375" style="121" customWidth="1"/>
    <col min="12779" max="12779" width="6.7109375" style="121" customWidth="1"/>
    <col min="12780" max="12780" width="7.7109375" style="121" customWidth="1"/>
    <col min="12781" max="12784" width="6.42578125" style="121" customWidth="1"/>
    <col min="12785" max="12785" width="3.7109375" style="121" customWidth="1"/>
    <col min="12786" max="12786" width="6.42578125" style="121" customWidth="1"/>
    <col min="12787" max="12787" width="3.7109375" style="121" customWidth="1"/>
    <col min="12788" max="12788" width="6.42578125" style="121" customWidth="1"/>
    <col min="12789" max="12789" width="3.7109375" style="121" customWidth="1"/>
    <col min="12790" max="12795" width="6.42578125" style="121" customWidth="1"/>
    <col min="12796" max="12796" width="3.7109375" style="121" customWidth="1"/>
    <col min="12797" max="12797" width="6.42578125" style="121" customWidth="1"/>
    <col min="12798" max="12798" width="3.7109375" style="121" customWidth="1"/>
    <col min="12799" max="12799" width="6.42578125" style="121" customWidth="1"/>
    <col min="12800" max="12800" width="3.7109375" style="121" customWidth="1"/>
    <col min="12801" max="12806" width="6.42578125" style="121" customWidth="1"/>
    <col min="12807" max="12807" width="3.7109375" style="121" customWidth="1"/>
    <col min="12808" max="12808" width="6.42578125" style="121" customWidth="1"/>
    <col min="12809" max="12809" width="3.7109375" style="121" customWidth="1"/>
    <col min="12810" max="12810" width="6.42578125" style="121" customWidth="1"/>
    <col min="12811" max="12811" width="3.7109375" style="121" customWidth="1"/>
    <col min="12812" max="12812" width="6.42578125" style="121" customWidth="1"/>
    <col min="12813" max="12813" width="7.7109375" style="121" customWidth="1"/>
    <col min="12814" max="12814" width="15.5703125" style="121" customWidth="1"/>
    <col min="12815" max="12815" width="3.28515625" style="121" customWidth="1"/>
    <col min="12816" max="12816" width="5.28515625" style="121" customWidth="1"/>
    <col min="12817" max="12817" width="23.42578125" style="121" customWidth="1"/>
    <col min="12818" max="12837" width="8.28515625" style="121"/>
    <col min="12838" max="12840" width="10.42578125" style="121" customWidth="1"/>
    <col min="12841" max="12841" width="1" style="121" customWidth="1"/>
    <col min="12842" max="12842" width="8.28515625" style="121"/>
    <col min="12843" max="12845" width="10.42578125" style="121" customWidth="1"/>
    <col min="12846" max="12846" width="5.7109375" style="121" customWidth="1"/>
    <col min="12847" max="12847" width="14.28515625" style="121" customWidth="1"/>
    <col min="12848" max="13014" width="8.28515625" style="121"/>
    <col min="13015" max="13015" width="1.28515625" style="121" customWidth="1"/>
    <col min="13016" max="13023" width="7.7109375" style="121" customWidth="1"/>
    <col min="13024" max="13024" width="6.42578125" style="121" customWidth="1"/>
    <col min="13025" max="13025" width="9.28515625" style="121" customWidth="1"/>
    <col min="13026" max="13026" width="15.42578125" style="121" customWidth="1"/>
    <col min="13027" max="13030" width="6.42578125" style="121" customWidth="1"/>
    <col min="13031" max="13031" width="6" style="121" customWidth="1"/>
    <col min="13032" max="13032" width="6.42578125" style="121" customWidth="1"/>
    <col min="13033" max="13034" width="7.7109375" style="121" customWidth="1"/>
    <col min="13035" max="13035" width="6.7109375" style="121" customWidth="1"/>
    <col min="13036" max="13036" width="7.7109375" style="121" customWidth="1"/>
    <col min="13037" max="13040" width="6.42578125" style="121" customWidth="1"/>
    <col min="13041" max="13041" width="3.7109375" style="121" customWidth="1"/>
    <col min="13042" max="13042" width="6.42578125" style="121" customWidth="1"/>
    <col min="13043" max="13043" width="3.7109375" style="121" customWidth="1"/>
    <col min="13044" max="13044" width="6.42578125" style="121" customWidth="1"/>
    <col min="13045" max="13045" width="3.7109375" style="121" customWidth="1"/>
    <col min="13046" max="13051" width="6.42578125" style="121" customWidth="1"/>
    <col min="13052" max="13052" width="3.7109375" style="121" customWidth="1"/>
    <col min="13053" max="13053" width="6.42578125" style="121" customWidth="1"/>
    <col min="13054" max="13054" width="3.7109375" style="121" customWidth="1"/>
    <col min="13055" max="13055" width="6.42578125" style="121" customWidth="1"/>
    <col min="13056" max="13056" width="3.7109375" style="121" customWidth="1"/>
    <col min="13057" max="13062" width="6.42578125" style="121" customWidth="1"/>
    <col min="13063" max="13063" width="3.7109375" style="121" customWidth="1"/>
    <col min="13064" max="13064" width="6.42578125" style="121" customWidth="1"/>
    <col min="13065" max="13065" width="3.7109375" style="121" customWidth="1"/>
    <col min="13066" max="13066" width="6.42578125" style="121" customWidth="1"/>
    <col min="13067" max="13067" width="3.7109375" style="121" customWidth="1"/>
    <col min="13068" max="13068" width="6.42578125" style="121" customWidth="1"/>
    <col min="13069" max="13069" width="7.7109375" style="121" customWidth="1"/>
    <col min="13070" max="13070" width="15.5703125" style="121" customWidth="1"/>
    <col min="13071" max="13071" width="3.28515625" style="121" customWidth="1"/>
    <col min="13072" max="13072" width="5.28515625" style="121" customWidth="1"/>
    <col min="13073" max="13073" width="23.42578125" style="121" customWidth="1"/>
    <col min="13074" max="13093" width="8.28515625" style="121"/>
    <col min="13094" max="13096" width="10.42578125" style="121" customWidth="1"/>
    <col min="13097" max="13097" width="1" style="121" customWidth="1"/>
    <col min="13098" max="13098" width="8.28515625" style="121"/>
    <col min="13099" max="13101" width="10.42578125" style="121" customWidth="1"/>
    <col min="13102" max="13102" width="5.7109375" style="121" customWidth="1"/>
    <col min="13103" max="13103" width="14.28515625" style="121" customWidth="1"/>
    <col min="13104" max="13270" width="8.28515625" style="121"/>
    <col min="13271" max="13271" width="1.28515625" style="121" customWidth="1"/>
    <col min="13272" max="13279" width="7.7109375" style="121" customWidth="1"/>
    <col min="13280" max="13280" width="6.42578125" style="121" customWidth="1"/>
    <col min="13281" max="13281" width="9.28515625" style="121" customWidth="1"/>
    <col min="13282" max="13282" width="15.42578125" style="121" customWidth="1"/>
    <col min="13283" max="13286" width="6.42578125" style="121" customWidth="1"/>
    <col min="13287" max="13287" width="6" style="121" customWidth="1"/>
    <col min="13288" max="13288" width="6.42578125" style="121" customWidth="1"/>
    <col min="13289" max="13290" width="7.7109375" style="121" customWidth="1"/>
    <col min="13291" max="13291" width="6.7109375" style="121" customWidth="1"/>
    <col min="13292" max="13292" width="7.7109375" style="121" customWidth="1"/>
    <col min="13293" max="13296" width="6.42578125" style="121" customWidth="1"/>
    <col min="13297" max="13297" width="3.7109375" style="121" customWidth="1"/>
    <col min="13298" max="13298" width="6.42578125" style="121" customWidth="1"/>
    <col min="13299" max="13299" width="3.7109375" style="121" customWidth="1"/>
    <col min="13300" max="13300" width="6.42578125" style="121" customWidth="1"/>
    <col min="13301" max="13301" width="3.7109375" style="121" customWidth="1"/>
    <col min="13302" max="13307" width="6.42578125" style="121" customWidth="1"/>
    <col min="13308" max="13308" width="3.7109375" style="121" customWidth="1"/>
    <col min="13309" max="13309" width="6.42578125" style="121" customWidth="1"/>
    <col min="13310" max="13310" width="3.7109375" style="121" customWidth="1"/>
    <col min="13311" max="13311" width="6.42578125" style="121" customWidth="1"/>
    <col min="13312" max="13312" width="3.7109375" style="121" customWidth="1"/>
    <col min="13313" max="13318" width="6.42578125" style="121" customWidth="1"/>
    <col min="13319" max="13319" width="3.7109375" style="121" customWidth="1"/>
    <col min="13320" max="13320" width="6.42578125" style="121" customWidth="1"/>
    <col min="13321" max="13321" width="3.7109375" style="121" customWidth="1"/>
    <col min="13322" max="13322" width="6.42578125" style="121" customWidth="1"/>
    <col min="13323" max="13323" width="3.7109375" style="121" customWidth="1"/>
    <col min="13324" max="13324" width="6.42578125" style="121" customWidth="1"/>
    <col min="13325" max="13325" width="7.7109375" style="121" customWidth="1"/>
    <col min="13326" max="13326" width="15.5703125" style="121" customWidth="1"/>
    <col min="13327" max="13327" width="3.28515625" style="121" customWidth="1"/>
    <col min="13328" max="13328" width="5.28515625" style="121" customWidth="1"/>
    <col min="13329" max="13329" width="23.42578125" style="121" customWidth="1"/>
    <col min="13330" max="13349" width="8.28515625" style="121"/>
    <col min="13350" max="13352" width="10.42578125" style="121" customWidth="1"/>
    <col min="13353" max="13353" width="1" style="121" customWidth="1"/>
    <col min="13354" max="13354" width="8.28515625" style="121"/>
    <col min="13355" max="13357" width="10.42578125" style="121" customWidth="1"/>
    <col min="13358" max="13358" width="5.7109375" style="121" customWidth="1"/>
    <col min="13359" max="13359" width="14.28515625" style="121" customWidth="1"/>
    <col min="13360" max="13526" width="8.28515625" style="121"/>
    <col min="13527" max="13527" width="1.28515625" style="121" customWidth="1"/>
    <col min="13528" max="13535" width="7.7109375" style="121" customWidth="1"/>
    <col min="13536" max="13536" width="6.42578125" style="121" customWidth="1"/>
    <col min="13537" max="13537" width="9.28515625" style="121" customWidth="1"/>
    <col min="13538" max="13538" width="15.42578125" style="121" customWidth="1"/>
    <col min="13539" max="13542" width="6.42578125" style="121" customWidth="1"/>
    <col min="13543" max="13543" width="6" style="121" customWidth="1"/>
    <col min="13544" max="13544" width="6.42578125" style="121" customWidth="1"/>
    <col min="13545" max="13546" width="7.7109375" style="121" customWidth="1"/>
    <col min="13547" max="13547" width="6.7109375" style="121" customWidth="1"/>
    <col min="13548" max="13548" width="7.7109375" style="121" customWidth="1"/>
    <col min="13549" max="13552" width="6.42578125" style="121" customWidth="1"/>
    <col min="13553" max="13553" width="3.7109375" style="121" customWidth="1"/>
    <col min="13554" max="13554" width="6.42578125" style="121" customWidth="1"/>
    <col min="13555" max="13555" width="3.7109375" style="121" customWidth="1"/>
    <col min="13556" max="13556" width="6.42578125" style="121" customWidth="1"/>
    <col min="13557" max="13557" width="3.7109375" style="121" customWidth="1"/>
    <col min="13558" max="13563" width="6.42578125" style="121" customWidth="1"/>
    <col min="13564" max="13564" width="3.7109375" style="121" customWidth="1"/>
    <col min="13565" max="13565" width="6.42578125" style="121" customWidth="1"/>
    <col min="13566" max="13566" width="3.7109375" style="121" customWidth="1"/>
    <col min="13567" max="13567" width="6.42578125" style="121" customWidth="1"/>
    <col min="13568" max="13568" width="3.7109375" style="121" customWidth="1"/>
    <col min="13569" max="13574" width="6.42578125" style="121" customWidth="1"/>
    <col min="13575" max="13575" width="3.7109375" style="121" customWidth="1"/>
    <col min="13576" max="13576" width="6.42578125" style="121" customWidth="1"/>
    <col min="13577" max="13577" width="3.7109375" style="121" customWidth="1"/>
    <col min="13578" max="13578" width="6.42578125" style="121" customWidth="1"/>
    <col min="13579" max="13579" width="3.7109375" style="121" customWidth="1"/>
    <col min="13580" max="13580" width="6.42578125" style="121" customWidth="1"/>
    <col min="13581" max="13581" width="7.7109375" style="121" customWidth="1"/>
    <col min="13582" max="13582" width="15.5703125" style="121" customWidth="1"/>
    <col min="13583" max="13583" width="3.28515625" style="121" customWidth="1"/>
    <col min="13584" max="13584" width="5.28515625" style="121" customWidth="1"/>
    <col min="13585" max="13585" width="23.42578125" style="121" customWidth="1"/>
    <col min="13586" max="13605" width="8.28515625" style="121"/>
    <col min="13606" max="13608" width="10.42578125" style="121" customWidth="1"/>
    <col min="13609" max="13609" width="1" style="121" customWidth="1"/>
    <col min="13610" max="13610" width="8.28515625" style="121"/>
    <col min="13611" max="13613" width="10.42578125" style="121" customWidth="1"/>
    <col min="13614" max="13614" width="5.7109375" style="121" customWidth="1"/>
    <col min="13615" max="13615" width="14.28515625" style="121" customWidth="1"/>
    <col min="13616" max="13782" width="8.28515625" style="121"/>
    <col min="13783" max="13783" width="1.28515625" style="121" customWidth="1"/>
    <col min="13784" max="13791" width="7.7109375" style="121" customWidth="1"/>
    <col min="13792" max="13792" width="6.42578125" style="121" customWidth="1"/>
    <col min="13793" max="13793" width="9.28515625" style="121" customWidth="1"/>
    <col min="13794" max="13794" width="15.42578125" style="121" customWidth="1"/>
    <col min="13795" max="13798" width="6.42578125" style="121" customWidth="1"/>
    <col min="13799" max="13799" width="6" style="121" customWidth="1"/>
    <col min="13800" max="13800" width="6.42578125" style="121" customWidth="1"/>
    <col min="13801" max="13802" width="7.7109375" style="121" customWidth="1"/>
    <col min="13803" max="13803" width="6.7109375" style="121" customWidth="1"/>
    <col min="13804" max="13804" width="7.7109375" style="121" customWidth="1"/>
    <col min="13805" max="13808" width="6.42578125" style="121" customWidth="1"/>
    <col min="13809" max="13809" width="3.7109375" style="121" customWidth="1"/>
    <col min="13810" max="13810" width="6.42578125" style="121" customWidth="1"/>
    <col min="13811" max="13811" width="3.7109375" style="121" customWidth="1"/>
    <col min="13812" max="13812" width="6.42578125" style="121" customWidth="1"/>
    <col min="13813" max="13813" width="3.7109375" style="121" customWidth="1"/>
    <col min="13814" max="13819" width="6.42578125" style="121" customWidth="1"/>
    <col min="13820" max="13820" width="3.7109375" style="121" customWidth="1"/>
    <col min="13821" max="13821" width="6.42578125" style="121" customWidth="1"/>
    <col min="13822" max="13822" width="3.7109375" style="121" customWidth="1"/>
    <col min="13823" max="13823" width="6.42578125" style="121" customWidth="1"/>
    <col min="13824" max="13824" width="3.7109375" style="121" customWidth="1"/>
    <col min="13825" max="13830" width="6.42578125" style="121" customWidth="1"/>
    <col min="13831" max="13831" width="3.7109375" style="121" customWidth="1"/>
    <col min="13832" max="13832" width="6.42578125" style="121" customWidth="1"/>
    <col min="13833" max="13833" width="3.7109375" style="121" customWidth="1"/>
    <col min="13834" max="13834" width="6.42578125" style="121" customWidth="1"/>
    <col min="13835" max="13835" width="3.7109375" style="121" customWidth="1"/>
    <col min="13836" max="13836" width="6.42578125" style="121" customWidth="1"/>
    <col min="13837" max="13837" width="7.7109375" style="121" customWidth="1"/>
    <col min="13838" max="13838" width="15.5703125" style="121" customWidth="1"/>
    <col min="13839" max="13839" width="3.28515625" style="121" customWidth="1"/>
    <col min="13840" max="13840" width="5.28515625" style="121" customWidth="1"/>
    <col min="13841" max="13841" width="23.42578125" style="121" customWidth="1"/>
    <col min="13842" max="13861" width="8.28515625" style="121"/>
    <col min="13862" max="13864" width="10.42578125" style="121" customWidth="1"/>
    <col min="13865" max="13865" width="1" style="121" customWidth="1"/>
    <col min="13866" max="13866" width="8.28515625" style="121"/>
    <col min="13867" max="13869" width="10.42578125" style="121" customWidth="1"/>
    <col min="13870" max="13870" width="5.7109375" style="121" customWidth="1"/>
    <col min="13871" max="13871" width="14.28515625" style="121" customWidth="1"/>
    <col min="13872" max="14038" width="8.28515625" style="121"/>
    <col min="14039" max="14039" width="1.28515625" style="121" customWidth="1"/>
    <col min="14040" max="14047" width="7.7109375" style="121" customWidth="1"/>
    <col min="14048" max="14048" width="6.42578125" style="121" customWidth="1"/>
    <col min="14049" max="14049" width="9.28515625" style="121" customWidth="1"/>
    <col min="14050" max="14050" width="15.42578125" style="121" customWidth="1"/>
    <col min="14051" max="14054" width="6.42578125" style="121" customWidth="1"/>
    <col min="14055" max="14055" width="6" style="121" customWidth="1"/>
    <col min="14056" max="14056" width="6.42578125" style="121" customWidth="1"/>
    <col min="14057" max="14058" width="7.7109375" style="121" customWidth="1"/>
    <col min="14059" max="14059" width="6.7109375" style="121" customWidth="1"/>
    <col min="14060" max="14060" width="7.7109375" style="121" customWidth="1"/>
    <col min="14061" max="14064" width="6.42578125" style="121" customWidth="1"/>
    <col min="14065" max="14065" width="3.7109375" style="121" customWidth="1"/>
    <col min="14066" max="14066" width="6.42578125" style="121" customWidth="1"/>
    <col min="14067" max="14067" width="3.7109375" style="121" customWidth="1"/>
    <col min="14068" max="14068" width="6.42578125" style="121" customWidth="1"/>
    <col min="14069" max="14069" width="3.7109375" style="121" customWidth="1"/>
    <col min="14070" max="14075" width="6.42578125" style="121" customWidth="1"/>
    <col min="14076" max="14076" width="3.7109375" style="121" customWidth="1"/>
    <col min="14077" max="14077" width="6.42578125" style="121" customWidth="1"/>
    <col min="14078" max="14078" width="3.7109375" style="121" customWidth="1"/>
    <col min="14079" max="14079" width="6.42578125" style="121" customWidth="1"/>
    <col min="14080" max="14080" width="3.7109375" style="121" customWidth="1"/>
    <col min="14081" max="14086" width="6.42578125" style="121" customWidth="1"/>
    <col min="14087" max="14087" width="3.7109375" style="121" customWidth="1"/>
    <col min="14088" max="14088" width="6.42578125" style="121" customWidth="1"/>
    <col min="14089" max="14089" width="3.7109375" style="121" customWidth="1"/>
    <col min="14090" max="14090" width="6.42578125" style="121" customWidth="1"/>
    <col min="14091" max="14091" width="3.7109375" style="121" customWidth="1"/>
    <col min="14092" max="14092" width="6.42578125" style="121" customWidth="1"/>
    <col min="14093" max="14093" width="7.7109375" style="121" customWidth="1"/>
    <col min="14094" max="14094" width="15.5703125" style="121" customWidth="1"/>
    <col min="14095" max="14095" width="3.28515625" style="121" customWidth="1"/>
    <col min="14096" max="14096" width="5.28515625" style="121" customWidth="1"/>
    <col min="14097" max="14097" width="23.42578125" style="121" customWidth="1"/>
    <col min="14098" max="14117" width="8.28515625" style="121"/>
    <col min="14118" max="14120" width="10.42578125" style="121" customWidth="1"/>
    <col min="14121" max="14121" width="1" style="121" customWidth="1"/>
    <col min="14122" max="14122" width="8.28515625" style="121"/>
    <col min="14123" max="14125" width="10.42578125" style="121" customWidth="1"/>
    <col min="14126" max="14126" width="5.7109375" style="121" customWidth="1"/>
    <col min="14127" max="14127" width="14.28515625" style="121" customWidth="1"/>
    <col min="14128" max="14294" width="8.28515625" style="121"/>
    <col min="14295" max="14295" width="1.28515625" style="121" customWidth="1"/>
    <col min="14296" max="14303" width="7.7109375" style="121" customWidth="1"/>
    <col min="14304" max="14304" width="6.42578125" style="121" customWidth="1"/>
    <col min="14305" max="14305" width="9.28515625" style="121" customWidth="1"/>
    <col min="14306" max="14306" width="15.42578125" style="121" customWidth="1"/>
    <col min="14307" max="14310" width="6.42578125" style="121" customWidth="1"/>
    <col min="14311" max="14311" width="6" style="121" customWidth="1"/>
    <col min="14312" max="14312" width="6.42578125" style="121" customWidth="1"/>
    <col min="14313" max="14314" width="7.7109375" style="121" customWidth="1"/>
    <col min="14315" max="14315" width="6.7109375" style="121" customWidth="1"/>
    <col min="14316" max="14316" width="7.7109375" style="121" customWidth="1"/>
    <col min="14317" max="14320" width="6.42578125" style="121" customWidth="1"/>
    <col min="14321" max="14321" width="3.7109375" style="121" customWidth="1"/>
    <col min="14322" max="14322" width="6.42578125" style="121" customWidth="1"/>
    <col min="14323" max="14323" width="3.7109375" style="121" customWidth="1"/>
    <col min="14324" max="14324" width="6.42578125" style="121" customWidth="1"/>
    <col min="14325" max="14325" width="3.7109375" style="121" customWidth="1"/>
    <col min="14326" max="14331" width="6.42578125" style="121" customWidth="1"/>
    <col min="14332" max="14332" width="3.7109375" style="121" customWidth="1"/>
    <col min="14333" max="14333" width="6.42578125" style="121" customWidth="1"/>
    <col min="14334" max="14334" width="3.7109375" style="121" customWidth="1"/>
    <col min="14335" max="14335" width="6.42578125" style="121" customWidth="1"/>
    <col min="14336" max="14336" width="3.7109375" style="121" customWidth="1"/>
    <col min="14337" max="14342" width="6.42578125" style="121" customWidth="1"/>
    <col min="14343" max="14343" width="3.7109375" style="121" customWidth="1"/>
    <col min="14344" max="14344" width="6.42578125" style="121" customWidth="1"/>
    <col min="14345" max="14345" width="3.7109375" style="121" customWidth="1"/>
    <col min="14346" max="14346" width="6.42578125" style="121" customWidth="1"/>
    <col min="14347" max="14347" width="3.7109375" style="121" customWidth="1"/>
    <col min="14348" max="14348" width="6.42578125" style="121" customWidth="1"/>
    <col min="14349" max="14349" width="7.7109375" style="121" customWidth="1"/>
    <col min="14350" max="14350" width="15.5703125" style="121" customWidth="1"/>
    <col min="14351" max="14351" width="3.28515625" style="121" customWidth="1"/>
    <col min="14352" max="14352" width="5.28515625" style="121" customWidth="1"/>
    <col min="14353" max="14353" width="23.42578125" style="121" customWidth="1"/>
    <col min="14354" max="14373" width="8.28515625" style="121"/>
    <col min="14374" max="14376" width="10.42578125" style="121" customWidth="1"/>
    <col min="14377" max="14377" width="1" style="121" customWidth="1"/>
    <col min="14378" max="14378" width="8.28515625" style="121"/>
    <col min="14379" max="14381" width="10.42578125" style="121" customWidth="1"/>
    <col min="14382" max="14382" width="5.7109375" style="121" customWidth="1"/>
    <col min="14383" max="14383" width="14.28515625" style="121" customWidth="1"/>
    <col min="14384" max="14550" width="8.28515625" style="121"/>
    <col min="14551" max="14551" width="1.28515625" style="121" customWidth="1"/>
    <col min="14552" max="14559" width="7.7109375" style="121" customWidth="1"/>
    <col min="14560" max="14560" width="6.42578125" style="121" customWidth="1"/>
    <col min="14561" max="14561" width="9.28515625" style="121" customWidth="1"/>
    <col min="14562" max="14562" width="15.42578125" style="121" customWidth="1"/>
    <col min="14563" max="14566" width="6.42578125" style="121" customWidth="1"/>
    <col min="14567" max="14567" width="6" style="121" customWidth="1"/>
    <col min="14568" max="14568" width="6.42578125" style="121" customWidth="1"/>
    <col min="14569" max="14570" width="7.7109375" style="121" customWidth="1"/>
    <col min="14571" max="14571" width="6.7109375" style="121" customWidth="1"/>
    <col min="14572" max="14572" width="7.7109375" style="121" customWidth="1"/>
    <col min="14573" max="14576" width="6.42578125" style="121" customWidth="1"/>
    <col min="14577" max="14577" width="3.7109375" style="121" customWidth="1"/>
    <col min="14578" max="14578" width="6.42578125" style="121" customWidth="1"/>
    <col min="14579" max="14579" width="3.7109375" style="121" customWidth="1"/>
    <col min="14580" max="14580" width="6.42578125" style="121" customWidth="1"/>
    <col min="14581" max="14581" width="3.7109375" style="121" customWidth="1"/>
    <col min="14582" max="14587" width="6.42578125" style="121" customWidth="1"/>
    <col min="14588" max="14588" width="3.7109375" style="121" customWidth="1"/>
    <col min="14589" max="14589" width="6.42578125" style="121" customWidth="1"/>
    <col min="14590" max="14590" width="3.7109375" style="121" customWidth="1"/>
    <col min="14591" max="14591" width="6.42578125" style="121" customWidth="1"/>
    <col min="14592" max="14592" width="3.7109375" style="121" customWidth="1"/>
    <col min="14593" max="14598" width="6.42578125" style="121" customWidth="1"/>
    <col min="14599" max="14599" width="3.7109375" style="121" customWidth="1"/>
    <col min="14600" max="14600" width="6.42578125" style="121" customWidth="1"/>
    <col min="14601" max="14601" width="3.7109375" style="121" customWidth="1"/>
    <col min="14602" max="14602" width="6.42578125" style="121" customWidth="1"/>
    <col min="14603" max="14603" width="3.7109375" style="121" customWidth="1"/>
    <col min="14604" max="14604" width="6.42578125" style="121" customWidth="1"/>
    <col min="14605" max="14605" width="7.7109375" style="121" customWidth="1"/>
    <col min="14606" max="14606" width="15.5703125" style="121" customWidth="1"/>
    <col min="14607" max="14607" width="3.28515625" style="121" customWidth="1"/>
    <col min="14608" max="14608" width="5.28515625" style="121" customWidth="1"/>
    <col min="14609" max="14609" width="23.42578125" style="121" customWidth="1"/>
    <col min="14610" max="14629" width="8.28515625" style="121"/>
    <col min="14630" max="14632" width="10.42578125" style="121" customWidth="1"/>
    <col min="14633" max="14633" width="1" style="121" customWidth="1"/>
    <col min="14634" max="14634" width="8.28515625" style="121"/>
    <col min="14635" max="14637" width="10.42578125" style="121" customWidth="1"/>
    <col min="14638" max="14638" width="5.7109375" style="121" customWidth="1"/>
    <col min="14639" max="14639" width="14.28515625" style="121" customWidth="1"/>
    <col min="14640" max="14806" width="8.28515625" style="121"/>
    <col min="14807" max="14807" width="1.28515625" style="121" customWidth="1"/>
    <col min="14808" max="14815" width="7.7109375" style="121" customWidth="1"/>
    <col min="14816" max="14816" width="6.42578125" style="121" customWidth="1"/>
    <col min="14817" max="14817" width="9.28515625" style="121" customWidth="1"/>
    <col min="14818" max="14818" width="15.42578125" style="121" customWidth="1"/>
    <col min="14819" max="14822" width="6.42578125" style="121" customWidth="1"/>
    <col min="14823" max="14823" width="6" style="121" customWidth="1"/>
    <col min="14824" max="14824" width="6.42578125" style="121" customWidth="1"/>
    <col min="14825" max="14826" width="7.7109375" style="121" customWidth="1"/>
    <col min="14827" max="14827" width="6.7109375" style="121" customWidth="1"/>
    <col min="14828" max="14828" width="7.7109375" style="121" customWidth="1"/>
    <col min="14829" max="14832" width="6.42578125" style="121" customWidth="1"/>
    <col min="14833" max="14833" width="3.7109375" style="121" customWidth="1"/>
    <col min="14834" max="14834" width="6.42578125" style="121" customWidth="1"/>
    <col min="14835" max="14835" width="3.7109375" style="121" customWidth="1"/>
    <col min="14836" max="14836" width="6.42578125" style="121" customWidth="1"/>
    <col min="14837" max="14837" width="3.7109375" style="121" customWidth="1"/>
    <col min="14838" max="14843" width="6.42578125" style="121" customWidth="1"/>
    <col min="14844" max="14844" width="3.7109375" style="121" customWidth="1"/>
    <col min="14845" max="14845" width="6.42578125" style="121" customWidth="1"/>
    <col min="14846" max="14846" width="3.7109375" style="121" customWidth="1"/>
    <col min="14847" max="14847" width="6.42578125" style="121" customWidth="1"/>
    <col min="14848" max="14848" width="3.7109375" style="121" customWidth="1"/>
    <col min="14849" max="14854" width="6.42578125" style="121" customWidth="1"/>
    <col min="14855" max="14855" width="3.7109375" style="121" customWidth="1"/>
    <col min="14856" max="14856" width="6.42578125" style="121" customWidth="1"/>
    <col min="14857" max="14857" width="3.7109375" style="121" customWidth="1"/>
    <col min="14858" max="14858" width="6.42578125" style="121" customWidth="1"/>
    <col min="14859" max="14859" width="3.7109375" style="121" customWidth="1"/>
    <col min="14860" max="14860" width="6.42578125" style="121" customWidth="1"/>
    <col min="14861" max="14861" width="7.7109375" style="121" customWidth="1"/>
    <col min="14862" max="14862" width="15.5703125" style="121" customWidth="1"/>
    <col min="14863" max="14863" width="3.28515625" style="121" customWidth="1"/>
    <col min="14864" max="14864" width="5.28515625" style="121" customWidth="1"/>
    <col min="14865" max="14865" width="23.42578125" style="121" customWidth="1"/>
    <col min="14866" max="14885" width="8.28515625" style="121"/>
    <col min="14886" max="14888" width="10.42578125" style="121" customWidth="1"/>
    <col min="14889" max="14889" width="1" style="121" customWidth="1"/>
    <col min="14890" max="14890" width="8.28515625" style="121"/>
    <col min="14891" max="14893" width="10.42578125" style="121" customWidth="1"/>
    <col min="14894" max="14894" width="5.7109375" style="121" customWidth="1"/>
    <col min="14895" max="14895" width="14.28515625" style="121" customWidth="1"/>
    <col min="14896" max="15062" width="8.28515625" style="121"/>
    <col min="15063" max="15063" width="1.28515625" style="121" customWidth="1"/>
    <col min="15064" max="15071" width="7.7109375" style="121" customWidth="1"/>
    <col min="15072" max="15072" width="6.42578125" style="121" customWidth="1"/>
    <col min="15073" max="15073" width="9.28515625" style="121" customWidth="1"/>
    <col min="15074" max="15074" width="15.42578125" style="121" customWidth="1"/>
    <col min="15075" max="15078" width="6.42578125" style="121" customWidth="1"/>
    <col min="15079" max="15079" width="6" style="121" customWidth="1"/>
    <col min="15080" max="15080" width="6.42578125" style="121" customWidth="1"/>
    <col min="15081" max="15082" width="7.7109375" style="121" customWidth="1"/>
    <col min="15083" max="15083" width="6.7109375" style="121" customWidth="1"/>
    <col min="15084" max="15084" width="7.7109375" style="121" customWidth="1"/>
    <col min="15085" max="15088" width="6.42578125" style="121" customWidth="1"/>
    <col min="15089" max="15089" width="3.7109375" style="121" customWidth="1"/>
    <col min="15090" max="15090" width="6.42578125" style="121" customWidth="1"/>
    <col min="15091" max="15091" width="3.7109375" style="121" customWidth="1"/>
    <col min="15092" max="15092" width="6.42578125" style="121" customWidth="1"/>
    <col min="15093" max="15093" width="3.7109375" style="121" customWidth="1"/>
    <col min="15094" max="15099" width="6.42578125" style="121" customWidth="1"/>
    <col min="15100" max="15100" width="3.7109375" style="121" customWidth="1"/>
    <col min="15101" max="15101" width="6.42578125" style="121" customWidth="1"/>
    <col min="15102" max="15102" width="3.7109375" style="121" customWidth="1"/>
    <col min="15103" max="15103" width="6.42578125" style="121" customWidth="1"/>
    <col min="15104" max="15104" width="3.7109375" style="121" customWidth="1"/>
    <col min="15105" max="15110" width="6.42578125" style="121" customWidth="1"/>
    <col min="15111" max="15111" width="3.7109375" style="121" customWidth="1"/>
    <col min="15112" max="15112" width="6.42578125" style="121" customWidth="1"/>
    <col min="15113" max="15113" width="3.7109375" style="121" customWidth="1"/>
    <col min="15114" max="15114" width="6.42578125" style="121" customWidth="1"/>
    <col min="15115" max="15115" width="3.7109375" style="121" customWidth="1"/>
    <col min="15116" max="15116" width="6.42578125" style="121" customWidth="1"/>
    <col min="15117" max="15117" width="7.7109375" style="121" customWidth="1"/>
    <col min="15118" max="15118" width="15.5703125" style="121" customWidth="1"/>
    <col min="15119" max="15119" width="3.28515625" style="121" customWidth="1"/>
    <col min="15120" max="15120" width="5.28515625" style="121" customWidth="1"/>
    <col min="15121" max="15121" width="23.42578125" style="121" customWidth="1"/>
    <col min="15122" max="15141" width="8.28515625" style="121"/>
    <col min="15142" max="15144" width="10.42578125" style="121" customWidth="1"/>
    <col min="15145" max="15145" width="1" style="121" customWidth="1"/>
    <col min="15146" max="15146" width="8.28515625" style="121"/>
    <col min="15147" max="15149" width="10.42578125" style="121" customWidth="1"/>
    <col min="15150" max="15150" width="5.7109375" style="121" customWidth="1"/>
    <col min="15151" max="15151" width="14.28515625" style="121" customWidth="1"/>
    <col min="15152" max="15318" width="8.28515625" style="121"/>
    <col min="15319" max="15319" width="1.28515625" style="121" customWidth="1"/>
    <col min="15320" max="15327" width="7.7109375" style="121" customWidth="1"/>
    <col min="15328" max="15328" width="6.42578125" style="121" customWidth="1"/>
    <col min="15329" max="15329" width="9.28515625" style="121" customWidth="1"/>
    <col min="15330" max="15330" width="15.42578125" style="121" customWidth="1"/>
    <col min="15331" max="15334" width="6.42578125" style="121" customWidth="1"/>
    <col min="15335" max="15335" width="6" style="121" customWidth="1"/>
    <col min="15336" max="15336" width="6.42578125" style="121" customWidth="1"/>
    <col min="15337" max="15338" width="7.7109375" style="121" customWidth="1"/>
    <col min="15339" max="15339" width="6.7109375" style="121" customWidth="1"/>
    <col min="15340" max="15340" width="7.7109375" style="121" customWidth="1"/>
    <col min="15341" max="15344" width="6.42578125" style="121" customWidth="1"/>
    <col min="15345" max="15345" width="3.7109375" style="121" customWidth="1"/>
    <col min="15346" max="15346" width="6.42578125" style="121" customWidth="1"/>
    <col min="15347" max="15347" width="3.7109375" style="121" customWidth="1"/>
    <col min="15348" max="15348" width="6.42578125" style="121" customWidth="1"/>
    <col min="15349" max="15349" width="3.7109375" style="121" customWidth="1"/>
    <col min="15350" max="15355" width="6.42578125" style="121" customWidth="1"/>
    <col min="15356" max="15356" width="3.7109375" style="121" customWidth="1"/>
    <col min="15357" max="15357" width="6.42578125" style="121" customWidth="1"/>
    <col min="15358" max="15358" width="3.7109375" style="121" customWidth="1"/>
    <col min="15359" max="15359" width="6.42578125" style="121" customWidth="1"/>
    <col min="15360" max="15360" width="3.7109375" style="121" customWidth="1"/>
    <col min="15361" max="15366" width="6.42578125" style="121" customWidth="1"/>
    <col min="15367" max="15367" width="3.7109375" style="121" customWidth="1"/>
    <col min="15368" max="15368" width="6.42578125" style="121" customWidth="1"/>
    <col min="15369" max="15369" width="3.7109375" style="121" customWidth="1"/>
    <col min="15370" max="15370" width="6.42578125" style="121" customWidth="1"/>
    <col min="15371" max="15371" width="3.7109375" style="121" customWidth="1"/>
    <col min="15372" max="15372" width="6.42578125" style="121" customWidth="1"/>
    <col min="15373" max="15373" width="7.7109375" style="121" customWidth="1"/>
    <col min="15374" max="15374" width="15.5703125" style="121" customWidth="1"/>
    <col min="15375" max="15375" width="3.28515625" style="121" customWidth="1"/>
    <col min="15376" max="15376" width="5.28515625" style="121" customWidth="1"/>
    <col min="15377" max="15377" width="23.42578125" style="121" customWidth="1"/>
    <col min="15378" max="15397" width="8.28515625" style="121"/>
    <col min="15398" max="15400" width="10.42578125" style="121" customWidth="1"/>
    <col min="15401" max="15401" width="1" style="121" customWidth="1"/>
    <col min="15402" max="15402" width="8.28515625" style="121"/>
    <col min="15403" max="15405" width="10.42578125" style="121" customWidth="1"/>
    <col min="15406" max="15406" width="5.7109375" style="121" customWidth="1"/>
    <col min="15407" max="15407" width="14.28515625" style="121" customWidth="1"/>
    <col min="15408" max="15574" width="8.28515625" style="121"/>
    <col min="15575" max="15575" width="1.28515625" style="121" customWidth="1"/>
    <col min="15576" max="15583" width="7.7109375" style="121" customWidth="1"/>
    <col min="15584" max="15584" width="6.42578125" style="121" customWidth="1"/>
    <col min="15585" max="15585" width="9.28515625" style="121" customWidth="1"/>
    <col min="15586" max="15586" width="15.42578125" style="121" customWidth="1"/>
    <col min="15587" max="15590" width="6.42578125" style="121" customWidth="1"/>
    <col min="15591" max="15591" width="6" style="121" customWidth="1"/>
    <col min="15592" max="15592" width="6.42578125" style="121" customWidth="1"/>
    <col min="15593" max="15594" width="7.7109375" style="121" customWidth="1"/>
    <col min="15595" max="15595" width="6.7109375" style="121" customWidth="1"/>
    <col min="15596" max="15596" width="7.7109375" style="121" customWidth="1"/>
    <col min="15597" max="15600" width="6.42578125" style="121" customWidth="1"/>
    <col min="15601" max="15601" width="3.7109375" style="121" customWidth="1"/>
    <col min="15602" max="15602" width="6.42578125" style="121" customWidth="1"/>
    <col min="15603" max="15603" width="3.7109375" style="121" customWidth="1"/>
    <col min="15604" max="15604" width="6.42578125" style="121" customWidth="1"/>
    <col min="15605" max="15605" width="3.7109375" style="121" customWidth="1"/>
    <col min="15606" max="15611" width="6.42578125" style="121" customWidth="1"/>
    <col min="15612" max="15612" width="3.7109375" style="121" customWidth="1"/>
    <col min="15613" max="15613" width="6.42578125" style="121" customWidth="1"/>
    <col min="15614" max="15614" width="3.7109375" style="121" customWidth="1"/>
    <col min="15615" max="15615" width="6.42578125" style="121" customWidth="1"/>
    <col min="15616" max="15616" width="3.7109375" style="121" customWidth="1"/>
    <col min="15617" max="15622" width="6.42578125" style="121" customWidth="1"/>
    <col min="15623" max="15623" width="3.7109375" style="121" customWidth="1"/>
    <col min="15624" max="15624" width="6.42578125" style="121" customWidth="1"/>
    <col min="15625" max="15625" width="3.7109375" style="121" customWidth="1"/>
    <col min="15626" max="15626" width="6.42578125" style="121" customWidth="1"/>
    <col min="15627" max="15627" width="3.7109375" style="121" customWidth="1"/>
    <col min="15628" max="15628" width="6.42578125" style="121" customWidth="1"/>
    <col min="15629" max="15629" width="7.7109375" style="121" customWidth="1"/>
    <col min="15630" max="15630" width="15.5703125" style="121" customWidth="1"/>
    <col min="15631" max="15631" width="3.28515625" style="121" customWidth="1"/>
    <col min="15632" max="15632" width="5.28515625" style="121" customWidth="1"/>
    <col min="15633" max="15633" width="23.42578125" style="121" customWidth="1"/>
    <col min="15634" max="15653" width="8.28515625" style="121"/>
    <col min="15654" max="15656" width="10.42578125" style="121" customWidth="1"/>
    <col min="15657" max="15657" width="1" style="121" customWidth="1"/>
    <col min="15658" max="15658" width="8.28515625" style="121"/>
    <col min="15659" max="15661" width="10.42578125" style="121" customWidth="1"/>
    <col min="15662" max="15662" width="5.7109375" style="121" customWidth="1"/>
    <col min="15663" max="15663" width="14.28515625" style="121" customWidth="1"/>
    <col min="15664" max="15830" width="8.28515625" style="121"/>
    <col min="15831" max="15831" width="1.28515625" style="121" customWidth="1"/>
    <col min="15832" max="15839" width="7.7109375" style="121" customWidth="1"/>
    <col min="15840" max="15840" width="6.42578125" style="121" customWidth="1"/>
    <col min="15841" max="15841" width="9.28515625" style="121" customWidth="1"/>
    <col min="15842" max="15842" width="15.42578125" style="121" customWidth="1"/>
    <col min="15843" max="15846" width="6.42578125" style="121" customWidth="1"/>
    <col min="15847" max="15847" width="6" style="121" customWidth="1"/>
    <col min="15848" max="15848" width="6.42578125" style="121" customWidth="1"/>
    <col min="15849" max="15850" width="7.7109375" style="121" customWidth="1"/>
    <col min="15851" max="15851" width="6.7109375" style="121" customWidth="1"/>
    <col min="15852" max="15852" width="7.7109375" style="121" customWidth="1"/>
    <col min="15853" max="15856" width="6.42578125" style="121" customWidth="1"/>
    <col min="15857" max="15857" width="3.7109375" style="121" customWidth="1"/>
    <col min="15858" max="15858" width="6.42578125" style="121" customWidth="1"/>
    <col min="15859" max="15859" width="3.7109375" style="121" customWidth="1"/>
    <col min="15860" max="15860" width="6.42578125" style="121" customWidth="1"/>
    <col min="15861" max="15861" width="3.7109375" style="121" customWidth="1"/>
    <col min="15862" max="15867" width="6.42578125" style="121" customWidth="1"/>
    <col min="15868" max="15868" width="3.7109375" style="121" customWidth="1"/>
    <col min="15869" max="15869" width="6.42578125" style="121" customWidth="1"/>
    <col min="15870" max="15870" width="3.7109375" style="121" customWidth="1"/>
    <col min="15871" max="15871" width="6.42578125" style="121" customWidth="1"/>
    <col min="15872" max="15872" width="3.7109375" style="121" customWidth="1"/>
    <col min="15873" max="15878" width="6.42578125" style="121" customWidth="1"/>
    <col min="15879" max="15879" width="3.7109375" style="121" customWidth="1"/>
    <col min="15880" max="15880" width="6.42578125" style="121" customWidth="1"/>
    <col min="15881" max="15881" width="3.7109375" style="121" customWidth="1"/>
    <col min="15882" max="15882" width="6.42578125" style="121" customWidth="1"/>
    <col min="15883" max="15883" width="3.7109375" style="121" customWidth="1"/>
    <col min="15884" max="15884" width="6.42578125" style="121" customWidth="1"/>
    <col min="15885" max="15885" width="7.7109375" style="121" customWidth="1"/>
    <col min="15886" max="15886" width="15.5703125" style="121" customWidth="1"/>
    <col min="15887" max="15887" width="3.28515625" style="121" customWidth="1"/>
    <col min="15888" max="15888" width="5.28515625" style="121" customWidth="1"/>
    <col min="15889" max="15889" width="23.42578125" style="121" customWidth="1"/>
    <col min="15890" max="15909" width="8.28515625" style="121"/>
    <col min="15910" max="15912" width="10.42578125" style="121" customWidth="1"/>
    <col min="15913" max="15913" width="1" style="121" customWidth="1"/>
    <col min="15914" max="15914" width="8.28515625" style="121"/>
    <col min="15915" max="15917" width="10.42578125" style="121" customWidth="1"/>
    <col min="15918" max="15918" width="5.7109375" style="121" customWidth="1"/>
    <col min="15919" max="15919" width="14.28515625" style="121" customWidth="1"/>
    <col min="15920" max="16086" width="8.28515625" style="121"/>
    <col min="16087" max="16087" width="1.28515625" style="121" customWidth="1"/>
    <col min="16088" max="16095" width="7.7109375" style="121" customWidth="1"/>
    <col min="16096" max="16096" width="6.42578125" style="121" customWidth="1"/>
    <col min="16097" max="16097" width="9.28515625" style="121" customWidth="1"/>
    <col min="16098" max="16098" width="15.42578125" style="121" customWidth="1"/>
    <col min="16099" max="16102" width="6.42578125" style="121" customWidth="1"/>
    <col min="16103" max="16103" width="6" style="121" customWidth="1"/>
    <col min="16104" max="16104" width="6.42578125" style="121" customWidth="1"/>
    <col min="16105" max="16106" width="7.7109375" style="121" customWidth="1"/>
    <col min="16107" max="16107" width="6.7109375" style="121" customWidth="1"/>
    <col min="16108" max="16108" width="7.7109375" style="121" customWidth="1"/>
    <col min="16109" max="16112" width="6.42578125" style="121" customWidth="1"/>
    <col min="16113" max="16113" width="3.7109375" style="121" customWidth="1"/>
    <col min="16114" max="16114" width="6.42578125" style="121" customWidth="1"/>
    <col min="16115" max="16115" width="3.7109375" style="121" customWidth="1"/>
    <col min="16116" max="16116" width="6.42578125" style="121" customWidth="1"/>
    <col min="16117" max="16117" width="3.7109375" style="121" customWidth="1"/>
    <col min="16118" max="16123" width="6.42578125" style="121" customWidth="1"/>
    <col min="16124" max="16124" width="3.7109375" style="121" customWidth="1"/>
    <col min="16125" max="16125" width="6.42578125" style="121" customWidth="1"/>
    <col min="16126" max="16126" width="3.7109375" style="121" customWidth="1"/>
    <col min="16127" max="16127" width="6.42578125" style="121" customWidth="1"/>
    <col min="16128" max="16128" width="3.7109375" style="121" customWidth="1"/>
    <col min="16129" max="16134" width="6.42578125" style="121" customWidth="1"/>
    <col min="16135" max="16135" width="3.7109375" style="121" customWidth="1"/>
    <col min="16136" max="16136" width="6.42578125" style="121" customWidth="1"/>
    <col min="16137" max="16137" width="3.7109375" style="121" customWidth="1"/>
    <col min="16138" max="16138" width="6.42578125" style="121" customWidth="1"/>
    <col min="16139" max="16139" width="3.7109375" style="121" customWidth="1"/>
    <col min="16140" max="16140" width="6.42578125" style="121" customWidth="1"/>
    <col min="16141" max="16141" width="7.7109375" style="121" customWidth="1"/>
    <col min="16142" max="16142" width="15.5703125" style="121" customWidth="1"/>
    <col min="16143" max="16143" width="3.28515625" style="121" customWidth="1"/>
    <col min="16144" max="16144" width="5.28515625" style="121" customWidth="1"/>
    <col min="16145" max="16145" width="23.42578125" style="121" customWidth="1"/>
    <col min="16146" max="16165" width="8.28515625" style="121"/>
    <col min="16166" max="16168" width="10.42578125" style="121" customWidth="1"/>
    <col min="16169" max="16169" width="1" style="121" customWidth="1"/>
    <col min="16170" max="16170" width="8.28515625" style="121"/>
    <col min="16171" max="16173" width="10.42578125" style="121" customWidth="1"/>
    <col min="16174" max="16174" width="5.7109375" style="121" customWidth="1"/>
    <col min="16175" max="16175" width="14.28515625" style="121" customWidth="1"/>
    <col min="16176" max="16384" width="8.28515625" style="121"/>
  </cols>
  <sheetData>
    <row r="1" spans="1:47" ht="4.5" customHeight="1" thickBot="1" x14ac:dyDescent="0.25">
      <c r="L1" s="121"/>
      <c r="AT1" s="1152"/>
      <c r="AU1" s="1152"/>
    </row>
    <row r="2" spans="1:47" s="36" customFormat="1" ht="19.5" customHeight="1" thickBot="1" x14ac:dyDescent="0.25">
      <c r="A2" s="108"/>
      <c r="B2" s="1048" t="s">
        <v>675</v>
      </c>
      <c r="C2" s="1048"/>
      <c r="D2" s="884"/>
      <c r="E2" s="884"/>
      <c r="F2" s="884"/>
      <c r="G2" s="884"/>
      <c r="H2" s="884"/>
      <c r="I2" s="884"/>
      <c r="J2" s="884"/>
      <c r="K2" s="884"/>
      <c r="L2" s="884"/>
      <c r="M2" s="108"/>
      <c r="N2" s="1136" t="s">
        <v>32</v>
      </c>
      <c r="O2" s="1137"/>
      <c r="P2" s="108" t="s">
        <v>708</v>
      </c>
      <c r="Q2" s="1136" t="s">
        <v>53</v>
      </c>
      <c r="R2" s="1137"/>
      <c r="S2" s="108" t="s">
        <v>708</v>
      </c>
      <c r="T2" s="342"/>
      <c r="U2" s="342"/>
      <c r="V2" s="342"/>
      <c r="W2" s="342"/>
      <c r="X2" s="342"/>
      <c r="Y2" s="123"/>
      <c r="Z2" s="123"/>
      <c r="AA2" s="123"/>
      <c r="AB2" s="123"/>
      <c r="AC2" s="123"/>
      <c r="AD2" s="123"/>
      <c r="AE2" s="123"/>
      <c r="AF2" s="123"/>
      <c r="AG2" s="123"/>
      <c r="AH2" s="123"/>
      <c r="AI2" s="37"/>
      <c r="AJ2" s="37"/>
      <c r="AK2" s="117">
        <v>3</v>
      </c>
      <c r="AL2" s="117"/>
      <c r="AM2" s="108"/>
      <c r="AN2" s="721" t="str">
        <f>ListAVS!$B$153</f>
        <v>Przejdź do</v>
      </c>
      <c r="AO2" s="108"/>
      <c r="AP2" s="108"/>
      <c r="AQ2" s="108"/>
      <c r="AR2" s="108"/>
      <c r="AS2" s="108"/>
    </row>
    <row r="3" spans="1:47" ht="3.75" customHeight="1" x14ac:dyDescent="0.2">
      <c r="B3" s="252"/>
      <c r="C3" s="192"/>
      <c r="D3" s="192"/>
      <c r="E3" s="192"/>
      <c r="F3" s="192"/>
      <c r="G3" s="192"/>
      <c r="H3" s="192"/>
      <c r="I3" s="192"/>
      <c r="J3" s="192"/>
      <c r="K3" s="192"/>
      <c r="L3" s="266"/>
      <c r="AI3" s="585"/>
      <c r="AK3" s="37"/>
      <c r="AL3" s="37"/>
      <c r="AM3" s="108"/>
      <c r="AN3" s="722"/>
      <c r="AO3" s="137"/>
      <c r="AP3" s="137"/>
      <c r="AQ3" s="137"/>
      <c r="AR3" s="137"/>
      <c r="AS3" s="137"/>
    </row>
    <row r="4" spans="1:47" ht="16.149999999999999" customHeight="1" thickBot="1" x14ac:dyDescent="0.25">
      <c r="B4" s="313" t="str">
        <f>ListAVS!$B$23&amp;" ***"</f>
        <v>Cienkie materiały ***</v>
      </c>
      <c r="C4" s="192"/>
      <c r="D4" s="266"/>
      <c r="E4" s="192"/>
      <c r="F4" s="269" t="str">
        <f>ListAVS!$B$26&amp;":   "</f>
        <v xml:space="preserve">Materiał :   </v>
      </c>
      <c r="G4" s="255"/>
      <c r="H4" s="255"/>
      <c r="I4" s="255"/>
      <c r="J4" s="260"/>
      <c r="K4" s="1047" t="str">
        <f>IF($Z$82=8,IF(J4=0,$Y$78," "),IF(J4&gt;0,$Y$79," "))</f>
        <v xml:space="preserve"> </v>
      </c>
      <c r="L4" s="1047"/>
      <c r="N4" s="936" t="s">
        <v>698</v>
      </c>
      <c r="O4" s="929">
        <f>IF(AND($H$11&gt;=$AC$51, $H$11&lt;$AD$51, $P$17&gt;=$AE$51, $P$17&lt;=$AF$51), 1, 0)</f>
        <v>0</v>
      </c>
      <c r="P4" s="935">
        <f>O4</f>
        <v>0</v>
      </c>
      <c r="Q4" s="936" t="s">
        <v>698</v>
      </c>
      <c r="R4" s="929">
        <f>IF(AND($H$22&gt;=$AC$51, $H$22&lt;$AD$51, $P$28&gt;=$AE$51, $P$28&lt;=$AF$51), 1, 0)</f>
        <v>0</v>
      </c>
      <c r="S4" s="935">
        <f>R4</f>
        <v>0</v>
      </c>
      <c r="T4" s="37" t="s">
        <v>706</v>
      </c>
      <c r="U4" s="344"/>
      <c r="V4" s="344"/>
      <c r="W4" s="344"/>
      <c r="X4" s="344"/>
      <c r="Y4" s="585"/>
      <c r="Z4" s="585"/>
      <c r="AA4" s="585"/>
      <c r="AB4" s="585"/>
      <c r="AC4" s="585"/>
      <c r="AD4" s="585"/>
      <c r="AE4" s="585"/>
      <c r="AF4" s="585"/>
      <c r="AG4" s="585"/>
      <c r="AH4" s="585"/>
      <c r="AI4" s="585"/>
      <c r="AK4" s="37" t="str">
        <f>" "&amp;ListAVS!$B$41&amp;" A "</f>
        <v xml:space="preserve"> Cena za korpus A </v>
      </c>
      <c r="AL4" s="37"/>
      <c r="AM4" s="108"/>
      <c r="AN4" s="383" t="s">
        <v>77</v>
      </c>
      <c r="AO4" s="137"/>
      <c r="AP4" s="137"/>
      <c r="AQ4" s="137"/>
      <c r="AR4" s="137"/>
      <c r="AS4" s="137"/>
    </row>
    <row r="5" spans="1:47" ht="16.149999999999999" customHeight="1" x14ac:dyDescent="0.2">
      <c r="B5" s="266"/>
      <c r="C5" s="192"/>
      <c r="D5" s="192"/>
      <c r="E5" s="192"/>
      <c r="F5" s="1027" t="str">
        <f>IF($Z$82&lt;&gt;8,$Y$77," ")&amp;"      "</f>
        <v xml:space="preserve"> Możesz zmienić wartości we Wstępie do planowania      </v>
      </c>
      <c r="G5" s="1027"/>
      <c r="H5" s="1027"/>
      <c r="I5" s="1027"/>
      <c r="J5" s="1027"/>
      <c r="K5" s="1047"/>
      <c r="L5" s="1047"/>
      <c r="N5" s="937" t="s">
        <v>701</v>
      </c>
      <c r="O5" s="929">
        <f>IF(AND($H$11&gt;=$AC$52, $H$11&lt;$AD$52, $P$17&gt;=$AE$52, $P$17&lt;=$AF$52), 1, 0)</f>
        <v>0</v>
      </c>
      <c r="P5" s="935">
        <f>IF(AND($O$5=1, $O$6=1, $P$17&lt;=5), O5, 0)+IF(AND($O$5=1, $O$6=0), 1, IF(AND(O5=1, O6=0), O5, 0))</f>
        <v>0</v>
      </c>
      <c r="Q5" s="924" t="s">
        <v>701</v>
      </c>
      <c r="R5" s="929">
        <f>IF(AND($H$22&gt;=$AC$52, $H$22&lt;$AD$52, $P$28&gt;=$AE$52, $P$28&lt;=$AF$52), 1, 0)</f>
        <v>0</v>
      </c>
      <c r="S5" s="935">
        <f>IF(AND($R$5=1, $R$6=1, $P$28&lt;=5), R5, 0)+IF(AND($R$5=1, $R$6=0), 1, IF(AND(R5=1, R6=0), R5, 0))</f>
        <v>0</v>
      </c>
      <c r="T5" s="37" t="s">
        <v>707</v>
      </c>
      <c r="U5" s="344"/>
      <c r="V5" s="344"/>
      <c r="W5" s="344"/>
      <c r="X5" s="344"/>
      <c r="Y5" s="585"/>
      <c r="Z5" s="585"/>
      <c r="AA5" s="585"/>
      <c r="AB5" s="585"/>
      <c r="AC5" s="585"/>
      <c r="AD5" s="585"/>
      <c r="AE5" s="585"/>
      <c r="AF5" s="585"/>
      <c r="AG5" s="585"/>
      <c r="AH5" s="585"/>
      <c r="AI5" s="585"/>
      <c r="AK5" s="37" t="str">
        <f>" "&amp;ListAVS!$B$41&amp;" B "</f>
        <v xml:space="preserve"> Cena za korpus B </v>
      </c>
      <c r="AL5" s="37"/>
      <c r="AM5" s="108"/>
      <c r="AN5" s="708" t="str">
        <f>" "&amp;ListAVS!$B$155</f>
        <v xml:space="preserve"> Pomoc</v>
      </c>
      <c r="AO5" s="137"/>
      <c r="AP5" s="137"/>
      <c r="AQ5" s="137"/>
      <c r="AR5" s="137"/>
      <c r="AS5" s="137"/>
    </row>
    <row r="6" spans="1:47" ht="22.5" customHeight="1" x14ac:dyDescent="0.2">
      <c r="B6" s="192"/>
      <c r="C6" s="192"/>
      <c r="D6" s="192"/>
      <c r="E6" s="192"/>
      <c r="F6" s="266"/>
      <c r="G6" s="266"/>
      <c r="H6" s="266"/>
      <c r="I6" s="192"/>
      <c r="J6" s="192"/>
      <c r="K6" s="192"/>
      <c r="L6" s="266"/>
      <c r="N6" s="936" t="s">
        <v>699</v>
      </c>
      <c r="O6" s="929">
        <f>IF(AND($H$11&gt;=$AC$53, $H$11&lt;$AD$53, $P$17&gt;=$AE$53, $P$17&lt;=$AF$53), 1, 0)</f>
        <v>0</v>
      </c>
      <c r="P6" s="935">
        <f>IF(AND($O$5=1, $O$6=1, $P$17&gt;5), O6, 0)+IF(AND($O$6=1, $O$7=1, $P$17&lt;7), O6, IF(AND(O5=0, O6=1, O7=0), O6, 0))</f>
        <v>0</v>
      </c>
      <c r="Q6" s="936" t="s">
        <v>699</v>
      </c>
      <c r="R6" s="929">
        <f>IF(AND($H$22&gt;=$AC$53, $H$22&lt;$AD$53, $P$28&gt;=$AE$53, $P$28&lt;=$AF$53), 1, 0)</f>
        <v>0</v>
      </c>
      <c r="S6" s="935">
        <f>IF(AND($R$5=1, $R$6=1, $P$28&gt;5), R6, 0)+IF(AND($R$6=1, $R$7=1, $P$28&lt;7), R6, IF(AND(R5=0, R6=1, R7=0), R6, 0))</f>
        <v>0</v>
      </c>
      <c r="T6" s="346"/>
      <c r="U6" s="344"/>
      <c r="V6" s="344"/>
      <c r="W6" s="344"/>
      <c r="X6" s="344"/>
      <c r="Y6" s="585"/>
      <c r="Z6" s="585"/>
      <c r="AA6" s="585"/>
      <c r="AB6" s="585"/>
      <c r="AC6" s="585"/>
      <c r="AD6" s="585"/>
      <c r="AE6" s="585"/>
      <c r="AF6" s="585"/>
      <c r="AG6" s="585"/>
      <c r="AH6" s="585"/>
      <c r="AI6" s="585"/>
      <c r="AK6" s="37" t="str">
        <f>" "&amp;ListAVS!$B$61</f>
        <v xml:space="preserve"> Cena całkowita bez VAT</v>
      </c>
      <c r="AL6" s="37"/>
      <c r="AM6" s="108"/>
      <c r="AN6" s="723"/>
      <c r="AO6" s="137"/>
      <c r="AP6" s="137"/>
      <c r="AQ6" s="137"/>
      <c r="AR6" s="137"/>
      <c r="AS6" s="137"/>
    </row>
    <row r="7" spans="1:47" ht="16.149999999999999" customHeight="1" x14ac:dyDescent="0.2">
      <c r="B7" s="1059" t="str">
        <f>ListAVS!$B$51&amp;":   "</f>
        <v xml:space="preserve">Cena okucia:   </v>
      </c>
      <c r="C7" s="1060"/>
      <c r="D7" s="227"/>
      <c r="E7" s="404"/>
      <c r="F7" s="404"/>
      <c r="G7" s="1061">
        <f>IF($AK$2=1,$AF$45,IF($AK$2=2,$AH$45,IF($AK$2=3,$AD$45,0)))</f>
        <v>0</v>
      </c>
      <c r="H7" s="1062"/>
      <c r="I7" s="227"/>
      <c r="J7" s="255"/>
      <c r="K7" s="255"/>
      <c r="L7" s="255"/>
      <c r="N7" s="936" t="s">
        <v>700</v>
      </c>
      <c r="O7" s="929">
        <f>IF(AND($H$11&gt;=$AC$54, $H$11&lt;=$AD$54, $P$17&gt;=$AE$54, $P$17&lt;=$AF$54), 1, 0)</f>
        <v>0</v>
      </c>
      <c r="P7" s="935">
        <f>IF(AND($O$6=1, $O$7=1, $P$17&gt;=7), O7, IF(AND(O6=0, O7=1), O7, 0))</f>
        <v>0</v>
      </c>
      <c r="Q7" s="936" t="s">
        <v>700</v>
      </c>
      <c r="R7" s="929">
        <f>IF(AND($H$22&gt;=$AC$54, $H$22&lt;=$AD$54, $P$28&gt;=$AE$54, $P$28&lt;=$AF$54), 1, 0)</f>
        <v>0</v>
      </c>
      <c r="S7" s="935">
        <f>IF(AND($R$6=1, $R$7=1, $P$28&gt;=7), R7, IF(AND(R6=0, R7=1), R7, 0))</f>
        <v>0</v>
      </c>
      <c r="T7" s="346"/>
      <c r="U7" s="344"/>
      <c r="V7" s="344"/>
      <c r="W7" s="344"/>
      <c r="X7" s="344"/>
      <c r="Y7" s="156" t="str">
        <f>$B$2</f>
        <v xml:space="preserve"> AVENTOS HS top</v>
      </c>
      <c r="Z7" s="157">
        <f>B5</f>
        <v>0</v>
      </c>
      <c r="AA7" s="157"/>
      <c r="AB7" s="157"/>
      <c r="AC7" s="157"/>
      <c r="AD7" s="158"/>
      <c r="AG7" s="118"/>
      <c r="AI7" s="585"/>
      <c r="AK7" s="108"/>
      <c r="AL7" s="37"/>
      <c r="AM7" s="108"/>
      <c r="AN7" s="675" t="str">
        <f>" "&amp;ListAVS!$B$160</f>
        <v xml:space="preserve"> Dodatki</v>
      </c>
      <c r="AO7" s="137"/>
      <c r="AP7" s="137"/>
      <c r="AQ7" s="137"/>
      <c r="AR7" s="137"/>
      <c r="AS7" s="137"/>
      <c r="AU7" s="628"/>
    </row>
    <row r="8" spans="1:47" ht="25.15" customHeight="1" thickBot="1" x14ac:dyDescent="0.25">
      <c r="B8" s="227"/>
      <c r="C8" s="227"/>
      <c r="D8" s="227"/>
      <c r="E8" s="227"/>
      <c r="F8" s="227"/>
      <c r="G8" s="227"/>
      <c r="H8" s="579" t="str">
        <f>IF(AND(OR($Q$16=2, $Q$27=2), $AD$45&gt;0), $N$35, " ")</f>
        <v xml:space="preserve"> </v>
      </c>
      <c r="I8" s="227"/>
      <c r="J8" s="255"/>
      <c r="K8" s="255"/>
      <c r="L8" s="255"/>
      <c r="N8" s="127"/>
      <c r="O8" s="585"/>
      <c r="P8" s="127"/>
      <c r="Q8" s="127"/>
      <c r="R8" s="585"/>
      <c r="T8" s="129"/>
      <c r="U8" s="585"/>
      <c r="V8" s="585"/>
      <c r="W8" s="585"/>
      <c r="X8" s="585"/>
      <c r="Y8" s="159" t="str">
        <f>ListAVS!B52</f>
        <v>Nazwa</v>
      </c>
      <c r="Z8" s="160" t="str">
        <f>ListAVS!$B$53</f>
        <v>Kod asortymentu</v>
      </c>
      <c r="AA8" s="161" t="str">
        <f>ListAVS!B54</f>
        <v>Kolor</v>
      </c>
      <c r="AB8" s="161" t="str">
        <f>ListAVS!B56</f>
        <v>Sztuka</v>
      </c>
      <c r="AC8" s="162" t="str">
        <f>ListAVS!B58</f>
        <v>Cena za sztukę</v>
      </c>
      <c r="AD8" s="161" t="str">
        <f>ListAVS!B59</f>
        <v>W sumie</v>
      </c>
      <c r="AE8" s="204" t="s">
        <v>29</v>
      </c>
      <c r="AF8" s="163" t="s">
        <v>30</v>
      </c>
      <c r="AG8" s="163" t="s">
        <v>31</v>
      </c>
      <c r="AH8" s="163" t="s">
        <v>30</v>
      </c>
      <c r="AI8" s="585"/>
      <c r="AK8" s="108"/>
      <c r="AL8" s="108"/>
      <c r="AM8" s="108"/>
      <c r="AN8" s="671"/>
      <c r="AO8" s="137"/>
      <c r="AP8" s="137"/>
      <c r="AQ8" s="953" t="str">
        <f>ListAVS!B75&amp;" KH (mm)"</f>
        <v>Wysokość korpusu KH (mm)</v>
      </c>
      <c r="AR8" s="953" t="str">
        <f>ListAVS!B76&amp;" FG (kg)"</f>
        <v>Waga frontu FG (kg)</v>
      </c>
      <c r="AS8" s="953" t="str">
        <f>ListAVS!$B$84&amp;" "&amp;ListAVS!$B$350</f>
        <v>Mechanizm podnoszący wkręty</v>
      </c>
      <c r="AT8" s="953" t="str">
        <f>ListAVS!$B$84&amp;" "&amp;ListAVS!$B$351</f>
        <v>Mechanizm podnoszący wstępnie zamontowane eurowkręty</v>
      </c>
    </row>
    <row r="9" spans="1:47" ht="16.149999999999999" customHeight="1" thickBot="1" x14ac:dyDescent="0.25">
      <c r="B9" s="1051" t="str">
        <f>"▼ "&amp;ListAVS!$B$318</f>
        <v>▼ Sposób otwierania</v>
      </c>
      <c r="C9" s="1052"/>
      <c r="D9" s="406" t="str">
        <f>IF($M$17&gt;0, ListAVS!$B$37&amp;": ", " ")</f>
        <v xml:space="preserve"> </v>
      </c>
      <c r="E9" s="688" t="str">
        <f>IF(SUM($AE$9:$AE$10)&gt;0,"22",IF(SUM($AE$11:$AE$12)&gt;0,"25",IF(SUM($AE$13:$AE$14)&gt;0,"28"," ")))</f>
        <v xml:space="preserve"> </v>
      </c>
      <c r="F9" s="1056" t="str">
        <f>ListAVS!$B$64&amp;" A"</f>
        <v>Korpus A</v>
      </c>
      <c r="G9" s="1057"/>
      <c r="H9" s="1058"/>
      <c r="I9" s="273"/>
      <c r="J9" s="255"/>
      <c r="K9" s="255"/>
      <c r="L9" s="255"/>
      <c r="N9" s="317"/>
      <c r="O9" s="344"/>
      <c r="P9" s="317"/>
      <c r="Q9" s="317"/>
      <c r="R9" s="344"/>
      <c r="S9" s="716"/>
      <c r="T9" s="346"/>
      <c r="U9" s="344"/>
      <c r="V9" s="344"/>
      <c r="W9" s="344"/>
      <c r="X9" s="344"/>
      <c r="Y9" s="890" t="str">
        <f>CenAVS!A28</f>
        <v xml:space="preserve">Aventos HS Top słaby, wkręty      </v>
      </c>
      <c r="Z9" s="890" t="str">
        <f>CenAVS!B28</f>
        <v>22S2200</v>
      </c>
      <c r="AA9" s="890" t="str">
        <f>CenAVS!C28</f>
        <v>ZN</v>
      </c>
      <c r="AB9" s="665">
        <f t="shared" ref="AB9:AB33" si="0">SUM(AE9,AG9)</f>
        <v>0</v>
      </c>
      <c r="AC9" s="907">
        <f>CenAVS!F28</f>
        <v>191.41126</v>
      </c>
      <c r="AD9" s="908">
        <f>AB9*AC9</f>
        <v>0</v>
      </c>
      <c r="AE9" s="901">
        <f>IF(AND($W$46=1, SUM($P$4:$P$5)=1), $M$17, 0)</f>
        <v>0</v>
      </c>
      <c r="AF9" s="909">
        <f t="shared" ref="AF9:AF25" si="1">$AC9*AE9</f>
        <v>0</v>
      </c>
      <c r="AG9" s="901">
        <f>IF(AND($W$46=1, SUM($S$4:$S$5)=1), $M$28, 0)</f>
        <v>0</v>
      </c>
      <c r="AH9" s="909">
        <f t="shared" ref="AH9:AH38" si="2">$AC9*AG9</f>
        <v>0</v>
      </c>
      <c r="AI9" s="585"/>
      <c r="AJ9" s="716"/>
      <c r="AK9" s="108"/>
      <c r="AL9" s="108"/>
      <c r="AM9" s="108"/>
      <c r="AN9" s="383" t="str">
        <f>" "&amp;ListAVS!$B$157</f>
        <v xml:space="preserve"> Rodzaje korpusów</v>
      </c>
      <c r="AO9" s="137"/>
      <c r="AP9" s="137"/>
      <c r="AQ9" s="954" t="s">
        <v>737</v>
      </c>
      <c r="AR9" s="954" t="s">
        <v>738</v>
      </c>
      <c r="AS9" s="1146" t="s">
        <v>687</v>
      </c>
      <c r="AT9" s="1146" t="s">
        <v>688</v>
      </c>
    </row>
    <row r="10" spans="1:47" s="122" customFormat="1" ht="16.149999999999999" customHeight="1" thickBot="1" x14ac:dyDescent="0.25">
      <c r="A10" s="37"/>
      <c r="B10" s="1011" t="str">
        <f>ListAVS!$B$74&amp;" KB [mm] "</f>
        <v xml:space="preserve">Szerokość korpusu KB [mm] </v>
      </c>
      <c r="C10" s="1012"/>
      <c r="D10" s="1012"/>
      <c r="E10" s="1012"/>
      <c r="F10" s="1012"/>
      <c r="G10" s="1013"/>
      <c r="H10" s="257"/>
      <c r="I10" s="256" t="str">
        <f>IF($H10=0," ",IF($H10&lt;220," min. 220mm",IF($H10&gt;1800," max. 1 800mm"," ")))&amp;IF(H17&gt;0,IF(H10=0,"● "&amp;ListAVS!$B$129," ")," ")</f>
        <v xml:space="preserve">  </v>
      </c>
      <c r="J10" s="255"/>
      <c r="K10" s="255"/>
      <c r="L10" s="255"/>
      <c r="M10" s="37"/>
      <c r="N10" s="317"/>
      <c r="O10" s="344"/>
      <c r="P10" s="317"/>
      <c r="Q10" s="317"/>
      <c r="R10" s="344"/>
      <c r="S10" s="717"/>
      <c r="T10" s="346"/>
      <c r="U10" s="344"/>
      <c r="V10" s="344"/>
      <c r="W10" s="344"/>
      <c r="X10" s="344"/>
      <c r="Y10" s="890" t="str">
        <f>CenAVS!A29</f>
        <v xml:space="preserve">Aventos HS Top słaby, eurowkręty      </v>
      </c>
      <c r="Z10" s="890" t="str">
        <f>CenAVS!B29</f>
        <v>22S2210</v>
      </c>
      <c r="AA10" s="890" t="str">
        <f>CenAVS!C29</f>
        <v>ZN</v>
      </c>
      <c r="AB10" s="665">
        <f t="shared" si="0"/>
        <v>0</v>
      </c>
      <c r="AC10" s="907">
        <f>CenAVS!F29</f>
        <v>192.89991000000001</v>
      </c>
      <c r="AD10" s="908">
        <f t="shared" ref="AD10:AD43" si="3">AB10*AC10</f>
        <v>0</v>
      </c>
      <c r="AE10" s="901">
        <f>IF(AND($W$46=2, SUM($P$4:$P$5)=1), $M$17, 0)</f>
        <v>0</v>
      </c>
      <c r="AF10" s="909">
        <f t="shared" si="1"/>
        <v>0</v>
      </c>
      <c r="AG10" s="901">
        <f>IF(AND($W$46=2, SUM($S$4:$S$5)=1), $M$28, 0)</f>
        <v>0</v>
      </c>
      <c r="AH10" s="909">
        <f t="shared" si="2"/>
        <v>0</v>
      </c>
      <c r="AI10" s="585"/>
      <c r="AJ10" s="724"/>
      <c r="AK10" s="108"/>
      <c r="AL10" s="108"/>
      <c r="AM10" s="108"/>
      <c r="AN10" s="383" t="str">
        <f>" "&amp;ListAVS!$B$158</f>
        <v xml:space="preserve"> Zamówienie</v>
      </c>
      <c r="AO10" s="137"/>
      <c r="AP10" s="137"/>
      <c r="AQ10" s="954" t="s">
        <v>739</v>
      </c>
      <c r="AR10" s="954" t="s">
        <v>740</v>
      </c>
      <c r="AS10" s="1147"/>
      <c r="AT10" s="1147"/>
    </row>
    <row r="11" spans="1:47" s="122" customFormat="1" ht="16.149999999999999" customHeight="1" x14ac:dyDescent="0.2">
      <c r="A11" s="37"/>
      <c r="B11" s="1011" t="str">
        <f>ListAVS!$B$75&amp;" KH [mm]  "</f>
        <v xml:space="preserve">Wysokość korpusu KH [mm]  </v>
      </c>
      <c r="C11" s="1012"/>
      <c r="D11" s="1012"/>
      <c r="E11" s="1012"/>
      <c r="F11" s="1012"/>
      <c r="G11" s="1013"/>
      <c r="H11" s="257"/>
      <c r="I11" s="256" t="str">
        <f>IF($H11=0," ",IF($H11&lt;350," min. 350mm",IF($H11&gt;800," max. 800 mm"," ")))&amp;IF(H17&gt;0,IF(H11=0,"● "&amp;ListAVS!$B$129," ")," ")</f>
        <v xml:space="preserve">  </v>
      </c>
      <c r="J11" s="255"/>
      <c r="K11" s="255"/>
      <c r="L11" s="255"/>
      <c r="M11" s="37"/>
      <c r="N11" s="317"/>
      <c r="O11" s="344"/>
      <c r="P11" s="317"/>
      <c r="Q11" s="317"/>
      <c r="R11" s="344"/>
      <c r="S11" s="718"/>
      <c r="T11" s="346"/>
      <c r="U11" s="344"/>
      <c r="V11" s="344"/>
      <c r="W11" s="344"/>
      <c r="X11" s="344"/>
      <c r="Y11" s="890" t="str">
        <f>CenAVS!A30</f>
        <v xml:space="preserve">Aventos HS Top średni, wkręty      </v>
      </c>
      <c r="Z11" s="890" t="str">
        <f>CenAVS!B30</f>
        <v>22S2500</v>
      </c>
      <c r="AA11" s="890" t="str">
        <f>CenAVS!C30</f>
        <v>ZN</v>
      </c>
      <c r="AB11" s="665">
        <f t="shared" si="0"/>
        <v>0</v>
      </c>
      <c r="AC11" s="907">
        <f>CenAVS!F30</f>
        <v>202.58683000000002</v>
      </c>
      <c r="AD11" s="908">
        <f t="shared" si="3"/>
        <v>0</v>
      </c>
      <c r="AE11" s="901">
        <f>IF(AND($W$46=1, $P$6=1), $M$17, 0)</f>
        <v>0</v>
      </c>
      <c r="AF11" s="909">
        <f t="shared" si="1"/>
        <v>0</v>
      </c>
      <c r="AG11" s="901">
        <f>IF(AND($W$46=1, $S$6=1), $M$28, 0)</f>
        <v>0</v>
      </c>
      <c r="AH11" s="909">
        <f t="shared" si="2"/>
        <v>0</v>
      </c>
      <c r="AI11" s="585"/>
      <c r="AJ11" s="725"/>
      <c r="AK11" s="108"/>
      <c r="AL11" s="108"/>
      <c r="AM11" s="108"/>
      <c r="AN11" s="37"/>
      <c r="AO11" s="137"/>
      <c r="AP11" s="137"/>
      <c r="AQ11" s="954" t="s">
        <v>741</v>
      </c>
      <c r="AR11" s="954" t="s">
        <v>742</v>
      </c>
      <c r="AS11" s="955" t="s">
        <v>689</v>
      </c>
      <c r="AT11" s="955" t="s">
        <v>690</v>
      </c>
    </row>
    <row r="12" spans="1:47" s="122" customFormat="1" ht="16.149999999999999" customHeight="1" x14ac:dyDescent="0.2">
      <c r="A12" s="37"/>
      <c r="B12" s="1011" t="str">
        <f>ListAVS!$B$77&amp;" [kg] ** "</f>
        <v xml:space="preserve">Waga frontu wraz z uchwytem [kg] ** </v>
      </c>
      <c r="C12" s="1012"/>
      <c r="D12" s="1012"/>
      <c r="E12" s="1012"/>
      <c r="F12" s="1012"/>
      <c r="G12" s="1013"/>
      <c r="H12" s="258"/>
      <c r="I12" s="227" t="str">
        <f>IF($H17=0,  " ", IF(SUM($H12,$H15)=0,$N$54," "))&amp;IF(AND(SUM($O$4:$O$7)=0, T12="ano", $T13="ne", H12&gt;0),$N$58,IF(AND($H17&gt;0,$H12&gt;0, $M17&gt;0, $T13="ano"),$N$55," "))</f>
        <v xml:space="preserve">  </v>
      </c>
      <c r="J12" s="255"/>
      <c r="K12" s="255"/>
      <c r="L12" s="255"/>
      <c r="M12" s="37"/>
      <c r="N12" s="317"/>
      <c r="O12" s="344"/>
      <c r="P12" s="317"/>
      <c r="Q12" s="317"/>
      <c r="R12" s="344"/>
      <c r="S12" s="717" t="s">
        <v>79</v>
      </c>
      <c r="T12" s="928" t="str">
        <f>IF(AND(219&lt;H10,H10&lt;1801,349&lt;H11,H11&lt;801),"ano","ne")</f>
        <v>ne</v>
      </c>
      <c r="U12" s="344"/>
      <c r="V12" s="344"/>
      <c r="W12" s="344"/>
      <c r="X12" s="344"/>
      <c r="Y12" s="890" t="str">
        <f>CenAVS!A31</f>
        <v xml:space="preserve">Aventos HS Top średni, eurowkręty      </v>
      </c>
      <c r="Z12" s="890" t="str">
        <f>CenAVS!B31</f>
        <v>22S2510</v>
      </c>
      <c r="AA12" s="890" t="str">
        <f>CenAVS!C31</f>
        <v>ZN</v>
      </c>
      <c r="AB12" s="665">
        <f t="shared" si="0"/>
        <v>0</v>
      </c>
      <c r="AC12" s="907">
        <f>CenAVS!F31</f>
        <v>204.16206999999997</v>
      </c>
      <c r="AD12" s="908">
        <f t="shared" si="3"/>
        <v>0</v>
      </c>
      <c r="AE12" s="901">
        <f>IF(AND($W$46=2, $P$6=1), $M$17, 0)</f>
        <v>0</v>
      </c>
      <c r="AF12" s="909">
        <f t="shared" si="1"/>
        <v>0</v>
      </c>
      <c r="AG12" s="901">
        <f>IF(AND($W$46=2, $S$6=1), $M$28, 0)</f>
        <v>0</v>
      </c>
      <c r="AH12" s="909">
        <f t="shared" si="2"/>
        <v>0</v>
      </c>
      <c r="AI12" s="585"/>
      <c r="AJ12" s="725"/>
      <c r="AK12" s="108"/>
      <c r="AL12" s="108"/>
      <c r="AM12" s="108"/>
      <c r="AN12" s="108"/>
      <c r="AO12" s="137"/>
      <c r="AP12" s="137"/>
      <c r="AQ12" s="954" t="s">
        <v>743</v>
      </c>
      <c r="AR12" s="954" t="s">
        <v>744</v>
      </c>
      <c r="AS12" s="955" t="s">
        <v>691</v>
      </c>
      <c r="AT12" s="955" t="s">
        <v>692</v>
      </c>
    </row>
    <row r="13" spans="1:47" s="122" customFormat="1" ht="16.149999999999999" customHeight="1" x14ac:dyDescent="0.2">
      <c r="A13" s="37"/>
      <c r="B13" s="1055" t="str">
        <f>ListAVS!$B$293</f>
        <v>Obliczenie wagi</v>
      </c>
      <c r="C13" s="1055"/>
      <c r="D13" s="1053" t="str">
        <f>ListAVS!$B$80&amp;" TS [mm] "</f>
        <v xml:space="preserve">Grubość frontu TS [mm] </v>
      </c>
      <c r="E13" s="1053"/>
      <c r="F13" s="1053"/>
      <c r="G13" s="1054"/>
      <c r="H13" s="258"/>
      <c r="I13" s="256" t="str">
        <f>IF(H17=0," ",IF(AND(H12=0, H13=0)," ● "&amp;ListAVS!$B$129," "))&amp;IF(H17=0," ",IF(AND(H12=0, H13&lt;8), " min. 8 mm", IF(AND(H12=0, H13&gt;14), " max. 14 mm", " ")))</f>
        <v xml:space="preserve">  </v>
      </c>
      <c r="J13" s="255"/>
      <c r="K13" s="255"/>
      <c r="L13" s="255"/>
      <c r="M13" s="37"/>
      <c r="N13" s="317"/>
      <c r="O13" s="344"/>
      <c r="P13" s="317"/>
      <c r="Q13" s="317"/>
      <c r="R13" s="344"/>
      <c r="S13" s="717" t="s">
        <v>710</v>
      </c>
      <c r="T13" s="928" t="str">
        <f>IF(AND($H$11&gt;=$AC$51, $H$11&lt;=$AD$51, $P$17&gt;=$AE$51, $P$17&lt;=$AF$51), "ano", IF(AND($H$11&gt;=$AC$52, $H$11&lt;=$AD$52, $P$17&gt;=$AE$52, $P$17&lt;=$AF$52), "ano", IF(AND($H$11&gt;=$AC$53, $H$11&lt;=$AD$53, $P$17&gt;=$AE$53, $P$17&lt;=$AF$53), "ano", IF(AND($H$11&gt;=$AC$54, $H$11&lt;=$AD$54, $P$17&gt;=$AE$54, $P$17&lt;=$AF$54), "ano", "ne"))))</f>
        <v>ne</v>
      </c>
      <c r="U13" s="344"/>
      <c r="V13" s="344"/>
      <c r="W13" s="344"/>
      <c r="X13" s="344"/>
      <c r="Y13" s="890" t="str">
        <f>CenAVS!A32</f>
        <v xml:space="preserve">Aventos HS Top mocny, wkręty      </v>
      </c>
      <c r="Z13" s="890" t="str">
        <f>CenAVS!B32</f>
        <v>22S2800</v>
      </c>
      <c r="AA13" s="890" t="str">
        <f>CenAVS!C32</f>
        <v>ZN</v>
      </c>
      <c r="AB13" s="665">
        <f t="shared" si="0"/>
        <v>0</v>
      </c>
      <c r="AC13" s="907">
        <f>CenAVS!F32</f>
        <v>215.15917999999999</v>
      </c>
      <c r="AD13" s="908">
        <f t="shared" si="3"/>
        <v>0</v>
      </c>
      <c r="AE13" s="901">
        <f>IF(AND($W$46=1, $P$7=1), $M$17, 0)</f>
        <v>0</v>
      </c>
      <c r="AF13" s="909">
        <f t="shared" si="1"/>
        <v>0</v>
      </c>
      <c r="AG13" s="901">
        <f>IF(AND($W$46=1, $S$7=1), $M$28, 0)</f>
        <v>0</v>
      </c>
      <c r="AH13" s="909">
        <f t="shared" si="2"/>
        <v>0</v>
      </c>
      <c r="AI13" s="585"/>
      <c r="AJ13" s="37"/>
      <c r="AK13" s="108"/>
      <c r="AL13" s="108"/>
      <c r="AM13" s="108"/>
      <c r="AN13" s="108"/>
      <c r="AO13" s="137"/>
      <c r="AP13" s="137"/>
      <c r="AQ13" s="951"/>
      <c r="AR13" s="951"/>
      <c r="AS13" s="952"/>
      <c r="AT13" s="952"/>
    </row>
    <row r="14" spans="1:47" s="122" customFormat="1" ht="16.149999999999999" customHeight="1" x14ac:dyDescent="0.2">
      <c r="A14" s="37"/>
      <c r="B14" s="1055"/>
      <c r="C14" s="1055"/>
      <c r="D14" s="1053" t="str">
        <f>ListAVS!$B$83&amp;" [kg] "</f>
        <v xml:space="preserve">Waga uchwytu [kg] </v>
      </c>
      <c r="E14" s="1053"/>
      <c r="F14" s="1053"/>
      <c r="G14" s="1054"/>
      <c r="H14" s="258"/>
      <c r="I14" s="256" t="str">
        <f>IF(H17=0, " ", IF(AND(H12=0, Q16=1, H14=0), " ● "&amp;ListAVS!$B$130," "))</f>
        <v xml:space="preserve"> </v>
      </c>
      <c r="J14" s="255"/>
      <c r="K14" s="255"/>
      <c r="L14" s="255"/>
      <c r="M14" s="37"/>
      <c r="N14" s="317"/>
      <c r="O14" s="344"/>
      <c r="P14" s="317"/>
      <c r="Q14" s="317"/>
      <c r="R14" s="344"/>
      <c r="S14" s="717"/>
      <c r="T14" s="346"/>
      <c r="U14" s="344"/>
      <c r="V14" s="344"/>
      <c r="W14" s="344"/>
      <c r="X14" s="344"/>
      <c r="Y14" s="890" t="str">
        <f>CenAVS!A33</f>
        <v xml:space="preserve">Aventos HS Top mocny, eurowkręty      </v>
      </c>
      <c r="Z14" s="890" t="str">
        <f>CenAVS!B33</f>
        <v>22S2810</v>
      </c>
      <c r="AA14" s="890" t="str">
        <f>CenAVS!C33</f>
        <v>ZN</v>
      </c>
      <c r="AB14" s="665">
        <f t="shared" si="0"/>
        <v>0</v>
      </c>
      <c r="AC14" s="907">
        <f>CenAVS!F33</f>
        <v>216.83244999999999</v>
      </c>
      <c r="AD14" s="908">
        <f t="shared" si="3"/>
        <v>0</v>
      </c>
      <c r="AE14" s="901">
        <f>IF(AND($W$46=2, $P$7=1), $M$17, 0)</f>
        <v>0</v>
      </c>
      <c r="AF14" s="909">
        <f t="shared" si="1"/>
        <v>0</v>
      </c>
      <c r="AG14" s="901">
        <f>IF(AND($W$46=2, $S$7=1), $M$28, 0)</f>
        <v>0</v>
      </c>
      <c r="AH14" s="909">
        <f t="shared" si="2"/>
        <v>0</v>
      </c>
      <c r="AI14" s="585"/>
      <c r="AJ14" s="37"/>
      <c r="AK14" s="108"/>
      <c r="AL14" s="108"/>
      <c r="AM14" s="108"/>
      <c r="AN14" s="108"/>
      <c r="AO14" s="137"/>
      <c r="AP14" s="137"/>
      <c r="AQ14" s="545" t="str">
        <f>ListAVS!B350&amp;" = "&amp;ListAVS!B352</f>
        <v>wkręty = podnośniki z zintegrowanym szablonem (nie ma potrzeby mierzenia)</v>
      </c>
      <c r="AR14" s="951"/>
      <c r="AS14" s="952"/>
      <c r="AT14" s="952"/>
    </row>
    <row r="15" spans="1:47" s="122" customFormat="1" ht="16.149999999999999" customHeight="1" x14ac:dyDescent="0.2">
      <c r="A15" s="37"/>
      <c r="B15" s="1055"/>
      <c r="C15" s="1055"/>
      <c r="D15" s="1053" t="str">
        <f>ListAVS!$B$79&amp;" [kg] "</f>
        <v xml:space="preserve">Obliczona waga frontu [kg] </v>
      </c>
      <c r="E15" s="1053"/>
      <c r="F15" s="1053"/>
      <c r="G15" s="1054"/>
      <c r="H15" s="259">
        <f>$T$90</f>
        <v>0</v>
      </c>
      <c r="I15" s="227" t="str">
        <f>IF(AND($H17&gt;0,$H15&gt;0,$H12=0,$M17&gt;0), $N$41," ")&amp;IF(AND(H17&gt;0, H12=0, Z87=3, $J$4=0), $N$39, " ")</f>
        <v xml:space="preserve">  </v>
      </c>
      <c r="J15" s="255"/>
      <c r="K15" s="255"/>
      <c r="L15" s="255"/>
      <c r="M15" s="37"/>
      <c r="N15" s="37"/>
      <c r="O15" s="718"/>
      <c r="P15" s="132" t="s">
        <v>80</v>
      </c>
      <c r="Q15" s="119"/>
      <c r="R15" s="718"/>
      <c r="S15" s="37"/>
      <c r="T15" s="37"/>
      <c r="U15" s="37"/>
      <c r="V15" s="37"/>
      <c r="W15" s="37"/>
      <c r="X15" s="37"/>
      <c r="Y15" s="890"/>
      <c r="Z15" s="890"/>
      <c r="AA15" s="890"/>
      <c r="AB15" s="665"/>
      <c r="AC15" s="907"/>
      <c r="AD15" s="908"/>
      <c r="AE15" s="901"/>
      <c r="AF15" s="909"/>
      <c r="AG15" s="901"/>
      <c r="AH15" s="909"/>
      <c r="AI15" s="585"/>
      <c r="AJ15" s="37"/>
      <c r="AK15" s="108"/>
      <c r="AL15" s="108"/>
      <c r="AM15" s="108"/>
      <c r="AN15" s="255"/>
      <c r="AO15" s="137"/>
      <c r="AP15" s="137"/>
      <c r="AQ15" s="545" t="str">
        <f>ListAVS!B351&amp;" = "&amp;ListAVS!B353</f>
        <v>wstępnie zamontowane eurowkręty = podnośniki ze wstępnie zamontowanymi wkrętami (wymagane wstępne nawiercenie)</v>
      </c>
      <c r="AR15" s="951"/>
      <c r="AS15" s="952"/>
      <c r="AT15" s="952"/>
    </row>
    <row r="16" spans="1:47" s="122" customFormat="1" ht="16.149999999999999" customHeight="1" thickBot="1" x14ac:dyDescent="0.25">
      <c r="A16" s="37"/>
      <c r="B16" s="1011"/>
      <c r="C16" s="1012"/>
      <c r="D16" s="1012"/>
      <c r="E16" s="1012"/>
      <c r="F16" s="1012"/>
      <c r="G16" s="1013"/>
      <c r="H16" s="259"/>
      <c r="I16" s="256" t="str">
        <f>IF(AND(H16&gt;0, Q16=2), $N$53, " ")</f>
        <v xml:space="preserve"> </v>
      </c>
      <c r="J16" s="255"/>
      <c r="K16" s="255"/>
      <c r="L16" s="255"/>
      <c r="M16" s="37"/>
      <c r="N16" s="37"/>
      <c r="O16" s="1141" t="b">
        <v>0</v>
      </c>
      <c r="P16" s="1142"/>
      <c r="Q16" s="131">
        <v>1</v>
      </c>
      <c r="R16" s="718"/>
      <c r="S16" s="37"/>
      <c r="T16" s="37"/>
      <c r="U16" s="37"/>
      <c r="V16" s="37"/>
      <c r="W16" s="37"/>
      <c r="X16" s="37"/>
      <c r="Y16" s="890" t="str">
        <f>CenAVS!A34</f>
        <v xml:space="preserve">ramiona HS Top        </v>
      </c>
      <c r="Z16" s="890" t="str">
        <f>CenAVS!B34</f>
        <v>22S3500</v>
      </c>
      <c r="AA16" s="890" t="str">
        <f>CenAVS!C34</f>
        <v>ZN</v>
      </c>
      <c r="AB16" s="665">
        <f>SUM(AE16,AG16)</f>
        <v>0</v>
      </c>
      <c r="AC16" s="907">
        <f>CenAVS!F34</f>
        <v>127.57276</v>
      </c>
      <c r="AD16" s="908">
        <f>AB16*AC16</f>
        <v>0</v>
      </c>
      <c r="AE16" s="903">
        <f>SUM($AE$9:$AE$14)</f>
        <v>0</v>
      </c>
      <c r="AF16" s="909">
        <f>$AC16*AE16</f>
        <v>0</v>
      </c>
      <c r="AG16" s="903">
        <f>SUM($AG$9:$AG$14)</f>
        <v>0</v>
      </c>
      <c r="AH16" s="909">
        <f>$AC16*AG16</f>
        <v>0</v>
      </c>
      <c r="AI16" s="585"/>
      <c r="AJ16" s="725"/>
      <c r="AK16" s="108"/>
      <c r="AL16" s="108"/>
      <c r="AM16" s="108"/>
      <c r="AN16" s="255"/>
      <c r="AO16" s="137"/>
      <c r="AP16" s="137"/>
      <c r="AQ16" s="137"/>
      <c r="AR16" s="137"/>
      <c r="AS16" s="137"/>
    </row>
    <row r="17" spans="1:54" s="122" customFormat="1" ht="16.149999999999999" customHeight="1" thickBot="1" x14ac:dyDescent="0.25">
      <c r="A17" s="37"/>
      <c r="B17" s="1011" t="str">
        <f>ListAVS!$B$71&amp;"  "</f>
        <v xml:space="preserve">Ilość szafek  </v>
      </c>
      <c r="C17" s="1012"/>
      <c r="D17" s="1012"/>
      <c r="E17" s="1012"/>
      <c r="F17" s="1012"/>
      <c r="G17" s="1012"/>
      <c r="H17" s="261"/>
      <c r="I17" s="273"/>
      <c r="J17" s="255"/>
      <c r="K17" s="255"/>
      <c r="L17" s="255"/>
      <c r="M17" s="315">
        <f>IF($H10*$H11*$P17=0,0,IF(SUM(O4:O7)=0,0,IF($H10&gt;1800,0, IF($H10&lt;220, 0, IF(AND(H12=0, H13&lt;14), 0, $H17)))))</f>
        <v>0</v>
      </c>
      <c r="N17" s="37"/>
      <c r="O17" s="690" t="s">
        <v>51</v>
      </c>
      <c r="P17" s="691">
        <f>IF(H12&gt;0,H12,H15)</f>
        <v>0</v>
      </c>
      <c r="Q17" s="37">
        <f>IF(SUM(H12,H15)=0,0,IF(H12&gt;0,1,2))</f>
        <v>0</v>
      </c>
      <c r="R17" s="571" t="s">
        <v>52</v>
      </c>
      <c r="S17" s="37"/>
      <c r="T17" s="37"/>
      <c r="U17" s="37"/>
      <c r="V17" s="37"/>
      <c r="W17" s="37"/>
      <c r="X17" s="37"/>
      <c r="Y17" s="890"/>
      <c r="Z17" s="890"/>
      <c r="AA17" s="890"/>
      <c r="AB17" s="665"/>
      <c r="AC17" s="907"/>
      <c r="AD17" s="908"/>
      <c r="AE17" s="901"/>
      <c r="AF17" s="909"/>
      <c r="AG17" s="901"/>
      <c r="AH17" s="909"/>
      <c r="AI17" s="585"/>
      <c r="AJ17" s="725"/>
      <c r="AK17" s="108"/>
      <c r="AL17" s="108"/>
      <c r="AM17" s="108"/>
      <c r="AN17" s="719"/>
      <c r="AO17" s="137"/>
      <c r="AP17" s="137"/>
      <c r="AQ17" s="137"/>
      <c r="AR17" s="137"/>
      <c r="AS17" s="137"/>
      <c r="AX17" s="121"/>
      <c r="AY17" s="121"/>
      <c r="AZ17" s="121"/>
      <c r="BA17" s="121"/>
      <c r="BB17" s="121"/>
    </row>
    <row r="18" spans="1:54" s="122" customFormat="1" ht="16.149999999999999" customHeight="1" x14ac:dyDescent="0.2">
      <c r="A18" s="37"/>
      <c r="B18" s="227" t="str">
        <f>IF(H17&gt;0,IF(OR(Q17=0,M17=0), " ",IF(Q17=1,$N$67,$N$68))," ")&amp;IF(H17&gt;0,IF(OR(Q17=0, M17=0), " ",IF(Q17=1,$N$69,$N$70))," ")</f>
        <v xml:space="preserve">  </v>
      </c>
      <c r="C18" s="227"/>
      <c r="D18" s="227"/>
      <c r="E18" s="227"/>
      <c r="F18" s="262"/>
      <c r="G18" s="262"/>
      <c r="H18" s="227"/>
      <c r="I18" s="255"/>
      <c r="J18" s="255"/>
      <c r="K18" s="255"/>
      <c r="L18" s="255"/>
      <c r="M18" s="118"/>
      <c r="N18" s="119"/>
      <c r="O18" s="132"/>
      <c r="P18" s="132"/>
      <c r="Q18" s="119"/>
      <c r="R18" s="37"/>
      <c r="S18" s="37"/>
      <c r="T18" s="37"/>
      <c r="U18" s="37"/>
      <c r="V18" s="37"/>
      <c r="W18" s="37"/>
      <c r="X18" s="37"/>
      <c r="Y18" s="890"/>
      <c r="Z18" s="890"/>
      <c r="AA18" s="890"/>
      <c r="AB18" s="665"/>
      <c r="AC18" s="907"/>
      <c r="AD18" s="908"/>
      <c r="AE18" s="903"/>
      <c r="AF18" s="909"/>
      <c r="AG18" s="903"/>
      <c r="AH18" s="909"/>
      <c r="AI18" s="585"/>
      <c r="AJ18" s="716"/>
      <c r="AK18" s="108"/>
      <c r="AL18" s="108"/>
      <c r="AM18" s="108"/>
      <c r="AN18" s="720"/>
      <c r="AO18" s="137"/>
      <c r="AP18" s="137"/>
      <c r="AQ18" s="137"/>
      <c r="AR18" s="137"/>
      <c r="AS18" s="137"/>
      <c r="AX18" s="121"/>
      <c r="AY18" s="121"/>
      <c r="AZ18" s="121"/>
      <c r="BA18" s="121"/>
      <c r="BB18" s="121"/>
    </row>
    <row r="19" spans="1:54" ht="25.15" customHeight="1" thickBot="1" x14ac:dyDescent="0.25">
      <c r="B19" s="227"/>
      <c r="C19" s="227"/>
      <c r="D19" s="227"/>
      <c r="E19" s="227"/>
      <c r="F19" s="262"/>
      <c r="G19" s="262"/>
      <c r="H19" s="227"/>
      <c r="I19" s="255"/>
      <c r="J19" s="255"/>
      <c r="K19" s="255"/>
      <c r="L19" s="255"/>
      <c r="M19" s="118"/>
      <c r="N19" s="347" t="s">
        <v>81</v>
      </c>
      <c r="O19" s="344">
        <f>IF($H$10&gt;1360,1.5,IF($H$10&lt;610,0.5,1))</f>
        <v>0.5</v>
      </c>
      <c r="P19" s="317"/>
      <c r="Q19" s="347" t="s">
        <v>81</v>
      </c>
      <c r="R19" s="344">
        <f>IF($H$21&gt;1360,1.5,IF($H$21&lt;610,0.5,1))</f>
        <v>0.5</v>
      </c>
      <c r="Y19" s="890"/>
      <c r="Z19" s="890"/>
      <c r="AA19" s="890"/>
      <c r="AB19" s="665"/>
      <c r="AC19" s="907"/>
      <c r="AD19" s="908"/>
      <c r="AE19" s="903"/>
      <c r="AF19" s="909"/>
      <c r="AG19" s="903"/>
      <c r="AH19" s="909"/>
      <c r="AI19" s="585"/>
      <c r="AJ19" s="724"/>
      <c r="AK19" s="108"/>
      <c r="AL19" s="108"/>
      <c r="AM19" s="108"/>
      <c r="AN19" s="255"/>
      <c r="AO19" s="137"/>
      <c r="AP19" s="137"/>
      <c r="AQ19" s="137"/>
      <c r="AR19" s="137"/>
      <c r="AS19" s="137"/>
    </row>
    <row r="20" spans="1:54" ht="16.149999999999999" customHeight="1" thickBot="1" x14ac:dyDescent="0.25">
      <c r="B20" s="1051" t="str">
        <f>"▼ "&amp;ListAVS!$B$318</f>
        <v>▼ Sposób otwierania</v>
      </c>
      <c r="C20" s="1052"/>
      <c r="D20" s="406" t="str">
        <f>IF($M$28&gt;0, ListAVS!$B$37&amp;": ", " ")</f>
        <v xml:space="preserve"> </v>
      </c>
      <c r="E20" s="688" t="str">
        <f>IF(SUM($AG$9:$AG$10)&gt;0,"22",IF(SUM($AG$11:$AG$12)&gt;0,"25",IF(SUM($AG$13:$AG$14)&gt;0,"28"," ")))</f>
        <v xml:space="preserve"> </v>
      </c>
      <c r="F20" s="1056" t="str">
        <f>ListAVS!$B$64&amp;" B"</f>
        <v>Korpus B</v>
      </c>
      <c r="G20" s="1057"/>
      <c r="H20" s="1058"/>
      <c r="I20" s="273"/>
      <c r="J20" s="255"/>
      <c r="K20" s="255"/>
      <c r="L20" s="255"/>
      <c r="N20" s="134" t="s">
        <v>82</v>
      </c>
      <c r="O20" s="132">
        <f>IF($H$16&gt;0,$H$16,IF($H$10&gt;1219,1,0))</f>
        <v>0</v>
      </c>
      <c r="P20" s="119"/>
      <c r="Q20" s="134" t="s">
        <v>82</v>
      </c>
      <c r="R20" s="132">
        <f>IF($H$27&gt;0,$H$27,IF($H$21&gt;1219,1,0))</f>
        <v>0</v>
      </c>
      <c r="Y20" s="890" t="str">
        <f>CenAVS!A47</f>
        <v xml:space="preserve">Zaślepki HF/HL/HS - Top bez SD jasnoszare HGR   </v>
      </c>
      <c r="Z20" s="890" t="str">
        <f>CenAVS!B47</f>
        <v>22.8000</v>
      </c>
      <c r="AA20" s="890" t="str">
        <f>CenAVS!C47</f>
        <v>HGR</v>
      </c>
      <c r="AB20" s="665">
        <f t="shared" si="0"/>
        <v>0</v>
      </c>
      <c r="AC20" s="907">
        <f>CenAVS!F47</f>
        <v>27.586120000000001</v>
      </c>
      <c r="AD20" s="908">
        <f t="shared" si="3"/>
        <v>0</v>
      </c>
      <c r="AE20" s="903">
        <f>IF(AND($Q$16=1,$T$46=1),SUM($AE$9:$AE$14),0)</f>
        <v>0</v>
      </c>
      <c r="AF20" s="909">
        <f t="shared" si="1"/>
        <v>0</v>
      </c>
      <c r="AG20" s="903">
        <f>IF(AND($Q$27=1,$T$46=1),SUM($AG$9:$AG$14),0)</f>
        <v>0</v>
      </c>
      <c r="AH20" s="909">
        <f t="shared" si="2"/>
        <v>0</v>
      </c>
      <c r="AI20" s="585"/>
      <c r="AJ20" s="725"/>
      <c r="AK20" s="108"/>
      <c r="AL20" s="108"/>
      <c r="AM20" s="108"/>
      <c r="AN20" s="255"/>
      <c r="AO20" s="137"/>
      <c r="AP20" s="137"/>
      <c r="AQ20" s="137"/>
      <c r="AR20" s="137"/>
      <c r="AS20" s="137"/>
    </row>
    <row r="21" spans="1:54" ht="16.149999999999999" customHeight="1" x14ac:dyDescent="0.2">
      <c r="B21" s="1011" t="str">
        <f>ListAVS!$B$74&amp;" KB [mm] "</f>
        <v xml:space="preserve">Szerokość korpusu KB [mm] </v>
      </c>
      <c r="C21" s="1012"/>
      <c r="D21" s="1012"/>
      <c r="E21" s="1012"/>
      <c r="F21" s="1012"/>
      <c r="G21" s="1013"/>
      <c r="H21" s="257"/>
      <c r="I21" s="256" t="str">
        <f>IF($H21=0," ",IF($H21&lt;220," min. 220mm",IF($H21&gt;1800," max. 1 800mm"," ")))&amp;IF(H28&gt;0,IF(H21=0,"● "&amp;ListAVS!$B$129," ")," ")</f>
        <v xml:space="preserve">  </v>
      </c>
      <c r="J21" s="255"/>
      <c r="K21" s="255"/>
      <c r="L21" s="255"/>
      <c r="N21" s="135"/>
      <c r="O21" s="132"/>
      <c r="P21" s="136"/>
      <c r="Q21" s="119"/>
      <c r="R21" s="717"/>
      <c r="S21" s="717"/>
      <c r="T21" s="346"/>
      <c r="Y21" s="890" t="str">
        <f>CenAVS!A48</f>
        <v xml:space="preserve">zaślepki HF/HL/HS - Top bez SD ciemnoszare TGR   </v>
      </c>
      <c r="Z21" s="890" t="str">
        <f>CenAVS!B48</f>
        <v>22.8000</v>
      </c>
      <c r="AA21" s="890" t="str">
        <f>CenAVS!C48</f>
        <v>TGR</v>
      </c>
      <c r="AB21" s="665">
        <f t="shared" si="0"/>
        <v>0</v>
      </c>
      <c r="AC21" s="907">
        <f>CenAVS!F48</f>
        <v>30.106369999999998</v>
      </c>
      <c r="AD21" s="908">
        <f t="shared" si="3"/>
        <v>0</v>
      </c>
      <c r="AE21" s="903">
        <f>IF(AND($Q$16=1,$T$46=2),SUM($AE$9:$AE$14),0)</f>
        <v>0</v>
      </c>
      <c r="AF21" s="909">
        <f t="shared" si="1"/>
        <v>0</v>
      </c>
      <c r="AG21" s="903">
        <f>IF(AND($Q$27=1,$T$46=2),SUM($AG$9:$AG$14),0)</f>
        <v>0</v>
      </c>
      <c r="AH21" s="909">
        <f t="shared" si="2"/>
        <v>0</v>
      </c>
      <c r="AI21" s="585"/>
      <c r="AJ21" s="725"/>
      <c r="AK21" s="108"/>
      <c r="AL21" s="108"/>
      <c r="AM21" s="108"/>
      <c r="AN21" s="255"/>
      <c r="AO21" s="137"/>
      <c r="AP21" s="137"/>
      <c r="AQ21" s="137"/>
      <c r="AR21" s="137"/>
      <c r="AS21" s="137"/>
    </row>
    <row r="22" spans="1:54" ht="16.149999999999999" customHeight="1" x14ac:dyDescent="0.2">
      <c r="B22" s="1011" t="str">
        <f>ListAVS!$B$75&amp;" KH [mm] "</f>
        <v xml:space="preserve">Wysokość korpusu KH [mm] </v>
      </c>
      <c r="C22" s="1012"/>
      <c r="D22" s="1012"/>
      <c r="E22" s="1012"/>
      <c r="F22" s="1012"/>
      <c r="G22" s="1013"/>
      <c r="H22" s="257"/>
      <c r="I22" s="273" t="str">
        <f>IF($H22=0," ",IF($H22&lt;350," min. 350mm",IF($H22&gt;800," max. 800 mm"," ")))&amp;IF(H28&gt;0,IF(H22=0,"● "&amp;ListAVS!$B$129," ")," ")</f>
        <v xml:space="preserve">  </v>
      </c>
      <c r="J22" s="255"/>
      <c r="K22" s="255"/>
      <c r="L22" s="255"/>
      <c r="N22" s="119"/>
      <c r="O22" s="132"/>
      <c r="P22" s="132"/>
      <c r="Q22" s="119"/>
      <c r="R22" s="718"/>
      <c r="S22" s="718"/>
      <c r="T22" s="346"/>
      <c r="U22" s="344"/>
      <c r="V22" s="344"/>
      <c r="W22" s="344"/>
      <c r="X22" s="344"/>
      <c r="Y22" s="890" t="str">
        <f>CenAVS!A49</f>
        <v xml:space="preserve">Zaślepki HF/HL/HS - Top bez SD białe SW   </v>
      </c>
      <c r="Z22" s="890" t="str">
        <f>CenAVS!B49</f>
        <v>22.8000</v>
      </c>
      <c r="AA22" s="890" t="str">
        <f>CenAVS!C49</f>
        <v>SW</v>
      </c>
      <c r="AB22" s="665">
        <f t="shared" si="0"/>
        <v>0</v>
      </c>
      <c r="AC22" s="907">
        <f>CenAVS!F49</f>
        <v>30.106369999999998</v>
      </c>
      <c r="AD22" s="908">
        <f t="shared" si="3"/>
        <v>0</v>
      </c>
      <c r="AE22" s="903">
        <f>IF(AND($Q$16=1,$T$46=3),SUM($AE$9:$AE$14),0)</f>
        <v>0</v>
      </c>
      <c r="AF22" s="909">
        <f t="shared" si="1"/>
        <v>0</v>
      </c>
      <c r="AG22" s="903">
        <f>IF(AND($Q$27=1,$T$46=3),SUM($AG$9:$AG$14),0)</f>
        <v>0</v>
      </c>
      <c r="AH22" s="909">
        <f t="shared" si="2"/>
        <v>0</v>
      </c>
      <c r="AI22" s="585"/>
      <c r="AK22" s="108"/>
      <c r="AL22" s="108"/>
      <c r="AM22" s="108"/>
      <c r="AN22" s="255"/>
      <c r="AO22" s="137"/>
      <c r="AP22" s="137"/>
      <c r="AQ22" s="137"/>
      <c r="AR22" s="137"/>
      <c r="AS22" s="137"/>
    </row>
    <row r="23" spans="1:54" ht="16.149999999999999" customHeight="1" x14ac:dyDescent="0.2">
      <c r="B23" s="1011" t="str">
        <f>ListAVS!$B$77&amp;" [kg] ** "</f>
        <v xml:space="preserve">Waga frontu wraz z uchwytem [kg] ** </v>
      </c>
      <c r="C23" s="1012"/>
      <c r="D23" s="1012"/>
      <c r="E23" s="1012"/>
      <c r="F23" s="1012"/>
      <c r="G23" s="1013"/>
      <c r="H23" s="258"/>
      <c r="I23" s="227" t="str">
        <f>IF($H28=0," ",IF(SUM($H23,$H26)=0,$N$54," "))&amp;IF(AND(SUM($R$4:$R$7)=0, T23="ano", $T24="ne",H23&gt;0),$N$58,IF(AND($H28&gt;0,$H23&gt;0, $M28&gt;0, $T24="ano"),$N$55," "))</f>
        <v xml:space="preserve">  </v>
      </c>
      <c r="J23" s="255"/>
      <c r="K23" s="255"/>
      <c r="L23" s="255"/>
      <c r="N23" s="119"/>
      <c r="O23" s="132"/>
      <c r="P23" s="132"/>
      <c r="Q23" s="119"/>
      <c r="R23" s="718"/>
      <c r="S23" s="717" t="s">
        <v>79</v>
      </c>
      <c r="T23" s="928" t="str">
        <f>IF(AND(219&lt;H21,H21&lt;1801,349&lt;H22,H22&lt;801),"ano","ne")</f>
        <v>ne</v>
      </c>
      <c r="U23" s="344"/>
      <c r="V23" s="344"/>
      <c r="W23" s="344"/>
      <c r="X23" s="344"/>
      <c r="Y23" s="890" t="str">
        <f>CenAVS!A50</f>
        <v xml:space="preserve">zaślepki HF/HL/HS - Top do SD jasnoszare HGR   </v>
      </c>
      <c r="Z23" s="890" t="str">
        <f>CenAVS!B50</f>
        <v>23.8000</v>
      </c>
      <c r="AA23" s="890" t="str">
        <f>CenAVS!C50</f>
        <v>HGR</v>
      </c>
      <c r="AB23" s="665">
        <f t="shared" si="0"/>
        <v>0</v>
      </c>
      <c r="AC23" s="907">
        <f>CenAVS!F50</f>
        <v>284.41748999999999</v>
      </c>
      <c r="AD23" s="908">
        <f t="shared" si="3"/>
        <v>0</v>
      </c>
      <c r="AE23" s="903">
        <f>IF(AND($Q$16=2,$T$46=1),SUM($AE$9:$AE$14),0)</f>
        <v>0</v>
      </c>
      <c r="AF23" s="909">
        <f t="shared" si="1"/>
        <v>0</v>
      </c>
      <c r="AG23" s="903">
        <f>IF(AND($Q$27=2,$T$46=1),SUM($AG$9:$AG$14),0)</f>
        <v>0</v>
      </c>
      <c r="AH23" s="909">
        <f t="shared" si="2"/>
        <v>0</v>
      </c>
      <c r="AI23" s="585"/>
      <c r="AK23" s="108"/>
      <c r="AL23" s="108"/>
      <c r="AM23" s="108"/>
      <c r="AN23" s="255"/>
      <c r="AO23" s="137"/>
      <c r="AP23" s="137"/>
      <c r="AQ23" s="137"/>
      <c r="AR23" s="137"/>
      <c r="AS23" s="137"/>
    </row>
    <row r="24" spans="1:54" ht="16.149999999999999" customHeight="1" x14ac:dyDescent="0.2">
      <c r="B24" s="1055" t="str">
        <f>ListAVS!$B$293</f>
        <v>Obliczenie wagi</v>
      </c>
      <c r="C24" s="1055"/>
      <c r="D24" s="1053" t="str">
        <f>ListAVS!$B$80&amp;" TS [mm] "</f>
        <v xml:space="preserve">Grubość frontu TS [mm] </v>
      </c>
      <c r="E24" s="1053"/>
      <c r="F24" s="1053"/>
      <c r="G24" s="1054"/>
      <c r="H24" s="258"/>
      <c r="I24" s="256" t="str">
        <f>IF(H28=0," ",IF(AND(H23=0, H24=0)," ● "&amp;ListAVS!$B$129," "))&amp;IF(H28=0," ",IF(AND(H23=0, H24&lt;14), " min. 14 mm", " "))</f>
        <v xml:space="preserve">  </v>
      </c>
      <c r="J24" s="255"/>
      <c r="K24" s="255"/>
      <c r="L24" s="255"/>
      <c r="N24" s="119"/>
      <c r="O24" s="132"/>
      <c r="P24" s="132"/>
      <c r="Q24" s="119"/>
      <c r="R24" s="718"/>
      <c r="S24" s="717" t="s">
        <v>710</v>
      </c>
      <c r="T24" s="928" t="str">
        <f>IF(AND($H$22&gt;=$AC$51, $H$22&lt;=$AD$51, $P$28&gt;=$AE$51, $P$28&lt;=$AF$51), "ano", IF(AND($H$22&gt;=$AC$52, $H$22&lt;=$AD$52, $P$28&gt;=$AE$52, $P$28&lt;=$AF$52), "ano", IF(AND($H$22&gt;=$AC$53, $H$22&lt;=$AD$53, $P$28&gt;=$AE$53, $P$28&lt;=$AF$53), "ano", IF(AND($H$22&gt;=$AC$54, $H$22&lt;=$AD$54, $P$28&gt;=$AE$54, $P$28&lt;=$AF$54), "ano", "ne"))))</f>
        <v>ne</v>
      </c>
      <c r="U24" s="344"/>
      <c r="V24" s="344"/>
      <c r="W24" s="344"/>
      <c r="X24" s="344"/>
      <c r="Y24" s="890" t="str">
        <f>CenAVS!A51</f>
        <v xml:space="preserve">Zaślepki HF/HL/HS - Top do SD ciemnoszare TGR   </v>
      </c>
      <c r="Z24" s="890" t="str">
        <f>CenAVS!B51</f>
        <v>23.8000</v>
      </c>
      <c r="AA24" s="890" t="str">
        <f>CenAVS!C51</f>
        <v>TGR</v>
      </c>
      <c r="AB24" s="665">
        <f t="shared" si="0"/>
        <v>0</v>
      </c>
      <c r="AC24" s="907">
        <f>CenAVS!F51</f>
        <v>295.60313000000002</v>
      </c>
      <c r="AD24" s="908">
        <f t="shared" si="3"/>
        <v>0</v>
      </c>
      <c r="AE24" s="901">
        <f>IF(AND($Q$16=2,$T$46=2),SUM($AE$9:$AE$14),0)</f>
        <v>0</v>
      </c>
      <c r="AF24" s="909">
        <f t="shared" si="1"/>
        <v>0</v>
      </c>
      <c r="AG24" s="901">
        <f>IF(AND($Q$27=2,$T$46=2),SUM($AG$9:$AG$14),0)</f>
        <v>0</v>
      </c>
      <c r="AH24" s="909">
        <f t="shared" si="2"/>
        <v>0</v>
      </c>
      <c r="AI24" s="585"/>
      <c r="AK24" s="108"/>
      <c r="AL24" s="108"/>
      <c r="AM24" s="108"/>
      <c r="AN24" s="137"/>
      <c r="AO24" s="37"/>
      <c r="AP24" s="37"/>
      <c r="AQ24" s="37"/>
      <c r="AR24" s="37"/>
      <c r="AS24" s="37"/>
    </row>
    <row r="25" spans="1:54" ht="16.149999999999999" customHeight="1" x14ac:dyDescent="0.2">
      <c r="B25" s="1055"/>
      <c r="C25" s="1055"/>
      <c r="D25" s="1053" t="str">
        <f>ListAVS!$B$83&amp;" [kg] "</f>
        <v xml:space="preserve">Waga uchwytu [kg] </v>
      </c>
      <c r="E25" s="1053"/>
      <c r="F25" s="1053"/>
      <c r="G25" s="1054"/>
      <c r="H25" s="258"/>
      <c r="I25" s="256" t="str">
        <f>IF(H28=0, " ", IF(AND(H23=0, Q27=1, H25=0), " ● "&amp;ListAVS!$B$130," "))</f>
        <v xml:space="preserve"> </v>
      </c>
      <c r="J25" s="255"/>
      <c r="K25" s="255"/>
      <c r="L25" s="255"/>
      <c r="N25" s="119"/>
      <c r="O25" s="132"/>
      <c r="P25" s="132"/>
      <c r="Q25" s="119"/>
      <c r="R25" s="718"/>
      <c r="S25" s="717"/>
      <c r="T25" s="346"/>
      <c r="U25" s="344"/>
      <c r="V25" s="344"/>
      <c r="W25" s="344"/>
      <c r="X25" s="344"/>
      <c r="Y25" s="890" t="str">
        <f>CenAVS!A52</f>
        <v xml:space="preserve">Zaślepki HF/HL/HS - Top do SD białe SW   </v>
      </c>
      <c r="Z25" s="890" t="str">
        <f>CenAVS!B52</f>
        <v>23.8000</v>
      </c>
      <c r="AA25" s="890" t="str">
        <f>CenAVS!C52</f>
        <v>SW</v>
      </c>
      <c r="AB25" s="665">
        <f t="shared" si="0"/>
        <v>0</v>
      </c>
      <c r="AC25" s="907">
        <f>CenAVS!F52</f>
        <v>295.60313000000002</v>
      </c>
      <c r="AD25" s="908">
        <f t="shared" si="3"/>
        <v>0</v>
      </c>
      <c r="AE25" s="901">
        <f>IF(AND($Q$16=2,$T$46=3),SUM($AE$9:$AE$14),0)</f>
        <v>0</v>
      </c>
      <c r="AF25" s="909">
        <f t="shared" si="1"/>
        <v>0</v>
      </c>
      <c r="AG25" s="901">
        <f>IF(AND($Q$27=2,$T$46=3),SUM($AG$9:$AG$14),0)</f>
        <v>0</v>
      </c>
      <c r="AH25" s="909">
        <f t="shared" si="2"/>
        <v>0</v>
      </c>
      <c r="AI25" s="585"/>
      <c r="AK25" s="108"/>
      <c r="AL25" s="108"/>
      <c r="AM25" s="108"/>
      <c r="AN25" s="137"/>
      <c r="AO25" s="137"/>
      <c r="AP25" s="137"/>
      <c r="AQ25" s="137"/>
      <c r="AR25" s="137"/>
      <c r="AS25" s="137"/>
    </row>
    <row r="26" spans="1:54" ht="16.149999999999999" customHeight="1" x14ac:dyDescent="0.2">
      <c r="B26" s="1055"/>
      <c r="C26" s="1055"/>
      <c r="D26" s="1053" t="str">
        <f>ListAVS!$B$79&amp;" [kg] "</f>
        <v xml:space="preserve">Obliczona waga frontu [kg] </v>
      </c>
      <c r="E26" s="1053"/>
      <c r="F26" s="1053"/>
      <c r="G26" s="1054"/>
      <c r="H26" s="259">
        <f>$T$101</f>
        <v>0</v>
      </c>
      <c r="I26" s="227" t="str">
        <f>IF(AND($H28&gt;0,$H26&gt;0,$H23=0,$M28&gt;0), $N$41," ")&amp;IF(AND(H28&gt;0, H23=0, Z98=3, $J$4=0), $N$39, " ")</f>
        <v xml:space="preserve">  </v>
      </c>
      <c r="J26" s="255"/>
      <c r="K26" s="255"/>
      <c r="L26" s="255"/>
      <c r="O26" s="718"/>
      <c r="P26" s="132" t="s">
        <v>80</v>
      </c>
      <c r="Q26" s="119"/>
      <c r="R26" s="718"/>
      <c r="T26" s="346"/>
      <c r="U26" s="344"/>
      <c r="V26" s="344"/>
      <c r="W26" s="344"/>
      <c r="X26" s="344"/>
      <c r="Y26" s="890"/>
      <c r="Z26" s="890"/>
      <c r="AA26" s="890"/>
      <c r="AB26" s="665"/>
      <c r="AC26" s="907"/>
      <c r="AD26" s="908"/>
      <c r="AE26" s="903"/>
      <c r="AF26" s="909"/>
      <c r="AG26" s="903"/>
      <c r="AH26" s="909"/>
      <c r="AI26" s="585"/>
      <c r="AK26" s="108"/>
      <c r="AL26" s="108"/>
      <c r="AM26" s="108"/>
      <c r="AN26" s="108"/>
      <c r="AO26" s="137"/>
      <c r="AP26" s="137"/>
      <c r="AQ26" s="137"/>
      <c r="AR26" s="137"/>
      <c r="AS26" s="137"/>
    </row>
    <row r="27" spans="1:54" ht="16.149999999999999" customHeight="1" thickBot="1" x14ac:dyDescent="0.25">
      <c r="B27" s="1011"/>
      <c r="C27" s="1012"/>
      <c r="D27" s="1012"/>
      <c r="E27" s="1012"/>
      <c r="F27" s="1012"/>
      <c r="G27" s="1013"/>
      <c r="H27" s="259"/>
      <c r="I27" s="256" t="str">
        <f>IF(AND(H27&gt;0, Q27=2), $N$53, " ")</f>
        <v xml:space="preserve"> </v>
      </c>
      <c r="J27" s="255"/>
      <c r="K27" s="248"/>
      <c r="L27" s="255"/>
      <c r="M27" s="118"/>
      <c r="O27" s="1141" t="b">
        <v>0</v>
      </c>
      <c r="P27" s="1142"/>
      <c r="Q27" s="131">
        <v>1</v>
      </c>
      <c r="R27" s="718"/>
      <c r="T27" s="346"/>
      <c r="U27" s="344"/>
      <c r="V27" s="344"/>
      <c r="W27" s="344"/>
      <c r="X27" s="344"/>
      <c r="Y27" s="890"/>
      <c r="Z27" s="890"/>
      <c r="AA27" s="890"/>
      <c r="AB27" s="665"/>
      <c r="AC27" s="907"/>
      <c r="AD27" s="908"/>
      <c r="AE27" s="901"/>
      <c r="AF27" s="909"/>
      <c r="AG27" s="901"/>
      <c r="AH27" s="909"/>
      <c r="AI27" s="585"/>
      <c r="AK27" s="108"/>
      <c r="AL27" s="108"/>
      <c r="AM27" s="108"/>
      <c r="AN27" s="693"/>
      <c r="AO27" s="137"/>
      <c r="AP27" s="137"/>
      <c r="AQ27" s="137"/>
      <c r="AR27" s="137"/>
      <c r="AS27" s="137"/>
    </row>
    <row r="28" spans="1:54" ht="16.149999999999999" customHeight="1" thickBot="1" x14ac:dyDescent="0.25">
      <c r="B28" s="1011" t="str">
        <f>ListAVS!$B$71&amp;"  "</f>
        <v xml:space="preserve">Ilość szafek  </v>
      </c>
      <c r="C28" s="1012"/>
      <c r="D28" s="1012"/>
      <c r="E28" s="1012"/>
      <c r="F28" s="1012"/>
      <c r="G28" s="1012"/>
      <c r="H28" s="261"/>
      <c r="I28" s="273"/>
      <c r="J28" s="264"/>
      <c r="K28" s="396"/>
      <c r="L28" s="265"/>
      <c r="M28" s="315">
        <f>IF($H21*$H22*$P28=0,0,IF(SUM(R4:R7)=0,0,IF($H21&gt;1800,0, IF($H21&lt;220, 0, IF(AND(H23=0, H24&lt;14), 0, $H28)))))</f>
        <v>0</v>
      </c>
      <c r="O28" s="690" t="s">
        <v>51</v>
      </c>
      <c r="P28" s="691">
        <f>IF(H23&gt;0,H23,H26)</f>
        <v>0</v>
      </c>
      <c r="Q28" s="37">
        <f>IF(SUM(H23,H26)=0,0,IF(H23&gt;0,1,2))</f>
        <v>0</v>
      </c>
      <c r="R28" s="571" t="s">
        <v>52</v>
      </c>
      <c r="T28" s="345"/>
      <c r="U28" s="344"/>
      <c r="V28" s="344"/>
      <c r="W28" s="344"/>
      <c r="X28" s="344"/>
      <c r="Y28" s="890"/>
      <c r="Z28" s="890"/>
      <c r="AA28" s="890"/>
      <c r="AB28" s="665"/>
      <c r="AC28" s="907"/>
      <c r="AD28" s="908"/>
      <c r="AE28" s="901"/>
      <c r="AF28" s="909"/>
      <c r="AG28" s="901"/>
      <c r="AH28" s="909"/>
      <c r="AI28" s="585"/>
      <c r="AK28" s="108"/>
      <c r="AL28" s="108"/>
      <c r="AM28" s="108"/>
      <c r="AN28" s="693"/>
      <c r="AO28" s="137"/>
      <c r="AP28" s="137"/>
      <c r="AQ28" s="137"/>
      <c r="AR28" s="137"/>
      <c r="AS28" s="137"/>
    </row>
    <row r="29" spans="1:54" ht="16.149999999999999" customHeight="1" x14ac:dyDescent="0.2">
      <c r="B29" s="227" t="str">
        <f>IF(H28&gt;0,IF(OR(Q28=0,M28=0), " ",IF(Q28=1,$N$67,$N$68))," ")&amp;IF(H28&gt;0,IF(OR(Q28=0, M28=0), " ",IF(Q28=1,$N$69,$N$70))," ")</f>
        <v xml:space="preserve">  </v>
      </c>
      <c r="C29" s="227"/>
      <c r="D29" s="227"/>
      <c r="E29" s="227"/>
      <c r="F29" s="227"/>
      <c r="G29" s="227"/>
      <c r="H29" s="256"/>
      <c r="I29" s="256"/>
      <c r="J29" s="266"/>
      <c r="K29" s="266"/>
      <c r="L29" s="266"/>
      <c r="N29" s="137"/>
      <c r="O29" s="137"/>
      <c r="P29" s="137"/>
      <c r="Q29" s="137"/>
      <c r="T29" s="129"/>
      <c r="U29" s="585"/>
      <c r="V29" s="585"/>
      <c r="W29" s="585"/>
      <c r="X29" s="585"/>
      <c r="Y29" s="890" t="str">
        <f>CenAVS!A78</f>
        <v xml:space="preserve">mocowanie frontu do HK Top, HS/Top, HL/Top    </v>
      </c>
      <c r="Z29" s="890" t="str">
        <f>CenAVS!B78</f>
        <v>20S4200</v>
      </c>
      <c r="AA29" s="890" t="str">
        <f>CenAVS!C78</f>
        <v>NI</v>
      </c>
      <c r="AB29" s="665">
        <f t="shared" si="0"/>
        <v>0</v>
      </c>
      <c r="AC29" s="907">
        <f>CenAVS!F78</f>
        <v>9.9925899999999999</v>
      </c>
      <c r="AD29" s="908">
        <f t="shared" si="3"/>
        <v>0</v>
      </c>
      <c r="AE29" s="901"/>
      <c r="AF29" s="909">
        <f t="shared" ref="AF29:AF38" si="4">$AC29*AE29</f>
        <v>0</v>
      </c>
      <c r="AG29" s="901"/>
      <c r="AH29" s="909">
        <f t="shared" si="2"/>
        <v>0</v>
      </c>
      <c r="AI29" s="585"/>
      <c r="AK29" s="108"/>
      <c r="AL29" s="108"/>
      <c r="AM29" s="108"/>
      <c r="AN29" s="693"/>
      <c r="AO29" s="137"/>
      <c r="AP29" s="137"/>
      <c r="AQ29" s="137"/>
      <c r="AR29" s="137"/>
      <c r="AS29" s="137"/>
    </row>
    <row r="30" spans="1:54" ht="16.149999999999999" customHeight="1" x14ac:dyDescent="0.2">
      <c r="A30" s="137"/>
      <c r="B30" s="267"/>
      <c r="C30" s="268"/>
      <c r="D30" s="267"/>
      <c r="E30" s="267"/>
      <c r="F30" s="269"/>
      <c r="G30" s="269"/>
      <c r="H30" s="267"/>
      <c r="I30" s="270"/>
      <c r="J30" s="264"/>
      <c r="K30" s="249"/>
      <c r="L30" s="265"/>
      <c r="N30" s="137"/>
      <c r="O30" s="137"/>
      <c r="P30" s="137"/>
      <c r="Q30" s="137"/>
      <c r="T30" s="129"/>
      <c r="U30" s="585"/>
      <c r="V30" s="585"/>
      <c r="W30" s="585"/>
      <c r="X30" s="585"/>
      <c r="Y30" s="890" t="str">
        <f>CenAVS!A79</f>
        <v xml:space="preserve">mocowanie frontu HS, HK top, HL Expando    </v>
      </c>
      <c r="Z30" s="890" t="str">
        <f>CenAVS!B79</f>
        <v>20S42E1</v>
      </c>
      <c r="AA30" s="890" t="str">
        <f>CenAVS!C79</f>
        <v>NI</v>
      </c>
      <c r="AB30" s="665">
        <f t="shared" si="0"/>
        <v>0</v>
      </c>
      <c r="AC30" s="907">
        <f>CenAVS!F79</f>
        <v>6.2138699999999991</v>
      </c>
      <c r="AD30" s="908">
        <f t="shared" si="3"/>
        <v>0</v>
      </c>
      <c r="AE30" s="901"/>
      <c r="AF30" s="909">
        <f t="shared" si="4"/>
        <v>0</v>
      </c>
      <c r="AG30" s="901"/>
      <c r="AH30" s="909">
        <f t="shared" si="2"/>
        <v>0</v>
      </c>
      <c r="AI30" s="585"/>
      <c r="AK30" s="108"/>
      <c r="AL30" s="108"/>
      <c r="AM30" s="108"/>
      <c r="AN30" s="108"/>
      <c r="AO30" s="137"/>
      <c r="AP30" s="137"/>
      <c r="AQ30" s="137"/>
      <c r="AR30" s="137"/>
      <c r="AS30" s="137"/>
    </row>
    <row r="31" spans="1:54" ht="16.149999999999999" customHeight="1" x14ac:dyDescent="0.2">
      <c r="B31" s="1109" t="str">
        <f>IF(OR(AND($Q$16=2, $M$17&gt;0), AND($Q$27=2, $M$28&gt;0)), ListAVS!$B$176, " ")</f>
        <v xml:space="preserve"> </v>
      </c>
      <c r="C31" s="1109"/>
      <c r="D31" s="1109"/>
      <c r="E31" s="1109"/>
      <c r="F31" s="1109"/>
      <c r="G31" s="1109"/>
      <c r="H31" s="1109"/>
      <c r="I31" s="1109"/>
      <c r="J31" s="1109"/>
      <c r="K31" s="271"/>
      <c r="L31" s="271"/>
      <c r="O31" s="138">
        <f>IF($P$31=FALSE,2,1)</f>
        <v>2</v>
      </c>
      <c r="P31" s="1063" t="b">
        <v>0</v>
      </c>
      <c r="Q31" s="1064"/>
      <c r="R31" s="139" t="s">
        <v>56</v>
      </c>
      <c r="S31" s="140"/>
      <c r="T31" s="129"/>
      <c r="U31" s="585"/>
      <c r="V31" s="585"/>
      <c r="W31" s="585"/>
      <c r="X31" s="585"/>
      <c r="Y31" s="890" t="str">
        <f>CenAVS!A80</f>
        <v>mocow. frontu do cienkich materiałów Aventos HK, HL, HS, Expando T</v>
      </c>
      <c r="Z31" s="890" t="str">
        <f>CenAVS!B80</f>
        <v>20S42T1</v>
      </c>
      <c r="AA31" s="890" t="str">
        <f>CenAVS!C80</f>
        <v>NI</v>
      </c>
      <c r="AB31" s="665">
        <f t="shared" si="0"/>
        <v>0</v>
      </c>
      <c r="AC31" s="907">
        <f>CenAVS!F80</f>
        <v>31.992830000000005</v>
      </c>
      <c r="AD31" s="908">
        <f t="shared" si="3"/>
        <v>0</v>
      </c>
      <c r="AE31" s="901">
        <f>AE16</f>
        <v>0</v>
      </c>
      <c r="AF31" s="909">
        <f t="shared" si="4"/>
        <v>0</v>
      </c>
      <c r="AG31" s="901">
        <f>AG16</f>
        <v>0</v>
      </c>
      <c r="AH31" s="909">
        <f t="shared" si="2"/>
        <v>0</v>
      </c>
      <c r="AK31" s="108"/>
      <c r="AL31" s="108"/>
      <c r="AM31" s="108"/>
      <c r="AN31" s="710"/>
      <c r="AO31" s="137"/>
      <c r="AP31" s="137"/>
      <c r="AQ31" s="137"/>
      <c r="AR31" s="137"/>
      <c r="AS31" s="137"/>
    </row>
    <row r="32" spans="1:54" ht="15" customHeight="1" x14ac:dyDescent="0.2">
      <c r="B32" s="1109"/>
      <c r="C32" s="1109"/>
      <c r="D32" s="1109"/>
      <c r="E32" s="1109"/>
      <c r="F32" s="1109"/>
      <c r="G32" s="1109"/>
      <c r="H32" s="1109"/>
      <c r="I32" s="1109"/>
      <c r="J32" s="1109"/>
      <c r="K32" s="271"/>
      <c r="L32" s="271"/>
      <c r="T32" s="129"/>
      <c r="U32" s="585"/>
      <c r="V32" s="585"/>
      <c r="W32" s="585"/>
      <c r="X32" s="585"/>
      <c r="Y32" s="890" t="str">
        <f>CenAVS!A81</f>
        <v xml:space="preserve">mocowanie frontu alu HK Top, HS/Top, HL/Top    </v>
      </c>
      <c r="Z32" s="890" t="str">
        <f>CenAVS!B81</f>
        <v>20S4200A</v>
      </c>
      <c r="AA32" s="890" t="str">
        <f>CenAVS!C81</f>
        <v>NI</v>
      </c>
      <c r="AB32" s="665">
        <f t="shared" si="0"/>
        <v>0</v>
      </c>
      <c r="AC32" s="907">
        <f>CenAVS!F81</f>
        <v>43.392219999999995</v>
      </c>
      <c r="AD32" s="908">
        <f t="shared" si="3"/>
        <v>0</v>
      </c>
      <c r="AE32" s="901"/>
      <c r="AF32" s="909">
        <f t="shared" si="4"/>
        <v>0</v>
      </c>
      <c r="AG32" s="901"/>
      <c r="AH32" s="909">
        <f t="shared" si="2"/>
        <v>0</v>
      </c>
      <c r="AK32" s="108"/>
      <c r="AL32" s="108"/>
      <c r="AM32" s="108"/>
      <c r="AN32" s="108"/>
      <c r="AO32" s="137"/>
      <c r="AP32" s="137"/>
      <c r="AQ32" s="137"/>
      <c r="AR32" s="137"/>
      <c r="AS32" s="137"/>
    </row>
    <row r="33" spans="2:54" ht="15" customHeight="1" x14ac:dyDescent="0.25">
      <c r="B33" s="1109"/>
      <c r="C33" s="1109"/>
      <c r="D33" s="1109"/>
      <c r="E33" s="1109"/>
      <c r="F33" s="1109"/>
      <c r="G33" s="1109"/>
      <c r="H33" s="1109"/>
      <c r="I33" s="1109"/>
      <c r="J33" s="1109"/>
      <c r="K33" s="266"/>
      <c r="L33" s="255"/>
      <c r="M33" s="726"/>
      <c r="T33" s="129"/>
      <c r="U33" s="585"/>
      <c r="V33" s="585"/>
      <c r="W33" s="585"/>
      <c r="X33" s="585"/>
      <c r="Y33" s="890" t="str">
        <f>CenAVS!A82</f>
        <v xml:space="preserve">          </v>
      </c>
      <c r="Z33" s="890">
        <f>CenAVS!B82</f>
        <v>0</v>
      </c>
      <c r="AA33" s="890">
        <f>CenAVS!C82</f>
        <v>0</v>
      </c>
      <c r="AB33" s="665">
        <f t="shared" si="0"/>
        <v>0</v>
      </c>
      <c r="AC33" s="907">
        <f>CenAVS!F82</f>
        <v>0</v>
      </c>
      <c r="AD33" s="908">
        <f t="shared" si="3"/>
        <v>0</v>
      </c>
      <c r="AE33" s="901"/>
      <c r="AF33" s="909">
        <f t="shared" si="4"/>
        <v>0</v>
      </c>
      <c r="AG33" s="901"/>
      <c r="AH33" s="909">
        <f t="shared" si="2"/>
        <v>0</v>
      </c>
      <c r="AK33" s="108"/>
      <c r="AL33" s="108"/>
      <c r="AM33" s="108"/>
      <c r="AN33" s="108"/>
      <c r="AO33" s="137"/>
      <c r="AP33" s="137"/>
      <c r="AQ33" s="137"/>
      <c r="AR33" s="137"/>
      <c r="AS33" s="137"/>
    </row>
    <row r="34" spans="2:54" ht="15" customHeight="1" x14ac:dyDescent="0.2">
      <c r="B34" s="272"/>
      <c r="C34" s="255"/>
      <c r="D34" s="266"/>
      <c r="E34" s="266"/>
      <c r="F34" s="266"/>
      <c r="G34" s="266"/>
      <c r="H34" s="266"/>
      <c r="I34" s="255"/>
      <c r="J34" s="266"/>
      <c r="K34" s="266"/>
      <c r="L34" s="255"/>
      <c r="U34" s="585"/>
      <c r="V34" s="585"/>
      <c r="W34" s="585"/>
      <c r="X34" s="585"/>
      <c r="Y34" s="890"/>
      <c r="Z34" s="890"/>
      <c r="AA34" s="890"/>
      <c r="AB34" s="665"/>
      <c r="AC34" s="907"/>
      <c r="AD34" s="908"/>
      <c r="AE34" s="901"/>
      <c r="AF34" s="909">
        <f t="shared" si="4"/>
        <v>0</v>
      </c>
      <c r="AG34" s="901"/>
      <c r="AH34" s="909">
        <f t="shared" si="2"/>
        <v>0</v>
      </c>
      <c r="AI34" s="585"/>
      <c r="AK34" s="108"/>
      <c r="AL34" s="37"/>
      <c r="AM34" s="108"/>
      <c r="AN34" s="108"/>
      <c r="AO34" s="137"/>
      <c r="AP34" s="137"/>
      <c r="AQ34" s="137"/>
      <c r="AR34" s="137"/>
      <c r="AS34" s="137"/>
    </row>
    <row r="35" spans="2:54" ht="15" customHeight="1" x14ac:dyDescent="0.2">
      <c r="B35" s="272"/>
      <c r="C35" s="273"/>
      <c r="D35" s="266"/>
      <c r="E35" s="266"/>
      <c r="F35" s="266"/>
      <c r="G35" s="266"/>
      <c r="H35" s="266"/>
      <c r="I35" s="255"/>
      <c r="J35" s="266"/>
      <c r="K35" s="266"/>
      <c r="L35" s="255"/>
      <c r="N35" s="37" t="str">
        <f>ListAVS!B177</f>
        <v>Cena bez zasilacza!</v>
      </c>
      <c r="Y35" s="890"/>
      <c r="Z35" s="890"/>
      <c r="AA35" s="890"/>
      <c r="AB35" s="665"/>
      <c r="AC35" s="907"/>
      <c r="AD35" s="908"/>
      <c r="AE35" s="903"/>
      <c r="AF35" s="909">
        <f t="shared" si="4"/>
        <v>0</v>
      </c>
      <c r="AG35" s="903"/>
      <c r="AH35" s="909">
        <f t="shared" si="2"/>
        <v>0</v>
      </c>
      <c r="AI35" s="585"/>
      <c r="AK35" s="108"/>
      <c r="AL35" s="37"/>
      <c r="AM35" s="108"/>
      <c r="AN35" s="108"/>
      <c r="AO35" s="137"/>
      <c r="AP35" s="137"/>
      <c r="AQ35" s="137"/>
      <c r="AR35" s="137"/>
      <c r="AS35" s="137"/>
    </row>
    <row r="36" spans="2:54" ht="15" customHeight="1" x14ac:dyDescent="0.2">
      <c r="B36" s="272"/>
      <c r="C36" s="255"/>
      <c r="D36" s="266"/>
      <c r="E36" s="266"/>
      <c r="F36" s="266"/>
      <c r="G36" s="266"/>
      <c r="H36" s="266"/>
      <c r="I36" s="255"/>
      <c r="J36" s="266"/>
      <c r="K36" s="266"/>
      <c r="L36" s="255"/>
      <c r="Y36" s="890"/>
      <c r="Z36" s="890"/>
      <c r="AA36" s="890"/>
      <c r="AB36" s="665"/>
      <c r="AC36" s="907"/>
      <c r="AD36" s="908"/>
      <c r="AE36" s="903"/>
      <c r="AF36" s="909">
        <f t="shared" si="4"/>
        <v>0</v>
      </c>
      <c r="AG36" s="903"/>
      <c r="AH36" s="909">
        <f t="shared" si="2"/>
        <v>0</v>
      </c>
      <c r="AI36" s="585"/>
      <c r="AK36" s="108"/>
      <c r="AL36" s="37"/>
      <c r="AM36" s="108"/>
      <c r="AN36" s="108"/>
      <c r="AO36" s="137"/>
      <c r="AP36" s="137"/>
      <c r="AQ36" s="137"/>
      <c r="AR36" s="137"/>
      <c r="AS36" s="137"/>
    </row>
    <row r="37" spans="2:54" ht="15" customHeight="1" x14ac:dyDescent="0.2">
      <c r="B37" s="274" t="s">
        <v>63</v>
      </c>
      <c r="C37" s="275" t="str">
        <f>ListAVS!$B$234</f>
        <v>Podaj liczbę ścianek środkowych w korpusie.</v>
      </c>
      <c r="D37" s="276"/>
      <c r="E37" s="276"/>
      <c r="F37" s="276"/>
      <c r="G37" s="276"/>
      <c r="H37" s="276"/>
      <c r="I37" s="276"/>
      <c r="J37" s="276"/>
      <c r="K37" s="276"/>
      <c r="L37" s="255"/>
      <c r="N37" s="37" t="str">
        <f>" "&amp;ListAVS!$B$116</f>
        <v xml:space="preserve"> Wprowadź wagę lub wypełnij wszystkie komórki</v>
      </c>
      <c r="T37" s="585"/>
      <c r="Y37" s="890"/>
      <c r="Z37" s="890"/>
      <c r="AA37" s="890"/>
      <c r="AB37" s="665"/>
      <c r="AC37" s="907"/>
      <c r="AD37" s="908"/>
      <c r="AE37" s="903"/>
      <c r="AF37" s="909">
        <f t="shared" si="4"/>
        <v>0</v>
      </c>
      <c r="AG37" s="903"/>
      <c r="AH37" s="909">
        <f t="shared" si="2"/>
        <v>0</v>
      </c>
      <c r="AI37" s="585"/>
      <c r="AK37" s="108"/>
      <c r="AL37" s="37"/>
      <c r="AM37" s="108"/>
      <c r="AN37" s="108"/>
      <c r="AO37" s="137"/>
      <c r="AP37" s="137"/>
      <c r="AQ37" s="137"/>
      <c r="AR37" s="137"/>
      <c r="AS37" s="137"/>
    </row>
    <row r="38" spans="2:54" ht="15" customHeight="1" x14ac:dyDescent="0.2">
      <c r="B38" s="274" t="s">
        <v>83</v>
      </c>
      <c r="C38" s="255" t="str">
        <f>ListAVS!$B$187</f>
        <v>Jeżeli znasz wagę i nie chcesz skorzystać z "obliczenie wagi"</v>
      </c>
      <c r="D38" s="276"/>
      <c r="E38" s="276"/>
      <c r="F38" s="276"/>
      <c r="G38" s="276"/>
      <c r="H38" s="276"/>
      <c r="I38" s="276"/>
      <c r="J38" s="276"/>
      <c r="K38" s="276"/>
      <c r="L38" s="255"/>
      <c r="N38" s="137"/>
      <c r="T38" s="127"/>
      <c r="U38" s="585"/>
      <c r="V38" s="585"/>
      <c r="W38" s="585"/>
      <c r="X38" s="585"/>
      <c r="Y38" s="890"/>
      <c r="Z38" s="890"/>
      <c r="AA38" s="890"/>
      <c r="AB38" s="665"/>
      <c r="AC38" s="907"/>
      <c r="AD38" s="908"/>
      <c r="AE38" s="903"/>
      <c r="AF38" s="909">
        <f t="shared" si="4"/>
        <v>0</v>
      </c>
      <c r="AG38" s="903"/>
      <c r="AH38" s="909">
        <f t="shared" si="2"/>
        <v>0</v>
      </c>
      <c r="AI38" s="585"/>
      <c r="AK38" s="108"/>
      <c r="AL38" s="37"/>
      <c r="AM38" s="108"/>
      <c r="AN38" s="108"/>
      <c r="AO38" s="137"/>
      <c r="AP38" s="137"/>
      <c r="AQ38" s="137"/>
      <c r="AR38" s="137"/>
      <c r="AS38" s="137"/>
      <c r="AT38" s="37"/>
      <c r="AU38" s="37"/>
      <c r="AV38" s="37"/>
      <c r="AW38" s="37"/>
      <c r="AX38" s="37"/>
      <c r="AY38" s="37"/>
      <c r="AZ38" s="37"/>
      <c r="BA38" s="37"/>
      <c r="BB38" s="37"/>
    </row>
    <row r="39" spans="2:54" ht="15" customHeight="1" x14ac:dyDescent="0.2">
      <c r="B39" s="274" t="s">
        <v>85</v>
      </c>
      <c r="C39" s="255" t="str">
        <f>ListAVS!$B$25</f>
        <v>Materiały o grubości od 8 do 14 mm</v>
      </c>
      <c r="D39" s="276"/>
      <c r="E39" s="276"/>
      <c r="F39" s="276"/>
      <c r="G39" s="276"/>
      <c r="H39" s="276"/>
      <c r="I39" s="276"/>
      <c r="J39" s="276"/>
      <c r="K39" s="276"/>
      <c r="L39" s="255"/>
      <c r="N39" s="37" t="str">
        <f>" "&amp;ListAVS!$B$118</f>
        <v xml:space="preserve"> Wprowadź na górze masę objętościową </v>
      </c>
      <c r="T39" s="585"/>
      <c r="U39" s="127"/>
      <c r="V39" s="127"/>
      <c r="W39" s="127"/>
      <c r="X39" s="127"/>
      <c r="Y39" s="890"/>
      <c r="Z39" s="890"/>
      <c r="AA39" s="890"/>
      <c r="AB39" s="665"/>
      <c r="AC39" s="907"/>
      <c r="AD39" s="908"/>
      <c r="AE39" s="903"/>
      <c r="AF39" s="909"/>
      <c r="AG39" s="903"/>
      <c r="AH39" s="909"/>
      <c r="AI39" s="585"/>
      <c r="AK39" s="108"/>
      <c r="AL39" s="37"/>
      <c r="AM39" s="108"/>
      <c r="AN39" s="108"/>
      <c r="AO39" s="37"/>
      <c r="AP39" s="37"/>
      <c r="AQ39" s="37"/>
      <c r="AR39" s="37"/>
      <c r="AS39" s="37"/>
      <c r="AT39" s="37"/>
      <c r="AU39" s="37"/>
      <c r="AV39" s="37"/>
      <c r="AW39" s="37"/>
      <c r="AX39" s="37"/>
      <c r="AY39" s="37"/>
      <c r="AZ39" s="37"/>
      <c r="BA39" s="37"/>
      <c r="BB39" s="37"/>
    </row>
    <row r="40" spans="2:54" ht="15" customHeight="1" x14ac:dyDescent="0.2">
      <c r="B40" s="255"/>
      <c r="C40" s="255"/>
      <c r="D40" s="276"/>
      <c r="E40" s="276"/>
      <c r="F40" s="276"/>
      <c r="G40" s="276"/>
      <c r="H40" s="276"/>
      <c r="I40" s="276"/>
      <c r="J40" s="276"/>
      <c r="K40" s="276"/>
      <c r="L40" s="255"/>
      <c r="T40" s="585"/>
      <c r="U40" s="585"/>
      <c r="V40" s="585"/>
      <c r="W40" s="585"/>
      <c r="X40" s="585"/>
      <c r="Y40" s="890"/>
      <c r="Z40" s="890"/>
      <c r="AA40" s="890"/>
      <c r="AB40" s="665"/>
      <c r="AC40" s="907"/>
      <c r="AD40" s="908"/>
      <c r="AE40" s="903"/>
      <c r="AF40" s="909">
        <f>$AC40*AE40</f>
        <v>0</v>
      </c>
      <c r="AG40" s="903"/>
      <c r="AH40" s="909">
        <f>$AC40*AG40</f>
        <v>0</v>
      </c>
      <c r="AI40" s="585"/>
      <c r="AK40" s="108"/>
      <c r="AL40" s="149"/>
      <c r="AM40" s="108"/>
      <c r="AN40" s="108"/>
      <c r="AO40" s="37"/>
      <c r="AP40" s="37"/>
      <c r="AQ40" s="37"/>
      <c r="AR40" s="37"/>
      <c r="AS40" s="37"/>
      <c r="AT40" s="37"/>
      <c r="AU40" s="37"/>
      <c r="AV40" s="37"/>
      <c r="AW40" s="37"/>
      <c r="AX40" s="37"/>
      <c r="AY40" s="37"/>
      <c r="AZ40" s="37"/>
      <c r="BA40" s="37"/>
      <c r="BB40" s="37"/>
    </row>
    <row r="41" spans="2:54" ht="15" customHeight="1" x14ac:dyDescent="0.2">
      <c r="B41" s="1020" t="str">
        <f>ListAVS!$B$420</f>
        <v xml:space="preserve">Należy pamiętać, że istnieje wiele różnych materiałów. Ze względu na różne gęstości  nie ma gwarancji, że wszystkie materiały będą nadawały się do każdego rozmiaru korpusu. Szczególnie w przypadku lżejszych materiałów ciężar frontu może nie osiągnąć wartości minimalnej dla danego wymiaru. Jeśli po prawidłowym wprowadzeniu wszystkich parametrów, na liście zamówienia nie wyświetlą się żadne wartości, prawdopodobnie waga frontu jest poniżej wartości minimalnej. W takim przypadku wyliczenie podnośników nie może być wykonane. </v>
      </c>
      <c r="C41" s="1020"/>
      <c r="D41" s="1020"/>
      <c r="E41" s="1020"/>
      <c r="F41" s="1020"/>
      <c r="G41" s="1020"/>
      <c r="H41" s="1020"/>
      <c r="I41" s="1020"/>
      <c r="J41" s="1020"/>
      <c r="K41" s="1020"/>
      <c r="L41" s="1020"/>
      <c r="N41" s="37" t="str">
        <f>"◄ "&amp;ListAVS!$B$112</f>
        <v>◄ wartość będzie wykorzystana do obliczenia LF</v>
      </c>
      <c r="T41" s="585"/>
      <c r="U41" s="585"/>
      <c r="V41" s="585"/>
      <c r="W41" s="585"/>
      <c r="X41" s="585"/>
      <c r="Y41" s="890"/>
      <c r="Z41" s="890"/>
      <c r="AA41" s="890"/>
      <c r="AB41" s="665"/>
      <c r="AC41" s="907"/>
      <c r="AD41" s="908"/>
      <c r="AE41" s="903"/>
      <c r="AF41" s="909">
        <f>$AC41*AE43</f>
        <v>0</v>
      </c>
      <c r="AG41" s="903"/>
      <c r="AH41" s="909">
        <f>$AC41*AG41</f>
        <v>0</v>
      </c>
      <c r="AI41" s="585"/>
      <c r="AK41" s="108"/>
      <c r="AL41" s="108"/>
      <c r="AM41" s="108"/>
      <c r="AN41" s="108"/>
      <c r="AO41" s="37"/>
      <c r="AP41" s="37"/>
      <c r="AQ41" s="37"/>
      <c r="AR41" s="37"/>
      <c r="AS41" s="37"/>
    </row>
    <row r="42" spans="2:54" s="37" customFormat="1" ht="15" customHeight="1" x14ac:dyDescent="0.2">
      <c r="B42" s="1020"/>
      <c r="C42" s="1020"/>
      <c r="D42" s="1020"/>
      <c r="E42" s="1020"/>
      <c r="F42" s="1020"/>
      <c r="G42" s="1020"/>
      <c r="H42" s="1020"/>
      <c r="I42" s="1020"/>
      <c r="J42" s="1020"/>
      <c r="K42" s="1020"/>
      <c r="L42" s="1020"/>
      <c r="N42" s="37" t="str">
        <f>" * "&amp;ListAVS!$B$128</f>
        <v xml:space="preserve"> * Wypełnij wartości</v>
      </c>
      <c r="T42" s="146"/>
      <c r="U42" s="585"/>
      <c r="V42" s="585"/>
      <c r="W42" s="585"/>
      <c r="X42" s="585"/>
      <c r="Y42" s="890">
        <f>CenAVS!A169</f>
        <v>0</v>
      </c>
      <c r="Z42" s="890">
        <f>CenAVS!B169</f>
        <v>0</v>
      </c>
      <c r="AA42" s="890">
        <f>CenAVS!C169</f>
        <v>0</v>
      </c>
      <c r="AB42" s="665"/>
      <c r="AC42" s="907">
        <f>CenAVS!F169</f>
        <v>0</v>
      </c>
      <c r="AD42" s="908">
        <f t="shared" si="3"/>
        <v>0</v>
      </c>
      <c r="AE42" s="903"/>
      <c r="AF42" s="909">
        <f>$AC42*AE42</f>
        <v>0</v>
      </c>
      <c r="AG42" s="903"/>
      <c r="AH42" s="909">
        <f>$AC42*AG42</f>
        <v>0</v>
      </c>
      <c r="AI42" s="585"/>
      <c r="AL42" s="108"/>
      <c r="AM42" s="108"/>
      <c r="AN42" s="108"/>
      <c r="AO42" s="137"/>
      <c r="AP42" s="137"/>
      <c r="AQ42" s="137"/>
      <c r="AR42" s="137"/>
      <c r="AS42" s="137"/>
      <c r="AT42" s="122"/>
      <c r="AU42" s="122"/>
      <c r="AV42" s="122"/>
      <c r="AW42" s="122"/>
      <c r="AX42" s="121"/>
      <c r="AY42" s="121"/>
      <c r="AZ42" s="121"/>
      <c r="BA42" s="121"/>
      <c r="BB42" s="121"/>
    </row>
    <row r="43" spans="2:54" s="37" customFormat="1" ht="15" customHeight="1" x14ac:dyDescent="0.2">
      <c r="B43" s="1020"/>
      <c r="C43" s="1020"/>
      <c r="D43" s="1020"/>
      <c r="E43" s="1020"/>
      <c r="F43" s="1020"/>
      <c r="G43" s="1020"/>
      <c r="H43" s="1020"/>
      <c r="I43" s="1020"/>
      <c r="J43" s="1020"/>
      <c r="K43" s="1020"/>
      <c r="L43" s="1020"/>
      <c r="O43" s="118"/>
      <c r="Q43" s="118"/>
      <c r="T43" s="585"/>
      <c r="U43" s="585"/>
      <c r="V43" s="585"/>
      <c r="W43" s="585"/>
      <c r="X43" s="585"/>
      <c r="Y43" s="890" t="str">
        <f>CenAVS!A171</f>
        <v xml:space="preserve">Aventos HF/HL/HS - Top Servo-Drive      </v>
      </c>
      <c r="Z43" s="890" t="str">
        <f>CenAVS!B171</f>
        <v>23.A000</v>
      </c>
      <c r="AA43" s="890" t="str">
        <f>CenAVS!C171</f>
        <v>R7037</v>
      </c>
      <c r="AB43" s="665">
        <f>SUM(AE43,AG43)</f>
        <v>0</v>
      </c>
      <c r="AC43" s="907">
        <f>CenAVS!F171</f>
        <v>905.30219999999997</v>
      </c>
      <c r="AD43" s="908">
        <f t="shared" si="3"/>
        <v>0</v>
      </c>
      <c r="AE43" s="903">
        <f>IF($Q$16=1, 0, $M$17)</f>
        <v>0</v>
      </c>
      <c r="AF43" s="909">
        <f>$AC43*AE43</f>
        <v>0</v>
      </c>
      <c r="AG43" s="903">
        <f>IF($Q$27=1, 0, $M$28)</f>
        <v>0</v>
      </c>
      <c r="AH43" s="909">
        <f>$AC43*AG43</f>
        <v>0</v>
      </c>
      <c r="AI43" s="585"/>
      <c r="AL43" s="108"/>
      <c r="AM43" s="108"/>
      <c r="AN43" s="108"/>
      <c r="AO43" s="137"/>
      <c r="AP43" s="137"/>
      <c r="AQ43" s="137"/>
      <c r="AR43" s="137"/>
      <c r="AS43" s="137"/>
      <c r="AT43" s="122"/>
      <c r="AU43" s="122"/>
      <c r="AV43" s="122"/>
      <c r="AW43" s="122"/>
      <c r="AX43" s="121"/>
      <c r="AY43" s="121"/>
      <c r="AZ43" s="121"/>
      <c r="BA43" s="121"/>
      <c r="BB43" s="121"/>
    </row>
    <row r="44" spans="2:54" s="37" customFormat="1" ht="15" customHeight="1" x14ac:dyDescent="0.2">
      <c r="B44" s="1020"/>
      <c r="C44" s="1020"/>
      <c r="D44" s="1020"/>
      <c r="E44" s="1020"/>
      <c r="F44" s="1020"/>
      <c r="G44" s="1020"/>
      <c r="H44" s="1020"/>
      <c r="I44" s="1020"/>
      <c r="J44" s="1020"/>
      <c r="K44" s="1020"/>
      <c r="L44" s="1020"/>
      <c r="O44" s="118"/>
      <c r="Q44" s="118"/>
      <c r="T44" s="585"/>
      <c r="U44" s="585"/>
      <c r="V44" s="585"/>
      <c r="W44" s="585"/>
      <c r="X44" s="585"/>
      <c r="AG44" s="118"/>
      <c r="AI44" s="585"/>
      <c r="AL44" s="108"/>
      <c r="AM44" s="108"/>
      <c r="AN44" s="108"/>
      <c r="AO44" s="137"/>
      <c r="AP44" s="137"/>
      <c r="AQ44" s="137"/>
      <c r="AR44" s="137"/>
      <c r="AS44" s="137"/>
      <c r="AT44" s="122"/>
      <c r="AU44" s="122"/>
      <c r="AV44" s="122"/>
      <c r="AW44" s="122"/>
      <c r="AX44" s="121"/>
      <c r="AY44" s="121"/>
      <c r="AZ44" s="121"/>
      <c r="BA44" s="121"/>
      <c r="BB44" s="121"/>
    </row>
    <row r="45" spans="2:54" ht="15" customHeight="1" x14ac:dyDescent="0.2">
      <c r="B45" s="1020"/>
      <c r="C45" s="1020"/>
      <c r="D45" s="1020"/>
      <c r="E45" s="1020"/>
      <c r="F45" s="1020"/>
      <c r="G45" s="1020"/>
      <c r="H45" s="1020"/>
      <c r="I45" s="1020"/>
      <c r="J45" s="1020"/>
      <c r="K45" s="1020"/>
      <c r="L45" s="1020"/>
      <c r="T45" s="123"/>
      <c r="U45" s="585"/>
      <c r="V45" s="585"/>
      <c r="W45" s="585"/>
      <c r="X45" s="585"/>
      <c r="AC45" s="144" t="str">
        <f>ListAVS!$B$61&amp;" "</f>
        <v xml:space="preserve">Cena całkowita bez VAT </v>
      </c>
      <c r="AD45" s="171">
        <f>SUM(AD9:AD43)</f>
        <v>0</v>
      </c>
      <c r="AF45" s="201">
        <f>SUM(AF9:AF44)</f>
        <v>0</v>
      </c>
      <c r="AH45" s="201">
        <f>SUM(AH9:AH44)</f>
        <v>0</v>
      </c>
      <c r="AI45" s="585"/>
      <c r="AK45" s="108"/>
      <c r="AL45" s="108"/>
      <c r="AM45" s="108"/>
      <c r="AN45" s="108"/>
      <c r="AO45" s="137"/>
      <c r="AP45" s="137"/>
      <c r="AQ45" s="137"/>
      <c r="AR45" s="137"/>
      <c r="AS45" s="137"/>
    </row>
    <row r="46" spans="2:54" ht="13.5" customHeight="1" x14ac:dyDescent="0.2">
      <c r="B46" s="150"/>
      <c r="C46" s="148"/>
      <c r="D46" s="148"/>
      <c r="E46" s="148"/>
      <c r="F46" s="148"/>
      <c r="G46" s="148"/>
      <c r="H46" s="148"/>
      <c r="I46" s="148"/>
      <c r="J46" s="148"/>
      <c r="K46" s="148"/>
      <c r="N46" s="151"/>
      <c r="P46" s="151"/>
      <c r="R46" s="117"/>
      <c r="T46" s="117">
        <f>MenuAVS!$U$28</f>
        <v>1</v>
      </c>
      <c r="U46" s="123"/>
      <c r="V46" s="123"/>
      <c r="W46" s="117">
        <f>HS!$P$26</f>
        <v>1</v>
      </c>
      <c r="X46" s="123"/>
      <c r="Y46" s="344"/>
      <c r="Z46" s="344"/>
      <c r="AA46" s="344"/>
      <c r="AB46" s="344"/>
      <c r="AC46" s="344"/>
      <c r="AD46" s="344"/>
      <c r="AE46" s="344"/>
      <c r="AF46" s="344"/>
      <c r="AG46" s="344"/>
      <c r="AH46" s="344"/>
      <c r="AI46" s="585"/>
      <c r="AK46" s="108"/>
      <c r="AL46" s="108"/>
      <c r="AM46" s="108"/>
      <c r="AN46" s="108"/>
      <c r="AO46" s="137"/>
      <c r="AP46" s="137"/>
      <c r="AQ46" s="137"/>
      <c r="AR46" s="137"/>
      <c r="AS46" s="137"/>
    </row>
    <row r="47" spans="2:54" ht="13.5" customHeight="1" x14ac:dyDescent="0.2">
      <c r="B47" s="152"/>
      <c r="C47" s="127"/>
      <c r="D47" s="127"/>
      <c r="E47" s="127"/>
      <c r="F47" s="127"/>
      <c r="G47" s="127"/>
      <c r="I47" s="127"/>
      <c r="J47" s="127"/>
      <c r="N47" s="153"/>
      <c r="P47" s="153"/>
      <c r="Q47" s="154" t="s">
        <v>57</v>
      </c>
      <c r="R47" s="153"/>
      <c r="T47" s="154" t="s">
        <v>6</v>
      </c>
      <c r="U47" s="585"/>
      <c r="V47" s="585"/>
      <c r="W47" s="154" t="str">
        <f>HS!P27</f>
        <v>mont.</v>
      </c>
      <c r="X47" s="585"/>
      <c r="Y47" s="344"/>
      <c r="Z47" s="344"/>
      <c r="AA47" s="344"/>
      <c r="AB47" s="344"/>
      <c r="AC47" s="344"/>
      <c r="AD47" s="344"/>
      <c r="AE47" s="344"/>
      <c r="AF47" s="344"/>
      <c r="AG47" s="344"/>
      <c r="AH47" s="344"/>
      <c r="AI47" s="585"/>
      <c r="AK47" s="108"/>
      <c r="AL47" s="37"/>
      <c r="AM47" s="108"/>
      <c r="AN47" s="108"/>
      <c r="AO47" s="137"/>
      <c r="AP47" s="137"/>
      <c r="AQ47" s="137"/>
      <c r="AR47" s="137"/>
      <c r="AS47" s="137"/>
    </row>
    <row r="48" spans="2:54" ht="13.5" customHeight="1" x14ac:dyDescent="0.2">
      <c r="B48" s="127"/>
      <c r="C48" s="127"/>
      <c r="D48" s="127"/>
      <c r="E48" s="127"/>
      <c r="F48" s="127"/>
      <c r="G48" s="127"/>
      <c r="I48" s="127"/>
      <c r="J48" s="127"/>
      <c r="Q48" s="149" t="s">
        <v>58</v>
      </c>
      <c r="R48" s="118"/>
      <c r="T48" s="37" t="str">
        <f>ListAVS!$B$146</f>
        <v>Jasnoszary (HGR)</v>
      </c>
      <c r="U48" s="585"/>
      <c r="V48" s="585"/>
      <c r="W48" s="37" t="str">
        <f>HS!P28</f>
        <v>wkręty</v>
      </c>
      <c r="X48" s="585"/>
      <c r="Y48" s="344"/>
      <c r="Z48" s="344"/>
      <c r="AA48" s="344"/>
      <c r="AB48" s="344"/>
      <c r="AC48" s="344"/>
      <c r="AD48" s="344"/>
      <c r="AE48" s="344"/>
      <c r="AF48" s="344"/>
      <c r="AG48" s="344"/>
      <c r="AH48" s="344"/>
      <c r="AI48" s="585"/>
      <c r="AK48" s="108"/>
      <c r="AL48" s="37"/>
      <c r="AM48" s="108"/>
      <c r="AN48" s="108"/>
      <c r="AO48" s="137"/>
      <c r="AP48" s="137"/>
      <c r="AQ48" s="137"/>
      <c r="AR48" s="137"/>
      <c r="AS48" s="137"/>
    </row>
    <row r="49" spans="2:54" ht="13.5" customHeight="1" x14ac:dyDescent="0.2">
      <c r="B49" s="152"/>
      <c r="C49" s="127"/>
      <c r="D49" s="127"/>
      <c r="E49" s="127"/>
      <c r="F49" s="127"/>
      <c r="G49" s="127"/>
      <c r="I49" s="127"/>
      <c r="J49" s="127"/>
      <c r="Q49" s="149" t="s">
        <v>59</v>
      </c>
      <c r="R49" s="118"/>
      <c r="T49" s="37" t="str">
        <f>ListAVS!$B$147</f>
        <v>Ciemnoszary (TGR)</v>
      </c>
      <c r="U49" s="585"/>
      <c r="V49" s="585"/>
      <c r="W49" s="37" t="str">
        <f>HS!P29</f>
        <v>wstępnie zamontowane eurowkręty</v>
      </c>
      <c r="X49" s="585"/>
      <c r="Y49" s="344"/>
      <c r="Z49" s="344"/>
      <c r="AA49" s="905" t="str">
        <f>Param!M22</f>
        <v>Parametry HS</v>
      </c>
      <c r="AB49" s="904"/>
      <c r="AC49" s="904"/>
      <c r="AD49" s="904"/>
      <c r="AE49" s="904"/>
      <c r="AF49" s="904"/>
      <c r="AG49" s="904"/>
      <c r="AH49" s="904"/>
      <c r="AI49" s="585"/>
      <c r="AK49" s="108"/>
      <c r="AL49" s="37"/>
      <c r="AM49" s="108"/>
      <c r="AN49" s="108"/>
      <c r="AO49" s="137"/>
      <c r="AP49" s="137"/>
      <c r="AQ49" s="137"/>
      <c r="AR49" s="137"/>
      <c r="AS49" s="137"/>
    </row>
    <row r="50" spans="2:54" ht="13.5" customHeight="1" x14ac:dyDescent="0.2">
      <c r="B50" s="144"/>
      <c r="C50" s="127"/>
      <c r="T50" s="37" t="str">
        <f>ListAVS!$B$148</f>
        <v>Jedwabiście biały (SW)</v>
      </c>
      <c r="U50" s="585"/>
      <c r="V50" s="585"/>
      <c r="W50" s="585"/>
      <c r="X50" s="585"/>
      <c r="Y50" s="344"/>
      <c r="Z50" s="344"/>
      <c r="AA50" s="904" t="str">
        <f>Param!M23</f>
        <v>Zdvihač</v>
      </c>
      <c r="AB50" s="904" t="str">
        <f>Param!N23</f>
        <v>ks</v>
      </c>
      <c r="AC50" s="904" t="str">
        <f>Param!O23</f>
        <v>min</v>
      </c>
      <c r="AD50" s="904" t="str">
        <f>Param!P23</f>
        <v>max</v>
      </c>
      <c r="AE50" s="904" t="str">
        <f>Param!Q23</f>
        <v>hmot. min.</v>
      </c>
      <c r="AF50" s="904" t="str">
        <f>Param!R23</f>
        <v>hmot. max.</v>
      </c>
      <c r="AG50" s="904"/>
      <c r="AH50" s="904"/>
      <c r="AI50" s="585"/>
      <c r="AK50" s="108"/>
      <c r="AL50" s="37"/>
      <c r="AM50" s="108"/>
      <c r="AN50" s="108"/>
      <c r="AO50" s="137"/>
      <c r="AP50" s="137"/>
      <c r="AQ50" s="137"/>
      <c r="AR50" s="137"/>
      <c r="AS50" s="137"/>
    </row>
    <row r="51" spans="2:54" ht="13.5" customHeight="1" x14ac:dyDescent="0.2">
      <c r="B51" s="144"/>
      <c r="T51" s="129"/>
      <c r="U51" s="585"/>
      <c r="V51" s="585"/>
      <c r="W51" s="585"/>
      <c r="X51" s="585"/>
      <c r="Y51" s="344"/>
      <c r="Z51" s="344"/>
      <c r="AA51" s="904" t="str">
        <f>Param!M24</f>
        <v>22S2200</v>
      </c>
      <c r="AB51" s="904"/>
      <c r="AC51" s="904">
        <f>Param!O24</f>
        <v>350</v>
      </c>
      <c r="AD51" s="904">
        <f>Param!P24</f>
        <v>450</v>
      </c>
      <c r="AE51" s="904">
        <f>Param!Q24</f>
        <v>2</v>
      </c>
      <c r="AF51" s="904">
        <f>Param!R24</f>
        <v>11.5</v>
      </c>
      <c r="AG51" s="904"/>
      <c r="AH51" s="904"/>
      <c r="AI51" s="585"/>
      <c r="AK51" s="108"/>
      <c r="AL51" s="108"/>
      <c r="AM51" s="108"/>
      <c r="AN51" s="108"/>
      <c r="AO51" s="137"/>
      <c r="AP51" s="137"/>
      <c r="AQ51" s="137"/>
      <c r="AR51" s="137"/>
      <c r="AS51" s="137"/>
    </row>
    <row r="52" spans="2:54" ht="13.5" customHeight="1" x14ac:dyDescent="0.2">
      <c r="B52" s="155"/>
      <c r="D52" s="155"/>
      <c r="E52" s="155"/>
      <c r="F52" s="155"/>
      <c r="G52" s="155"/>
      <c r="I52" s="155"/>
      <c r="J52" s="155"/>
      <c r="N52" s="37" t="str">
        <f>" "&amp;ListAVS!$B$109</f>
        <v xml:space="preserve"> w połączeniu z SERVO-DRIVE</v>
      </c>
      <c r="T52" s="129"/>
      <c r="U52" s="585"/>
      <c r="V52" s="585"/>
      <c r="W52" s="585"/>
      <c r="X52" s="585"/>
      <c r="Y52" s="344"/>
      <c r="Z52" s="344"/>
      <c r="AA52" s="904" t="str">
        <f>Param!M25</f>
        <v>22S2200 v</v>
      </c>
      <c r="AB52" s="904"/>
      <c r="AC52" s="904">
        <f>Param!O25</f>
        <v>450</v>
      </c>
      <c r="AD52" s="904">
        <f>Param!P25</f>
        <v>540</v>
      </c>
      <c r="AE52" s="904">
        <f>Param!Q25</f>
        <v>2.5</v>
      </c>
      <c r="AF52" s="904">
        <f>Param!R25</f>
        <v>12.5</v>
      </c>
      <c r="AG52" s="904"/>
      <c r="AH52" s="904"/>
      <c r="AI52" s="585"/>
      <c r="AK52" s="108"/>
      <c r="AL52" s="108"/>
      <c r="AM52" s="108"/>
      <c r="AN52" s="108"/>
      <c r="AO52" s="137"/>
      <c r="AP52" s="137"/>
      <c r="AQ52" s="137"/>
      <c r="AR52" s="137"/>
      <c r="AS52" s="137"/>
    </row>
    <row r="53" spans="2:54" ht="13.5" customHeight="1" x14ac:dyDescent="0.2">
      <c r="N53" s="37" t="str">
        <f>" "&amp;ListAVS!$B$110</f>
        <v xml:space="preserve"> niemożliwe w połączeniu z SERVO-DRIVE</v>
      </c>
      <c r="T53" s="129"/>
      <c r="U53" s="585"/>
      <c r="V53" s="585"/>
      <c r="W53" s="585"/>
      <c r="X53" s="585"/>
      <c r="Y53" s="344"/>
      <c r="Z53" s="344"/>
      <c r="AA53" s="904" t="str">
        <f>Param!M26</f>
        <v>22S2500</v>
      </c>
      <c r="AB53" s="904"/>
      <c r="AC53" s="904">
        <f>Param!O26</f>
        <v>480</v>
      </c>
      <c r="AD53" s="904">
        <f>Param!P26</f>
        <v>660</v>
      </c>
      <c r="AE53" s="904">
        <f>Param!Q26</f>
        <v>2.75</v>
      </c>
      <c r="AF53" s="904">
        <f>Param!R26</f>
        <v>15.25</v>
      </c>
      <c r="AG53" s="904"/>
      <c r="AH53" s="904"/>
      <c r="AI53" s="585"/>
      <c r="AK53" s="108"/>
      <c r="AL53" s="108"/>
      <c r="AM53" s="108"/>
      <c r="AN53" s="108"/>
      <c r="AO53" s="137"/>
      <c r="AP53" s="137"/>
      <c r="AQ53" s="137"/>
      <c r="AR53" s="137"/>
      <c r="AS53" s="137"/>
    </row>
    <row r="54" spans="2:54" ht="13.5" customHeight="1" x14ac:dyDescent="0.2">
      <c r="N54" s="37" t="str">
        <f>" "&amp;ListAVS!$B$116</f>
        <v xml:space="preserve"> Wprowadź wagę lub wypełnij wszystkie komórki</v>
      </c>
      <c r="T54" s="129"/>
      <c r="U54" s="585"/>
      <c r="V54" s="585"/>
      <c r="W54" s="585"/>
      <c r="X54" s="585"/>
      <c r="Y54" s="344"/>
      <c r="Z54" s="344"/>
      <c r="AA54" s="904" t="str">
        <f>Param!M27</f>
        <v>22S2800</v>
      </c>
      <c r="AB54" s="904"/>
      <c r="AC54" s="904">
        <f>Param!O27</f>
        <v>650</v>
      </c>
      <c r="AD54" s="904">
        <f>Param!P27</f>
        <v>800</v>
      </c>
      <c r="AE54" s="904">
        <f>Param!Q27</f>
        <v>3.5</v>
      </c>
      <c r="AF54" s="904">
        <f>Param!R27</f>
        <v>18.5</v>
      </c>
      <c r="AG54" s="904"/>
      <c r="AH54" s="904"/>
      <c r="AI54" s="585"/>
      <c r="AK54" s="108"/>
      <c r="AL54" s="108"/>
      <c r="AM54" s="108"/>
      <c r="AN54" s="108"/>
      <c r="AO54" s="137"/>
      <c r="AP54" s="137"/>
      <c r="AQ54" s="137"/>
      <c r="AR54" s="137"/>
      <c r="AS54" s="137"/>
    </row>
    <row r="55" spans="2:54" ht="13.5" customHeight="1" x14ac:dyDescent="0.2">
      <c r="N55" s="37" t="str">
        <f>"◄ "&amp;ListAVS!$B$113</f>
        <v>◄ wartość będzie wykorzystana w celu wyboru siłownika</v>
      </c>
      <c r="T55" s="129"/>
      <c r="U55" s="585"/>
      <c r="V55" s="585"/>
      <c r="W55" s="585"/>
      <c r="X55" s="585"/>
      <c r="Y55" s="344"/>
      <c r="Z55" s="344"/>
      <c r="AA55" s="904"/>
      <c r="AB55" s="904"/>
      <c r="AC55" s="904"/>
      <c r="AD55" s="904"/>
      <c r="AE55" s="904"/>
      <c r="AF55" s="904"/>
      <c r="AG55" s="904"/>
      <c r="AH55" s="904"/>
      <c r="AI55" s="585"/>
      <c r="AK55" s="108"/>
      <c r="AL55" s="108"/>
      <c r="AM55" s="108"/>
      <c r="AN55" s="108"/>
      <c r="AO55" s="137"/>
      <c r="AP55" s="137"/>
      <c r="AQ55" s="137"/>
      <c r="AR55" s="137"/>
      <c r="AS55" s="137"/>
      <c r="AT55" s="37"/>
      <c r="AU55" s="37"/>
      <c r="AV55" s="37"/>
      <c r="AW55" s="37"/>
      <c r="AX55" s="37"/>
      <c r="AY55" s="37"/>
      <c r="AZ55" s="37"/>
      <c r="BA55" s="37"/>
      <c r="BB55" s="37"/>
    </row>
    <row r="56" spans="2:54" ht="13.5" customHeight="1" x14ac:dyDescent="0.2">
      <c r="N56" s="37" t="str">
        <f>" * "&amp;ListAVS!$B$128</f>
        <v xml:space="preserve"> * Wypełnij wartości</v>
      </c>
      <c r="T56" s="128"/>
      <c r="U56" s="585"/>
      <c r="V56" s="585"/>
      <c r="W56" s="585"/>
      <c r="X56" s="585"/>
      <c r="Y56" s="344"/>
      <c r="Z56" s="344"/>
      <c r="AA56" s="904"/>
      <c r="AB56" s="904"/>
      <c r="AC56" s="904"/>
      <c r="AD56" s="904"/>
      <c r="AE56" s="904"/>
      <c r="AF56" s="904"/>
      <c r="AG56" s="904"/>
      <c r="AH56" s="904"/>
      <c r="AI56" s="585"/>
      <c r="AK56" s="108"/>
      <c r="AL56" s="108"/>
      <c r="AM56" s="108"/>
      <c r="AN56" s="108"/>
      <c r="AO56" s="137"/>
      <c r="AP56" s="137"/>
      <c r="AQ56" s="137"/>
      <c r="AR56" s="137"/>
      <c r="AS56" s="137"/>
      <c r="AT56" s="37"/>
      <c r="AU56" s="37"/>
      <c r="AV56" s="37"/>
      <c r="AW56" s="37"/>
      <c r="AX56" s="37"/>
      <c r="AY56" s="37"/>
      <c r="AZ56" s="37"/>
      <c r="BA56" s="37"/>
      <c r="BB56" s="37"/>
    </row>
    <row r="57" spans="2:54" ht="13.5" customHeight="1" x14ac:dyDescent="0.2">
      <c r="T57" s="129"/>
      <c r="U57" s="585"/>
      <c r="V57" s="585"/>
      <c r="W57" s="585"/>
      <c r="X57" s="585"/>
      <c r="Y57" s="344"/>
      <c r="Z57" s="344"/>
      <c r="AA57" s="904"/>
      <c r="AB57" s="904"/>
      <c r="AC57" s="904"/>
      <c r="AD57" s="904"/>
      <c r="AE57" s="904"/>
      <c r="AF57" s="904"/>
      <c r="AG57" s="904"/>
      <c r="AH57" s="904"/>
      <c r="AI57" s="585"/>
      <c r="AK57" s="108"/>
      <c r="AL57" s="108"/>
      <c r="AM57" s="108"/>
      <c r="AN57" s="108"/>
      <c r="AO57" s="137"/>
      <c r="AP57" s="137"/>
      <c r="AQ57" s="137"/>
      <c r="AR57" s="137"/>
      <c r="AS57" s="137"/>
    </row>
    <row r="58" spans="2:54" ht="13.5" customHeight="1" x14ac:dyDescent="0.2">
      <c r="N58" s="37" t="str">
        <f>" "&amp;ListAVS!$B$125&amp;"!"</f>
        <v xml:space="preserve"> Waga poza dozwolonym zakresem!</v>
      </c>
      <c r="T58" s="129"/>
      <c r="U58" s="585"/>
      <c r="V58" s="585"/>
      <c r="W58" s="585"/>
      <c r="X58" s="585"/>
      <c r="Y58" s="344"/>
      <c r="Z58" s="344"/>
      <c r="AA58" s="344"/>
      <c r="AB58" s="344"/>
      <c r="AC58" s="344"/>
      <c r="AD58" s="344"/>
      <c r="AE58" s="344"/>
      <c r="AF58" s="344"/>
      <c r="AG58" s="344"/>
      <c r="AH58" s="344"/>
      <c r="AI58" s="585"/>
      <c r="AK58" s="108"/>
      <c r="AL58" s="108"/>
      <c r="AM58" s="108"/>
      <c r="AN58" s="108"/>
      <c r="AO58" s="137"/>
      <c r="AP58" s="137"/>
      <c r="AQ58" s="137"/>
      <c r="AR58" s="137"/>
      <c r="AS58" s="137"/>
    </row>
    <row r="59" spans="2:54" s="37" customFormat="1" ht="13.5" customHeight="1" x14ac:dyDescent="0.2">
      <c r="N59" s="37" t="str">
        <f>" max. 9 000! "&amp;ListAVS!$B$122</f>
        <v xml:space="preserve"> max. 9 000! Popraw wagę albo wysokość</v>
      </c>
      <c r="T59" s="129"/>
      <c r="U59" s="585"/>
      <c r="V59" s="585"/>
      <c r="W59" s="585"/>
      <c r="X59" s="585"/>
      <c r="Y59" s="344"/>
      <c r="Z59" s="344"/>
      <c r="AA59" s="344"/>
      <c r="AB59" s="344"/>
      <c r="AC59" s="344"/>
      <c r="AD59" s="344"/>
      <c r="AE59" s="344"/>
      <c r="AF59" s="344"/>
      <c r="AG59" s="344"/>
      <c r="AH59" s="344"/>
      <c r="AI59" s="585"/>
      <c r="AK59" s="108"/>
      <c r="AL59" s="108"/>
      <c r="AM59" s="108"/>
      <c r="AN59" s="108"/>
      <c r="AO59" s="137"/>
      <c r="AP59" s="137"/>
      <c r="AQ59" s="137"/>
      <c r="AR59" s="137"/>
      <c r="AS59" s="137"/>
      <c r="AT59" s="122"/>
      <c r="AU59" s="122"/>
      <c r="AV59" s="122"/>
      <c r="AW59" s="122"/>
      <c r="AX59" s="121"/>
      <c r="AY59" s="121"/>
      <c r="AZ59" s="121"/>
      <c r="BA59" s="121"/>
      <c r="BB59" s="121"/>
    </row>
    <row r="60" spans="2:54" s="37" customFormat="1" ht="13.5" customHeight="1" x14ac:dyDescent="0.2">
      <c r="N60" s="149" t="str">
        <f>" "&amp;ListAVS!$B$235</f>
        <v xml:space="preserve"> Konieczna ścianka środkowa</v>
      </c>
      <c r="T60" s="129"/>
      <c r="U60" s="585"/>
      <c r="V60" s="585"/>
      <c r="W60" s="585"/>
      <c r="X60" s="585"/>
      <c r="Y60" s="344"/>
      <c r="Z60" s="344"/>
      <c r="AA60" s="344"/>
      <c r="AB60" s="344"/>
      <c r="AC60" s="344"/>
      <c r="AD60" s="344"/>
      <c r="AE60" s="344"/>
      <c r="AF60" s="344"/>
      <c r="AG60" s="344"/>
      <c r="AH60" s="344"/>
      <c r="AI60" s="585"/>
      <c r="AK60" s="108"/>
      <c r="AL60" s="108"/>
      <c r="AM60" s="108"/>
      <c r="AN60" s="108"/>
      <c r="AO60" s="137"/>
      <c r="AP60" s="137"/>
      <c r="AQ60" s="137"/>
      <c r="AR60" s="137"/>
      <c r="AS60" s="137"/>
      <c r="AT60" s="122"/>
      <c r="AU60" s="122"/>
      <c r="AV60" s="122"/>
      <c r="AW60" s="122"/>
      <c r="AX60" s="121"/>
      <c r="AY60" s="121"/>
      <c r="AZ60" s="121"/>
      <c r="BA60" s="121"/>
      <c r="BB60" s="121"/>
    </row>
    <row r="61" spans="2:54" ht="13.5" customHeight="1" x14ac:dyDescent="0.2">
      <c r="N61" s="108"/>
      <c r="T61" s="129"/>
      <c r="U61" s="585"/>
      <c r="V61" s="585"/>
      <c r="W61" s="585"/>
      <c r="X61" s="585"/>
      <c r="Y61" s="344"/>
      <c r="Z61" s="344"/>
      <c r="AA61" s="344"/>
      <c r="AB61" s="344"/>
      <c r="AC61" s="344"/>
      <c r="AD61" s="344"/>
      <c r="AE61" s="344"/>
      <c r="AF61" s="344"/>
      <c r="AG61" s="344"/>
      <c r="AH61" s="344"/>
      <c r="AI61" s="585"/>
      <c r="AK61" s="108"/>
      <c r="AL61" s="108"/>
      <c r="AM61" s="108"/>
      <c r="AN61" s="108"/>
      <c r="AO61" s="137"/>
      <c r="AP61" s="137"/>
      <c r="AQ61" s="137"/>
      <c r="AR61" s="137"/>
      <c r="AS61" s="137"/>
    </row>
    <row r="62" spans="2:54" ht="13.5" customHeight="1" x14ac:dyDescent="0.2">
      <c r="N62" s="108"/>
      <c r="T62" s="129"/>
      <c r="U62" s="585"/>
      <c r="V62" s="585"/>
      <c r="W62" s="585"/>
      <c r="X62" s="585"/>
      <c r="Y62" s="344"/>
      <c r="Z62" s="344"/>
      <c r="AA62" s="344"/>
      <c r="AB62" s="344"/>
      <c r="AC62" s="344"/>
      <c r="AD62" s="344"/>
      <c r="AE62" s="344"/>
      <c r="AF62" s="344"/>
      <c r="AG62" s="344"/>
      <c r="AH62" s="344"/>
      <c r="AI62" s="585"/>
      <c r="AK62" s="108"/>
      <c r="AL62" s="108"/>
      <c r="AM62" s="108"/>
      <c r="AN62" s="108"/>
      <c r="AO62" s="137"/>
      <c r="AP62" s="137"/>
      <c r="AQ62" s="137"/>
      <c r="AR62" s="137"/>
      <c r="AS62" s="137"/>
    </row>
    <row r="63" spans="2:54" ht="13.5" customHeight="1" x14ac:dyDescent="0.2">
      <c r="N63" s="108"/>
      <c r="T63" s="129"/>
      <c r="U63" s="585"/>
      <c r="V63" s="585"/>
      <c r="W63" s="585"/>
      <c r="X63" s="585"/>
      <c r="Y63" s="344"/>
      <c r="Z63" s="344"/>
      <c r="AA63" s="344"/>
      <c r="AB63" s="344"/>
      <c r="AC63" s="344"/>
      <c r="AD63" s="344"/>
      <c r="AE63" s="344"/>
      <c r="AF63" s="344"/>
      <c r="AG63" s="344"/>
      <c r="AH63" s="344"/>
      <c r="AI63" s="585"/>
      <c r="AK63" s="108"/>
      <c r="AL63" s="108"/>
      <c r="AM63" s="108"/>
      <c r="AN63" s="108"/>
      <c r="AO63" s="137"/>
      <c r="AP63" s="137"/>
      <c r="AQ63" s="137"/>
      <c r="AR63" s="137"/>
      <c r="AS63" s="137"/>
    </row>
    <row r="64" spans="2:54" ht="13.5" customHeight="1" x14ac:dyDescent="0.2">
      <c r="N64" s="108"/>
      <c r="T64" s="129"/>
      <c r="U64" s="585"/>
      <c r="V64" s="585"/>
      <c r="W64" s="585"/>
      <c r="X64" s="585"/>
      <c r="Y64" s="344"/>
      <c r="Z64" s="344"/>
      <c r="AA64" s="344"/>
      <c r="AB64" s="344"/>
      <c r="AC64" s="344"/>
      <c r="AD64" s="344"/>
      <c r="AE64" s="344"/>
      <c r="AF64" s="344"/>
      <c r="AG64" s="344"/>
      <c r="AH64" s="344"/>
      <c r="AI64" s="585"/>
      <c r="AK64" s="108"/>
      <c r="AL64" s="108"/>
      <c r="AM64" s="108"/>
      <c r="AN64" s="108"/>
      <c r="AO64" s="137"/>
      <c r="AP64" s="137"/>
      <c r="AQ64" s="137"/>
      <c r="AR64" s="137"/>
      <c r="AS64" s="137"/>
    </row>
    <row r="65" spans="1:54" ht="13.5" customHeight="1" x14ac:dyDescent="0.2">
      <c r="N65" s="108"/>
      <c r="T65" s="129"/>
      <c r="U65" s="585"/>
      <c r="V65" s="585"/>
      <c r="W65" s="585"/>
      <c r="X65" s="585"/>
      <c r="Y65" s="344"/>
      <c r="Z65" s="344"/>
      <c r="AA65" s="344"/>
      <c r="AB65" s="344"/>
      <c r="AC65" s="344"/>
      <c r="AD65" s="344"/>
      <c r="AE65" s="344"/>
      <c r="AF65" s="344"/>
      <c r="AG65" s="344"/>
      <c r="AH65" s="344"/>
      <c r="AI65" s="585"/>
      <c r="AK65" s="108"/>
      <c r="AL65" s="108"/>
      <c r="AM65" s="108"/>
      <c r="AN65" s="108"/>
      <c r="AO65" s="137"/>
      <c r="AP65" s="137"/>
      <c r="AQ65" s="137"/>
      <c r="AR65" s="137"/>
      <c r="AS65" s="137"/>
    </row>
    <row r="66" spans="1:54" ht="13.5" customHeight="1" x14ac:dyDescent="0.2">
      <c r="N66" s="108"/>
      <c r="T66" s="129"/>
      <c r="U66" s="585"/>
      <c r="V66" s="585"/>
      <c r="W66" s="585"/>
      <c r="X66" s="585"/>
      <c r="Y66" s="344"/>
      <c r="Z66" s="344"/>
      <c r="AA66" s="344"/>
      <c r="AB66" s="344"/>
      <c r="AC66" s="344"/>
      <c r="AD66" s="344"/>
      <c r="AE66" s="344"/>
      <c r="AF66" s="344"/>
      <c r="AG66" s="344"/>
      <c r="AH66" s="344"/>
      <c r="AI66" s="585"/>
      <c r="AK66" s="108"/>
      <c r="AL66" s="108"/>
      <c r="AM66" s="108"/>
      <c r="AN66" s="108"/>
      <c r="AO66" s="137"/>
      <c r="AP66" s="137"/>
      <c r="AQ66" s="137"/>
      <c r="AR66" s="137"/>
      <c r="AS66" s="137"/>
    </row>
    <row r="67" spans="1:54" ht="13.5" customHeight="1" x14ac:dyDescent="0.2">
      <c r="N67" s="37" t="str">
        <f>ListAVS!B188&amp;". "</f>
        <v xml:space="preserve">W celu określenia rodzaju siłownika będzie wykorzystana podana waga. </v>
      </c>
      <c r="T67" s="129"/>
      <c r="U67" s="585"/>
      <c r="V67" s="585"/>
      <c r="W67" s="585"/>
      <c r="X67" s="585"/>
      <c r="Y67" s="585"/>
      <c r="Z67" s="585"/>
      <c r="AA67" s="585"/>
      <c r="AB67" s="585"/>
      <c r="AC67" s="585"/>
      <c r="AD67" s="585"/>
      <c r="AE67" s="585"/>
      <c r="AF67" s="585"/>
      <c r="AG67" s="585"/>
      <c r="AH67" s="585"/>
      <c r="AI67" s="585"/>
      <c r="AK67" s="108"/>
      <c r="AL67" s="108"/>
      <c r="AM67" s="108"/>
      <c r="AN67" s="108"/>
      <c r="AO67" s="137"/>
      <c r="AP67" s="137"/>
      <c r="AQ67" s="137"/>
      <c r="AR67" s="137"/>
      <c r="AS67" s="137"/>
    </row>
    <row r="68" spans="1:54" ht="13.5" customHeight="1" x14ac:dyDescent="0.2">
      <c r="N68" s="37" t="str">
        <f>ListAVS!B189&amp;". "</f>
        <v xml:space="preserve">W celu określenia rodzaju siłownika będzie wykorzystana obliczona waga. </v>
      </c>
      <c r="T68" s="128"/>
      <c r="U68" s="585"/>
      <c r="V68" s="585"/>
      <c r="W68" s="585"/>
      <c r="X68" s="585"/>
      <c r="Y68" s="585"/>
      <c r="Z68" s="585"/>
      <c r="AA68" s="585"/>
      <c r="AB68" s="585"/>
      <c r="AC68" s="585"/>
      <c r="AD68" s="585"/>
      <c r="AE68" s="585"/>
      <c r="AF68" s="585"/>
      <c r="AG68" s="585"/>
      <c r="AH68" s="585"/>
      <c r="AI68" s="585"/>
      <c r="AK68" s="108"/>
      <c r="AL68" s="108"/>
      <c r="AM68" s="108"/>
      <c r="AN68" s="108"/>
      <c r="AO68" s="137"/>
      <c r="AP68" s="137"/>
      <c r="AQ68" s="137"/>
      <c r="AR68" s="137"/>
      <c r="AS68" s="137"/>
    </row>
    <row r="69" spans="1:54" x14ac:dyDescent="0.2">
      <c r="N69" s="37" t="str">
        <f>ListAVS!B190</f>
        <v>Jeżeli chcesz wykorzystać obliczoną wagę, zmaż podaną wartość</v>
      </c>
      <c r="T69" s="129"/>
      <c r="U69" s="585"/>
      <c r="V69" s="585"/>
      <c r="W69" s="585"/>
      <c r="X69" s="585"/>
      <c r="Y69" s="585"/>
      <c r="Z69" s="585"/>
      <c r="AA69" s="585"/>
      <c r="AB69" s="585"/>
      <c r="AC69" s="585"/>
      <c r="AD69" s="585"/>
      <c r="AE69" s="585"/>
      <c r="AF69" s="585"/>
      <c r="AG69" s="585"/>
      <c r="AH69" s="585"/>
      <c r="AI69" s="585"/>
      <c r="AK69" s="108"/>
      <c r="AL69" s="108"/>
      <c r="AM69" s="108"/>
      <c r="AN69" s="108"/>
      <c r="AO69" s="137"/>
      <c r="AP69" s="137"/>
      <c r="AQ69" s="137"/>
      <c r="AR69" s="137"/>
      <c r="AS69" s="137"/>
    </row>
    <row r="70" spans="1:54" x14ac:dyDescent="0.2">
      <c r="N70" s="37" t="str">
        <f>ListAVS!B191</f>
        <v>Jeżeli chcesz wykorzystać podaną wagą, wpisz ją w pole</v>
      </c>
      <c r="T70" s="129"/>
      <c r="U70" s="585"/>
      <c r="V70" s="585"/>
      <c r="W70" s="585"/>
      <c r="X70" s="585"/>
      <c r="Y70" s="585"/>
      <c r="Z70" s="585"/>
      <c r="AA70" s="585"/>
      <c r="AB70" s="585"/>
      <c r="AC70" s="585"/>
      <c r="AD70" s="585"/>
      <c r="AE70" s="585"/>
      <c r="AF70" s="585"/>
      <c r="AG70" s="585"/>
      <c r="AH70" s="585"/>
      <c r="AI70" s="585"/>
      <c r="AK70" s="108"/>
      <c r="AL70" s="108"/>
      <c r="AM70" s="108"/>
      <c r="AN70" s="108"/>
      <c r="AO70" s="137"/>
      <c r="AP70" s="137"/>
      <c r="AQ70" s="137"/>
      <c r="AR70" s="137"/>
      <c r="AS70" s="137"/>
    </row>
    <row r="71" spans="1:54" x14ac:dyDescent="0.2">
      <c r="T71" s="129"/>
      <c r="U71" s="585"/>
      <c r="V71" s="585"/>
      <c r="W71" s="585"/>
      <c r="X71" s="585"/>
      <c r="Y71" s="585"/>
      <c r="Z71" s="585"/>
      <c r="AA71" s="585"/>
      <c r="AB71" s="585"/>
      <c r="AC71" s="585"/>
      <c r="AD71" s="585"/>
      <c r="AE71" s="585"/>
      <c r="AF71" s="585"/>
      <c r="AG71" s="585"/>
      <c r="AH71" s="585"/>
      <c r="AI71" s="585"/>
      <c r="AK71" s="108"/>
      <c r="AL71" s="108"/>
      <c r="AM71" s="108"/>
      <c r="AN71" s="108"/>
      <c r="AO71" s="137"/>
      <c r="AP71" s="137"/>
      <c r="AQ71" s="137"/>
      <c r="AR71" s="137"/>
      <c r="AS71" s="137"/>
    </row>
    <row r="72" spans="1:54" x14ac:dyDescent="0.2">
      <c r="T72" s="129"/>
      <c r="U72" s="585"/>
      <c r="V72" s="585"/>
      <c r="W72" s="585"/>
      <c r="X72" s="585"/>
      <c r="Y72" s="585"/>
      <c r="Z72" s="585"/>
      <c r="AA72" s="585"/>
      <c r="AB72" s="585"/>
      <c r="AC72" s="585"/>
      <c r="AD72" s="585"/>
      <c r="AE72" s="585"/>
      <c r="AF72" s="585"/>
      <c r="AG72" s="585"/>
      <c r="AH72" s="585"/>
      <c r="AI72" s="585"/>
      <c r="AK72" s="108"/>
      <c r="AL72" s="108"/>
      <c r="AM72" s="108"/>
      <c r="AN72" s="108"/>
      <c r="AO72" s="137"/>
      <c r="AP72" s="137"/>
      <c r="AQ72" s="137"/>
      <c r="AR72" s="137"/>
      <c r="AS72" s="137"/>
    </row>
    <row r="73" spans="1:54" x14ac:dyDescent="0.2">
      <c r="I73" s="144"/>
      <c r="AK73" s="108"/>
      <c r="AL73" s="108"/>
      <c r="AM73" s="108"/>
      <c r="AN73" s="108"/>
      <c r="AO73" s="137"/>
      <c r="AP73" s="137"/>
      <c r="AQ73" s="137"/>
      <c r="AR73" s="137"/>
      <c r="AS73" s="137"/>
    </row>
    <row r="74" spans="1:54" ht="12.75" x14ac:dyDescent="0.2">
      <c r="AJ74" s="255"/>
      <c r="AK74" s="108"/>
      <c r="AL74" s="108"/>
      <c r="AM74" s="108"/>
      <c r="AN74" s="108"/>
      <c r="AO74" s="137"/>
      <c r="AP74" s="137"/>
      <c r="AQ74" s="137"/>
      <c r="AR74" s="137"/>
      <c r="AS74" s="137"/>
    </row>
    <row r="75" spans="1:54" ht="12.75" x14ac:dyDescent="0.2">
      <c r="AJ75" s="255"/>
      <c r="AK75" s="670"/>
      <c r="AL75" s="670"/>
      <c r="AM75" s="670"/>
      <c r="AN75" s="670"/>
      <c r="AO75" s="137"/>
      <c r="AP75" s="137"/>
      <c r="AQ75" s="137"/>
      <c r="AR75" s="137"/>
      <c r="AS75" s="137"/>
    </row>
    <row r="76" spans="1:54" ht="12.75" x14ac:dyDescent="0.2">
      <c r="O76" s="37"/>
      <c r="Q76" s="37"/>
      <c r="X76" s="255"/>
      <c r="Y76" s="727" t="str">
        <f>IF($Z$82=1,$Z$83,IF($Z$82=2,$Z$84,IF($Z$82=3,$Z$85,IF($Z$82=4,$Z$86,IF($Z$82=5,$Z$87,IF($Z$82=6,$Z$88,IF($Z$82=7,$Z$89,$Z$90&amp;" "&amp;$Y$90&amp;"kg/m3")))))))&amp;" A~"&amp;$T$88&amp;"/ B~"&amp;$T$99&amp;"mm"</f>
        <v>Płyta kompaktowa (1350 kg/m3) A~0/ B~0mm</v>
      </c>
      <c r="Z76" s="248"/>
      <c r="AA76" s="255"/>
      <c r="AB76" s="248"/>
      <c r="AC76" s="255"/>
      <c r="AE76" s="255"/>
      <c r="AF76" s="255"/>
      <c r="AG76" s="255"/>
      <c r="AH76" s="255"/>
      <c r="AI76" s="255"/>
      <c r="AJ76" s="255"/>
      <c r="AK76" s="670"/>
      <c r="AL76" s="670"/>
      <c r="AM76" s="670"/>
      <c r="AN76" s="670"/>
      <c r="AO76" s="266"/>
      <c r="AP76" s="266"/>
      <c r="AQ76" s="266"/>
      <c r="AR76" s="266"/>
      <c r="AS76" s="266"/>
      <c r="AT76" s="277"/>
      <c r="AU76" s="277"/>
      <c r="AV76" s="277"/>
      <c r="AW76" s="277"/>
      <c r="AX76" s="253"/>
      <c r="AY76" s="253"/>
      <c r="AZ76" s="253"/>
      <c r="BA76" s="253"/>
      <c r="BB76" s="253"/>
    </row>
    <row r="77" spans="1:54" ht="12.75" x14ac:dyDescent="0.2">
      <c r="O77" s="37"/>
      <c r="Q77" s="37"/>
      <c r="X77" s="255"/>
      <c r="Y77" s="255" t="str">
        <f>" "&amp;ListAVS!$B$410</f>
        <v xml:space="preserve"> Możesz zmienić wartości we Wstępie do planowania</v>
      </c>
      <c r="Z77" s="248"/>
      <c r="AA77" s="255"/>
      <c r="AB77" s="248"/>
      <c r="AC77" s="255"/>
      <c r="AE77" s="255"/>
      <c r="AF77" s="255"/>
      <c r="AG77" s="255"/>
      <c r="AH77" s="255"/>
      <c r="AI77" s="255"/>
      <c r="AJ77" s="255"/>
      <c r="AK77" s="670"/>
      <c r="AL77" s="670"/>
      <c r="AM77" s="670"/>
      <c r="AN77" s="670"/>
      <c r="AO77" s="266"/>
      <c r="AP77" s="266"/>
      <c r="AQ77" s="266"/>
      <c r="AR77" s="266"/>
      <c r="AS77" s="266"/>
      <c r="AT77" s="277"/>
      <c r="AU77" s="277"/>
      <c r="AV77" s="277"/>
      <c r="AW77" s="277"/>
      <c r="AX77" s="253"/>
      <c r="AY77" s="253"/>
      <c r="AZ77" s="253"/>
      <c r="BA77" s="253"/>
      <c r="BB77" s="253"/>
    </row>
    <row r="78" spans="1:54" ht="12.75" x14ac:dyDescent="0.2">
      <c r="O78" s="37"/>
      <c r="Q78" s="37"/>
      <c r="X78" s="255"/>
      <c r="Y78" s="255" t="str">
        <f>" "&amp;ListAVS!$B$245&amp;" [kg/m3]"</f>
        <v xml:space="preserve"> Podaj masę objętościową [kg/m3]</v>
      </c>
      <c r="Z78" s="248"/>
      <c r="AA78" s="255"/>
      <c r="AB78" s="248"/>
      <c r="AC78" s="255"/>
      <c r="AE78" s="255"/>
      <c r="AF78" s="255"/>
      <c r="AG78" s="255"/>
      <c r="AH78" s="255"/>
      <c r="AI78" s="255"/>
      <c r="AJ78" s="255"/>
      <c r="AK78" s="670"/>
      <c r="AL78" s="670"/>
      <c r="AM78" s="670"/>
      <c r="AN78" s="670"/>
      <c r="AO78" s="266"/>
      <c r="AP78" s="266"/>
      <c r="AQ78" s="266"/>
      <c r="AR78" s="266"/>
      <c r="AS78" s="266"/>
      <c r="AT78" s="277"/>
      <c r="AU78" s="277"/>
      <c r="AV78" s="277"/>
      <c r="AW78" s="277"/>
      <c r="AX78" s="253"/>
      <c r="AY78" s="253"/>
      <c r="AZ78" s="253"/>
      <c r="BA78" s="253"/>
      <c r="BB78" s="253"/>
    </row>
    <row r="79" spans="1:54" s="253" customFormat="1" ht="15" customHeight="1" x14ac:dyDescent="0.2">
      <c r="A79" s="37"/>
      <c r="B79" s="266"/>
      <c r="C79" s="266"/>
      <c r="D79" s="266"/>
      <c r="E79" s="266"/>
      <c r="F79" s="266"/>
      <c r="G79" s="266"/>
      <c r="H79" s="266"/>
      <c r="I79" s="266"/>
      <c r="J79" s="266"/>
      <c r="K79" s="266"/>
      <c r="L79" s="266"/>
      <c r="M79" s="266"/>
      <c r="N79" s="517" t="str">
        <f>ListAVS!$B$73</f>
        <v>Obliczanie wagi frontów</v>
      </c>
      <c r="O79" s="518"/>
      <c r="P79" s="518"/>
      <c r="Q79" s="518"/>
      <c r="R79" s="518"/>
      <c r="S79" s="518"/>
      <c r="T79" s="255"/>
      <c r="U79" s="255"/>
      <c r="V79" s="255"/>
      <c r="W79" s="255"/>
      <c r="X79" s="255"/>
      <c r="Y79" s="255" t="str">
        <f>" "&amp;ListAVS!$B$241&amp;" '"&amp;ListAVS!$B$92&amp;"'"</f>
        <v xml:space="preserve"> Wartość obowiązuje tylko dla opcji 'Inne – wybrana gęstość materiału'</v>
      </c>
      <c r="Z79" s="248"/>
      <c r="AA79" s="255"/>
      <c r="AB79" s="248"/>
      <c r="AC79" s="255"/>
      <c r="AD79" s="266"/>
      <c r="AE79" s="255"/>
      <c r="AF79" s="255"/>
      <c r="AG79" s="255"/>
      <c r="AH79" s="255"/>
      <c r="AI79" s="255"/>
      <c r="AJ79" s="255"/>
      <c r="AK79" s="670"/>
      <c r="AL79" s="670"/>
      <c r="AM79" s="670"/>
      <c r="AN79" s="670"/>
      <c r="AO79" s="266"/>
      <c r="AP79" s="266"/>
      <c r="AQ79" s="266"/>
      <c r="AR79" s="266"/>
      <c r="AS79" s="266"/>
      <c r="AT79" s="277"/>
      <c r="AU79" s="277"/>
      <c r="AV79" s="277"/>
      <c r="AW79" s="277"/>
    </row>
    <row r="80" spans="1:54" s="253" customFormat="1" ht="15.6" customHeight="1" x14ac:dyDescent="0.2">
      <c r="A80" s="37"/>
      <c r="B80" s="266"/>
      <c r="C80" s="266"/>
      <c r="D80" s="266"/>
      <c r="E80" s="266"/>
      <c r="F80" s="266"/>
      <c r="G80" s="266"/>
      <c r="H80" s="266"/>
      <c r="I80" s="266"/>
      <c r="J80" s="266"/>
      <c r="K80" s="266"/>
      <c r="L80" s="266"/>
      <c r="M80" s="266"/>
      <c r="N80" s="255"/>
      <c r="O80" s="255"/>
      <c r="P80" s="269" t="str">
        <f>ListAVS!$D$26&amp;"           "</f>
        <v xml:space="preserve">           </v>
      </c>
      <c r="Q80" s="255"/>
      <c r="R80" s="255"/>
      <c r="S80" s="255"/>
      <c r="T80" s="829">
        <f>J4</f>
        <v>0</v>
      </c>
      <c r="U80" s="262" t="str">
        <f>IF(Z82=8,IF(T80=0,Y78," "),IF(T80&gt;0,Y79," "))</f>
        <v xml:space="preserve"> </v>
      </c>
      <c r="V80" s="255"/>
      <c r="W80" s="255"/>
      <c r="X80" s="255"/>
      <c r="Y80" s="255"/>
      <c r="Z80" s="248"/>
      <c r="AA80" s="255"/>
      <c r="AB80" s="248"/>
      <c r="AC80" s="255"/>
      <c r="AD80" s="266"/>
      <c r="AE80" s="255"/>
      <c r="AF80" s="255"/>
      <c r="AG80" s="255"/>
      <c r="AH80" s="255"/>
      <c r="AI80" s="255"/>
      <c r="AJ80" s="255"/>
      <c r="AK80" s="670"/>
      <c r="AL80" s="670"/>
      <c r="AM80" s="670"/>
      <c r="AN80" s="670"/>
      <c r="AO80" s="266"/>
      <c r="AP80" s="266"/>
      <c r="AQ80" s="266"/>
      <c r="AR80" s="266"/>
      <c r="AS80" s="266"/>
      <c r="AT80" s="277"/>
      <c r="AU80" s="277"/>
      <c r="AV80" s="277"/>
      <c r="AW80" s="277"/>
    </row>
    <row r="81" spans="1:54" s="253" customFormat="1" ht="15" customHeight="1" x14ac:dyDescent="0.2">
      <c r="A81" s="37"/>
      <c r="B81" s="266"/>
      <c r="C81" s="266"/>
      <c r="D81" s="266"/>
      <c r="E81" s="266"/>
      <c r="F81" s="266"/>
      <c r="G81" s="266"/>
      <c r="H81" s="266"/>
      <c r="I81" s="266"/>
      <c r="J81" s="266"/>
      <c r="K81" s="266"/>
      <c r="L81" s="266"/>
      <c r="M81" s="266"/>
      <c r="N81" s="1167" t="str">
        <f>IF($Z$82&lt;&gt;8,$Y$77," ")&amp;"      "</f>
        <v xml:space="preserve"> Możesz zmienić wartości we Wstępie do planowania      </v>
      </c>
      <c r="O81" s="1167"/>
      <c r="P81" s="1167"/>
      <c r="Q81" s="1167"/>
      <c r="R81" s="1167"/>
      <c r="S81" s="1167"/>
      <c r="T81" s="1168"/>
      <c r="U81" s="255"/>
      <c r="V81" s="255"/>
      <c r="W81" s="255"/>
      <c r="X81" s="255"/>
      <c r="Y81" s="255"/>
      <c r="Z81" s="255"/>
      <c r="AA81" s="519">
        <f>IF(OR(T88&lt;8, T88&gt;14), 0, 1)</f>
        <v>0</v>
      </c>
      <c r="AB81" s="519"/>
      <c r="AC81" s="520"/>
      <c r="AD81" s="266"/>
      <c r="AE81" s="521"/>
      <c r="AF81" s="255"/>
      <c r="AG81" s="255"/>
      <c r="AH81" s="255"/>
      <c r="AI81" s="255"/>
      <c r="AJ81" s="255"/>
      <c r="AK81" s="670"/>
      <c r="AL81" s="670"/>
      <c r="AM81" s="670"/>
      <c r="AN81" s="670"/>
      <c r="AO81" s="266"/>
      <c r="AP81" s="266"/>
      <c r="AQ81" s="266"/>
      <c r="AR81" s="266"/>
      <c r="AS81" s="266"/>
      <c r="AT81" s="277"/>
      <c r="AU81" s="277"/>
      <c r="AV81" s="277"/>
      <c r="AW81" s="277"/>
    </row>
    <row r="82" spans="1:54" s="253" customFormat="1" ht="15" customHeight="1" x14ac:dyDescent="0.2">
      <c r="A82" s="37"/>
      <c r="B82" s="266"/>
      <c r="C82" s="266"/>
      <c r="D82" s="266"/>
      <c r="E82" s="266"/>
      <c r="F82" s="266"/>
      <c r="G82" s="266"/>
      <c r="H82" s="266"/>
      <c r="I82" s="266"/>
      <c r="J82" s="266"/>
      <c r="K82" s="266"/>
      <c r="L82" s="266"/>
      <c r="M82" s="266"/>
      <c r="N82" s="266"/>
      <c r="O82" s="255"/>
      <c r="P82" s="255"/>
      <c r="Q82" s="255"/>
      <c r="R82" s="255"/>
      <c r="S82" s="255"/>
      <c r="T82" s="255"/>
      <c r="U82" s="255"/>
      <c r="V82" s="255"/>
      <c r="W82" s="255"/>
      <c r="X82" s="255"/>
      <c r="Y82" s="255">
        <f>IF(AA$81=1, T86*T87*T88/1000000000, 0)</f>
        <v>0</v>
      </c>
      <c r="Z82" s="523">
        <v>3</v>
      </c>
      <c r="AA82" s="524" t="s">
        <v>86</v>
      </c>
      <c r="AB82" s="519"/>
      <c r="AC82" s="520"/>
      <c r="AD82" s="266"/>
      <c r="AE82" s="525"/>
      <c r="AF82" s="255"/>
      <c r="AG82" s="255"/>
      <c r="AH82" s="255"/>
      <c r="AI82" s="248"/>
      <c r="AJ82" s="255"/>
      <c r="AK82" s="670"/>
      <c r="AL82" s="670"/>
      <c r="AM82" s="670"/>
      <c r="AN82" s="670"/>
      <c r="AO82" s="266"/>
      <c r="AP82" s="266"/>
      <c r="AQ82" s="266"/>
      <c r="AR82" s="266"/>
      <c r="AS82" s="266"/>
      <c r="AT82" s="248"/>
      <c r="AU82" s="248"/>
      <c r="AV82" s="248"/>
      <c r="AW82" s="248"/>
      <c r="AX82" s="248"/>
      <c r="AY82" s="248"/>
      <c r="AZ82" s="248"/>
      <c r="BA82" s="248"/>
      <c r="BB82" s="248"/>
    </row>
    <row r="83" spans="1:54" s="253" customFormat="1" ht="15" customHeight="1" x14ac:dyDescent="0.2">
      <c r="A83" s="37"/>
      <c r="B83" s="266"/>
      <c r="C83" s="266"/>
      <c r="D83" s="266"/>
      <c r="E83" s="266"/>
      <c r="F83" s="266"/>
      <c r="G83" s="266"/>
      <c r="H83" s="266"/>
      <c r="I83" s="266"/>
      <c r="J83" s="266"/>
      <c r="K83" s="266"/>
      <c r="L83" s="266"/>
      <c r="M83" s="266"/>
      <c r="N83" s="266"/>
      <c r="O83" s="255"/>
      <c r="P83" s="255"/>
      <c r="Q83" s="255"/>
      <c r="R83" s="255"/>
      <c r="S83" s="255"/>
      <c r="T83" s="255"/>
      <c r="U83" s="255"/>
      <c r="V83" s="255"/>
      <c r="W83" s="255"/>
      <c r="X83" s="255"/>
      <c r="Y83" s="603">
        <f>MenuAVS!$C31</f>
        <v>760</v>
      </c>
      <c r="Z83" s="262" t="str">
        <f>ListAVS!$B$90&amp;" ("&amp;Y83&amp;" kg/m3)"</f>
        <v>MDF (760 kg/m3)</v>
      </c>
      <c r="AA83" s="433"/>
      <c r="AB83" s="248"/>
      <c r="AC83" s="255"/>
      <c r="AD83" s="266"/>
      <c r="AE83" s="525"/>
      <c r="AF83" s="255"/>
      <c r="AG83" s="255"/>
      <c r="AH83" s="255"/>
      <c r="AI83" s="248"/>
      <c r="AJ83" s="255"/>
      <c r="AK83" s="670"/>
      <c r="AL83" s="670"/>
      <c r="AM83" s="670"/>
      <c r="AN83" s="670"/>
      <c r="AO83" s="266"/>
      <c r="AP83" s="266"/>
      <c r="AQ83" s="266"/>
      <c r="AR83" s="266"/>
      <c r="AS83" s="266"/>
      <c r="AT83" s="248"/>
      <c r="AU83" s="248"/>
      <c r="AV83" s="248"/>
      <c r="AW83" s="248"/>
      <c r="AX83" s="248"/>
      <c r="AY83" s="248"/>
      <c r="AZ83" s="248"/>
      <c r="BA83" s="248"/>
      <c r="BB83" s="248"/>
    </row>
    <row r="84" spans="1:54" s="253" customFormat="1" ht="15" customHeight="1" x14ac:dyDescent="0.2">
      <c r="A84" s="37"/>
      <c r="B84" s="266"/>
      <c r="C84" s="266"/>
      <c r="D84" s="266"/>
      <c r="E84" s="266"/>
      <c r="F84" s="266"/>
      <c r="G84" s="266"/>
      <c r="H84" s="266"/>
      <c r="I84" s="266"/>
      <c r="J84" s="266"/>
      <c r="K84" s="266"/>
      <c r="L84" s="266"/>
      <c r="M84" s="266"/>
      <c r="N84" s="255"/>
      <c r="O84" s="255"/>
      <c r="P84" s="255"/>
      <c r="Q84" s="255"/>
      <c r="R84" s="255"/>
      <c r="S84" s="255"/>
      <c r="T84" s="255"/>
      <c r="U84" s="255"/>
      <c r="V84" s="255"/>
      <c r="W84" s="255"/>
      <c r="X84" s="255"/>
      <c r="Y84" s="603">
        <f>MenuAVS!$C32</f>
        <v>680</v>
      </c>
      <c r="Z84" s="262" t="str">
        <f>ListAVS!$B$91&amp;" ("&amp;Y84&amp;" kg/m3)"</f>
        <v>Płyta wiórowa (680 kg/m3)</v>
      </c>
      <c r="AA84" s="433"/>
      <c r="AB84" s="248"/>
      <c r="AC84" s="255"/>
      <c r="AD84" s="266"/>
      <c r="AE84" s="525"/>
      <c r="AF84" s="255"/>
      <c r="AG84" s="255"/>
      <c r="AH84" s="255"/>
      <c r="AI84" s="248"/>
      <c r="AJ84" s="255"/>
      <c r="AK84" s="670"/>
      <c r="AL84" s="670"/>
      <c r="AM84" s="670"/>
      <c r="AN84" s="670"/>
      <c r="AO84" s="266"/>
      <c r="AP84" s="266"/>
      <c r="AQ84" s="266"/>
      <c r="AR84" s="266"/>
      <c r="AS84" s="266"/>
      <c r="AT84" s="248"/>
      <c r="AU84" s="248"/>
      <c r="AV84" s="248"/>
      <c r="AW84" s="248"/>
      <c r="AX84" s="248"/>
      <c r="AY84" s="248"/>
      <c r="AZ84" s="248"/>
      <c r="BA84" s="248"/>
      <c r="BB84" s="248"/>
    </row>
    <row r="85" spans="1:54" s="253" customFormat="1" ht="15" customHeight="1" x14ac:dyDescent="0.2">
      <c r="A85" s="37"/>
      <c r="B85" s="266"/>
      <c r="C85" s="266"/>
      <c r="D85" s="266"/>
      <c r="E85" s="266"/>
      <c r="F85" s="266"/>
      <c r="G85" s="266"/>
      <c r="H85" s="266"/>
      <c r="I85" s="266"/>
      <c r="J85" s="266"/>
      <c r="K85" s="266"/>
      <c r="L85" s="266"/>
      <c r="M85" s="266"/>
      <c r="N85" s="266"/>
      <c r="O85" s="266"/>
      <c r="P85" s="266"/>
      <c r="Q85" s="255"/>
      <c r="R85" s="1148" t="str">
        <f>D9</f>
        <v xml:space="preserve"> </v>
      </c>
      <c r="S85" s="1149"/>
      <c r="T85" s="1150"/>
      <c r="U85" s="255"/>
      <c r="V85" s="255"/>
      <c r="W85" s="255"/>
      <c r="X85" s="255"/>
      <c r="Y85" s="603">
        <f>MenuAVS!$F31</f>
        <v>1350</v>
      </c>
      <c r="Z85" s="262" t="str">
        <f>ListAVS!$B$96&amp;" ("&amp;Y85&amp;" kg/m3)"</f>
        <v>Płyta kompaktowa (1350 kg/m3)</v>
      </c>
      <c r="AA85" s="527"/>
      <c r="AB85" s="527"/>
      <c r="AC85" s="521"/>
      <c r="AD85" s="266"/>
      <c r="AE85" s="521"/>
      <c r="AF85" s="255"/>
      <c r="AG85" s="255"/>
      <c r="AH85" s="255"/>
      <c r="AI85" s="248"/>
      <c r="AJ85" s="255"/>
      <c r="AK85" s="670"/>
      <c r="AL85" s="670"/>
      <c r="AM85" s="670"/>
      <c r="AN85" s="670"/>
      <c r="AO85" s="266"/>
      <c r="AP85" s="266"/>
      <c r="AQ85" s="266"/>
      <c r="AR85" s="266"/>
      <c r="AS85" s="266"/>
      <c r="AT85" s="248"/>
      <c r="AU85" s="248"/>
      <c r="AV85" s="248"/>
      <c r="AW85" s="248"/>
      <c r="AX85" s="248"/>
      <c r="AY85" s="248"/>
      <c r="AZ85" s="248"/>
      <c r="BA85" s="248"/>
      <c r="BB85" s="248"/>
    </row>
    <row r="86" spans="1:54" s="248" customFormat="1" ht="15" customHeight="1" x14ac:dyDescent="0.2">
      <c r="A86" s="37"/>
      <c r="N86" s="1163" t="str">
        <f>ListAVS!$B$74&amp;" KB [mm]       "</f>
        <v xml:space="preserve">Szerokość korpusu KB [mm]       </v>
      </c>
      <c r="O86" s="1164"/>
      <c r="P86" s="1164"/>
      <c r="Q86" s="1164"/>
      <c r="R86" s="1164"/>
      <c r="S86" s="1165"/>
      <c r="T86" s="829">
        <f>H10</f>
        <v>0</v>
      </c>
      <c r="U86" s="670"/>
      <c r="W86" s="255"/>
      <c r="X86" s="255"/>
      <c r="Y86" s="603">
        <f>MenuAVS!$F32</f>
        <v>1700</v>
      </c>
      <c r="Z86" s="262" t="str">
        <f>ListAVS!$B$97&amp;" ("&amp;Y86&amp;" kg/m3)"</f>
        <v>Płyta kompozytowa (1700 kg/m3)</v>
      </c>
      <c r="AA86" s="527"/>
      <c r="AB86" s="527"/>
      <c r="AC86" s="521"/>
      <c r="AE86" s="521"/>
      <c r="AF86" s="255"/>
      <c r="AG86" s="255"/>
      <c r="AH86" s="255"/>
      <c r="AJ86" s="255"/>
      <c r="AK86" s="670"/>
      <c r="AL86" s="670"/>
      <c r="AM86" s="670"/>
      <c r="AN86" s="670"/>
      <c r="AO86" s="266"/>
      <c r="AP86" s="266"/>
      <c r="AQ86" s="266"/>
      <c r="AR86" s="266"/>
      <c r="AS86" s="266"/>
    </row>
    <row r="87" spans="1:54" s="248" customFormat="1" ht="15" customHeight="1" x14ac:dyDescent="0.2">
      <c r="A87" s="37"/>
      <c r="N87" s="1163" t="str">
        <f>ListAVS!$B$75&amp;" KH [mm]       "</f>
        <v xml:space="preserve">Wysokość korpusu KH [mm]       </v>
      </c>
      <c r="O87" s="1164"/>
      <c r="P87" s="1164"/>
      <c r="Q87" s="1164"/>
      <c r="R87" s="1164"/>
      <c r="S87" s="1165"/>
      <c r="T87" s="829">
        <f>H11</f>
        <v>0</v>
      </c>
      <c r="U87" s="670"/>
      <c r="W87" s="255"/>
      <c r="X87" s="255"/>
      <c r="Y87" s="603">
        <f>MenuAVS!$F33</f>
        <v>2600</v>
      </c>
      <c r="Z87" s="262" t="str">
        <f>ListAVS!$B$98&amp;" ("&amp;Y87&amp;" kg/m3)"</f>
        <v>Kamień (2600 kg/m3)</v>
      </c>
      <c r="AA87" s="527"/>
      <c r="AB87" s="527"/>
      <c r="AC87" s="521"/>
      <c r="AE87" s="521"/>
      <c r="AF87" s="255"/>
      <c r="AG87" s="255"/>
      <c r="AH87" s="255"/>
      <c r="AI87" s="255"/>
      <c r="AJ87" s="255"/>
      <c r="AK87" s="670"/>
      <c r="AL87" s="670"/>
      <c r="AM87" s="670"/>
      <c r="AN87" s="670"/>
      <c r="AO87" s="266"/>
      <c r="AP87" s="266"/>
      <c r="AQ87" s="266"/>
      <c r="AR87" s="266"/>
      <c r="AS87" s="266"/>
      <c r="AT87" s="277"/>
      <c r="AU87" s="277"/>
      <c r="AV87" s="277"/>
      <c r="AW87" s="277"/>
      <c r="AX87" s="253"/>
      <c r="AY87" s="253"/>
      <c r="AZ87" s="253"/>
      <c r="BA87" s="253"/>
      <c r="BB87" s="253"/>
    </row>
    <row r="88" spans="1:54" s="248" customFormat="1" ht="15" customHeight="1" x14ac:dyDescent="0.2">
      <c r="A88" s="37"/>
      <c r="N88" s="1143" t="str">
        <f>ListAVS!$B$80&amp;" TS [mm] "</f>
        <v xml:space="preserve">Grubość frontu TS [mm] </v>
      </c>
      <c r="O88" s="1144"/>
      <c r="P88" s="1144"/>
      <c r="Q88" s="1144"/>
      <c r="R88" s="1144"/>
      <c r="S88" s="1145"/>
      <c r="T88" s="829">
        <f>H13</f>
        <v>0</v>
      </c>
      <c r="U88" s="256" t="str">
        <f>IF(SUM(T86,T87)=0," ",IF(T88=0," ● "&amp;ListAVS!$B$129, IF(T88&lt;8," min 8 mm!",IF(T88&gt;14," max. 14 mm!"," "))))</f>
        <v xml:space="preserve"> </v>
      </c>
      <c r="W88" s="255"/>
      <c r="X88" s="255"/>
      <c r="Y88" s="603">
        <f>MenuAVS!$I31</f>
        <v>2400</v>
      </c>
      <c r="Z88" s="262" t="str">
        <f>ListAVS!$B$99&amp;" ("&amp;Y88&amp;" kg/m3)"</f>
        <v>Ceramika (2400 kg/m3)</v>
      </c>
      <c r="AA88" s="527"/>
      <c r="AB88" s="527"/>
      <c r="AC88" s="521"/>
      <c r="AE88" s="521"/>
      <c r="AF88" s="255"/>
      <c r="AG88" s="255"/>
      <c r="AH88" s="255"/>
      <c r="AI88" s="255"/>
      <c r="AJ88" s="255"/>
      <c r="AK88" s="670"/>
      <c r="AL88" s="670"/>
      <c r="AM88" s="670"/>
      <c r="AN88" s="670"/>
      <c r="AO88" s="266"/>
      <c r="AP88" s="266"/>
      <c r="AQ88" s="266"/>
      <c r="AR88" s="266"/>
      <c r="AS88" s="266"/>
      <c r="AT88" s="277"/>
      <c r="AU88" s="277"/>
      <c r="AV88" s="277"/>
      <c r="AW88" s="277"/>
      <c r="AX88" s="253"/>
      <c r="AY88" s="253"/>
      <c r="AZ88" s="253"/>
      <c r="BA88" s="253"/>
      <c r="BB88" s="253"/>
    </row>
    <row r="89" spans="1:54" s="248" customFormat="1" ht="15" customHeight="1" x14ac:dyDescent="0.2">
      <c r="A89" s="37"/>
      <c r="N89" s="1143" t="str">
        <f>ListAVS!$B$83&amp;" [kg] "</f>
        <v xml:space="preserve">Waga uchwytu [kg] </v>
      </c>
      <c r="O89" s="1144"/>
      <c r="P89" s="1144"/>
      <c r="Q89" s="1144"/>
      <c r="R89" s="1144"/>
      <c r="S89" s="1145"/>
      <c r="T89" s="829">
        <f>H14</f>
        <v>0</v>
      </c>
      <c r="U89" s="256" t="str">
        <f>IF(SUM(T86,T87)=0," ",IF(T89=0," ● "&amp;ListAVS!$B$130," "))</f>
        <v xml:space="preserve"> </v>
      </c>
      <c r="W89" s="255"/>
      <c r="X89" s="255"/>
      <c r="Y89" s="603">
        <f>MenuAVS!$I32</f>
        <v>2300</v>
      </c>
      <c r="Z89" s="262" t="str">
        <f>ListAVS!$B$100&amp;" ("&amp;Y89&amp;" kg/m3)"</f>
        <v>Beton (2300 kg/m3)</v>
      </c>
      <c r="AA89" s="527"/>
      <c r="AB89" s="527"/>
      <c r="AC89" s="521"/>
      <c r="AE89" s="521"/>
      <c r="AF89" s="255"/>
      <c r="AG89" s="255"/>
      <c r="AH89" s="255"/>
      <c r="AJ89" s="255"/>
      <c r="AK89" s="670"/>
      <c r="AL89" s="670"/>
      <c r="AM89" s="670"/>
      <c r="AN89" s="670"/>
      <c r="AO89" s="266"/>
      <c r="AP89" s="266"/>
      <c r="AQ89" s="266"/>
      <c r="AR89" s="266"/>
      <c r="AS89" s="266"/>
    </row>
    <row r="90" spans="1:54" s="248" customFormat="1" ht="15" customHeight="1" x14ac:dyDescent="0.2">
      <c r="A90" s="37"/>
      <c r="N90" s="1143" t="str">
        <f>ListAVS!$B$79&amp;" [kg] "</f>
        <v xml:space="preserve">Obliczona waga frontu [kg] </v>
      </c>
      <c r="O90" s="1144"/>
      <c r="P90" s="1144"/>
      <c r="Q90" s="1144"/>
      <c r="R90" s="1144"/>
      <c r="S90" s="1145"/>
      <c r="T90" s="829">
        <f>IF(X90=0,0,X90+T89)</f>
        <v>0</v>
      </c>
      <c r="U90" s="227"/>
      <c r="W90" s="255"/>
      <c r="X90" s="528">
        <f>IF(T86*T87*T88=0,0,IF(Z82=1,Y82*Y83,IF(Z82=2,Y82*Y84, IF(Z82=3,Y82*Y85, IF(Z82=4, Y82*Y86, IF(Z82=5, Y82*Y87, IF(Z82=6, Y82*Y88, IF(Z82=7, Y82*Y89, Y82*Y90))))))))</f>
        <v>0</v>
      </c>
      <c r="Y90" s="274">
        <f>$T$80</f>
        <v>0</v>
      </c>
      <c r="Z90" s="262" t="str">
        <f>ListAVS!$B$92</f>
        <v>Inne – wybrana gęstość materiału</v>
      </c>
      <c r="AC90" s="255"/>
      <c r="AE90" s="529"/>
      <c r="AF90" s="255"/>
      <c r="AG90" s="255"/>
      <c r="AH90" s="255"/>
      <c r="AJ90" s="255"/>
      <c r="AK90" s="670"/>
      <c r="AL90" s="670"/>
      <c r="AM90" s="670"/>
      <c r="AN90" s="670"/>
      <c r="AO90" s="266"/>
      <c r="AP90" s="266"/>
      <c r="AQ90" s="266"/>
      <c r="AR90" s="266"/>
      <c r="AS90" s="266"/>
    </row>
    <row r="91" spans="1:54" s="253" customFormat="1" ht="15" customHeight="1" x14ac:dyDescent="0.2">
      <c r="A91" s="37"/>
      <c r="B91" s="266"/>
      <c r="C91" s="266"/>
      <c r="D91" s="266"/>
      <c r="E91" s="266"/>
      <c r="F91" s="266"/>
      <c r="G91" s="266"/>
      <c r="H91" s="266"/>
      <c r="I91" s="266"/>
      <c r="J91" s="266"/>
      <c r="K91" s="266"/>
      <c r="L91" s="266"/>
      <c r="M91" s="266"/>
      <c r="N91" s="255"/>
      <c r="O91" s="273" t="str">
        <f>IF(T90&gt;0,IF(T89=0,$Y$106," ")," ")</f>
        <v xml:space="preserve"> </v>
      </c>
      <c r="P91" s="255"/>
      <c r="Q91" s="255"/>
      <c r="R91" s="255"/>
      <c r="S91" s="255"/>
      <c r="T91" s="255"/>
      <c r="U91" s="255"/>
      <c r="V91" s="255"/>
      <c r="W91" s="255"/>
      <c r="X91" s="266"/>
      <c r="Y91" s="266"/>
      <c r="Z91" s="266"/>
      <c r="AA91" s="266"/>
      <c r="AB91" s="266"/>
      <c r="AC91" s="266"/>
      <c r="AD91" s="266"/>
      <c r="AE91" s="266"/>
      <c r="AF91" s="530"/>
      <c r="AG91" s="530"/>
      <c r="AH91" s="530"/>
      <c r="AI91" s="248"/>
      <c r="AJ91" s="255"/>
      <c r="AK91" s="670"/>
      <c r="AL91" s="670"/>
      <c r="AM91" s="670"/>
      <c r="AN91" s="670"/>
      <c r="AO91" s="266"/>
      <c r="AP91" s="266"/>
      <c r="AQ91" s="266"/>
      <c r="AR91" s="266"/>
      <c r="AS91" s="266"/>
      <c r="AT91" s="248"/>
      <c r="AU91" s="248"/>
      <c r="AV91" s="248"/>
      <c r="AW91" s="248"/>
      <c r="AX91" s="248"/>
      <c r="AY91" s="248"/>
      <c r="AZ91" s="248"/>
      <c r="BA91" s="248"/>
      <c r="BB91" s="248"/>
    </row>
    <row r="92" spans="1:54" s="253" customFormat="1" ht="15" customHeight="1" x14ac:dyDescent="0.2">
      <c r="A92" s="37"/>
      <c r="B92" s="266"/>
      <c r="C92" s="266"/>
      <c r="D92" s="266"/>
      <c r="E92" s="266"/>
      <c r="F92" s="266"/>
      <c r="G92" s="266"/>
      <c r="H92" s="266"/>
      <c r="I92" s="266"/>
      <c r="J92" s="266"/>
      <c r="K92" s="266"/>
      <c r="L92" s="266"/>
      <c r="M92" s="266"/>
      <c r="N92" s="255"/>
      <c r="O92" s="273"/>
      <c r="P92" s="255"/>
      <c r="Q92" s="255"/>
      <c r="R92" s="255"/>
      <c r="S92" s="255"/>
      <c r="T92" s="255"/>
      <c r="U92" s="255"/>
      <c r="V92" s="255"/>
      <c r="W92" s="255"/>
      <c r="X92" s="255"/>
      <c r="Y92" s="255"/>
      <c r="Z92" s="255"/>
      <c r="AA92" s="519">
        <f>IF(OR(T99&lt;8, T99&gt;14), 0, 1)</f>
        <v>0</v>
      </c>
      <c r="AB92" s="519"/>
      <c r="AC92" s="520"/>
      <c r="AD92" s="266"/>
      <c r="AE92" s="266"/>
      <c r="AF92" s="255"/>
      <c r="AG92" s="255"/>
      <c r="AH92" s="255"/>
      <c r="AI92" s="255"/>
      <c r="AJ92" s="255"/>
      <c r="AK92" s="670"/>
      <c r="AL92" s="670"/>
      <c r="AM92" s="670"/>
      <c r="AN92" s="670"/>
      <c r="AO92" s="266"/>
      <c r="AP92" s="266"/>
      <c r="AQ92" s="266"/>
      <c r="AR92" s="266"/>
      <c r="AS92" s="266"/>
      <c r="AT92" s="248"/>
      <c r="AU92" s="248"/>
      <c r="AV92" s="248"/>
      <c r="AW92" s="248"/>
      <c r="AX92" s="248"/>
      <c r="AY92" s="248"/>
      <c r="AZ92" s="248"/>
      <c r="BA92" s="248"/>
      <c r="BB92" s="248"/>
    </row>
    <row r="93" spans="1:54" s="248" customFormat="1" ht="15" customHeight="1" x14ac:dyDescent="0.2">
      <c r="A93" s="37"/>
      <c r="N93" s="255"/>
      <c r="O93" s="273"/>
      <c r="P93" s="255"/>
      <c r="Q93" s="255"/>
      <c r="R93" s="255"/>
      <c r="S93" s="255"/>
      <c r="T93" s="255"/>
      <c r="U93" s="255"/>
      <c r="V93" s="255"/>
      <c r="W93" s="255"/>
      <c r="X93" s="255"/>
      <c r="Y93" s="255">
        <f>IF(AA$92=1, T97*T98*T99/1000000000, 0)</f>
        <v>0</v>
      </c>
      <c r="Z93" s="526">
        <f>Z82</f>
        <v>3</v>
      </c>
      <c r="AA93" s="524" t="s">
        <v>86</v>
      </c>
      <c r="AB93" s="519"/>
      <c r="AC93" s="520"/>
      <c r="AF93" s="521"/>
      <c r="AG93" s="521"/>
      <c r="AH93" s="521"/>
      <c r="AI93" s="521"/>
      <c r="AJ93" s="255"/>
      <c r="AK93" s="670"/>
      <c r="AL93" s="670"/>
      <c r="AM93" s="670"/>
      <c r="AN93" s="670"/>
      <c r="AO93" s="266"/>
      <c r="AP93" s="266"/>
      <c r="AQ93" s="266"/>
      <c r="AR93" s="266"/>
      <c r="AS93" s="266"/>
    </row>
    <row r="94" spans="1:54" s="248" customFormat="1" ht="15" customHeight="1" x14ac:dyDescent="0.2">
      <c r="A94" s="37"/>
      <c r="N94" s="255"/>
      <c r="O94" s="255"/>
      <c r="P94" s="255"/>
      <c r="Q94" s="255"/>
      <c r="R94" s="255"/>
      <c r="S94" s="255"/>
      <c r="T94" s="255"/>
      <c r="U94" s="255"/>
      <c r="V94" s="255"/>
      <c r="W94" s="255"/>
      <c r="X94" s="255"/>
      <c r="Y94" s="603">
        <f>$Y$83</f>
        <v>760</v>
      </c>
      <c r="Z94" s="255" t="str">
        <f>$Z$83</f>
        <v>MDF (760 kg/m3)</v>
      </c>
      <c r="AC94" s="255"/>
      <c r="AF94" s="521"/>
      <c r="AG94" s="521"/>
      <c r="AH94" s="521"/>
      <c r="AI94" s="521"/>
      <c r="AJ94" s="255"/>
      <c r="AK94" s="670"/>
      <c r="AL94" s="670"/>
      <c r="AM94" s="670"/>
      <c r="AN94" s="670"/>
      <c r="AO94" s="266"/>
      <c r="AP94" s="266"/>
      <c r="AQ94" s="266"/>
      <c r="AR94" s="266"/>
      <c r="AS94" s="266"/>
    </row>
    <row r="95" spans="1:54" s="248" customFormat="1" ht="15" customHeight="1" x14ac:dyDescent="0.2">
      <c r="A95" s="37"/>
      <c r="N95" s="255"/>
      <c r="O95" s="255"/>
      <c r="P95" s="255"/>
      <c r="Q95" s="255"/>
      <c r="R95" s="255"/>
      <c r="S95" s="255"/>
      <c r="T95" s="255"/>
      <c r="U95" s="255"/>
      <c r="V95" s="255"/>
      <c r="W95" s="255"/>
      <c r="X95" s="255"/>
      <c r="Y95" s="603">
        <f>$Y$84</f>
        <v>680</v>
      </c>
      <c r="Z95" s="255" t="str">
        <f>$Z$84</f>
        <v>Płyta wiórowa (680 kg/m3)</v>
      </c>
      <c r="AC95" s="255"/>
      <c r="AE95" s="529"/>
      <c r="AF95" s="531"/>
      <c r="AG95" s="531"/>
      <c r="AH95" s="531"/>
      <c r="AI95" s="521"/>
      <c r="AJ95" s="255"/>
      <c r="AK95" s="670"/>
      <c r="AL95" s="670"/>
      <c r="AM95" s="670"/>
      <c r="AN95" s="670"/>
      <c r="AO95" s="266"/>
      <c r="AP95" s="266"/>
      <c r="AQ95" s="266"/>
      <c r="AR95" s="266"/>
      <c r="AS95" s="266"/>
    </row>
    <row r="96" spans="1:54" s="248" customFormat="1" ht="15" customHeight="1" x14ac:dyDescent="0.2">
      <c r="A96" s="37"/>
      <c r="Q96" s="255"/>
      <c r="R96" s="1148" t="str">
        <f>D20</f>
        <v xml:space="preserve"> </v>
      </c>
      <c r="S96" s="1149"/>
      <c r="T96" s="1150"/>
      <c r="U96" s="255"/>
      <c r="V96" s="255"/>
      <c r="W96" s="255"/>
      <c r="X96" s="255"/>
      <c r="Y96" s="603">
        <f>$Y$85</f>
        <v>1350</v>
      </c>
      <c r="Z96" s="255" t="str">
        <f>$Z$85</f>
        <v>Płyta kompaktowa (1350 kg/m3)</v>
      </c>
      <c r="AA96" s="527"/>
      <c r="AB96" s="527"/>
      <c r="AC96" s="521"/>
      <c r="AE96" s="529"/>
      <c r="AF96" s="522"/>
      <c r="AG96" s="522"/>
      <c r="AH96" s="522"/>
      <c r="AI96" s="521"/>
      <c r="AJ96" s="255"/>
      <c r="AK96" s="670"/>
      <c r="AL96" s="670"/>
      <c r="AM96" s="670"/>
      <c r="AN96" s="670"/>
      <c r="AO96" s="266"/>
      <c r="AP96" s="266"/>
      <c r="AQ96" s="266"/>
      <c r="AR96" s="266"/>
      <c r="AS96" s="266"/>
    </row>
    <row r="97" spans="1:54" s="248" customFormat="1" ht="15" customHeight="1" x14ac:dyDescent="0.2">
      <c r="A97" s="37"/>
      <c r="N97" s="1163" t="str">
        <f>ListAVS!$B$74&amp;" KB [mm]       "</f>
        <v xml:space="preserve">Szerokość korpusu KB [mm]       </v>
      </c>
      <c r="O97" s="1164"/>
      <c r="P97" s="1164"/>
      <c r="Q97" s="1164"/>
      <c r="R97" s="1164"/>
      <c r="S97" s="1165"/>
      <c r="T97" s="829">
        <f>H21</f>
        <v>0</v>
      </c>
      <c r="U97" s="670"/>
      <c r="V97" s="255"/>
      <c r="W97" s="255"/>
      <c r="X97" s="255"/>
      <c r="Y97" s="603">
        <f>$Y$86</f>
        <v>1700</v>
      </c>
      <c r="Z97" s="255" t="str">
        <f>$Z$86</f>
        <v>Płyta kompozytowa (1700 kg/m3)</v>
      </c>
      <c r="AA97" s="527"/>
      <c r="AB97" s="527"/>
      <c r="AC97" s="521"/>
      <c r="AF97" s="522"/>
      <c r="AG97" s="522"/>
      <c r="AH97" s="522"/>
      <c r="AI97" s="521"/>
      <c r="AJ97" s="255"/>
      <c r="AK97" s="670"/>
      <c r="AL97" s="670"/>
      <c r="AM97" s="670"/>
      <c r="AN97" s="670"/>
      <c r="AO97" s="266"/>
      <c r="AP97" s="266"/>
      <c r="AQ97" s="266"/>
      <c r="AR97" s="266"/>
      <c r="AS97" s="266"/>
    </row>
    <row r="98" spans="1:54" s="248" customFormat="1" ht="15" customHeight="1" x14ac:dyDescent="0.2">
      <c r="A98" s="37"/>
      <c r="N98" s="1163" t="str">
        <f>ListAVS!$B$75&amp;" KH [mm]       "</f>
        <v xml:space="preserve">Wysokość korpusu KH [mm]       </v>
      </c>
      <c r="O98" s="1164"/>
      <c r="P98" s="1164"/>
      <c r="Q98" s="1164"/>
      <c r="R98" s="1164"/>
      <c r="S98" s="1165"/>
      <c r="T98" s="829">
        <f>H22</f>
        <v>0</v>
      </c>
      <c r="U98" s="670"/>
      <c r="V98" s="255"/>
      <c r="W98" s="255"/>
      <c r="X98" s="255"/>
      <c r="Y98" s="603">
        <f>$Y$87</f>
        <v>2600</v>
      </c>
      <c r="Z98" s="255" t="str">
        <f>$Z$87</f>
        <v>Kamień (2600 kg/m3)</v>
      </c>
      <c r="AA98" s="527"/>
      <c r="AB98" s="527"/>
      <c r="AC98" s="521"/>
      <c r="AF98" s="522"/>
      <c r="AG98" s="522"/>
      <c r="AH98" s="522"/>
      <c r="AI98" s="521"/>
      <c r="AJ98" s="255"/>
      <c r="AK98" s="670"/>
      <c r="AL98" s="670"/>
      <c r="AM98" s="670"/>
      <c r="AN98" s="670"/>
      <c r="AO98" s="266"/>
      <c r="AP98" s="266"/>
      <c r="AQ98" s="266"/>
      <c r="AR98" s="266"/>
      <c r="AS98" s="266"/>
    </row>
    <row r="99" spans="1:54" s="248" customFormat="1" ht="15" customHeight="1" x14ac:dyDescent="0.2">
      <c r="A99" s="37"/>
      <c r="N99" s="1143" t="str">
        <f>ListAVS!$B$80&amp;" TS [mm] "</f>
        <v xml:space="preserve">Grubość frontu TS [mm] </v>
      </c>
      <c r="O99" s="1144"/>
      <c r="P99" s="1144"/>
      <c r="Q99" s="1144"/>
      <c r="R99" s="1144"/>
      <c r="S99" s="1145"/>
      <c r="T99" s="829">
        <f>H24</f>
        <v>0</v>
      </c>
      <c r="U99" s="256" t="str">
        <f>IF(SUM(T97,T98)=0," ",IF(T99=0," ● "&amp;ListAVS!$B$129, IF(T99&lt;8," min 8 mm!",IF(T99&gt;14," max. 14 mm!"," "))))</f>
        <v xml:space="preserve"> </v>
      </c>
      <c r="X99" s="255"/>
      <c r="Y99" s="603">
        <f>$Y$88</f>
        <v>2400</v>
      </c>
      <c r="Z99" s="255" t="str">
        <f>$Z$88</f>
        <v>Ceramika (2400 kg/m3)</v>
      </c>
      <c r="AA99" s="527"/>
      <c r="AB99" s="527"/>
      <c r="AC99" s="521"/>
      <c r="AF99" s="522"/>
      <c r="AG99" s="522"/>
      <c r="AH99" s="522"/>
      <c r="AI99" s="521"/>
      <c r="AJ99" s="255"/>
      <c r="AK99" s="670"/>
      <c r="AL99" s="670"/>
      <c r="AM99" s="670"/>
      <c r="AN99" s="670"/>
      <c r="AO99" s="266"/>
      <c r="AP99" s="266"/>
      <c r="AQ99" s="266"/>
      <c r="AR99" s="266"/>
      <c r="AS99" s="266"/>
    </row>
    <row r="100" spans="1:54" s="248" customFormat="1" ht="15" customHeight="1" x14ac:dyDescent="0.2">
      <c r="A100" s="37"/>
      <c r="N100" s="1143" t="str">
        <f>ListAVS!$B$83&amp;" [kg] "</f>
        <v xml:space="preserve">Waga uchwytu [kg] </v>
      </c>
      <c r="O100" s="1144"/>
      <c r="P100" s="1144"/>
      <c r="Q100" s="1144"/>
      <c r="R100" s="1144"/>
      <c r="S100" s="1145"/>
      <c r="T100" s="829">
        <f>H25</f>
        <v>0</v>
      </c>
      <c r="U100" s="256" t="str">
        <f>IF(SUM(T97,T98)=0," ",IF(T100=0," ● "&amp;ListAVS!$B$130," "))</f>
        <v xml:space="preserve"> </v>
      </c>
      <c r="X100" s="255"/>
      <c r="Y100" s="603">
        <f>$Y$89</f>
        <v>2300</v>
      </c>
      <c r="Z100" s="255" t="str">
        <f>$Z$89</f>
        <v>Beton (2300 kg/m3)</v>
      </c>
      <c r="AA100" s="527"/>
      <c r="AB100" s="527"/>
      <c r="AC100" s="521"/>
      <c r="AF100" s="522"/>
      <c r="AG100" s="522"/>
      <c r="AH100" s="522"/>
      <c r="AI100" s="521"/>
      <c r="AJ100" s="255"/>
      <c r="AK100" s="670"/>
      <c r="AL100" s="670"/>
      <c r="AM100" s="670"/>
      <c r="AN100" s="670"/>
      <c r="AO100" s="266"/>
      <c r="AP100" s="266"/>
      <c r="AQ100" s="266"/>
      <c r="AR100" s="266"/>
      <c r="AS100" s="266"/>
    </row>
    <row r="101" spans="1:54" s="248" customFormat="1" ht="15" customHeight="1" x14ac:dyDescent="0.2">
      <c r="A101" s="37"/>
      <c r="N101" s="1143" t="str">
        <f>ListAVS!$B$79&amp;" [kg] "</f>
        <v xml:space="preserve">Obliczona waga frontu [kg] </v>
      </c>
      <c r="O101" s="1144"/>
      <c r="P101" s="1144"/>
      <c r="Q101" s="1144"/>
      <c r="R101" s="1144"/>
      <c r="S101" s="1145"/>
      <c r="T101" s="829">
        <f>IF(X101=0,0,X101+T100)</f>
        <v>0</v>
      </c>
      <c r="U101" s="227"/>
      <c r="X101" s="528">
        <f>IF(T97*T98*T99=0,0,IF(Z93=1,Y93*Y94,IF(Z93=2,Y93*Y95, IF(Z93=3,Y93*Y96, IF(Z93=4, Y93*Y97, IF(Z93=5, Y93*Y98, IF(Z93=6, Y93*Y99, IF(Z93=7, Y93*Y100, Y93*Y101))))))))</f>
        <v>0</v>
      </c>
      <c r="Y101" s="274">
        <f>$Y$90</f>
        <v>0</v>
      </c>
      <c r="Z101" s="255" t="str">
        <f>$Z$90</f>
        <v>Inne – wybrana gęstość materiału</v>
      </c>
      <c r="AC101" s="255"/>
      <c r="AF101" s="522"/>
      <c r="AG101" s="522"/>
      <c r="AH101" s="522"/>
      <c r="AI101" s="521"/>
      <c r="AJ101" s="255"/>
      <c r="AK101" s="670"/>
      <c r="AL101" s="670"/>
      <c r="AM101" s="670"/>
      <c r="AN101" s="670"/>
      <c r="AO101" s="266"/>
      <c r="AP101" s="266"/>
      <c r="AQ101" s="266"/>
      <c r="AR101" s="266"/>
      <c r="AS101" s="266"/>
    </row>
    <row r="102" spans="1:54" s="248" customFormat="1" ht="15" customHeight="1" x14ac:dyDescent="0.2">
      <c r="A102" s="37"/>
      <c r="N102" s="255"/>
      <c r="O102" s="273" t="str">
        <f>IF(T101&gt;0,IF(T100=0,$Y$106," ")," ")</f>
        <v xml:space="preserve"> </v>
      </c>
      <c r="P102" s="255"/>
      <c r="Q102" s="255"/>
      <c r="R102" s="255"/>
      <c r="S102" s="255"/>
      <c r="T102" s="255"/>
      <c r="U102" s="255"/>
      <c r="V102" s="255"/>
      <c r="W102" s="255"/>
      <c r="AF102" s="521"/>
      <c r="AG102" s="521"/>
      <c r="AH102" s="521"/>
      <c r="AI102" s="521"/>
      <c r="AJ102" s="255"/>
      <c r="AK102" s="670"/>
      <c r="AL102" s="670"/>
      <c r="AM102" s="670"/>
      <c r="AN102" s="670"/>
      <c r="AO102" s="266"/>
      <c r="AP102" s="266"/>
      <c r="AQ102" s="266"/>
      <c r="AR102" s="266"/>
      <c r="AS102" s="266"/>
    </row>
    <row r="103" spans="1:54" s="248" customFormat="1" ht="15" customHeight="1" x14ac:dyDescent="0.2">
      <c r="A103" s="37"/>
      <c r="N103" s="255"/>
      <c r="O103" s="255"/>
      <c r="P103" s="255"/>
      <c r="Q103" s="255"/>
      <c r="R103" s="255"/>
      <c r="S103" s="255"/>
      <c r="T103" s="255"/>
      <c r="U103" s="255"/>
      <c r="V103" s="255"/>
      <c r="W103" s="255"/>
      <c r="AF103" s="521"/>
      <c r="AG103" s="521"/>
      <c r="AH103" s="521"/>
      <c r="AI103" s="521"/>
      <c r="AJ103" s="255"/>
      <c r="AK103" s="670"/>
      <c r="AL103" s="670"/>
      <c r="AM103" s="670"/>
      <c r="AN103" s="670"/>
      <c r="AO103" s="266"/>
      <c r="AP103" s="266"/>
      <c r="AQ103" s="266"/>
      <c r="AR103" s="266"/>
      <c r="AS103" s="266"/>
    </row>
    <row r="104" spans="1:54" s="248" customFormat="1" ht="15" customHeight="1" x14ac:dyDescent="0.2">
      <c r="A104" s="37"/>
      <c r="N104" s="255"/>
      <c r="O104" s="255"/>
      <c r="P104" s="255"/>
      <c r="Q104" s="255"/>
      <c r="R104" s="255"/>
      <c r="S104" s="255"/>
      <c r="T104" s="255"/>
      <c r="U104" s="255"/>
      <c r="V104" s="255"/>
      <c r="W104" s="255"/>
      <c r="AF104" s="255"/>
      <c r="AG104" s="255"/>
      <c r="AH104" s="255"/>
      <c r="AI104" s="255"/>
      <c r="AJ104" s="255"/>
      <c r="AK104" s="670"/>
      <c r="AL104" s="670"/>
      <c r="AM104" s="670"/>
      <c r="AN104" s="670"/>
      <c r="AO104" s="266"/>
      <c r="AP104" s="266"/>
      <c r="AQ104" s="266"/>
      <c r="AR104" s="266"/>
      <c r="AS104" s="266"/>
    </row>
    <row r="105" spans="1:54" s="248" customFormat="1" ht="15" customHeight="1" x14ac:dyDescent="0.2">
      <c r="A105" s="37"/>
      <c r="N105" s="255"/>
      <c r="O105" s="255"/>
      <c r="P105" s="255"/>
      <c r="Q105" s="255"/>
      <c r="R105" s="255"/>
      <c r="S105" s="255"/>
      <c r="T105" s="255"/>
      <c r="U105" s="255"/>
      <c r="V105" s="255"/>
      <c r="W105" s="255"/>
      <c r="AF105" s="255"/>
      <c r="AG105" s="255"/>
      <c r="AH105" s="255"/>
      <c r="AI105" s="255"/>
      <c r="AJ105" s="255"/>
      <c r="AK105" s="670"/>
      <c r="AL105" s="670"/>
      <c r="AM105" s="670"/>
      <c r="AN105" s="670"/>
      <c r="AO105" s="266"/>
      <c r="AP105" s="266"/>
      <c r="AQ105" s="266"/>
      <c r="AR105" s="266"/>
      <c r="AS105" s="266"/>
      <c r="AT105" s="255"/>
      <c r="AU105" s="255"/>
      <c r="AV105" s="255"/>
      <c r="AW105" s="255"/>
      <c r="AX105" s="255"/>
      <c r="AY105" s="255"/>
      <c r="AZ105" s="255"/>
      <c r="BA105" s="255"/>
      <c r="BB105" s="255"/>
    </row>
    <row r="106" spans="1:54" s="248" customFormat="1" ht="15" customHeight="1" x14ac:dyDescent="0.2">
      <c r="A106" s="37"/>
      <c r="N106" s="255"/>
      <c r="O106" s="255"/>
      <c r="P106" s="255"/>
      <c r="Q106" s="255"/>
      <c r="R106" s="255"/>
      <c r="S106" s="1166"/>
      <c r="T106" s="1166"/>
      <c r="U106" s="255"/>
      <c r="V106" s="255"/>
      <c r="W106" s="255"/>
      <c r="X106" s="255"/>
      <c r="Y106" s="255" t="str">
        <f>ListAVS!$B$103&amp;"!"</f>
        <v>Bez wagi uchwytu!</v>
      </c>
      <c r="AA106" s="255"/>
      <c r="AC106" s="255"/>
      <c r="AE106" s="529"/>
      <c r="AF106" s="255"/>
      <c r="AG106" s="255"/>
      <c r="AH106" s="255"/>
      <c r="AI106" s="255"/>
      <c r="AJ106" s="255"/>
      <c r="AK106" s="670"/>
      <c r="AL106" s="670"/>
      <c r="AM106" s="670"/>
      <c r="AN106" s="670"/>
      <c r="AO106" s="266"/>
      <c r="AP106" s="266"/>
      <c r="AQ106" s="266"/>
      <c r="AR106" s="266"/>
      <c r="AS106" s="266"/>
      <c r="AT106" s="255"/>
      <c r="AU106" s="255"/>
      <c r="AV106" s="255"/>
      <c r="AW106" s="255"/>
      <c r="AX106" s="255"/>
      <c r="AY106" s="255"/>
      <c r="AZ106" s="255"/>
      <c r="BA106" s="255"/>
      <c r="BB106" s="255"/>
    </row>
    <row r="107" spans="1:54" s="248" customFormat="1" ht="15" customHeight="1" x14ac:dyDescent="0.2">
      <c r="A107" s="37"/>
      <c r="N107" s="255"/>
      <c r="O107" s="255"/>
      <c r="P107" s="255"/>
      <c r="Q107" s="255"/>
      <c r="R107" s="255"/>
      <c r="S107" s="255"/>
      <c r="T107" s="255"/>
      <c r="U107" s="255"/>
      <c r="V107" s="255"/>
      <c r="W107" s="255"/>
      <c r="X107" s="255"/>
      <c r="Y107" s="255"/>
      <c r="Z107" s="255"/>
      <c r="AB107" s="255"/>
      <c r="AD107" s="255"/>
      <c r="AE107" s="255"/>
      <c r="AF107" s="255"/>
      <c r="AG107" s="255"/>
      <c r="AH107" s="255"/>
      <c r="AI107" s="255"/>
      <c r="AJ107" s="37"/>
      <c r="AK107" s="670"/>
      <c r="AL107" s="670"/>
      <c r="AM107" s="670"/>
      <c r="AN107" s="670"/>
      <c r="AO107" s="266"/>
      <c r="AP107" s="266"/>
      <c r="AQ107" s="266"/>
      <c r="AR107" s="266"/>
      <c r="AS107" s="266"/>
      <c r="AT107" s="255"/>
      <c r="AU107" s="255"/>
      <c r="AV107" s="255"/>
      <c r="AW107" s="255"/>
      <c r="AX107" s="255"/>
      <c r="AY107" s="255"/>
      <c r="AZ107" s="255"/>
      <c r="BA107" s="255"/>
      <c r="BB107" s="255"/>
    </row>
    <row r="108" spans="1:54" s="248" customFormat="1" ht="15" customHeight="1" x14ac:dyDescent="0.2">
      <c r="A108" s="37"/>
      <c r="N108" s="255"/>
      <c r="O108" s="255"/>
      <c r="P108" s="255"/>
      <c r="Q108" s="255"/>
      <c r="R108" s="255"/>
      <c r="S108" s="255"/>
      <c r="T108" s="255"/>
      <c r="U108" s="255"/>
      <c r="V108" s="255"/>
      <c r="W108" s="255"/>
      <c r="X108" s="255"/>
      <c r="Y108" s="255"/>
      <c r="Z108" s="255"/>
      <c r="AB108" s="255"/>
      <c r="AD108" s="255"/>
      <c r="AE108" s="255"/>
      <c r="AF108" s="255"/>
      <c r="AG108" s="255"/>
      <c r="AH108" s="255"/>
      <c r="AI108" s="255"/>
      <c r="AJ108" s="37"/>
      <c r="AK108" s="670"/>
      <c r="AL108" s="670"/>
      <c r="AM108" s="670"/>
      <c r="AN108" s="670"/>
      <c r="AO108" s="266"/>
      <c r="AP108" s="266"/>
      <c r="AQ108" s="266"/>
      <c r="AR108" s="266"/>
      <c r="AS108" s="266"/>
      <c r="AT108" s="255"/>
      <c r="AU108" s="255"/>
      <c r="AV108" s="255"/>
      <c r="AW108" s="255"/>
      <c r="AX108" s="255"/>
      <c r="AY108" s="255"/>
      <c r="AZ108" s="255"/>
      <c r="BA108" s="255"/>
      <c r="BB108" s="255"/>
    </row>
    <row r="109" spans="1:54" s="248" customFormat="1" ht="15" customHeight="1" x14ac:dyDescent="0.2">
      <c r="A109" s="37"/>
      <c r="N109" s="255"/>
      <c r="O109" s="255"/>
      <c r="P109" s="255"/>
      <c r="Q109" s="255"/>
      <c r="R109" s="255"/>
      <c r="U109" s="255"/>
      <c r="V109" s="255"/>
      <c r="W109" s="255"/>
      <c r="X109" s="255"/>
      <c r="Y109" s="255"/>
      <c r="Z109" s="255"/>
      <c r="AB109" s="255"/>
      <c r="AD109" s="255"/>
      <c r="AE109" s="255"/>
      <c r="AF109" s="255"/>
      <c r="AG109" s="255"/>
      <c r="AH109" s="255"/>
      <c r="AI109" s="255"/>
      <c r="AJ109" s="37"/>
      <c r="AK109" s="108"/>
      <c r="AL109" s="108"/>
      <c r="AM109" s="108"/>
      <c r="AN109" s="108"/>
      <c r="AO109" s="266"/>
      <c r="AP109" s="266"/>
      <c r="AQ109" s="266"/>
      <c r="AR109" s="266"/>
      <c r="AS109" s="266"/>
      <c r="AT109" s="255"/>
      <c r="AU109" s="255"/>
      <c r="AV109" s="255"/>
      <c r="AW109" s="255"/>
      <c r="AX109" s="255"/>
      <c r="AY109" s="255"/>
      <c r="AZ109" s="255"/>
      <c r="BA109" s="255"/>
      <c r="BB109" s="255"/>
    </row>
    <row r="110" spans="1:54" ht="18" x14ac:dyDescent="0.2">
      <c r="A110" s="1045"/>
      <c r="B110" s="190" t="s">
        <v>14</v>
      </c>
      <c r="C110" s="191"/>
      <c r="D110" s="190"/>
      <c r="E110" s="190"/>
      <c r="F110" s="190"/>
      <c r="G110" s="190"/>
      <c r="H110" s="190"/>
      <c r="I110" s="190"/>
      <c r="J110" s="190"/>
      <c r="K110" s="190"/>
      <c r="L110" s="255"/>
      <c r="M110" s="255"/>
      <c r="N110" s="255"/>
      <c r="AJ110" s="137"/>
      <c r="AK110" s="137"/>
      <c r="AL110" s="137"/>
      <c r="AM110" s="137"/>
      <c r="AN110" s="137"/>
      <c r="AO110" s="137"/>
      <c r="AP110" s="137"/>
      <c r="AQ110" s="137"/>
      <c r="AR110" s="137"/>
      <c r="AS110" s="137"/>
    </row>
    <row r="111" spans="1:54" ht="15" customHeight="1" x14ac:dyDescent="0.2">
      <c r="A111" s="1045"/>
      <c r="L111" s="255"/>
      <c r="M111" s="255"/>
      <c r="N111" s="255"/>
      <c r="AK111" s="137"/>
      <c r="AL111" s="137"/>
      <c r="AM111" s="137"/>
      <c r="AN111" s="137"/>
      <c r="AO111" s="137"/>
      <c r="AP111" s="137"/>
      <c r="AQ111" s="137"/>
      <c r="AR111" s="137"/>
      <c r="AS111" s="137"/>
    </row>
    <row r="112" spans="1:54" ht="15" customHeight="1" x14ac:dyDescent="0.2">
      <c r="A112" s="1045"/>
      <c r="B112" s="255" t="str">
        <f>ListAVS!$B$333</f>
        <v>Aby wybrać odpowiedni siłownik potrzebujesz znać wysokość korpusu i wagę frontu</v>
      </c>
      <c r="C112" s="255"/>
      <c r="D112" s="255"/>
      <c r="E112" s="255"/>
      <c r="F112" s="255"/>
      <c r="G112" s="255"/>
      <c r="H112" s="255"/>
      <c r="I112" s="255"/>
      <c r="J112" s="255"/>
      <c r="K112" s="255"/>
      <c r="L112" s="255"/>
      <c r="M112" s="255"/>
      <c r="N112" s="255"/>
      <c r="AK112" s="108"/>
      <c r="AL112" s="108"/>
      <c r="AM112" s="108"/>
      <c r="AN112" s="108"/>
      <c r="AO112" s="137"/>
      <c r="AP112" s="137"/>
      <c r="AQ112" s="137"/>
      <c r="AR112" s="137"/>
      <c r="AS112" s="137"/>
    </row>
    <row r="113" spans="1:45" ht="15" customHeight="1" x14ac:dyDescent="0.2">
      <c r="A113" s="1045"/>
      <c r="B113" s="255"/>
      <c r="C113" s="255"/>
      <c r="D113" s="255"/>
      <c r="E113" s="255"/>
      <c r="F113" s="255"/>
      <c r="G113" s="255"/>
      <c r="H113" s="255"/>
      <c r="I113" s="255"/>
      <c r="J113" s="255"/>
      <c r="K113" s="255"/>
      <c r="L113" s="255"/>
      <c r="M113" s="255"/>
      <c r="N113" s="255"/>
      <c r="AK113" s="108"/>
      <c r="AL113" s="108"/>
      <c r="AM113" s="108"/>
      <c r="AN113" s="108"/>
      <c r="AO113" s="137"/>
      <c r="AP113" s="137"/>
      <c r="AQ113" s="137"/>
      <c r="AR113" s="137"/>
      <c r="AS113" s="137"/>
    </row>
    <row r="114" spans="1:45" ht="15" customHeight="1" x14ac:dyDescent="0.2">
      <c r="A114" s="1045"/>
      <c r="B114" s="255" t="str">
        <f>ListAVS!$B$335</f>
        <v>Wysokość korpusu KH = 602 mm należy zaokrąglić do KH = 600 mm</v>
      </c>
      <c r="C114" s="255"/>
      <c r="D114" s="255"/>
      <c r="E114" s="255"/>
      <c r="F114" s="255"/>
      <c r="G114" s="255"/>
      <c r="H114" s="255"/>
      <c r="I114" s="255"/>
      <c r="J114" s="255"/>
      <c r="K114" s="255"/>
      <c r="L114" s="255"/>
      <c r="M114" s="255"/>
      <c r="N114" s="255"/>
      <c r="AK114" s="108"/>
      <c r="AL114" s="108"/>
      <c r="AM114" s="108"/>
      <c r="AN114" s="108"/>
      <c r="AO114" s="137"/>
      <c r="AP114" s="137"/>
      <c r="AQ114" s="137"/>
      <c r="AR114" s="137"/>
      <c r="AS114" s="137"/>
    </row>
    <row r="115" spans="1:45" ht="15" customHeight="1" x14ac:dyDescent="0.2">
      <c r="A115" s="1045"/>
      <c r="B115" s="255" t="str">
        <f>ListAVS!$B$336</f>
        <v>Wysokość korpusu KH = 603 mm należy zaokrąglić do KH = 605 mm</v>
      </c>
      <c r="C115" s="255"/>
      <c r="D115" s="255"/>
      <c r="E115" s="255"/>
      <c r="F115" s="255"/>
      <c r="G115" s="255"/>
      <c r="H115" s="255"/>
      <c r="I115" s="255"/>
      <c r="J115" s="255"/>
      <c r="K115" s="255"/>
      <c r="L115" s="255"/>
      <c r="M115" s="255"/>
      <c r="N115" s="255"/>
      <c r="AK115" s="108"/>
      <c r="AL115" s="108"/>
      <c r="AM115" s="108"/>
      <c r="AN115" s="108"/>
      <c r="AO115" s="137"/>
      <c r="AP115" s="137"/>
      <c r="AQ115" s="137"/>
      <c r="AR115" s="137"/>
      <c r="AS115" s="137"/>
    </row>
    <row r="116" spans="1:45" ht="15" customHeight="1" x14ac:dyDescent="0.2">
      <c r="A116" s="1045"/>
      <c r="B116" s="255"/>
      <c r="C116" s="255"/>
      <c r="D116" s="255"/>
      <c r="E116" s="255"/>
      <c r="F116" s="255"/>
      <c r="G116" s="255"/>
      <c r="H116" s="255"/>
      <c r="I116" s="255"/>
      <c r="J116" s="255"/>
      <c r="K116" s="255"/>
      <c r="L116" s="255"/>
      <c r="M116" s="255"/>
      <c r="N116" s="255"/>
      <c r="AK116" s="108"/>
      <c r="AL116" s="108"/>
      <c r="AM116" s="108"/>
      <c r="AN116" s="108"/>
      <c r="AO116" s="137"/>
      <c r="AP116" s="137"/>
      <c r="AQ116" s="137"/>
      <c r="AR116" s="137"/>
      <c r="AS116" s="137"/>
    </row>
    <row r="117" spans="1:45" ht="15" customHeight="1" x14ac:dyDescent="0.2">
      <c r="A117" s="1045"/>
      <c r="B117" s="255" t="str">
        <f>ListAVS!$B$312</f>
        <v>Jeśli znasz wagę frontu, możesz ją wprowadzić, w przeciwnym razie skorzystaj z „Obliczenia wagi”.</v>
      </c>
      <c r="C117" s="255"/>
      <c r="D117" s="255"/>
      <c r="E117" s="255"/>
      <c r="F117" s="255"/>
      <c r="G117" s="255"/>
      <c r="H117" s="255"/>
      <c r="I117" s="255"/>
      <c r="J117" s="255"/>
      <c r="K117" s="255"/>
      <c r="L117" s="255"/>
      <c r="M117" s="255"/>
      <c r="N117" s="255"/>
      <c r="AK117" s="108"/>
      <c r="AL117" s="108"/>
      <c r="AM117" s="108"/>
      <c r="AN117" s="108"/>
      <c r="AO117" s="137"/>
      <c r="AP117" s="137"/>
      <c r="AQ117" s="137"/>
      <c r="AR117" s="137"/>
      <c r="AS117" s="137"/>
    </row>
    <row r="118" spans="1:45" ht="15" customHeight="1" x14ac:dyDescent="0.2">
      <c r="A118" s="1045"/>
      <c r="B118" s="255" t="str">
        <f>ListAVS!$B$313</f>
        <v>W tabeli wprowadzona wartość ma pierwszeństwo aby skorzystać z wagi obliczeniowej, należy usunąć wprowadzoną wartość.</v>
      </c>
      <c r="C118" s="255"/>
      <c r="D118" s="255"/>
      <c r="E118" s="255"/>
      <c r="F118" s="255"/>
      <c r="G118" s="255"/>
      <c r="H118" s="255"/>
      <c r="I118" s="255"/>
      <c r="J118" s="255"/>
      <c r="K118" s="255"/>
      <c r="L118" s="255"/>
      <c r="M118" s="255"/>
      <c r="N118" s="255"/>
      <c r="AK118" s="108"/>
      <c r="AL118" s="108"/>
      <c r="AM118" s="108"/>
      <c r="AN118" s="108"/>
      <c r="AO118" s="137"/>
      <c r="AP118" s="137"/>
      <c r="AQ118" s="137"/>
      <c r="AR118" s="137"/>
      <c r="AS118" s="137"/>
    </row>
    <row r="119" spans="1:45" ht="15" customHeight="1" x14ac:dyDescent="0.2">
      <c r="A119" s="1045"/>
      <c r="B119" s="255"/>
      <c r="C119" s="255"/>
      <c r="D119" s="255"/>
      <c r="E119" s="255"/>
      <c r="F119" s="255"/>
      <c r="G119" s="255"/>
      <c r="H119" s="255"/>
      <c r="I119" s="255"/>
      <c r="J119" s="255"/>
      <c r="K119" s="255"/>
      <c r="L119" s="255"/>
      <c r="M119" s="255"/>
      <c r="N119" s="255"/>
      <c r="AK119" s="108"/>
      <c r="AL119" s="108"/>
      <c r="AM119" s="108"/>
      <c r="AN119" s="108"/>
      <c r="AO119" s="137"/>
      <c r="AP119" s="137"/>
      <c r="AQ119" s="137"/>
      <c r="AR119" s="137"/>
      <c r="AS119" s="137"/>
    </row>
    <row r="120" spans="1:45" ht="15" customHeight="1" x14ac:dyDescent="0.2">
      <c r="A120" s="1045"/>
      <c r="B120" s="255"/>
      <c r="C120" s="255"/>
      <c r="D120" s="255"/>
      <c r="E120" s="255"/>
      <c r="F120" s="255"/>
      <c r="G120" s="255"/>
      <c r="H120" s="255"/>
      <c r="I120" s="255"/>
      <c r="J120" s="255"/>
      <c r="K120" s="255"/>
      <c r="L120" s="255"/>
      <c r="M120" s="255"/>
      <c r="N120" s="255"/>
      <c r="AK120" s="108"/>
      <c r="AL120" s="108"/>
      <c r="AM120" s="108"/>
      <c r="AN120" s="108"/>
      <c r="AO120" s="137"/>
      <c r="AP120" s="137"/>
      <c r="AQ120" s="137"/>
      <c r="AR120" s="137"/>
      <c r="AS120" s="137"/>
    </row>
    <row r="121" spans="1:45" ht="15" customHeight="1" x14ac:dyDescent="0.2">
      <c r="A121" s="1045"/>
      <c r="B121" s="255" t="str">
        <f>ListAVS!$B$306</f>
        <v>Aby zmienić kolor zaślepek przejdź do „Wprowadzenie do planowania”</v>
      </c>
      <c r="C121" s="255"/>
      <c r="D121" s="255"/>
      <c r="E121" s="255"/>
      <c r="F121" s="255"/>
      <c r="G121" s="255"/>
      <c r="H121" s="255"/>
      <c r="I121" s="255"/>
      <c r="J121" s="255"/>
      <c r="K121" s="255"/>
      <c r="L121" s="255"/>
      <c r="M121" s="255"/>
      <c r="N121" s="255"/>
      <c r="AK121" s="108"/>
      <c r="AL121" s="108"/>
      <c r="AM121" s="108"/>
      <c r="AN121" s="108"/>
      <c r="AO121" s="137"/>
      <c r="AP121" s="137"/>
      <c r="AQ121" s="137"/>
      <c r="AR121" s="137"/>
      <c r="AS121" s="137"/>
    </row>
    <row r="122" spans="1:45" ht="15" customHeight="1" x14ac:dyDescent="0.2">
      <c r="A122" s="1045"/>
      <c r="B122" s="255"/>
      <c r="C122" s="255"/>
      <c r="D122" s="255"/>
      <c r="E122" s="255"/>
      <c r="F122" s="255"/>
      <c r="G122" s="255"/>
      <c r="H122" s="255"/>
      <c r="I122" s="255"/>
      <c r="J122" s="255"/>
      <c r="K122" s="255"/>
      <c r="L122" s="728" t="str">
        <f>ListAVS!$B$168</f>
        <v>Z powrotem</v>
      </c>
      <c r="M122" s="255"/>
      <c r="N122" s="255"/>
      <c r="AK122" s="108"/>
      <c r="AL122" s="108"/>
      <c r="AM122" s="108"/>
      <c r="AN122" s="108"/>
      <c r="AO122" s="137"/>
      <c r="AP122" s="137"/>
      <c r="AQ122" s="137"/>
      <c r="AR122" s="137"/>
      <c r="AS122" s="137"/>
    </row>
    <row r="123" spans="1:45" ht="15" customHeight="1" x14ac:dyDescent="0.2">
      <c r="A123" s="1045"/>
      <c r="B123" s="255"/>
      <c r="C123" s="255"/>
      <c r="D123" s="255"/>
      <c r="E123" s="255"/>
      <c r="F123" s="255"/>
      <c r="G123" s="255"/>
      <c r="H123" s="255"/>
      <c r="I123" s="255"/>
      <c r="J123" s="255"/>
      <c r="K123" s="255"/>
      <c r="L123" s="255"/>
      <c r="M123" s="255"/>
      <c r="N123" s="255"/>
      <c r="AK123" s="108"/>
      <c r="AL123" s="108"/>
      <c r="AM123" s="108"/>
      <c r="AN123" s="108"/>
      <c r="AO123" s="137"/>
      <c r="AP123" s="137"/>
      <c r="AQ123" s="137"/>
      <c r="AR123" s="137"/>
      <c r="AS123" s="137"/>
    </row>
    <row r="124" spans="1:45" ht="15" customHeight="1" x14ac:dyDescent="0.2">
      <c r="A124" s="1045"/>
      <c r="B124" s="255"/>
      <c r="C124" s="255"/>
      <c r="D124" s="255"/>
      <c r="E124" s="255"/>
      <c r="F124" s="255"/>
      <c r="G124" s="255"/>
      <c r="H124" s="255"/>
      <c r="I124" s="255"/>
      <c r="J124" s="255"/>
      <c r="K124" s="255"/>
      <c r="L124" s="255"/>
      <c r="M124" s="255"/>
      <c r="N124" s="255"/>
      <c r="AK124" s="108"/>
      <c r="AL124" s="108"/>
      <c r="AM124" s="108"/>
      <c r="AN124" s="108"/>
      <c r="AO124" s="137"/>
      <c r="AP124" s="137"/>
      <c r="AQ124" s="137"/>
      <c r="AR124" s="137"/>
      <c r="AS124" s="137"/>
    </row>
    <row r="125" spans="1:45" ht="15" customHeight="1" x14ac:dyDescent="0.2">
      <c r="A125" s="1045"/>
      <c r="B125" s="255"/>
      <c r="C125" s="255"/>
      <c r="D125" s="255"/>
      <c r="E125" s="255"/>
      <c r="F125" s="255"/>
      <c r="G125" s="255"/>
      <c r="H125" s="255"/>
      <c r="I125" s="255"/>
      <c r="J125" s="255"/>
      <c r="K125" s="255"/>
      <c r="AK125" s="108"/>
      <c r="AL125" s="108"/>
      <c r="AM125" s="108"/>
      <c r="AN125" s="108"/>
      <c r="AO125" s="137"/>
      <c r="AP125" s="137"/>
      <c r="AQ125" s="137"/>
      <c r="AR125" s="137"/>
      <c r="AS125" s="137"/>
    </row>
    <row r="126" spans="1:45" ht="12.75" x14ac:dyDescent="0.2">
      <c r="A126" s="1045"/>
      <c r="B126" s="255"/>
      <c r="C126" s="255"/>
      <c r="D126" s="255"/>
      <c r="E126" s="255"/>
      <c r="F126" s="255"/>
      <c r="G126" s="255"/>
      <c r="H126" s="255"/>
      <c r="I126" s="255"/>
      <c r="J126" s="255"/>
      <c r="K126" s="255"/>
      <c r="AK126" s="108"/>
      <c r="AL126" s="108"/>
      <c r="AM126" s="108"/>
      <c r="AN126" s="108"/>
      <c r="AO126" s="137"/>
      <c r="AP126" s="137"/>
      <c r="AQ126" s="137"/>
      <c r="AR126" s="137"/>
      <c r="AS126" s="137"/>
    </row>
    <row r="127" spans="1:45" x14ac:dyDescent="0.2">
      <c r="A127" s="1045"/>
      <c r="AK127" s="108"/>
      <c r="AL127" s="108"/>
      <c r="AM127" s="108"/>
      <c r="AN127" s="108"/>
      <c r="AO127" s="137"/>
      <c r="AP127" s="137"/>
      <c r="AQ127" s="137"/>
      <c r="AR127" s="137"/>
      <c r="AS127" s="137"/>
    </row>
    <row r="128" spans="1:45" x14ac:dyDescent="0.2">
      <c r="A128" s="1045"/>
      <c r="AK128" s="108"/>
      <c r="AL128" s="108"/>
      <c r="AM128" s="108"/>
      <c r="AN128" s="108"/>
      <c r="AO128" s="137"/>
      <c r="AP128" s="137"/>
      <c r="AQ128" s="137"/>
      <c r="AR128" s="137"/>
      <c r="AS128" s="137"/>
    </row>
    <row r="129" spans="1:45" x14ac:dyDescent="0.2">
      <c r="A129" s="1045"/>
      <c r="AK129" s="108"/>
      <c r="AL129" s="108"/>
      <c r="AM129" s="108"/>
      <c r="AN129" s="108"/>
      <c r="AO129" s="137"/>
      <c r="AP129" s="137"/>
      <c r="AQ129" s="137"/>
      <c r="AR129" s="137"/>
      <c r="AS129" s="137"/>
    </row>
    <row r="130" spans="1:45" x14ac:dyDescent="0.2">
      <c r="A130" s="1045"/>
      <c r="AK130" s="108"/>
      <c r="AL130" s="108"/>
      <c r="AM130" s="108"/>
      <c r="AN130" s="108"/>
      <c r="AO130" s="137"/>
      <c r="AP130" s="137"/>
      <c r="AQ130" s="137"/>
      <c r="AR130" s="137"/>
      <c r="AS130" s="137"/>
    </row>
    <row r="131" spans="1:45" x14ac:dyDescent="0.2">
      <c r="A131" s="1045"/>
      <c r="AK131" s="108"/>
      <c r="AL131" s="108"/>
      <c r="AM131" s="108"/>
      <c r="AN131" s="108"/>
      <c r="AO131" s="137"/>
      <c r="AP131" s="137"/>
      <c r="AQ131" s="137"/>
      <c r="AR131" s="137"/>
      <c r="AS131" s="137"/>
    </row>
    <row r="132" spans="1:45" x14ac:dyDescent="0.2">
      <c r="A132" s="1045"/>
      <c r="AK132" s="108"/>
      <c r="AL132" s="108"/>
      <c r="AM132" s="108"/>
      <c r="AN132" s="108"/>
      <c r="AO132" s="137"/>
      <c r="AP132" s="137"/>
      <c r="AQ132" s="137"/>
      <c r="AR132" s="137"/>
      <c r="AS132" s="137"/>
    </row>
    <row r="133" spans="1:45" x14ac:dyDescent="0.2">
      <c r="A133" s="1045"/>
      <c r="AK133" s="108"/>
      <c r="AL133" s="108"/>
      <c r="AM133" s="108"/>
      <c r="AN133" s="108"/>
      <c r="AO133" s="137"/>
      <c r="AP133" s="137"/>
      <c r="AQ133" s="137"/>
      <c r="AR133" s="137"/>
      <c r="AS133" s="137"/>
    </row>
    <row r="134" spans="1:45" x14ac:dyDescent="0.2">
      <c r="A134" s="1045"/>
      <c r="AK134" s="108"/>
      <c r="AL134" s="108"/>
      <c r="AM134" s="108"/>
      <c r="AN134" s="108"/>
      <c r="AO134" s="137"/>
      <c r="AP134" s="137"/>
      <c r="AQ134" s="137"/>
      <c r="AR134" s="137"/>
      <c r="AS134" s="137"/>
    </row>
    <row r="135" spans="1:45" x14ac:dyDescent="0.2">
      <c r="A135" s="1045"/>
      <c r="AK135" s="108"/>
      <c r="AL135" s="108"/>
      <c r="AM135" s="108"/>
      <c r="AN135" s="108"/>
      <c r="AO135" s="137"/>
      <c r="AP135" s="137"/>
      <c r="AQ135" s="137"/>
      <c r="AR135" s="137"/>
      <c r="AS135" s="137"/>
    </row>
    <row r="136" spans="1:45" x14ac:dyDescent="0.2">
      <c r="A136" s="1045"/>
      <c r="AK136" s="108"/>
      <c r="AL136" s="108"/>
      <c r="AM136" s="108"/>
      <c r="AN136" s="108"/>
      <c r="AO136" s="137"/>
      <c r="AP136" s="137"/>
      <c r="AQ136" s="137"/>
      <c r="AR136" s="137"/>
      <c r="AS136" s="137"/>
    </row>
    <row r="137" spans="1:45" x14ac:dyDescent="0.2">
      <c r="A137" s="1045"/>
      <c r="AK137" s="108"/>
      <c r="AL137" s="108"/>
      <c r="AM137" s="108"/>
      <c r="AN137" s="108"/>
      <c r="AO137" s="137"/>
      <c r="AP137" s="137"/>
      <c r="AQ137" s="137"/>
      <c r="AR137" s="137"/>
      <c r="AS137" s="137"/>
    </row>
    <row r="138" spans="1:45" x14ac:dyDescent="0.2">
      <c r="A138" s="1045"/>
      <c r="AK138" s="108"/>
      <c r="AL138" s="108"/>
      <c r="AM138" s="108"/>
      <c r="AN138" s="108"/>
      <c r="AO138" s="137"/>
      <c r="AP138" s="137"/>
      <c r="AQ138" s="137"/>
      <c r="AR138" s="137"/>
      <c r="AS138" s="137"/>
    </row>
    <row r="139" spans="1:45" x14ac:dyDescent="0.2">
      <c r="A139" s="1045"/>
      <c r="AK139" s="108"/>
      <c r="AL139" s="108"/>
      <c r="AM139" s="108"/>
      <c r="AN139" s="108"/>
      <c r="AO139" s="137"/>
      <c r="AP139" s="137"/>
      <c r="AQ139" s="137"/>
      <c r="AR139" s="137"/>
      <c r="AS139" s="137"/>
    </row>
    <row r="140" spans="1:45" x14ac:dyDescent="0.2">
      <c r="A140" s="1045"/>
      <c r="AK140" s="108"/>
      <c r="AL140" s="108"/>
      <c r="AM140" s="108"/>
      <c r="AN140" s="108"/>
      <c r="AO140" s="137"/>
      <c r="AP140" s="137"/>
      <c r="AQ140" s="137"/>
      <c r="AR140" s="137"/>
      <c r="AS140" s="137"/>
    </row>
    <row r="141" spans="1:45" x14ac:dyDescent="0.2">
      <c r="A141" s="1045"/>
      <c r="AK141" s="108"/>
      <c r="AL141" s="108"/>
      <c r="AM141" s="108"/>
      <c r="AN141" s="108"/>
      <c r="AO141" s="137"/>
      <c r="AP141" s="137"/>
      <c r="AQ141" s="137"/>
      <c r="AR141" s="137"/>
      <c r="AS141" s="137"/>
    </row>
    <row r="142" spans="1:45" x14ac:dyDescent="0.2">
      <c r="A142" s="1045"/>
      <c r="AK142" s="108"/>
      <c r="AL142" s="108"/>
      <c r="AM142" s="108"/>
      <c r="AN142" s="108"/>
      <c r="AO142" s="137"/>
      <c r="AP142" s="137"/>
      <c r="AQ142" s="137"/>
      <c r="AR142" s="137"/>
      <c r="AS142" s="137"/>
    </row>
    <row r="143" spans="1:45" x14ac:dyDescent="0.2">
      <c r="A143" s="1045"/>
      <c r="AK143" s="108"/>
      <c r="AL143" s="108"/>
      <c r="AM143" s="108"/>
      <c r="AN143" s="108"/>
      <c r="AO143" s="137"/>
      <c r="AP143" s="137"/>
      <c r="AQ143" s="137"/>
      <c r="AR143" s="137"/>
      <c r="AS143" s="137"/>
    </row>
    <row r="144" spans="1:45" x14ac:dyDescent="0.2">
      <c r="A144" s="1045"/>
      <c r="AK144" s="108"/>
      <c r="AL144" s="108"/>
      <c r="AM144" s="108"/>
      <c r="AN144" s="108"/>
      <c r="AO144" s="137"/>
      <c r="AP144" s="137"/>
      <c r="AQ144" s="137"/>
      <c r="AR144" s="137"/>
      <c r="AS144" s="137"/>
    </row>
    <row r="145" spans="1:45" x14ac:dyDescent="0.2">
      <c r="A145" s="1045"/>
      <c r="AK145" s="108"/>
      <c r="AL145" s="108"/>
      <c r="AM145" s="108"/>
      <c r="AN145" s="108"/>
      <c r="AO145" s="137"/>
      <c r="AP145" s="137"/>
      <c r="AQ145" s="137"/>
      <c r="AR145" s="137"/>
      <c r="AS145" s="137"/>
    </row>
    <row r="146" spans="1:45" x14ac:dyDescent="0.2">
      <c r="A146" s="1045"/>
      <c r="AK146" s="108"/>
      <c r="AL146" s="108"/>
      <c r="AM146" s="108"/>
      <c r="AN146" s="108"/>
      <c r="AO146" s="137"/>
      <c r="AP146" s="137"/>
      <c r="AQ146" s="137"/>
      <c r="AR146" s="137"/>
      <c r="AS146" s="137"/>
    </row>
    <row r="147" spans="1:45" x14ac:dyDescent="0.2">
      <c r="A147" s="1045"/>
      <c r="AK147" s="108"/>
      <c r="AL147" s="108"/>
      <c r="AM147" s="108"/>
      <c r="AN147" s="108"/>
      <c r="AO147" s="137"/>
      <c r="AP147" s="137"/>
      <c r="AQ147" s="137"/>
      <c r="AR147" s="137"/>
      <c r="AS147" s="137"/>
    </row>
    <row r="148" spans="1:45" x14ac:dyDescent="0.2">
      <c r="A148" s="1045"/>
      <c r="AK148" s="108"/>
      <c r="AL148" s="108"/>
      <c r="AM148" s="108"/>
      <c r="AN148" s="108"/>
      <c r="AO148" s="137"/>
      <c r="AP148" s="137"/>
      <c r="AQ148" s="137"/>
      <c r="AR148" s="137"/>
      <c r="AS148" s="137"/>
    </row>
    <row r="149" spans="1:45" x14ac:dyDescent="0.2">
      <c r="A149" s="1045"/>
      <c r="AK149" s="108"/>
      <c r="AL149" s="108"/>
      <c r="AM149" s="108"/>
      <c r="AN149" s="108"/>
      <c r="AO149" s="137"/>
      <c r="AP149" s="137"/>
      <c r="AQ149" s="137"/>
      <c r="AR149" s="137"/>
      <c r="AS149" s="137"/>
    </row>
    <row r="150" spans="1:45" x14ac:dyDescent="0.2">
      <c r="AK150" s="108"/>
      <c r="AL150" s="108"/>
      <c r="AM150" s="108"/>
      <c r="AN150" s="108"/>
      <c r="AO150" s="137"/>
      <c r="AP150" s="137"/>
      <c r="AQ150" s="137"/>
      <c r="AR150" s="137"/>
      <c r="AS150" s="137"/>
    </row>
    <row r="151" spans="1:45" x14ac:dyDescent="0.2">
      <c r="AK151" s="108"/>
      <c r="AL151" s="108"/>
      <c r="AM151" s="108"/>
      <c r="AN151" s="108"/>
      <c r="AO151" s="137"/>
      <c r="AP151" s="137"/>
      <c r="AQ151" s="137"/>
      <c r="AR151" s="137"/>
      <c r="AS151" s="137"/>
    </row>
    <row r="152" spans="1:45" x14ac:dyDescent="0.2">
      <c r="AK152" s="108"/>
      <c r="AL152" s="108"/>
      <c r="AM152" s="108"/>
      <c r="AN152" s="108"/>
      <c r="AO152" s="137"/>
      <c r="AP152" s="137"/>
      <c r="AQ152" s="137"/>
      <c r="AR152" s="137"/>
      <c r="AS152" s="137"/>
    </row>
    <row r="153" spans="1:45" x14ac:dyDescent="0.2">
      <c r="AK153" s="108"/>
      <c r="AL153" s="108"/>
      <c r="AM153" s="108"/>
      <c r="AN153" s="108"/>
      <c r="AO153" s="137"/>
      <c r="AP153" s="137"/>
      <c r="AQ153" s="137"/>
      <c r="AR153" s="137"/>
      <c r="AS153" s="137"/>
    </row>
    <row r="154" spans="1:45" x14ac:dyDescent="0.2">
      <c r="AK154" s="108"/>
      <c r="AL154" s="108"/>
      <c r="AM154" s="108"/>
      <c r="AN154" s="108"/>
      <c r="AO154" s="137"/>
      <c r="AP154" s="137"/>
      <c r="AQ154" s="137"/>
      <c r="AR154" s="137"/>
      <c r="AS154" s="137"/>
    </row>
    <row r="155" spans="1:45" x14ac:dyDescent="0.2">
      <c r="AK155" s="108"/>
      <c r="AL155" s="108"/>
      <c r="AM155" s="108"/>
      <c r="AN155" s="108"/>
      <c r="AO155" s="137"/>
      <c r="AP155" s="137"/>
      <c r="AQ155" s="137"/>
      <c r="AR155" s="137"/>
      <c r="AS155" s="137"/>
    </row>
    <row r="156" spans="1:45" x14ac:dyDescent="0.2">
      <c r="AK156" s="108"/>
      <c r="AL156" s="108"/>
      <c r="AM156" s="108"/>
      <c r="AN156" s="108"/>
      <c r="AO156" s="137"/>
      <c r="AP156" s="137"/>
      <c r="AQ156" s="137"/>
      <c r="AR156" s="137"/>
      <c r="AS156" s="137"/>
    </row>
    <row r="157" spans="1:45" x14ac:dyDescent="0.2">
      <c r="AK157" s="108"/>
      <c r="AL157" s="108"/>
      <c r="AM157" s="108"/>
      <c r="AN157" s="108"/>
      <c r="AO157" s="137"/>
      <c r="AP157" s="137"/>
      <c r="AQ157" s="137"/>
      <c r="AR157" s="137"/>
      <c r="AS157" s="137"/>
    </row>
    <row r="158" spans="1:45" x14ac:dyDescent="0.2">
      <c r="AK158" s="108"/>
      <c r="AL158" s="108"/>
      <c r="AM158" s="108"/>
      <c r="AN158" s="108"/>
      <c r="AO158" s="137"/>
      <c r="AP158" s="137"/>
      <c r="AQ158" s="137"/>
      <c r="AR158" s="137"/>
      <c r="AS158" s="137"/>
    </row>
    <row r="159" spans="1:45" x14ac:dyDescent="0.2">
      <c r="AK159" s="108"/>
      <c r="AL159" s="108"/>
      <c r="AM159" s="108"/>
      <c r="AN159" s="108"/>
      <c r="AO159" s="137"/>
      <c r="AP159" s="137"/>
      <c r="AQ159" s="137"/>
      <c r="AR159" s="137"/>
      <c r="AS159" s="137"/>
    </row>
    <row r="160" spans="1:45" x14ac:dyDescent="0.2">
      <c r="AK160" s="108"/>
      <c r="AL160" s="108"/>
      <c r="AM160" s="108"/>
      <c r="AN160" s="108"/>
      <c r="AO160" s="137"/>
      <c r="AP160" s="137"/>
      <c r="AQ160" s="137"/>
      <c r="AR160" s="137"/>
      <c r="AS160" s="137"/>
    </row>
    <row r="161" spans="37:45" x14ac:dyDescent="0.2">
      <c r="AK161" s="108"/>
      <c r="AL161" s="108"/>
      <c r="AM161" s="108"/>
      <c r="AN161" s="108"/>
      <c r="AO161" s="137"/>
      <c r="AP161" s="137"/>
      <c r="AQ161" s="137"/>
      <c r="AR161" s="137"/>
      <c r="AS161" s="137"/>
    </row>
    <row r="162" spans="37:45" x14ac:dyDescent="0.2">
      <c r="AK162" s="108"/>
      <c r="AL162" s="108"/>
      <c r="AM162" s="108"/>
      <c r="AN162" s="108"/>
      <c r="AO162" s="137"/>
      <c r="AP162" s="137"/>
      <c r="AQ162" s="137"/>
      <c r="AR162" s="137"/>
      <c r="AS162" s="137"/>
    </row>
    <row r="163" spans="37:45" x14ac:dyDescent="0.2">
      <c r="AK163" s="108"/>
      <c r="AL163" s="108"/>
      <c r="AM163" s="108"/>
      <c r="AN163" s="108"/>
      <c r="AO163" s="137"/>
      <c r="AP163" s="137"/>
      <c r="AQ163" s="137"/>
      <c r="AR163" s="137"/>
      <c r="AS163" s="137"/>
    </row>
    <row r="164" spans="37:45" x14ac:dyDescent="0.2">
      <c r="AK164" s="108"/>
      <c r="AL164" s="108"/>
      <c r="AM164" s="108"/>
      <c r="AN164" s="108"/>
      <c r="AO164" s="137"/>
      <c r="AP164" s="137"/>
      <c r="AQ164" s="137"/>
      <c r="AR164" s="137"/>
      <c r="AS164" s="137"/>
    </row>
    <row r="165" spans="37:45" x14ac:dyDescent="0.2">
      <c r="AK165" s="108"/>
      <c r="AL165" s="108"/>
      <c r="AM165" s="108"/>
      <c r="AN165" s="108"/>
      <c r="AO165" s="137"/>
      <c r="AP165" s="137"/>
      <c r="AQ165" s="137"/>
      <c r="AR165" s="137"/>
      <c r="AS165" s="137"/>
    </row>
    <row r="166" spans="37:45" x14ac:dyDescent="0.2">
      <c r="AK166" s="108"/>
      <c r="AL166" s="108"/>
      <c r="AM166" s="108"/>
      <c r="AN166" s="108"/>
      <c r="AO166" s="137"/>
      <c r="AP166" s="137"/>
      <c r="AQ166" s="137"/>
      <c r="AR166" s="137"/>
      <c r="AS166" s="137"/>
    </row>
    <row r="167" spans="37:45" x14ac:dyDescent="0.2">
      <c r="AK167" s="108"/>
      <c r="AL167" s="108"/>
      <c r="AM167" s="108"/>
      <c r="AN167" s="108"/>
      <c r="AO167" s="137"/>
      <c r="AP167" s="137"/>
      <c r="AQ167" s="137"/>
      <c r="AR167" s="137"/>
      <c r="AS167" s="137"/>
    </row>
    <row r="168" spans="37:45" x14ac:dyDescent="0.2">
      <c r="AK168" s="108"/>
      <c r="AL168" s="108"/>
      <c r="AM168" s="108"/>
      <c r="AN168" s="108"/>
      <c r="AO168" s="137"/>
      <c r="AP168" s="137"/>
      <c r="AQ168" s="137"/>
      <c r="AR168" s="137"/>
      <c r="AS168" s="137"/>
    </row>
    <row r="169" spans="37:45" x14ac:dyDescent="0.2">
      <c r="AK169" s="108"/>
      <c r="AL169" s="108"/>
      <c r="AM169" s="108"/>
      <c r="AN169" s="108"/>
      <c r="AO169" s="137"/>
      <c r="AP169" s="137"/>
      <c r="AQ169" s="137"/>
      <c r="AR169" s="137"/>
      <c r="AS169" s="137"/>
    </row>
    <row r="170" spans="37:45" x14ac:dyDescent="0.2">
      <c r="AK170" s="108"/>
      <c r="AL170" s="108"/>
      <c r="AM170" s="108"/>
      <c r="AN170" s="108"/>
      <c r="AO170" s="137"/>
      <c r="AP170" s="137"/>
      <c r="AQ170" s="137"/>
      <c r="AR170" s="137"/>
      <c r="AS170" s="137"/>
    </row>
    <row r="171" spans="37:45" x14ac:dyDescent="0.2">
      <c r="AK171" s="108"/>
      <c r="AL171" s="108"/>
      <c r="AM171" s="108"/>
      <c r="AN171" s="108"/>
      <c r="AO171" s="137"/>
      <c r="AP171" s="137"/>
      <c r="AQ171" s="137"/>
      <c r="AR171" s="137"/>
      <c r="AS171" s="137"/>
    </row>
    <row r="172" spans="37:45" x14ac:dyDescent="0.2">
      <c r="AK172" s="108"/>
      <c r="AL172" s="108"/>
      <c r="AM172" s="108"/>
      <c r="AN172" s="108"/>
      <c r="AO172" s="137"/>
      <c r="AP172" s="137"/>
      <c r="AQ172" s="137"/>
      <c r="AR172" s="137"/>
      <c r="AS172" s="137"/>
    </row>
    <row r="173" spans="37:45" x14ac:dyDescent="0.2">
      <c r="AK173" s="108"/>
      <c r="AL173" s="108"/>
      <c r="AM173" s="108"/>
      <c r="AN173" s="108"/>
      <c r="AO173" s="137"/>
      <c r="AP173" s="137"/>
      <c r="AQ173" s="137"/>
      <c r="AR173" s="137"/>
      <c r="AS173" s="137"/>
    </row>
    <row r="174" spans="37:45" x14ac:dyDescent="0.2">
      <c r="AK174" s="108"/>
      <c r="AL174" s="108"/>
      <c r="AM174" s="108"/>
      <c r="AN174" s="108"/>
      <c r="AO174" s="137"/>
      <c r="AP174" s="137"/>
      <c r="AQ174" s="137"/>
      <c r="AR174" s="137"/>
      <c r="AS174" s="137"/>
    </row>
    <row r="175" spans="37:45" x14ac:dyDescent="0.2">
      <c r="AK175" s="108"/>
      <c r="AL175" s="108"/>
      <c r="AM175" s="108"/>
      <c r="AN175" s="108"/>
      <c r="AO175" s="137"/>
      <c r="AP175" s="137"/>
      <c r="AQ175" s="137"/>
      <c r="AR175" s="137"/>
      <c r="AS175" s="137"/>
    </row>
    <row r="176" spans="37:45" x14ac:dyDescent="0.2">
      <c r="AK176" s="108"/>
      <c r="AL176" s="108"/>
      <c r="AM176" s="108"/>
      <c r="AN176" s="108"/>
      <c r="AO176" s="137"/>
      <c r="AP176" s="137"/>
      <c r="AQ176" s="137"/>
      <c r="AR176" s="137"/>
      <c r="AS176" s="137"/>
    </row>
    <row r="177" spans="37:45" x14ac:dyDescent="0.2">
      <c r="AK177" s="108"/>
      <c r="AL177" s="108"/>
      <c r="AM177" s="108"/>
      <c r="AN177" s="108"/>
      <c r="AO177" s="137"/>
      <c r="AP177" s="137"/>
      <c r="AQ177" s="137"/>
      <c r="AR177" s="137"/>
      <c r="AS177" s="137"/>
    </row>
    <row r="178" spans="37:45" x14ac:dyDescent="0.2">
      <c r="AK178" s="108"/>
      <c r="AL178" s="108"/>
      <c r="AM178" s="108"/>
      <c r="AN178" s="108"/>
      <c r="AO178" s="137"/>
      <c r="AP178" s="137"/>
      <c r="AQ178" s="137"/>
      <c r="AR178" s="137"/>
      <c r="AS178" s="137"/>
    </row>
  </sheetData>
  <sheetProtection algorithmName="SHA-512" hashValue="ax+DCJWwqYZ71LNrd2drR9Bmu10YNOuV1sd1JSoxGYM8UkxGVOr5xmKEfpd2YT7yYtr+ikuSNOAJhLhAY/D0WA==" saltValue="XNMZy3LTBvK2Zo1DV7TVhA==" spinCount="100000" sheet="1" objects="1" scenarios="1"/>
  <mergeCells count="52">
    <mergeCell ref="A110:A149"/>
    <mergeCell ref="B2:C2"/>
    <mergeCell ref="N100:S100"/>
    <mergeCell ref="N101:S101"/>
    <mergeCell ref="S106:T106"/>
    <mergeCell ref="B16:G16"/>
    <mergeCell ref="O16:P16"/>
    <mergeCell ref="B17:G17"/>
    <mergeCell ref="B20:C20"/>
    <mergeCell ref="F9:H9"/>
    <mergeCell ref="F20:H20"/>
    <mergeCell ref="N81:T81"/>
    <mergeCell ref="R85:T85"/>
    <mergeCell ref="N86:S86"/>
    <mergeCell ref="N87:S87"/>
    <mergeCell ref="N88:S88"/>
    <mergeCell ref="O27:P27"/>
    <mergeCell ref="B24:C26"/>
    <mergeCell ref="D24:G24"/>
    <mergeCell ref="D25:G25"/>
    <mergeCell ref="D26:G26"/>
    <mergeCell ref="AS9:AS10"/>
    <mergeCell ref="AT9:AT10"/>
    <mergeCell ref="N99:S99"/>
    <mergeCell ref="B41:L45"/>
    <mergeCell ref="N89:S89"/>
    <mergeCell ref="N90:S90"/>
    <mergeCell ref="R96:T96"/>
    <mergeCell ref="N97:S97"/>
    <mergeCell ref="N98:S98"/>
    <mergeCell ref="B28:G28"/>
    <mergeCell ref="B31:J33"/>
    <mergeCell ref="P31:Q31"/>
    <mergeCell ref="B21:G21"/>
    <mergeCell ref="B22:G22"/>
    <mergeCell ref="B23:G23"/>
    <mergeCell ref="B27:G27"/>
    <mergeCell ref="B7:C7"/>
    <mergeCell ref="G7:H7"/>
    <mergeCell ref="AT1:AU1"/>
    <mergeCell ref="N2:O2"/>
    <mergeCell ref="Q2:R2"/>
    <mergeCell ref="K4:L5"/>
    <mergeCell ref="F5:J5"/>
    <mergeCell ref="B13:C15"/>
    <mergeCell ref="D13:G13"/>
    <mergeCell ref="B9:C9"/>
    <mergeCell ref="B10:G10"/>
    <mergeCell ref="B11:G11"/>
    <mergeCell ref="B12:G12"/>
    <mergeCell ref="D14:G14"/>
    <mergeCell ref="D15:G15"/>
  </mergeCells>
  <conditionalFormatting sqref="I12">
    <cfRule type="expression" dxfId="235" priority="10">
      <formula>$M$17=0</formula>
    </cfRule>
    <cfRule type="containsText" dxfId="234" priority="11" operator="containsText" text="Doplňte">
      <formula>NOT(ISERROR(SEARCH("Doplňte",I12)))</formula>
    </cfRule>
  </conditionalFormatting>
  <conditionalFormatting sqref="I15">
    <cfRule type="expression" dxfId="233" priority="8">
      <formula>$M$17=0</formula>
    </cfRule>
    <cfRule type="containsText" dxfId="232" priority="9" operator="containsText" text="Doplňte">
      <formula>NOT(ISERROR(SEARCH("Doplňte",I15)))</formula>
    </cfRule>
  </conditionalFormatting>
  <conditionalFormatting sqref="I26">
    <cfRule type="containsText" dxfId="231" priority="7" operator="containsText" text="Doplňte">
      <formula>NOT(ISERROR(SEARCH("Doplňte",I26)))</formula>
    </cfRule>
  </conditionalFormatting>
  <conditionalFormatting sqref="I26">
    <cfRule type="expression" dxfId="230" priority="6">
      <formula>$M$28=0</formula>
    </cfRule>
  </conditionalFormatting>
  <conditionalFormatting sqref="I23">
    <cfRule type="expression" dxfId="229" priority="4">
      <formula>$M$28=0</formula>
    </cfRule>
    <cfRule type="containsText" dxfId="228" priority="5" operator="containsText" text="Doplňte">
      <formula>NOT(ISERROR(SEARCH("Doplňte",I23)))</formula>
    </cfRule>
  </conditionalFormatting>
  <conditionalFormatting sqref="E9">
    <cfRule type="expression" dxfId="227" priority="3">
      <formula>$M$17&gt;0</formula>
    </cfRule>
  </conditionalFormatting>
  <conditionalFormatting sqref="E20">
    <cfRule type="expression" dxfId="226" priority="1">
      <formula>$M$28&gt;0</formula>
    </cfRule>
  </conditionalFormatting>
  <hyperlinks>
    <hyperlink ref="N86:S86" location="HSt!H10" tooltip=" " display="HSt!H10" xr:uid="{5DD45882-CB8E-4E0F-A83E-EDAD5BA86268}"/>
    <hyperlink ref="N87:S87" location="HSt!H11" tooltip=" " display="HSt!H11" xr:uid="{4F2EE932-5531-4D41-B450-709F9A8DEC6C}"/>
    <hyperlink ref="N97:S97" location="HSt!H19" tooltip=" " display="HSt!H19" xr:uid="{C165272E-2D2C-4DC6-BE28-46EBBB69E188}"/>
    <hyperlink ref="N98:S98" location="HSt!H20" tooltip=" " display="HSt!H20" xr:uid="{28A0156D-C6AE-4D2B-9F0A-3B52A25AFBB6}"/>
    <hyperlink ref="AN5" location="HSt!A110" tooltip=" " display="HSt!A110" xr:uid="{6809BA4C-8C45-4196-B166-D2AECE4F76DF}"/>
    <hyperlink ref="L122" location="HSt!A1" tooltip=" " display="HSt!A1" xr:uid="{38BFE2D6-1CA1-49B6-9A90-E84768056D22}"/>
    <hyperlink ref="AN9" location="SumAVS!A1" tooltip=" " display="SumAVS!A1" xr:uid="{8531A4C6-E06C-49B1-B34F-F7FC382B3DBE}"/>
    <hyperlink ref="AN10" location="OrdAVS!A1" tooltip=" " display="OrdAVS!A1" xr:uid="{D5B49CC0-8FF3-485B-BA8F-FFE4E487C07F}"/>
    <hyperlink ref="AN7" location="AcsAVS!A1" tooltip=" " display="AcsAVS!A1" xr:uid="{58D98E0A-0040-4129-9F8F-7EAAA36EFE1D}"/>
    <hyperlink ref="AN4" location="MenuAVS!A1" tooltip=" " display="MenuAVS!A1" xr:uid="{9FE0D9AF-DAB7-45CA-AD26-0782348E3F42}"/>
    <hyperlink ref="B2" location="HF!A1" tooltip=" " display=" AVENTOS HF" xr:uid="{DD4F7244-2970-4983-AAEC-3C289C5BBD1E}"/>
    <hyperlink ref="B2:C2" location="HS!A1" tooltip=" " display=" AVENTOS HS" xr:uid="{11F4C769-E0BB-4261-BFBB-B593029D924B}"/>
  </hyperlinks>
  <pageMargins left="0.62992125984251968" right="0.23622047244094488" top="0.74803149606299213" bottom="0.74803149606299213" header="0.31496062992125984" footer="0.31496062992125984"/>
  <pageSetup paperSize="9" orientation="portrait" horizontalDpi="4294967293"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7043" r:id="rId4" name="Drop Down 3">
              <controlPr defaultSize="0" autoLine="0" autoPict="0">
                <anchor moveWithCells="1">
                  <from>
                    <xdr:col>2</xdr:col>
                    <xdr:colOff>590550</xdr:colOff>
                    <xdr:row>6</xdr:row>
                    <xdr:rowOff>9525</xdr:rowOff>
                  </from>
                  <to>
                    <xdr:col>6</xdr:col>
                    <xdr:colOff>0</xdr:colOff>
                    <xdr:row>7</xdr:row>
                    <xdr:rowOff>0</xdr:rowOff>
                  </to>
                </anchor>
              </controlPr>
            </control>
          </mc:Choice>
        </mc:AlternateContent>
        <mc:AlternateContent xmlns:mc="http://schemas.openxmlformats.org/markup-compatibility/2006">
          <mc:Choice Requires="x14">
            <control shapeId="87045" r:id="rId5" name="Drop Down 5">
              <controlPr defaultSize="0" autoLine="0" autoPict="0">
                <anchor moveWithCells="1">
                  <from>
                    <xdr:col>1</xdr:col>
                    <xdr:colOff>0</xdr:colOff>
                    <xdr:row>9</xdr:row>
                    <xdr:rowOff>9525</xdr:rowOff>
                  </from>
                  <to>
                    <xdr:col>3</xdr:col>
                    <xdr:colOff>9525</xdr:colOff>
                    <xdr:row>10</xdr:row>
                    <xdr:rowOff>0</xdr:rowOff>
                  </to>
                </anchor>
              </controlPr>
            </control>
          </mc:Choice>
        </mc:AlternateContent>
        <mc:AlternateContent xmlns:mc="http://schemas.openxmlformats.org/markup-compatibility/2006">
          <mc:Choice Requires="x14">
            <control shapeId="87046" r:id="rId6" name="Drop Down 6">
              <controlPr defaultSize="0" autoLine="0" autoPict="0">
                <anchor moveWithCells="1">
                  <from>
                    <xdr:col>1</xdr:col>
                    <xdr:colOff>0</xdr:colOff>
                    <xdr:row>20</xdr:row>
                    <xdr:rowOff>9525</xdr:rowOff>
                  </from>
                  <to>
                    <xdr:col>3</xdr:col>
                    <xdr:colOff>9525</xdr:colOff>
                    <xdr:row>21</xdr:row>
                    <xdr:rowOff>0</xdr:rowOff>
                  </to>
                </anchor>
              </controlPr>
            </control>
          </mc:Choice>
        </mc:AlternateContent>
        <mc:AlternateContent xmlns:mc="http://schemas.openxmlformats.org/markup-compatibility/2006">
          <mc:Choice Requires="x14">
            <control shapeId="87048" r:id="rId7" name="Drop Down 8">
              <controlPr defaultSize="0" autoLine="0" autoPict="0">
                <anchor moveWithCells="1">
                  <from>
                    <xdr:col>5</xdr:col>
                    <xdr:colOff>552450</xdr:colOff>
                    <xdr:row>3</xdr:row>
                    <xdr:rowOff>0</xdr:rowOff>
                  </from>
                  <to>
                    <xdr:col>9</xdr:col>
                    <xdr:colOff>0</xdr:colOff>
                    <xdr:row>3</xdr:row>
                    <xdr:rowOff>200025</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4074D-0924-4BF8-A7F0-5AEE9AEBBBB8}">
  <sheetPr codeName="Sheet43">
    <tabColor indexed="17"/>
  </sheetPr>
  <dimension ref="A1:AZ154"/>
  <sheetViews>
    <sheetView showGridLines="0" showRowColHeaders="0" zoomScaleNormal="100" workbookViewId="0">
      <selection activeCell="K28" sqref="K28"/>
    </sheetView>
  </sheetViews>
  <sheetFormatPr defaultColWidth="8.28515625" defaultRowHeight="12" x14ac:dyDescent="0.2"/>
  <cols>
    <col min="1" max="1" width="1.28515625" style="37" customWidth="1"/>
    <col min="2" max="9" width="8.5703125" style="37" customWidth="1"/>
    <col min="10" max="10" width="6.7109375" style="37" customWidth="1"/>
    <col min="11" max="11" width="10.42578125" style="37" customWidth="1"/>
    <col min="12" max="12" width="17.28515625" style="37" customWidth="1"/>
    <col min="13" max="14" width="6.42578125" style="37" hidden="1" customWidth="1"/>
    <col min="15" max="15" width="6.42578125" style="118" hidden="1" customWidth="1"/>
    <col min="16" max="16" width="6.42578125" style="37" hidden="1" customWidth="1"/>
    <col min="17" max="17" width="6" style="118" hidden="1" customWidth="1"/>
    <col min="18" max="18" width="6.42578125" style="37" hidden="1" customWidth="1"/>
    <col min="19" max="22" width="7.7109375" style="37" hidden="1" customWidth="1"/>
    <col min="23" max="24" width="6.42578125" style="37" hidden="1" customWidth="1"/>
    <col min="25" max="25" width="37.28515625" style="37" hidden="1" customWidth="1"/>
    <col min="26" max="26" width="13.5703125" style="37" hidden="1" customWidth="1"/>
    <col min="27" max="29" width="6.7109375" style="37" hidden="1" customWidth="1"/>
    <col min="30" max="30" width="9.42578125" style="37" hidden="1" customWidth="1"/>
    <col min="31" max="34" width="7.7109375" style="37" hidden="1" customWidth="1"/>
    <col min="35" max="35" width="3.28515625" style="36" hidden="1" customWidth="1"/>
    <col min="36" max="36" width="5.28515625" style="36" customWidth="1"/>
    <col min="37" max="37" width="23.42578125" style="36" customWidth="1"/>
    <col min="38" max="42" width="8.28515625" style="121"/>
    <col min="43" max="43" width="13.28515625" style="122" customWidth="1"/>
    <col min="44" max="44" width="19.7109375" style="122" customWidth="1"/>
    <col min="45" max="46" width="19.7109375" style="121" customWidth="1"/>
    <col min="47" max="16384" width="8.28515625" style="121"/>
  </cols>
  <sheetData>
    <row r="1" spans="1:48" ht="4.5" customHeight="1" thickBot="1" x14ac:dyDescent="0.25">
      <c r="L1" s="137"/>
      <c r="AI1" s="108"/>
      <c r="AJ1" s="108"/>
      <c r="AK1" s="108"/>
      <c r="AL1" s="137"/>
      <c r="AM1" s="137"/>
      <c r="AN1" s="137"/>
      <c r="AO1" s="137"/>
      <c r="AP1" s="137"/>
      <c r="AQ1" s="1045"/>
      <c r="AR1" s="1045"/>
      <c r="AS1" s="1045"/>
      <c r="AT1" s="1045"/>
    </row>
    <row r="2" spans="1:48" s="36" customFormat="1" ht="19.5" customHeight="1" thickBot="1" x14ac:dyDescent="0.25">
      <c r="A2" s="108"/>
      <c r="B2" s="1048" t="s">
        <v>669</v>
      </c>
      <c r="C2" s="1048"/>
      <c r="D2" s="884"/>
      <c r="E2" s="884"/>
      <c r="F2" s="884"/>
      <c r="G2" s="884"/>
      <c r="H2" s="884"/>
      <c r="I2" s="884"/>
      <c r="J2" s="884"/>
      <c r="K2" s="884"/>
      <c r="L2" s="884"/>
      <c r="M2" s="108"/>
      <c r="N2" s="343"/>
      <c r="O2" s="343"/>
      <c r="P2" s="37"/>
      <c r="Q2" s="343"/>
      <c r="R2" s="343"/>
      <c r="S2" s="117">
        <v>1</v>
      </c>
      <c r="T2" s="342"/>
      <c r="U2" s="342"/>
      <c r="V2" s="37"/>
      <c r="W2" s="343"/>
      <c r="X2" s="343"/>
      <c r="Y2" s="343"/>
      <c r="Z2" s="343"/>
      <c r="AA2" s="343"/>
      <c r="AB2" s="343"/>
      <c r="AC2" s="343"/>
      <c r="AD2" s="343"/>
      <c r="AE2" s="343"/>
      <c r="AF2" s="343"/>
      <c r="AG2" s="343"/>
      <c r="AH2" s="343"/>
      <c r="AI2" s="108"/>
      <c r="AJ2" s="108"/>
      <c r="AK2" s="379" t="str">
        <f>ListAVS!$B$153</f>
        <v>Przejdź do</v>
      </c>
      <c r="AL2" s="108"/>
      <c r="AM2" s="108"/>
      <c r="AN2" s="108"/>
      <c r="AO2" s="108"/>
      <c r="AP2" s="108"/>
      <c r="AQ2" s="108"/>
      <c r="AR2" s="108"/>
      <c r="AS2" s="108"/>
      <c r="AT2" s="108"/>
    </row>
    <row r="3" spans="1:48" ht="3.75" customHeight="1" x14ac:dyDescent="0.2">
      <c r="B3" s="312"/>
      <c r="C3" s="306"/>
      <c r="D3" s="306"/>
      <c r="E3" s="306"/>
      <c r="F3" s="306"/>
      <c r="G3" s="306"/>
      <c r="H3" s="306"/>
      <c r="I3" s="306"/>
      <c r="J3" s="306"/>
      <c r="K3" s="306"/>
      <c r="L3" s="137"/>
      <c r="V3" s="344"/>
      <c r="AI3" s="108"/>
      <c r="AJ3" s="108"/>
      <c r="AK3" s="670"/>
      <c r="AL3" s="137"/>
      <c r="AM3" s="137"/>
      <c r="AN3" s="137"/>
      <c r="AO3" s="137"/>
      <c r="AP3" s="137"/>
      <c r="AQ3" s="37"/>
      <c r="AR3" s="37"/>
      <c r="AS3" s="137"/>
      <c r="AT3" s="137"/>
    </row>
    <row r="4" spans="1:48" ht="16.149999999999999" customHeight="1" thickBot="1" x14ac:dyDescent="0.25">
      <c r="B4" s="313" t="str">
        <f>ListAVS!$B$17</f>
        <v>Front drewniany</v>
      </c>
      <c r="C4" s="313"/>
      <c r="D4" s="266"/>
      <c r="E4" s="313"/>
      <c r="F4" s="269" t="str">
        <f>ListAVS!$B$180&amp;"  "</f>
        <v xml:space="preserve">Wykonanie frontów  </v>
      </c>
      <c r="J4" s="251"/>
      <c r="K4" s="1047" t="str">
        <f>IF($Z$77=3,IF(J4=0,$Y$72," "),IF(J4&gt;0,$Y$73," "))</f>
        <v xml:space="preserve"> </v>
      </c>
      <c r="L4" s="1047"/>
      <c r="N4" s="317"/>
      <c r="O4" s="344"/>
      <c r="Q4" s="317"/>
      <c r="R4" s="344"/>
      <c r="S4" s="37" t="str">
        <f>" "&amp;ListAVS!$B$41&amp;" A "</f>
        <v xml:space="preserve"> Cena za korpus A </v>
      </c>
      <c r="T4" s="345"/>
      <c r="U4" s="344"/>
      <c r="V4" s="344"/>
      <c r="W4" s="342"/>
      <c r="X4" s="342"/>
      <c r="Y4" s="342"/>
      <c r="Z4" s="342"/>
      <c r="AA4" s="342"/>
      <c r="AB4" s="342"/>
      <c r="AC4" s="342"/>
      <c r="AD4" s="342"/>
      <c r="AE4" s="342"/>
      <c r="AF4" s="342"/>
      <c r="AG4" s="342"/>
      <c r="AH4" s="342"/>
      <c r="AI4" s="108"/>
      <c r="AJ4" s="108"/>
      <c r="AK4" s="383" t="s">
        <v>77</v>
      </c>
      <c r="AL4" s="137"/>
      <c r="AM4" s="137"/>
      <c r="AN4" s="137"/>
      <c r="AO4" s="137"/>
      <c r="AP4" s="137"/>
      <c r="AQ4" s="37"/>
      <c r="AR4" s="37"/>
      <c r="AS4" s="137"/>
      <c r="AT4" s="137"/>
    </row>
    <row r="5" spans="1:48" ht="16.149999999999999" customHeight="1" x14ac:dyDescent="0.2">
      <c r="B5" s="266"/>
      <c r="C5" s="313"/>
      <c r="D5" s="313"/>
      <c r="E5" s="313"/>
      <c r="F5" s="1027" t="str">
        <f>IF($Z$77&lt;&gt;3,$Y$71," ")&amp;"      "</f>
        <v xml:space="preserve"> Możesz zmienić wartości we Wstępie do planowania      </v>
      </c>
      <c r="G5" s="1027"/>
      <c r="H5" s="1027"/>
      <c r="I5" s="1027"/>
      <c r="J5" s="1027"/>
      <c r="K5" s="1047"/>
      <c r="L5" s="1047"/>
      <c r="N5" s="317"/>
      <c r="O5" s="344"/>
      <c r="Q5" s="317"/>
      <c r="R5" s="344"/>
      <c r="S5" s="37" t="str">
        <f>" "&amp;ListAVS!$B$41&amp;" B "</f>
        <v xml:space="preserve"> Cena za korpus B </v>
      </c>
      <c r="T5" s="346"/>
      <c r="U5" s="344"/>
      <c r="V5" s="344"/>
      <c r="W5" s="345"/>
      <c r="X5" s="345"/>
      <c r="Y5" s="345"/>
      <c r="Z5" s="345"/>
      <c r="AA5" s="345"/>
      <c r="AB5" s="345"/>
      <c r="AC5" s="345"/>
      <c r="AD5" s="345"/>
      <c r="AE5" s="345"/>
      <c r="AF5" s="345"/>
      <c r="AG5" s="345"/>
      <c r="AH5" s="345"/>
      <c r="AI5" s="108"/>
      <c r="AJ5" s="108"/>
      <c r="AK5" s="708" t="str">
        <f>" "&amp;ListAVS!$B$155</f>
        <v xml:space="preserve"> Pomoc</v>
      </c>
      <c r="AL5" s="137"/>
      <c r="AM5" s="137"/>
      <c r="AN5" s="137"/>
      <c r="AO5" s="137"/>
      <c r="AP5" s="137"/>
      <c r="AQ5" s="37"/>
      <c r="AR5" s="37"/>
      <c r="AS5" s="137"/>
      <c r="AT5" s="137"/>
    </row>
    <row r="6" spans="1:48" ht="22.5" customHeight="1" x14ac:dyDescent="0.2">
      <c r="B6" s="313"/>
      <c r="C6" s="313"/>
      <c r="D6" s="313"/>
      <c r="E6" s="313"/>
      <c r="F6" s="266"/>
      <c r="G6" s="266"/>
      <c r="H6" s="266"/>
      <c r="I6" s="313"/>
      <c r="J6" s="313"/>
      <c r="K6" s="313"/>
      <c r="L6" s="266"/>
      <c r="N6" s="317"/>
      <c r="O6" s="344"/>
      <c r="Q6" s="317"/>
      <c r="R6" s="344"/>
      <c r="S6" s="37" t="str">
        <f>" "&amp;ListAVS!$B$61</f>
        <v xml:space="preserve"> Cena całkowita bez VAT</v>
      </c>
      <c r="T6" s="346"/>
      <c r="U6" s="344"/>
      <c r="V6" s="344"/>
      <c r="W6" s="346"/>
      <c r="X6" s="346"/>
      <c r="Y6" s="346"/>
      <c r="Z6" s="346"/>
      <c r="AA6" s="346"/>
      <c r="AB6" s="346"/>
      <c r="AC6" s="346"/>
      <c r="AD6" s="346"/>
      <c r="AE6" s="346"/>
      <c r="AF6" s="346"/>
      <c r="AG6" s="346"/>
      <c r="AH6" s="346"/>
      <c r="AI6" s="108"/>
      <c r="AJ6" s="108"/>
      <c r="AK6" s="736"/>
      <c r="AL6" s="137"/>
      <c r="AM6" s="137"/>
      <c r="AN6" s="137"/>
      <c r="AO6" s="137"/>
      <c r="AP6" s="137"/>
      <c r="AQ6" s="37"/>
      <c r="AR6" s="37"/>
      <c r="AS6" s="137"/>
      <c r="AT6" s="137"/>
    </row>
    <row r="7" spans="1:48" ht="16.149999999999999" customHeight="1" x14ac:dyDescent="0.2">
      <c r="B7" s="1059" t="str">
        <f>ListAVS!$B$51&amp;":   "</f>
        <v xml:space="preserve">Cena okucia:   </v>
      </c>
      <c r="C7" s="1060"/>
      <c r="D7" s="255"/>
      <c r="E7" s="266"/>
      <c r="F7" s="266"/>
      <c r="G7" s="1061">
        <f>IF(S2=1,$AF$40,IF($S$2=2,$AH$40,IF($S$2=3,$AD$40,0)))</f>
        <v>0</v>
      </c>
      <c r="H7" s="1062"/>
      <c r="I7" s="255"/>
      <c r="J7" s="255"/>
      <c r="K7" s="255"/>
      <c r="L7" s="255"/>
      <c r="N7" s="317"/>
      <c r="O7" s="344"/>
      <c r="Q7" s="317"/>
      <c r="R7" s="344"/>
      <c r="T7" s="346"/>
      <c r="U7" s="344"/>
      <c r="V7" s="344"/>
      <c r="W7" s="346"/>
      <c r="X7" s="346"/>
      <c r="Y7" s="156" t="str">
        <f>$B$2</f>
        <v>AVENTOS HL top</v>
      </c>
      <c r="Z7" s="157">
        <f>B5</f>
        <v>0</v>
      </c>
      <c r="AA7" s="157"/>
      <c r="AB7" s="157"/>
      <c r="AC7" s="157"/>
      <c r="AD7" s="158"/>
      <c r="AG7" s="118"/>
      <c r="AI7" s="108"/>
      <c r="AJ7" s="108"/>
      <c r="AK7" s="675" t="str">
        <f>" "&amp;ListAVS!$B$160</f>
        <v xml:space="preserve"> Dodatki</v>
      </c>
      <c r="AL7" s="137"/>
      <c r="AM7" s="137"/>
      <c r="AN7" s="137"/>
      <c r="AO7" s="137"/>
      <c r="AP7" s="137"/>
      <c r="AQ7" s="956" t="str">
        <f>ListAVS!B84&amp;":"</f>
        <v>Mechanizm podnoszący:</v>
      </c>
      <c r="AR7" s="37"/>
      <c r="AS7" s="137"/>
      <c r="AT7" s="137"/>
    </row>
    <row r="8" spans="1:48" ht="25.15" customHeight="1" thickBot="1" x14ac:dyDescent="0.25">
      <c r="B8" s="255"/>
      <c r="C8" s="255"/>
      <c r="D8" s="255"/>
      <c r="E8" s="255"/>
      <c r="F8" s="255"/>
      <c r="G8" s="255"/>
      <c r="H8" s="579" t="str">
        <f>IF(AND(OR($R$14=2, $R$25=2), $AD$40&gt;0), $N$35, " ")</f>
        <v xml:space="preserve"> </v>
      </c>
      <c r="I8" s="255"/>
      <c r="J8" s="255"/>
      <c r="K8" s="255"/>
      <c r="L8" s="255"/>
      <c r="N8" s="317"/>
      <c r="O8" s="344"/>
      <c r="P8" s="317"/>
      <c r="Q8" s="317"/>
      <c r="R8" s="344"/>
      <c r="S8" s="108"/>
      <c r="T8" s="346"/>
      <c r="U8" s="344"/>
      <c r="V8" s="344"/>
      <c r="W8" s="346"/>
      <c r="X8" s="346"/>
      <c r="Y8" s="159" t="str">
        <f>ListAVS!B52</f>
        <v>Nazwa</v>
      </c>
      <c r="Z8" s="160" t="str">
        <f>ListAVS!$B$53</f>
        <v>Kod asortymentu</v>
      </c>
      <c r="AA8" s="161" t="str">
        <f>ListAVS!B54</f>
        <v>Kolor</v>
      </c>
      <c r="AB8" s="161" t="str">
        <f>ListAVS!B56</f>
        <v>Sztuka</v>
      </c>
      <c r="AC8" s="162" t="str">
        <f>ListAVS!B58</f>
        <v>Cena za sztukę</v>
      </c>
      <c r="AD8" s="161" t="str">
        <f>ListAVS!B59</f>
        <v>W sumie</v>
      </c>
      <c r="AE8" s="204" t="s">
        <v>29</v>
      </c>
      <c r="AF8" s="163" t="s">
        <v>30</v>
      </c>
      <c r="AG8" s="163" t="s">
        <v>31</v>
      </c>
      <c r="AH8" s="163" t="s">
        <v>30</v>
      </c>
      <c r="AI8" s="108"/>
      <c r="AJ8" s="108"/>
      <c r="AK8" s="671"/>
      <c r="AL8" s="137"/>
      <c r="AM8" s="137"/>
      <c r="AN8" s="137"/>
      <c r="AO8" s="137"/>
      <c r="AP8" s="137"/>
      <c r="AQ8" s="953" t="str">
        <f>ListAVS!$B$75&amp;" KH (mm)"</f>
        <v>Wysokość korpusu KH (mm)</v>
      </c>
      <c r="AR8" s="953" t="str">
        <f>ListAVS!$B$84&amp;" "&amp;ListAVS!$B$350</f>
        <v>Mechanizm podnoszący wkręty</v>
      </c>
      <c r="AS8" s="953" t="str">
        <f>ListAVS!$B$84&amp;" "&amp;ListAVS!$B$351</f>
        <v>Mechanizm podnoszący wstępnie zamontowane eurowkręty</v>
      </c>
    </row>
    <row r="9" spans="1:48" ht="16.149999999999999" customHeight="1" thickBot="1" x14ac:dyDescent="0.25">
      <c r="B9" s="1051" t="str">
        <f>"▼ "&amp;ListAVS!$B$318</f>
        <v>▼ Sposób otwierania</v>
      </c>
      <c r="C9" s="1052"/>
      <c r="D9" s="406" t="str">
        <f>IF($M$15&gt;0, ListAVS!$B$37&amp;": ", " ")</f>
        <v xml:space="preserve"> </v>
      </c>
      <c r="E9" s="688" t="str">
        <f>IF(SUM($AE$9:$AE$10)&gt;0, "22", IF(SUM($AE$11:$AE$12)&gt;0,"25", " "))</f>
        <v xml:space="preserve"> </v>
      </c>
      <c r="F9" s="1056" t="str">
        <f>ListAVS!$B$64&amp;" A"</f>
        <v>Korpus A</v>
      </c>
      <c r="G9" s="1057"/>
      <c r="H9" s="1058"/>
      <c r="I9" s="273"/>
      <c r="J9" s="255"/>
      <c r="K9" s="255"/>
      <c r="L9" s="255"/>
      <c r="R9" s="37" t="s">
        <v>727</v>
      </c>
      <c r="S9" s="923"/>
      <c r="T9" s="923"/>
      <c r="U9" s="737"/>
      <c r="V9" s="737"/>
      <c r="W9" s="737"/>
      <c r="X9" s="737"/>
      <c r="Y9" s="164" t="str">
        <f>CenAVS!A36</f>
        <v xml:space="preserve">Aventos HL Top słaby, wkręty      </v>
      </c>
      <c r="Z9" s="164" t="str">
        <f>CenAVS!B36</f>
        <v>22L2200</v>
      </c>
      <c r="AA9" s="301" t="str">
        <f>CenAVS!C36</f>
        <v>ZN</v>
      </c>
      <c r="AB9" s="165">
        <f>SUM(AE9,AG9)</f>
        <v>0</v>
      </c>
      <c r="AC9" s="395">
        <f>CenAVS!F36</f>
        <v>191.41126</v>
      </c>
      <c r="AD9" s="167">
        <f>AB9*AC9</f>
        <v>0</v>
      </c>
      <c r="AE9" s="407">
        <f>IF($W$45=1, $O$10*$M$15, 0)</f>
        <v>0</v>
      </c>
      <c r="AF9" s="168">
        <f>$AC9*AE9</f>
        <v>0</v>
      </c>
      <c r="AG9" s="407">
        <f>IF($W$45=1, $O$21*$M$26, 0)</f>
        <v>0</v>
      </c>
      <c r="AH9" s="168">
        <f>$AC9*AG9</f>
        <v>0</v>
      </c>
      <c r="AI9" s="108"/>
      <c r="AJ9" s="108"/>
      <c r="AK9" s="383" t="str">
        <f>" "&amp;ListAVS!$B$157</f>
        <v xml:space="preserve"> Rodzaje korpusów</v>
      </c>
      <c r="AL9" s="137"/>
      <c r="AM9" s="137"/>
      <c r="AN9" s="137"/>
      <c r="AO9" s="137"/>
      <c r="AP9" s="37"/>
      <c r="AQ9" s="954" t="s">
        <v>773</v>
      </c>
      <c r="AR9" s="955" t="s">
        <v>712</v>
      </c>
      <c r="AS9" s="955" t="s">
        <v>722</v>
      </c>
      <c r="AU9" s="122"/>
      <c r="AV9" s="122"/>
    </row>
    <row r="10" spans="1:48" s="122" customFormat="1" ht="16.149999999999999" customHeight="1" thickBot="1" x14ac:dyDescent="0.25">
      <c r="A10" s="37"/>
      <c r="B10" s="1011" t="str">
        <f>ListAVS!$B$74&amp;" KB [mm] "</f>
        <v xml:space="preserve">Szerokość korpusu KB [mm] </v>
      </c>
      <c r="C10" s="1012"/>
      <c r="D10" s="1012"/>
      <c r="E10" s="1012"/>
      <c r="F10" s="1012"/>
      <c r="G10" s="1013"/>
      <c r="H10" s="435"/>
      <c r="I10" s="256" t="str">
        <f>IF($H10=0," ",IF($H10&lt;220," min. 220mm",IF($H10&gt;1800," max. 1 800mm"," ")))&amp;IF(AND(H17&gt;0,H10=0),"● "&amp;ListAVS!$B$129," ")</f>
        <v xml:space="preserve">  </v>
      </c>
      <c r="J10" s="255"/>
      <c r="K10" s="255"/>
      <c r="L10" s="255"/>
      <c r="M10" s="37"/>
      <c r="N10" s="929" t="s">
        <v>726</v>
      </c>
      <c r="O10" s="929">
        <f>IF(AND($H$11&gt;=$Z$44, $H$11&lt;=$AA$45), 1, 0)</f>
        <v>0</v>
      </c>
      <c r="P10" s="929" t="s">
        <v>35</v>
      </c>
      <c r="Q10" s="929">
        <f>IF(AND($H$11&gt;=$Z$44, $H$11&lt;=$AA$44, Q$15&gt;=$AB$44, $Q$15&lt;=$AC$44), 1, 0)</f>
        <v>0</v>
      </c>
      <c r="R10" s="344"/>
      <c r="S10" s="344"/>
      <c r="T10" s="344"/>
      <c r="U10" s="344"/>
      <c r="V10" s="344"/>
      <c r="W10" s="714"/>
      <c r="X10" s="714"/>
      <c r="Y10" s="164" t="str">
        <f>CenAVS!A37</f>
        <v xml:space="preserve">Aventos HL Top słaby, eurowkręty      </v>
      </c>
      <c r="Z10" s="164" t="str">
        <f>CenAVS!B37</f>
        <v>22L2210</v>
      </c>
      <c r="AA10" s="301" t="str">
        <f>CenAVS!C37</f>
        <v>ZN</v>
      </c>
      <c r="AB10" s="165">
        <f t="shared" ref="AB10:AB17" si="0">SUM(AE10,AG10)</f>
        <v>0</v>
      </c>
      <c r="AC10" s="395">
        <f>CenAVS!F37</f>
        <v>192.89991000000001</v>
      </c>
      <c r="AD10" s="167">
        <f t="shared" ref="AD10:AD17" si="1">AB10*AC10</f>
        <v>0</v>
      </c>
      <c r="AE10" s="407">
        <f>IF($W$45=2, $O$10*$M$15, 0)</f>
        <v>0</v>
      </c>
      <c r="AF10" s="168">
        <f>$AC10*AE10</f>
        <v>0</v>
      </c>
      <c r="AG10" s="407">
        <f>IF($W$45=2, $O$21*$M$26, 0)</f>
        <v>0</v>
      </c>
      <c r="AH10" s="168">
        <f>$AC10*AG10</f>
        <v>0</v>
      </c>
      <c r="AI10" s="108"/>
      <c r="AJ10" s="108"/>
      <c r="AK10" s="383" t="str">
        <f>" "&amp;ListAVS!$B$158</f>
        <v xml:space="preserve"> Zamówienie</v>
      </c>
      <c r="AL10" s="137"/>
      <c r="AM10" s="137"/>
      <c r="AN10" s="137"/>
      <c r="AO10" s="137"/>
      <c r="AP10" s="37"/>
      <c r="AQ10" s="954" t="s">
        <v>774</v>
      </c>
      <c r="AR10" s="955" t="s">
        <v>719</v>
      </c>
      <c r="AS10" s="955" t="s">
        <v>723</v>
      </c>
    </row>
    <row r="11" spans="1:48" s="122" customFormat="1" ht="16.149999999999999" customHeight="1" x14ac:dyDescent="0.2">
      <c r="A11" s="37"/>
      <c r="B11" s="1011" t="str">
        <f>ListAVS!$B$75&amp;" KH [mm]  "</f>
        <v xml:space="preserve">Wysokość korpusu KH [mm]  </v>
      </c>
      <c r="C11" s="1012"/>
      <c r="D11" s="1012"/>
      <c r="E11" s="1012"/>
      <c r="F11" s="1012"/>
      <c r="G11" s="1013"/>
      <c r="H11" s="435"/>
      <c r="I11" s="256" t="str">
        <f>IF($H11=0," ",IF($H11&lt;300," min. 300mm",IF($H11&gt;580," max. 580 mm"," ")))&amp;IF(AND(H17&gt;0, H11=0),"● "&amp;ListAVS!$B$129," ")</f>
        <v xml:space="preserve">  </v>
      </c>
      <c r="J11" s="255"/>
      <c r="K11" s="255"/>
      <c r="L11" s="255"/>
      <c r="M11" s="37"/>
      <c r="N11" s="906"/>
      <c r="O11" s="906"/>
      <c r="P11" s="929" t="s">
        <v>41</v>
      </c>
      <c r="Q11" s="929">
        <f>IF(AND($H$11&gt;=$Z$45, $H$11&lt;=$AA$45, Q$15&gt;=$AB$45, $Q$15&lt;=$AC$45), 1, 0)</f>
        <v>0</v>
      </c>
      <c r="R11" s="344"/>
      <c r="S11" s="344"/>
      <c r="T11" s="344"/>
      <c r="U11" s="344"/>
      <c r="V11" s="344"/>
      <c r="W11" s="344"/>
      <c r="X11" s="344"/>
      <c r="Y11" s="164" t="str">
        <f>CenAVS!A38</f>
        <v xml:space="preserve">Aventos HL Top mocny, wkręty      </v>
      </c>
      <c r="Z11" s="164" t="str">
        <f>CenAVS!B38</f>
        <v>22L2500</v>
      </c>
      <c r="AA11" s="301" t="str">
        <f>CenAVS!C38</f>
        <v>ZN</v>
      </c>
      <c r="AB11" s="165">
        <f t="shared" si="0"/>
        <v>0</v>
      </c>
      <c r="AC11" s="395">
        <f>CenAVS!F38</f>
        <v>205.38082999999997</v>
      </c>
      <c r="AD11" s="167">
        <f t="shared" si="1"/>
        <v>0</v>
      </c>
      <c r="AE11" s="407">
        <f>IF($W$45=1, $O$12*$M$15, 0)</f>
        <v>0</v>
      </c>
      <c r="AF11" s="168">
        <f>$AC11*AE11</f>
        <v>0</v>
      </c>
      <c r="AG11" s="407">
        <f>IF($W$45=1, $O$23*$M$26, 0)</f>
        <v>0</v>
      </c>
      <c r="AH11" s="168">
        <f>$AC11*AG11</f>
        <v>0</v>
      </c>
      <c r="AI11" s="108"/>
      <c r="AJ11" s="108"/>
      <c r="AK11" s="255"/>
      <c r="AL11" s="137"/>
      <c r="AM11" s="137"/>
      <c r="AN11" s="137"/>
      <c r="AO11" s="137"/>
      <c r="AP11" s="37"/>
      <c r="AQ11" s="951"/>
      <c r="AR11" s="951"/>
      <c r="AS11" s="952"/>
      <c r="AT11" s="952"/>
    </row>
    <row r="12" spans="1:48" s="122" customFormat="1" ht="16.149999999999999" customHeight="1" x14ac:dyDescent="0.2">
      <c r="A12" s="37"/>
      <c r="B12" s="1011" t="str">
        <f>ListAVS!$B$77&amp;" [kg] ** "</f>
        <v xml:space="preserve">Waga frontu wraz z uchwytem [kg] ** </v>
      </c>
      <c r="C12" s="1012"/>
      <c r="D12" s="1012"/>
      <c r="E12" s="1012"/>
      <c r="F12" s="1012"/>
      <c r="G12" s="1013"/>
      <c r="H12" s="258"/>
      <c r="I12" s="227" t="str">
        <f>IF($H17=0," ",IF(SUM($H12,$H15)=0,$N$37," "))&amp;IF(AND(SUM($O$10:$O$14)=1,$V16="ne",H12&gt;0),$N$41,IF(AND($H17&gt;0,$H12&gt;0,V$16="ano"),$N$38," "))</f>
        <v xml:space="preserve">  </v>
      </c>
      <c r="J12" s="255"/>
      <c r="K12" s="255"/>
      <c r="L12" s="255"/>
      <c r="M12" s="37"/>
      <c r="N12" s="929" t="s">
        <v>87</v>
      </c>
      <c r="O12" s="929">
        <f>IF(AND($H$11&gt;=$Z$49, $H$11&lt;=$AA$50), 1, 0)</f>
        <v>0</v>
      </c>
      <c r="P12" s="929" t="s">
        <v>45</v>
      </c>
      <c r="Q12" s="929">
        <f>IF(AND($H$11&gt;=$Z$49, $H$11&lt;=$AA$49, Q$15&gt;=$AB$49, $Q$15&lt;=$AC$49), 1, 0)</f>
        <v>0</v>
      </c>
      <c r="R12" s="906">
        <f>IF(AND($Q$12=1, $Q$13=1, $H$11&lt;=$AD$49), 1, IF(AND($Q12=1, $Q13=0), $Q12, 0))</f>
        <v>0</v>
      </c>
      <c r="S12" s="37"/>
      <c r="T12" s="344"/>
      <c r="U12" s="344"/>
      <c r="V12" s="344"/>
      <c r="W12" s="344"/>
      <c r="X12" s="344"/>
      <c r="Y12" s="164" t="str">
        <f>CenAVS!A39</f>
        <v xml:space="preserve">Aventos HL Top mocny, eurowkręty      </v>
      </c>
      <c r="Z12" s="164" t="str">
        <f>CenAVS!B39</f>
        <v>22L2510</v>
      </c>
      <c r="AA12" s="301" t="str">
        <f>CenAVS!C39</f>
        <v>ZN</v>
      </c>
      <c r="AB12" s="165">
        <f t="shared" si="0"/>
        <v>0</v>
      </c>
      <c r="AC12" s="395">
        <f>CenAVS!F39</f>
        <v>206.97785999999999</v>
      </c>
      <c r="AD12" s="167">
        <f t="shared" si="1"/>
        <v>0</v>
      </c>
      <c r="AE12" s="407">
        <f>IF($W$45=2, $O$12*$M$15, 0)</f>
        <v>0</v>
      </c>
      <c r="AF12" s="168">
        <f>$AC12*AE12</f>
        <v>0</v>
      </c>
      <c r="AG12" s="407">
        <f>IF($W$45=2, $O$23*$M$26, 0)</f>
        <v>0</v>
      </c>
      <c r="AH12" s="168">
        <f>$AC12*AG12</f>
        <v>0</v>
      </c>
      <c r="AI12" s="108"/>
      <c r="AJ12" s="108"/>
      <c r="AK12" s="670"/>
      <c r="AL12" s="137"/>
      <c r="AM12" s="137"/>
      <c r="AN12" s="137"/>
      <c r="AO12" s="137"/>
      <c r="AP12" s="37"/>
      <c r="AQ12" s="545" t="str">
        <f>ListAVS!B350&amp;" = "&amp;ListAVS!B352</f>
        <v>wkręty = podnośniki z zintegrowanym szablonem (nie ma potrzeby mierzenia)</v>
      </c>
      <c r="AS12" s="952"/>
      <c r="AT12" s="952"/>
    </row>
    <row r="13" spans="1:48" s="122" customFormat="1" ht="16.149999999999999" customHeight="1" x14ac:dyDescent="0.2">
      <c r="A13" s="37"/>
      <c r="B13" s="1055" t="str">
        <f>ListAVS!$B$293</f>
        <v>Obliczenie wagi</v>
      </c>
      <c r="C13" s="1055"/>
      <c r="D13" s="1053" t="str">
        <f>ListAVS!$B$80&amp;" TS [mm] "</f>
        <v xml:space="preserve">Grubość frontu TS [mm] </v>
      </c>
      <c r="E13" s="1053"/>
      <c r="F13" s="1053"/>
      <c r="G13" s="1054"/>
      <c r="H13" s="258"/>
      <c r="I13" s="256" t="str">
        <f>IF(H17=0," ",IF(AND(H12=0, H13=0)," ● "&amp;ListAVS!$B$129," "))&amp;IF(H17=0," ",IF(AND(H12=0, H13&lt;14), " min. 14 mm", " "))</f>
        <v xml:space="preserve">  </v>
      </c>
      <c r="J13" s="255"/>
      <c r="K13" s="255"/>
      <c r="L13" s="255"/>
      <c r="M13" s="37"/>
      <c r="N13" s="906"/>
      <c r="O13" s="906"/>
      <c r="P13" s="929" t="s">
        <v>48</v>
      </c>
      <c r="Q13" s="929">
        <f>IF(AND($H$11&gt;=$Z$50, $H$11&lt;=$AA$50, Q$15&gt;=$AB$50, $Q$15&lt;=$AC$50), 1, 0)</f>
        <v>0</v>
      </c>
      <c r="R13" s="906">
        <f>IF(AND($Q12=1,$Q13=1,$H11&gt;$AD$49),1, IF(AND($Q12=0,$Q13=1),$Q13,0))</f>
        <v>0</v>
      </c>
      <c r="S13" s="930" t="s">
        <v>81</v>
      </c>
      <c r="T13" s="931" t="s">
        <v>82</v>
      </c>
      <c r="U13" s="344"/>
      <c r="V13" s="344"/>
      <c r="W13" s="344"/>
      <c r="X13" s="344"/>
      <c r="Y13" s="164"/>
      <c r="Z13" s="164"/>
      <c r="AA13" s="301"/>
      <c r="AB13" s="165"/>
      <c r="AC13" s="395"/>
      <c r="AD13" s="167"/>
      <c r="AE13" s="407"/>
      <c r="AF13" s="168"/>
      <c r="AG13" s="407"/>
      <c r="AH13" s="168"/>
      <c r="AI13" s="108"/>
      <c r="AJ13" s="108"/>
      <c r="AK13" s="670"/>
      <c r="AL13" s="137"/>
      <c r="AM13" s="137"/>
      <c r="AN13" s="137"/>
      <c r="AO13" s="137"/>
      <c r="AP13" s="37"/>
      <c r="AQ13" s="545" t="str">
        <f>ListAVS!B351&amp;" = "&amp;ListAVS!B353</f>
        <v>wstępnie zamontowane eurowkręty = podnośniki ze wstępnie zamontowanymi wkrętami (wymagane wstępne nawiercenie)</v>
      </c>
      <c r="AS13" s="952"/>
      <c r="AT13" s="952"/>
    </row>
    <row r="14" spans="1:48" s="122" customFormat="1" ht="16.149999999999999" customHeight="1" x14ac:dyDescent="0.2">
      <c r="A14" s="37"/>
      <c r="B14" s="1055"/>
      <c r="C14" s="1055"/>
      <c r="D14" s="1053" t="str">
        <f>ListAVS!$B$83&amp;" [kg] "</f>
        <v xml:space="preserve">Waga uchwytu [kg] </v>
      </c>
      <c r="E14" s="1053"/>
      <c r="F14" s="1053"/>
      <c r="G14" s="1054"/>
      <c r="H14" s="258"/>
      <c r="I14" s="256" t="str">
        <f>IF(H17=0, " ", IF(AND(H12=0, R14=1, H14=0), " ● "&amp;ListAVS!$B$130," "))</f>
        <v xml:space="preserve"> </v>
      </c>
      <c r="J14" s="255"/>
      <c r="K14" s="255"/>
      <c r="L14" s="255"/>
      <c r="M14" s="37"/>
      <c r="N14" s="317"/>
      <c r="O14" s="344"/>
      <c r="P14" s="1171"/>
      <c r="Q14" s="1172"/>
      <c r="R14" s="934">
        <v>1</v>
      </c>
      <c r="S14" s="932">
        <f>IF($H$10&gt;1360,2, IF($H$10&lt;610,0.5,1))</f>
        <v>0.5</v>
      </c>
      <c r="T14" s="933">
        <f>H16</f>
        <v>0</v>
      </c>
      <c r="U14" s="37"/>
      <c r="V14" s="37"/>
      <c r="W14" s="37"/>
      <c r="X14" s="37"/>
      <c r="Y14" s="164" t="str">
        <f>CenAVS!A40</f>
        <v xml:space="preserve">ramiona 300-339 HL Top       </v>
      </c>
      <c r="Z14" s="164" t="str">
        <f>CenAVS!B40</f>
        <v>22L3200</v>
      </c>
      <c r="AA14" s="164" t="str">
        <f>CenAVS!C40</f>
        <v>NI</v>
      </c>
      <c r="AB14" s="165">
        <f t="shared" si="0"/>
        <v>0</v>
      </c>
      <c r="AC14" s="395">
        <f>CenAVS!F40</f>
        <v>134.60047</v>
      </c>
      <c r="AD14" s="167">
        <f t="shared" si="1"/>
        <v>0</v>
      </c>
      <c r="AE14" s="407">
        <f>$Q10*$M$15</f>
        <v>0</v>
      </c>
      <c r="AF14" s="168">
        <f>$AC14*AE14</f>
        <v>0</v>
      </c>
      <c r="AG14" s="407">
        <f>$Q21*$M$26</f>
        <v>0</v>
      </c>
      <c r="AH14" s="168">
        <f>$AC14*AG14</f>
        <v>0</v>
      </c>
      <c r="AI14" s="108"/>
      <c r="AJ14" s="108"/>
      <c r="AK14" s="670"/>
      <c r="AL14" s="137"/>
      <c r="AM14" s="137"/>
      <c r="AN14" s="137"/>
      <c r="AO14" s="137"/>
      <c r="AP14" s="37"/>
      <c r="AQ14" s="37"/>
      <c r="AR14" s="37"/>
      <c r="AS14" s="37"/>
      <c r="AT14" s="37"/>
    </row>
    <row r="15" spans="1:48" s="122" customFormat="1" ht="16.149999999999999" customHeight="1" x14ac:dyDescent="0.2">
      <c r="A15" s="37"/>
      <c r="B15" s="1055"/>
      <c r="C15" s="1055"/>
      <c r="D15" s="1053" t="str">
        <f>ListAVS!$B$79&amp;" [kg] "</f>
        <v xml:space="preserve">Obliczona waga frontu [kg] </v>
      </c>
      <c r="E15" s="1053"/>
      <c r="F15" s="1053"/>
      <c r="G15" s="1054"/>
      <c r="H15" s="259">
        <f>$T$80</f>
        <v>0</v>
      </c>
      <c r="I15" s="227" t="str">
        <f>IF(AND($H17&gt;0,$H15&gt;0,$H12=0,$M15&gt;0), $N$38," ")&amp;IF(AND(H17&gt;0, H12=0, Z77=3, $J$4=0), $N$36, " ")</f>
        <v xml:space="preserve">  </v>
      </c>
      <c r="J15" s="255"/>
      <c r="K15" s="255"/>
      <c r="L15" s="255"/>
      <c r="M15" s="315">
        <f>IF($H10*$H11*$Q15=0, 0, IF(SUM(O10:O12)=0, 0, IF(SUM(Q10:Q13)=0, 0, IF($H10&gt;1800, 0, IF($H10&lt;220, 0, IF(AND($H12=0, $H13&lt;14), 0, $H17))))))</f>
        <v>0</v>
      </c>
      <c r="N15" s="37"/>
      <c r="O15" s="37"/>
      <c r="P15" s="690" t="s">
        <v>51</v>
      </c>
      <c r="Q15" s="691">
        <f>IF(H12&gt;0,H12,H15)</f>
        <v>0</v>
      </c>
      <c r="R15" s="37">
        <f>IF(SUM(H12,H15)=0,0,IF(H12&gt;0,1,2))</f>
        <v>0</v>
      </c>
      <c r="S15" s="571" t="s">
        <v>52</v>
      </c>
      <c r="T15" s="37"/>
      <c r="U15" s="717" t="s">
        <v>79</v>
      </c>
      <c r="V15" s="927" t="str">
        <f>IF(AND(219&lt;H10,H10&lt;1801,299&lt;H11,H11&lt;581),"ano","ne")</f>
        <v>ne</v>
      </c>
      <c r="W15" s="345"/>
      <c r="X15" s="345"/>
      <c r="Y15" s="164" t="str">
        <f>CenAVS!A41</f>
        <v xml:space="preserve">ramiona 340-389 HL Top       </v>
      </c>
      <c r="Z15" s="164" t="str">
        <f>CenAVS!B41</f>
        <v>22L3500</v>
      </c>
      <c r="AA15" s="164" t="str">
        <f>CenAVS!C41</f>
        <v>NI</v>
      </c>
      <c r="AB15" s="165">
        <f t="shared" si="0"/>
        <v>0</v>
      </c>
      <c r="AC15" s="395">
        <f>CenAVS!F41</f>
        <v>137.39402999999999</v>
      </c>
      <c r="AD15" s="167">
        <f t="shared" si="1"/>
        <v>0</v>
      </c>
      <c r="AE15" s="407">
        <f>$Q11*$M$15</f>
        <v>0</v>
      </c>
      <c r="AF15" s="168">
        <f>$AC15*AE15</f>
        <v>0</v>
      </c>
      <c r="AG15" s="407">
        <f>$Q22*$M$26</f>
        <v>0</v>
      </c>
      <c r="AH15" s="168">
        <f>$AC15*AG15</f>
        <v>0</v>
      </c>
      <c r="AI15" s="108"/>
      <c r="AJ15" s="108"/>
      <c r="AK15" s="255"/>
      <c r="AL15" s="137"/>
      <c r="AM15" s="137"/>
      <c r="AN15" s="137"/>
      <c r="AO15" s="137"/>
      <c r="AP15" s="37"/>
      <c r="AQ15" s="37"/>
      <c r="AR15" s="37"/>
      <c r="AS15" s="137"/>
      <c r="AT15" s="137"/>
      <c r="AU15" s="121"/>
    </row>
    <row r="16" spans="1:48" s="122" customFormat="1" ht="16.149999999999999" customHeight="1" thickBot="1" x14ac:dyDescent="0.25">
      <c r="A16" s="37"/>
      <c r="B16" s="1011" t="str">
        <f>ListAVS!$B$29&amp;" * "</f>
        <v xml:space="preserve">Liczba ścianek środkowych * </v>
      </c>
      <c r="C16" s="1012"/>
      <c r="D16" s="1012"/>
      <c r="E16" s="1012"/>
      <c r="F16" s="1012"/>
      <c r="G16" s="1013"/>
      <c r="H16" s="436"/>
      <c r="I16" s="256"/>
      <c r="J16" s="255"/>
      <c r="K16" s="255"/>
      <c r="L16" s="255"/>
      <c r="M16" s="118"/>
      <c r="N16" s="119"/>
      <c r="O16" s="132"/>
      <c r="P16" s="132"/>
      <c r="Q16" s="119"/>
      <c r="R16" s="37"/>
      <c r="S16" s="37"/>
      <c r="T16" s="37"/>
      <c r="U16" s="717" t="s">
        <v>710</v>
      </c>
      <c r="V16" s="928" t="str">
        <f>IF(AND($H$11&gt;=$Z$44, $H$11&lt;=$AA$44, $Q$15&gt;=$AB$44, $Q$15&lt;=$AC$44), "ano", IF(AND($H$11&gt;=$Z$45, $H$11&lt;=$AA$45, $Q$15&gt;=$AB$45, $Q$15&lt;=$AC$45), "ano", IF(AND($H$11&gt;=$Z$49, $H$11&lt;=$AA$49, $Q$15&gt;=$AB$49, $Q$15&lt;=$AC$49), "ano", IF(AND($H$11&gt;=$Z$50, $H$11&lt;=$AA$50, $Q$15&gt;=$AB$50, $Q$15&lt;=$AC$50), "ano", "ne"))))</f>
        <v>ne</v>
      </c>
      <c r="W16" s="346"/>
      <c r="X16" s="346"/>
      <c r="Y16" s="164" t="str">
        <f>CenAVS!A42</f>
        <v xml:space="preserve">ramiona 390-540 HL Top       </v>
      </c>
      <c r="Z16" s="164" t="str">
        <f>CenAVS!B42</f>
        <v>22L3800</v>
      </c>
      <c r="AA16" s="164" t="str">
        <f>CenAVS!C42</f>
        <v>NI</v>
      </c>
      <c r="AB16" s="165">
        <f t="shared" si="0"/>
        <v>0</v>
      </c>
      <c r="AC16" s="395">
        <f>CenAVS!F42</f>
        <v>141.58481</v>
      </c>
      <c r="AD16" s="167">
        <f t="shared" si="1"/>
        <v>0</v>
      </c>
      <c r="AE16" s="407">
        <f>$R12*$M$15</f>
        <v>0</v>
      </c>
      <c r="AF16" s="168">
        <f>$AC16*AE16</f>
        <v>0</v>
      </c>
      <c r="AG16" s="407">
        <f>$R23*$M$26</f>
        <v>0</v>
      </c>
      <c r="AH16" s="168">
        <f>$AC16*AG16</f>
        <v>0</v>
      </c>
      <c r="AI16" s="108"/>
      <c r="AJ16" s="108"/>
      <c r="AK16" s="255"/>
      <c r="AL16" s="137"/>
      <c r="AM16" s="137"/>
      <c r="AN16" s="137"/>
      <c r="AO16" s="137"/>
      <c r="AP16" s="37"/>
      <c r="AQ16" s="37"/>
      <c r="AR16" s="37"/>
      <c r="AS16" s="137"/>
      <c r="AT16" s="137"/>
      <c r="AU16" s="121"/>
    </row>
    <row r="17" spans="1:48" s="122" customFormat="1" ht="16.149999999999999" customHeight="1" thickBot="1" x14ac:dyDescent="0.25">
      <c r="A17" s="37"/>
      <c r="B17" s="1155" t="str">
        <f>ListAVS!$B$71</f>
        <v>Ilość szafek</v>
      </c>
      <c r="C17" s="1156"/>
      <c r="D17" s="1156"/>
      <c r="E17" s="1156"/>
      <c r="F17" s="1156"/>
      <c r="G17" s="1156"/>
      <c r="H17" s="437"/>
      <c r="I17" s="256"/>
      <c r="J17" s="255"/>
      <c r="K17" s="255"/>
      <c r="L17" s="255"/>
      <c r="M17" s="118"/>
      <c r="N17" s="119"/>
      <c r="O17" s="132"/>
      <c r="P17" s="132"/>
      <c r="Q17" s="119"/>
      <c r="R17" s="37"/>
      <c r="S17" s="37"/>
      <c r="T17" s="37"/>
      <c r="U17" s="37"/>
      <c r="V17" s="344"/>
      <c r="W17" s="346"/>
      <c r="X17" s="346"/>
      <c r="Y17" s="164" t="str">
        <f>CenAVS!A43</f>
        <v xml:space="preserve">ramiona 480-580 HL Top       </v>
      </c>
      <c r="Z17" s="164" t="str">
        <f>CenAVS!B43</f>
        <v>22L3900</v>
      </c>
      <c r="AA17" s="164" t="str">
        <f>CenAVS!C43</f>
        <v>NI</v>
      </c>
      <c r="AB17" s="165">
        <f t="shared" si="0"/>
        <v>0</v>
      </c>
      <c r="AC17" s="395">
        <f>CenAVS!F43</f>
        <v>156.95116999999999</v>
      </c>
      <c r="AD17" s="167">
        <f t="shared" si="1"/>
        <v>0</v>
      </c>
      <c r="AE17" s="407">
        <f>$R13*$M$15</f>
        <v>0</v>
      </c>
      <c r="AF17" s="168">
        <f>$AC17*AE17</f>
        <v>0</v>
      </c>
      <c r="AG17" s="407">
        <f>$R24*$M$26</f>
        <v>0</v>
      </c>
      <c r="AH17" s="168">
        <f>$AC17*AG17</f>
        <v>0</v>
      </c>
      <c r="AI17" s="108"/>
      <c r="AJ17" s="108"/>
      <c r="AK17" s="37"/>
      <c r="AL17" s="137"/>
      <c r="AM17" s="137"/>
      <c r="AN17" s="137"/>
      <c r="AO17" s="137"/>
      <c r="AP17" s="37"/>
      <c r="AQ17" s="37"/>
      <c r="AR17" s="37"/>
      <c r="AS17" s="137"/>
      <c r="AT17" s="137"/>
      <c r="AU17" s="121"/>
      <c r="AV17" s="121"/>
    </row>
    <row r="18" spans="1:48" s="122" customFormat="1" ht="16.149999999999999" customHeight="1" x14ac:dyDescent="0.2">
      <c r="A18" s="37"/>
      <c r="B18" s="255" t="str">
        <f>IF(H17&gt;0,IF(OR(R15=0,M15=0), " ",IF(R15=1,$N$50,$N$51))," ")&amp;IF(H17&gt;0,IF(OR(R15=0, M15=0), " ",IF(R15=1,$N$52,$N$53))," ")</f>
        <v xml:space="preserve">  </v>
      </c>
      <c r="C18" s="255"/>
      <c r="D18" s="255"/>
      <c r="E18" s="255"/>
      <c r="F18" s="433"/>
      <c r="G18" s="433"/>
      <c r="H18" s="255"/>
      <c r="I18" s="255"/>
      <c r="J18" s="255"/>
      <c r="K18" s="255"/>
      <c r="L18" s="255"/>
      <c r="M18" s="118"/>
      <c r="N18" s="119"/>
      <c r="O18" s="132"/>
      <c r="P18" s="132"/>
      <c r="Q18" s="119"/>
      <c r="R18" s="37"/>
      <c r="S18" s="37"/>
      <c r="T18" s="37"/>
      <c r="U18" s="37"/>
      <c r="V18" s="344"/>
      <c r="W18" s="346"/>
      <c r="X18" s="346"/>
      <c r="Y18" s="164"/>
      <c r="Z18" s="164"/>
      <c r="AA18" s="164"/>
      <c r="AB18" s="165"/>
      <c r="AC18" s="395"/>
      <c r="AD18" s="167"/>
      <c r="AE18" s="407"/>
      <c r="AF18" s="168"/>
      <c r="AG18" s="407"/>
      <c r="AH18" s="168"/>
      <c r="AI18" s="108"/>
      <c r="AJ18" s="108"/>
      <c r="AK18" s="37"/>
      <c r="AL18" s="137"/>
      <c r="AM18" s="137"/>
      <c r="AN18" s="137"/>
      <c r="AO18" s="137"/>
      <c r="AP18" s="37"/>
      <c r="AQ18" s="956" t="str">
        <f>ListAVS!B387&amp;":"</f>
        <v>Zestaw ramion teleskopowych:</v>
      </c>
      <c r="AR18" s="37"/>
      <c r="AS18" s="137"/>
      <c r="AT18" s="137"/>
      <c r="AU18" s="121"/>
      <c r="AV18" s="121"/>
    </row>
    <row r="19" spans="1:48" ht="25.15" customHeight="1" thickBot="1" x14ac:dyDescent="0.25">
      <c r="B19" s="275" t="str">
        <f>IF(AND($Q$12=1, $Q$13=1, $R$12=1), ListAVS!$B$338&amp;$Y$50&amp;". "&amp;ListAVS!$B$339, IF(AND($Q$12=1, $Q$13=1, $R$13=1), ListAVS!$B$338&amp;$Y$49&amp;". "&amp;ListAVS!$B$339, " "))</f>
        <v xml:space="preserve"> </v>
      </c>
      <c r="C19" s="255"/>
      <c r="D19" s="255"/>
      <c r="E19" s="255"/>
      <c r="F19" s="433"/>
      <c r="G19" s="433"/>
      <c r="H19" s="255"/>
      <c r="I19" s="255"/>
      <c r="J19" s="255"/>
      <c r="K19" s="255"/>
      <c r="L19" s="255"/>
      <c r="M19" s="118"/>
      <c r="N19" s="119"/>
      <c r="O19" s="132"/>
      <c r="P19" s="132"/>
      <c r="Q19" s="119"/>
      <c r="V19" s="344"/>
      <c r="W19" s="346"/>
      <c r="X19" s="346"/>
      <c r="Y19" s="164" t="str">
        <f>CenAVS!A44</f>
        <v xml:space="preserve">stablizacja poprzeczna HL Top       </v>
      </c>
      <c r="Z19" s="164" t="str">
        <f>CenAVS!B44</f>
        <v>22Q1076U</v>
      </c>
      <c r="AA19" s="164" t="str">
        <f>CenAVS!C44</f>
        <v>EV</v>
      </c>
      <c r="AB19" s="165">
        <f t="shared" ref="AB19:AB25" si="2">SUM(AE19,AG19)</f>
        <v>0</v>
      </c>
      <c r="AC19" s="395">
        <f>CenAVS!F44</f>
        <v>36.874780000000001</v>
      </c>
      <c r="AD19" s="167">
        <f t="shared" ref="AD19:AD25" si="3">AB19*AC19</f>
        <v>0</v>
      </c>
      <c r="AE19" s="407">
        <f>ROUNDUP($S$14*$M$15, 0)</f>
        <v>0</v>
      </c>
      <c r="AF19" s="168">
        <f t="shared" ref="AF19:AF25" si="4">$AC19*AE19</f>
        <v>0</v>
      </c>
      <c r="AG19" s="407">
        <f>ROUNDUP($S$25*$M$26, 0)</f>
        <v>0</v>
      </c>
      <c r="AH19" s="168">
        <f t="shared" ref="AH19:AH25" si="5">$AC19*AG19</f>
        <v>0</v>
      </c>
      <c r="AI19" s="108"/>
      <c r="AJ19" s="108"/>
      <c r="AK19" s="255"/>
      <c r="AL19" s="137"/>
      <c r="AM19" s="137"/>
      <c r="AN19" s="137"/>
      <c r="AO19" s="137"/>
      <c r="AP19" s="37"/>
      <c r="AQ19" s="953" t="str">
        <f>ListAVS!B75&amp;" KH (mm)"</f>
        <v>Wysokość korpusu KH (mm)</v>
      </c>
      <c r="AR19" s="953" t="str">
        <f>ListAVS!B76&amp;" FG (kg)"</f>
        <v>Waga frontu FG (kg)</v>
      </c>
      <c r="AS19" s="953" t="str">
        <f>ListAVS!$B$387</f>
        <v>Zestaw ramion teleskopowych</v>
      </c>
    </row>
    <row r="20" spans="1:48" ht="16.149999999999999" customHeight="1" thickBot="1" x14ac:dyDescent="0.25">
      <c r="B20" s="1051" t="str">
        <f>"▼ "&amp;ListAVS!$B$318</f>
        <v>▼ Sposób otwierania</v>
      </c>
      <c r="C20" s="1052"/>
      <c r="D20" s="406" t="str">
        <f>IF($M$26&gt;0, ListAVS!$B$37&amp;": ", " ")</f>
        <v xml:space="preserve"> </v>
      </c>
      <c r="E20" s="688" t="str">
        <f>IF(SUM($AG$9:$AG$10)&gt;0, "22", IF(SUM($AG$11:$AG$12)&gt;0,"25", " "))</f>
        <v xml:space="preserve"> </v>
      </c>
      <c r="F20" s="1056" t="str">
        <f>ListAVS!$B$64&amp;" B"</f>
        <v>Korpus B</v>
      </c>
      <c r="G20" s="1057"/>
      <c r="H20" s="1058"/>
      <c r="I20" s="273"/>
      <c r="J20" s="255"/>
      <c r="K20" s="255"/>
      <c r="L20" s="255"/>
      <c r="R20" s="37" t="s">
        <v>727</v>
      </c>
      <c r="S20" s="923"/>
      <c r="T20" s="923"/>
      <c r="U20" s="737"/>
      <c r="V20" s="737"/>
      <c r="W20" s="737"/>
      <c r="X20" s="346"/>
      <c r="Y20" s="164" t="str">
        <f>CenAVS!A45</f>
        <v xml:space="preserve">przedłużka do stabilizacji poprzecznej Aventos HL Top    </v>
      </c>
      <c r="Z20" s="164" t="str">
        <f>CenAVS!B45</f>
        <v>22Q080Z</v>
      </c>
      <c r="AA20" s="164" t="str">
        <f>CenAVS!C45</f>
        <v>EV</v>
      </c>
      <c r="AB20" s="165">
        <f t="shared" si="2"/>
        <v>0</v>
      </c>
      <c r="AC20" s="395">
        <f>CenAVS!F45</f>
        <v>33.577959999999997</v>
      </c>
      <c r="AD20" s="167">
        <f t="shared" si="3"/>
        <v>0</v>
      </c>
      <c r="AE20" s="407">
        <f>IF($H$10&gt;=1228, $M$15, IF($T$14&gt;0, $T$14*$M$15, 0))</f>
        <v>0</v>
      </c>
      <c r="AF20" s="168">
        <f t="shared" si="4"/>
        <v>0</v>
      </c>
      <c r="AG20" s="407">
        <f>IF($H$21&gt;=1228, $M$26, IF($T$25&gt;0, $T$14*$M$26, 0))</f>
        <v>0</v>
      </c>
      <c r="AH20" s="168">
        <f t="shared" si="5"/>
        <v>0</v>
      </c>
      <c r="AI20" s="108"/>
      <c r="AJ20" s="108"/>
      <c r="AK20" s="732"/>
      <c r="AL20" s="137"/>
      <c r="AM20" s="137"/>
      <c r="AN20" s="137"/>
      <c r="AO20" s="137"/>
      <c r="AP20" s="37"/>
      <c r="AQ20" s="954" t="s">
        <v>750</v>
      </c>
      <c r="AR20" s="954" t="s">
        <v>775</v>
      </c>
      <c r="AS20" s="955" t="s">
        <v>717</v>
      </c>
    </row>
    <row r="21" spans="1:48" ht="16.149999999999999" customHeight="1" x14ac:dyDescent="0.2">
      <c r="B21" s="1011" t="str">
        <f>ListAVS!$B$74&amp;" KB [mm] "</f>
        <v xml:space="preserve">Szerokość korpusu KB [mm] </v>
      </c>
      <c r="C21" s="1012"/>
      <c r="D21" s="1012"/>
      <c r="E21" s="1012"/>
      <c r="F21" s="1012"/>
      <c r="G21" s="1013"/>
      <c r="H21" s="435"/>
      <c r="I21" s="256" t="str">
        <f>IF($H21=0," ",IF($H21&lt;220," min. 220mm",IF($H21&gt;1800," max. 1 800mm"," ")))&amp;IF(AND(H28&gt;0,H21=0),"● "&amp;ListAVS!$B$129," ")</f>
        <v xml:space="preserve">  </v>
      </c>
      <c r="J21" s="255"/>
      <c r="K21" s="255"/>
      <c r="L21" s="255"/>
      <c r="N21" s="929" t="s">
        <v>726</v>
      </c>
      <c r="O21" s="929">
        <f>IF(AND($H$22&gt;=$Z$44, $H$22&lt;=$AA$45), 1, 0)</f>
        <v>0</v>
      </c>
      <c r="P21" s="929" t="s">
        <v>35</v>
      </c>
      <c r="Q21" s="929">
        <f>IF(AND($H$22&gt;=$Z$44, $H$22&lt;=$AA$44, Q$26&gt;=$AB$44, $Q$26&lt;=$AC$44), 1, 0)</f>
        <v>0</v>
      </c>
      <c r="R21" s="344"/>
      <c r="S21" s="344"/>
      <c r="T21" s="344"/>
      <c r="U21" s="344"/>
      <c r="V21" s="344"/>
      <c r="W21" s="714"/>
      <c r="X21" s="737"/>
      <c r="Y21" s="164"/>
      <c r="Z21" s="164"/>
      <c r="AA21" s="164"/>
      <c r="AB21" s="165"/>
      <c r="AC21" s="395"/>
      <c r="AD21" s="167"/>
      <c r="AE21" s="407"/>
      <c r="AF21" s="168">
        <f t="shared" si="4"/>
        <v>0</v>
      </c>
      <c r="AG21" s="407"/>
      <c r="AH21" s="168">
        <f t="shared" si="5"/>
        <v>0</v>
      </c>
      <c r="AI21" s="108"/>
      <c r="AJ21" s="108"/>
      <c r="AK21" s="255"/>
      <c r="AL21" s="137"/>
      <c r="AM21" s="137"/>
      <c r="AN21" s="137"/>
      <c r="AO21" s="137"/>
      <c r="AP21" s="37"/>
      <c r="AQ21" s="954" t="s">
        <v>749</v>
      </c>
      <c r="AR21" s="954" t="s">
        <v>777</v>
      </c>
      <c r="AS21" s="955" t="s">
        <v>718</v>
      </c>
    </row>
    <row r="22" spans="1:48" ht="16.149999999999999" customHeight="1" x14ac:dyDescent="0.2">
      <c r="B22" s="1011" t="str">
        <f>ListAVS!$B$75&amp;" KH [mm] "</f>
        <v xml:space="preserve">Wysokość korpusu KH [mm] </v>
      </c>
      <c r="C22" s="1012"/>
      <c r="D22" s="1012"/>
      <c r="E22" s="1012"/>
      <c r="F22" s="1012"/>
      <c r="G22" s="1013"/>
      <c r="H22" s="435"/>
      <c r="I22" s="256" t="str">
        <f>IF($H22=0," ",IF($H22&lt;300," min. 300mm",IF($H22&gt;580," max. 580 mm"," ")))&amp;IF(H28&gt;0,IF(H22=0,"● "&amp;ListAVS!$B$129," ")," ")</f>
        <v xml:space="preserve">  </v>
      </c>
      <c r="J22" s="255"/>
      <c r="K22" s="255"/>
      <c r="L22" s="255"/>
      <c r="N22" s="906"/>
      <c r="O22" s="906"/>
      <c r="P22" s="929" t="s">
        <v>41</v>
      </c>
      <c r="Q22" s="929">
        <f>IF(AND($H$22&gt;=$Z$45, $H$22&lt;=$AA$45, Q$26&gt;=$AB$45, $Q$26&lt;=$AC$45), 1, 0)</f>
        <v>0</v>
      </c>
      <c r="R22" s="344"/>
      <c r="S22" s="344"/>
      <c r="T22" s="344"/>
      <c r="U22" s="344"/>
      <c r="V22" s="344"/>
      <c r="W22" s="344"/>
      <c r="X22" s="714"/>
      <c r="Y22" s="164" t="str">
        <f>CenAVS!A47</f>
        <v xml:space="preserve">Zaślepki HF/HL/HS - Top bez SD jasnoszare HGR   </v>
      </c>
      <c r="Z22" s="164" t="str">
        <f>CenAVS!B47</f>
        <v>22.8000</v>
      </c>
      <c r="AA22" s="164" t="str">
        <f>CenAVS!C47</f>
        <v>HGR</v>
      </c>
      <c r="AB22" s="165">
        <f t="shared" si="2"/>
        <v>0</v>
      </c>
      <c r="AC22" s="395">
        <f>CenAVS!F47</f>
        <v>27.586120000000001</v>
      </c>
      <c r="AD22" s="167">
        <f t="shared" si="3"/>
        <v>0</v>
      </c>
      <c r="AE22" s="407">
        <f>IF(AND($T$45=1, $R$14=1), SUM($AE$9:$AE$12), 0)</f>
        <v>0</v>
      </c>
      <c r="AF22" s="168">
        <f t="shared" si="4"/>
        <v>0</v>
      </c>
      <c r="AG22" s="407">
        <f>IF(AND($T$45=1, $R$25=1), SUM($AG$9:$AG$12), 0)</f>
        <v>0</v>
      </c>
      <c r="AH22" s="168">
        <f t="shared" si="5"/>
        <v>0</v>
      </c>
      <c r="AI22" s="108"/>
      <c r="AJ22" s="108"/>
      <c r="AK22" s="255"/>
      <c r="AL22" s="137"/>
      <c r="AM22" s="137"/>
      <c r="AN22" s="137"/>
      <c r="AO22" s="137"/>
      <c r="AP22" s="137"/>
      <c r="AQ22" s="954" t="s">
        <v>751</v>
      </c>
      <c r="AR22" s="954" t="s">
        <v>776</v>
      </c>
      <c r="AS22" s="955" t="s">
        <v>720</v>
      </c>
      <c r="AT22" s="137"/>
    </row>
    <row r="23" spans="1:48" ht="16.149999999999999" customHeight="1" x14ac:dyDescent="0.2">
      <c r="B23" s="1011" t="str">
        <f>ListAVS!$B$77&amp;" [kg] ** "</f>
        <v xml:space="preserve">Waga frontu wraz z uchwytem [kg] ** </v>
      </c>
      <c r="C23" s="1012"/>
      <c r="D23" s="1012"/>
      <c r="E23" s="1012"/>
      <c r="F23" s="1012"/>
      <c r="G23" s="1013"/>
      <c r="H23" s="258"/>
      <c r="I23" s="227" t="str">
        <f>IF($H28=0," ",IF(SUM($H23,$H26)=0,$N$37," "))&amp;IF(AND(SUM($O$21:$O$25)=1,$V27="ne",H23&gt;0),$N$41,IF(AND($H28&gt;0,$H23&gt;0,V$27="ano"),$N$38," "))</f>
        <v xml:space="preserve">  </v>
      </c>
      <c r="J23" s="255"/>
      <c r="K23" s="255"/>
      <c r="L23" s="255"/>
      <c r="N23" s="929" t="s">
        <v>87</v>
      </c>
      <c r="O23" s="929">
        <f>IF(AND($H$22&gt;=$Z$49, $H$22&lt;=$AA$50), 1, 0)</f>
        <v>0</v>
      </c>
      <c r="P23" s="929" t="s">
        <v>45</v>
      </c>
      <c r="Q23" s="929">
        <f>IF(AND($H$22&gt;=$Z$49, $H$22&lt;=$AA$49, Q$26&gt;=$AB$49, $Q$26&lt;=$AC$49), 1, 0)</f>
        <v>0</v>
      </c>
      <c r="R23" s="906">
        <f>IF(AND($Q$23=1, $Q$24=1, $H$11&lt;=$AD$49), 1, IF(AND($Q23=1, $Q24=0), $Q23, 0))</f>
        <v>0</v>
      </c>
      <c r="T23" s="344"/>
      <c r="U23" s="344"/>
      <c r="V23" s="344"/>
      <c r="W23" s="344"/>
      <c r="X23" s="344"/>
      <c r="Y23" s="164" t="str">
        <f>CenAVS!A48</f>
        <v xml:space="preserve">zaślepki HF/HL/HS - Top bez SD ciemnoszare TGR   </v>
      </c>
      <c r="Z23" s="164" t="str">
        <f>CenAVS!B48</f>
        <v>22.8000</v>
      </c>
      <c r="AA23" s="164" t="str">
        <f>CenAVS!C48</f>
        <v>TGR</v>
      </c>
      <c r="AB23" s="165">
        <f t="shared" si="2"/>
        <v>0</v>
      </c>
      <c r="AC23" s="395">
        <f>CenAVS!F48</f>
        <v>30.106369999999998</v>
      </c>
      <c r="AD23" s="167">
        <f t="shared" si="3"/>
        <v>0</v>
      </c>
      <c r="AE23" s="407">
        <f>IF(AND($T$45=2, $R$14=1), SUM($AE$9:$AE$12), 0)</f>
        <v>0</v>
      </c>
      <c r="AF23" s="168">
        <f t="shared" si="4"/>
        <v>0</v>
      </c>
      <c r="AG23" s="407">
        <f>IF(AND($T$45=2, $R$25=1), SUM($AG$9:$AG$12), 0)</f>
        <v>0</v>
      </c>
      <c r="AH23" s="168">
        <f t="shared" si="5"/>
        <v>0</v>
      </c>
      <c r="AI23" s="108"/>
      <c r="AJ23" s="108"/>
      <c r="AK23" s="255"/>
      <c r="AL23" s="137"/>
      <c r="AM23" s="37"/>
      <c r="AN23" s="37"/>
      <c r="AO23" s="37"/>
      <c r="AP23" s="137"/>
      <c r="AQ23" s="954" t="s">
        <v>752</v>
      </c>
      <c r="AR23" s="954" t="s">
        <v>778</v>
      </c>
      <c r="AS23" s="955" t="s">
        <v>721</v>
      </c>
      <c r="AT23" s="137"/>
    </row>
    <row r="24" spans="1:48" ht="16.149999999999999" customHeight="1" x14ac:dyDescent="0.2">
      <c r="B24" s="1055" t="str">
        <f>ListAVS!$B$293</f>
        <v>Obliczenie wagi</v>
      </c>
      <c r="C24" s="1055"/>
      <c r="D24" s="1053" t="str">
        <f>ListAVS!$B$80&amp;" TS [mm] "</f>
        <v xml:space="preserve">Grubość frontu TS [mm] </v>
      </c>
      <c r="E24" s="1053"/>
      <c r="F24" s="1053"/>
      <c r="G24" s="1054"/>
      <c r="H24" s="258"/>
      <c r="I24" s="256" t="str">
        <f>IF(H28=0," ",IF(AND(H23=0, H24=0)," ● "&amp;ListAVS!$B$129," "))&amp;IF(H28=0," ",IF(AND(H23=0, H24&lt;14), " min. 14 mm", " "))</f>
        <v xml:space="preserve">  </v>
      </c>
      <c r="J24" s="255"/>
      <c r="K24" s="255"/>
      <c r="L24" s="255"/>
      <c r="N24" s="906"/>
      <c r="O24" s="906"/>
      <c r="P24" s="929" t="s">
        <v>48</v>
      </c>
      <c r="Q24" s="929">
        <f>IF(AND($H$22&gt;=$Z$50, $H$22&lt;=$AA$50, Q$26&gt;=$AB$50, $Q$26&lt;=$AC$50), 1, 0)</f>
        <v>0</v>
      </c>
      <c r="R24" s="906">
        <f>IF(AND($Q23=1,$Q24=1,$H22&gt;$AD$49),1, IF(AND($Q23=0,$Q24=1),$Q24,0))</f>
        <v>0</v>
      </c>
      <c r="S24" s="930" t="s">
        <v>81</v>
      </c>
      <c r="T24" s="931" t="s">
        <v>82</v>
      </c>
      <c r="U24" s="344"/>
      <c r="V24" s="344"/>
      <c r="W24" s="344"/>
      <c r="X24" s="344"/>
      <c r="Y24" s="164" t="str">
        <f>CenAVS!A49</f>
        <v xml:space="preserve">Zaślepki HF/HL/HS - Top bez SD białe SW   </v>
      </c>
      <c r="Z24" s="164" t="str">
        <f>CenAVS!B49</f>
        <v>22.8000</v>
      </c>
      <c r="AA24" s="164" t="str">
        <f>CenAVS!C49</f>
        <v>SW</v>
      </c>
      <c r="AB24" s="165">
        <f t="shared" si="2"/>
        <v>0</v>
      </c>
      <c r="AC24" s="395">
        <f>CenAVS!F49</f>
        <v>30.106369999999998</v>
      </c>
      <c r="AD24" s="167">
        <f t="shared" si="3"/>
        <v>0</v>
      </c>
      <c r="AE24" s="407">
        <f>IF(AND($T$45=3, $R$14=1), SUM($AE$9:$AE$12), 0)</f>
        <v>0</v>
      </c>
      <c r="AF24" s="168">
        <f t="shared" si="4"/>
        <v>0</v>
      </c>
      <c r="AG24" s="407">
        <f>IF(AND($T$45=3, $R$25=1), SUM($AG$9:$AG$12), 0)</f>
        <v>0</v>
      </c>
      <c r="AH24" s="168">
        <f t="shared" si="5"/>
        <v>0</v>
      </c>
      <c r="AI24" s="108"/>
      <c r="AJ24" s="108"/>
      <c r="AK24" s="255"/>
      <c r="AL24" s="37"/>
      <c r="AM24" s="137"/>
      <c r="AN24" s="137"/>
      <c r="AO24" s="137"/>
      <c r="AP24" s="137"/>
      <c r="AQ24" s="37"/>
      <c r="AR24" s="37"/>
      <c r="AS24" s="137"/>
      <c r="AT24" s="137"/>
    </row>
    <row r="25" spans="1:48" ht="16.149999999999999" customHeight="1" x14ac:dyDescent="0.2">
      <c r="B25" s="1055"/>
      <c r="C25" s="1055"/>
      <c r="D25" s="1053" t="str">
        <f>ListAVS!$B$83&amp;" [kg] "</f>
        <v xml:space="preserve">Waga uchwytu [kg] </v>
      </c>
      <c r="E25" s="1053"/>
      <c r="F25" s="1053"/>
      <c r="G25" s="1054"/>
      <c r="H25" s="258"/>
      <c r="I25" s="256" t="str">
        <f>IF(H28=0, " ", IF(AND(H23=0, R25=1, H25=0), " ● "&amp;ListAVS!$B$130," "))</f>
        <v xml:space="preserve"> </v>
      </c>
      <c r="J25" s="255"/>
      <c r="K25" s="255"/>
      <c r="L25" s="255"/>
      <c r="M25" s="118"/>
      <c r="N25" s="317"/>
      <c r="O25" s="344"/>
      <c r="P25" s="1171"/>
      <c r="Q25" s="1172"/>
      <c r="R25" s="934">
        <v>1</v>
      </c>
      <c r="S25" s="932">
        <f>IF($H$21&gt;1360,2, IF($H$10&lt;610,0.5,1))</f>
        <v>0.5</v>
      </c>
      <c r="T25" s="933">
        <f>H27</f>
        <v>0</v>
      </c>
      <c r="X25" s="344"/>
      <c r="Y25" s="164" t="str">
        <f>CenAVS!A50</f>
        <v xml:space="preserve">zaślepki HF/HL/HS - Top do SD jasnoszare HGR   </v>
      </c>
      <c r="Z25" s="164" t="str">
        <f>CenAVS!B50</f>
        <v>23.8000</v>
      </c>
      <c r="AA25" s="164" t="str">
        <f>CenAVS!C50</f>
        <v>HGR</v>
      </c>
      <c r="AB25" s="165">
        <f t="shared" si="2"/>
        <v>0</v>
      </c>
      <c r="AC25" s="395">
        <f>CenAVS!F50</f>
        <v>284.41748999999999</v>
      </c>
      <c r="AD25" s="167">
        <f t="shared" si="3"/>
        <v>0</v>
      </c>
      <c r="AE25" s="407">
        <f>IF(AND($T$45=1, $R$14=2), SUM($AE$9:$AE$12), 0)</f>
        <v>0</v>
      </c>
      <c r="AF25" s="168">
        <f t="shared" si="4"/>
        <v>0</v>
      </c>
      <c r="AG25" s="407">
        <f>IF(AND($T$45=1, $R$25=2), SUM($AG$9:$AG$12), 0)</f>
        <v>0</v>
      </c>
      <c r="AH25" s="168">
        <f t="shared" si="5"/>
        <v>0</v>
      </c>
      <c r="AI25" s="108"/>
      <c r="AJ25" s="108"/>
      <c r="AK25" s="137"/>
      <c r="AL25" s="137"/>
      <c r="AM25" s="137"/>
      <c r="AN25" s="137"/>
      <c r="AO25" s="137"/>
      <c r="AP25" s="137"/>
      <c r="AQ25" s="37"/>
      <c r="AR25" s="37"/>
      <c r="AS25" s="137"/>
      <c r="AT25" s="137"/>
    </row>
    <row r="26" spans="1:48" ht="16.149999999999999" customHeight="1" x14ac:dyDescent="0.2">
      <c r="B26" s="1055"/>
      <c r="C26" s="1055"/>
      <c r="D26" s="1053" t="str">
        <f>ListAVS!$B$79&amp;" [kg] "</f>
        <v xml:space="preserve">Obliczona waga frontu [kg] </v>
      </c>
      <c r="E26" s="1053"/>
      <c r="F26" s="1053"/>
      <c r="G26" s="1054"/>
      <c r="H26" s="259">
        <f>$T$91</f>
        <v>0</v>
      </c>
      <c r="I26" s="227" t="str">
        <f>IF(AND($H28&gt;0,$H26&gt;0,$H23=0,$M26&gt;0), $N$38," ")&amp;IF(AND(H28&gt;0, H23=0, Z88=3, $J$4=0), $N$36, " ")</f>
        <v xml:space="preserve">  </v>
      </c>
      <c r="J26" s="255"/>
      <c r="K26" s="255"/>
      <c r="L26" s="255"/>
      <c r="M26" s="315">
        <f>IF($H21*$H22*$Q26=0, 0, IF(SUM(O21:O23)=0, 0, IF(SUM(Q21:Q24)=0, 0, IF($H21&gt;1800, 0, IF($H21&lt;220, 0, IF(AND($H23=0, $H24&lt;14), 0, $H28))))))</f>
        <v>0</v>
      </c>
      <c r="P26" s="690" t="s">
        <v>51</v>
      </c>
      <c r="Q26" s="691">
        <f>IF(H23&gt;0,H23,H26)</f>
        <v>0</v>
      </c>
      <c r="R26" s="37">
        <f>IF(SUM(H23,H26)=0,0,IF(H23&gt;0,1,2))</f>
        <v>0</v>
      </c>
      <c r="S26" s="571" t="s">
        <v>52</v>
      </c>
      <c r="U26" s="717" t="s">
        <v>79</v>
      </c>
      <c r="V26" s="927" t="str">
        <f>IF(AND(219&lt;H21,H21&lt;1801,299&lt;H22,H22&lt;581),"ano","ne")</f>
        <v>ne</v>
      </c>
      <c r="W26" s="346"/>
      <c r="Y26" s="164" t="str">
        <f>CenAVS!A51</f>
        <v xml:space="preserve">Zaślepki HF/HL/HS - Top do SD ciemnoszare TGR   </v>
      </c>
      <c r="Z26" s="164" t="str">
        <f>CenAVS!B51</f>
        <v>23.8000</v>
      </c>
      <c r="AA26" s="164" t="str">
        <f>CenAVS!C51</f>
        <v>TGR</v>
      </c>
      <c r="AB26" s="165">
        <f>SUM(AE26,AG26)</f>
        <v>0</v>
      </c>
      <c r="AC26" s="395">
        <f>CenAVS!F51</f>
        <v>295.60313000000002</v>
      </c>
      <c r="AD26" s="167">
        <f>AB26*AC26</f>
        <v>0</v>
      </c>
      <c r="AE26" s="407">
        <f>IF(AND($T$45=2, $R$14=2), SUM($AE$9:$AE$12), 0)</f>
        <v>0</v>
      </c>
      <c r="AF26" s="168">
        <f>$AC26*AE26</f>
        <v>0</v>
      </c>
      <c r="AG26" s="407">
        <f>IF(AND($T$45=2, $R$25=2), SUM($AG$9:$AG$12), 0)</f>
        <v>0</v>
      </c>
      <c r="AH26" s="168">
        <f>$AC26*AG26</f>
        <v>0</v>
      </c>
      <c r="AI26" s="108"/>
      <c r="AJ26" s="108"/>
      <c r="AK26" s="137"/>
      <c r="AL26" s="137"/>
      <c r="AM26" s="137"/>
      <c r="AN26" s="137"/>
      <c r="AO26" s="137"/>
      <c r="AP26" s="137"/>
      <c r="AQ26" s="37"/>
      <c r="AR26" s="37"/>
      <c r="AS26" s="137"/>
      <c r="AT26" s="137"/>
    </row>
    <row r="27" spans="1:48" ht="16.149999999999999" customHeight="1" thickBot="1" x14ac:dyDescent="0.25">
      <c r="B27" s="1011" t="str">
        <f>ListAVS!$B$29&amp;" * "</f>
        <v xml:space="preserve">Liczba ścianek środkowych * </v>
      </c>
      <c r="C27" s="1012"/>
      <c r="D27" s="1012"/>
      <c r="E27" s="1012"/>
      <c r="F27" s="1012"/>
      <c r="G27" s="1013"/>
      <c r="H27" s="435"/>
      <c r="I27" s="256"/>
      <c r="J27" s="255"/>
      <c r="K27" s="248"/>
      <c r="L27" s="255"/>
      <c r="N27" s="137"/>
      <c r="O27" s="137"/>
      <c r="P27" s="137"/>
      <c r="Q27" s="137"/>
      <c r="T27" s="346"/>
      <c r="U27" s="717" t="s">
        <v>710</v>
      </c>
      <c r="V27" s="928" t="str">
        <f>IF(AND($H$22&gt;=$Z$44, $H$22&lt;=$AA$44, $Q$26&gt;=$AB$44, $Q$26&lt;=$AC$44), "ano", IF(AND($H$22&gt;=$Z$45, $H$22&lt;=$AA$45, $Q$26&gt;=$AB$45, $Q$26&lt;=$AC$45), "ano", IF(AND($H$22&gt;=$Z$49, $H$22&lt;=$AA$49, $Q$26&gt;=$AB$49, $Q$26&lt;=$AC$49), "ano", IF(AND($H$22&gt;=$Z$50, $H$22&lt;=$AA$50, $Q$26&gt;=$AB$50, $Q$26&lt;=$AC$50), "ano", "ne"))))</f>
        <v>ne</v>
      </c>
      <c r="W27" s="345"/>
      <c r="X27" s="346"/>
      <c r="Y27" s="164" t="str">
        <f>CenAVS!A52</f>
        <v xml:space="preserve">Zaślepki HF/HL/HS - Top do SD białe SW   </v>
      </c>
      <c r="Z27" s="164" t="str">
        <f>CenAVS!B52</f>
        <v>23.8000</v>
      </c>
      <c r="AA27" s="164" t="str">
        <f>CenAVS!C52</f>
        <v>SW</v>
      </c>
      <c r="AB27" s="165">
        <f>SUM(AE27,AG27)</f>
        <v>0</v>
      </c>
      <c r="AC27" s="395">
        <f>CenAVS!F52</f>
        <v>295.60313000000002</v>
      </c>
      <c r="AD27" s="167">
        <f>AB27*AC27</f>
        <v>0</v>
      </c>
      <c r="AE27" s="407">
        <f>IF(AND($T$45=3, $R$14=2), SUM($AE$9:$AE$12), 0)</f>
        <v>0</v>
      </c>
      <c r="AF27" s="168">
        <f>$AC27*AE27</f>
        <v>0</v>
      </c>
      <c r="AG27" s="407">
        <f>IF(AND($T$45=3, $R$25=2), SUM($AG$9:$AG$12), 0)</f>
        <v>0</v>
      </c>
      <c r="AH27" s="168">
        <f>$AC27*AG27</f>
        <v>0</v>
      </c>
      <c r="AI27" s="108"/>
      <c r="AJ27" s="108"/>
      <c r="AK27" s="108"/>
      <c r="AL27" s="137"/>
      <c r="AM27" s="137"/>
      <c r="AN27" s="137"/>
      <c r="AO27" s="137"/>
      <c r="AP27" s="137"/>
      <c r="AQ27" s="37"/>
      <c r="AR27" s="37"/>
      <c r="AS27" s="137"/>
      <c r="AT27" s="137"/>
    </row>
    <row r="28" spans="1:48" ht="16.149999999999999" customHeight="1" thickBot="1" x14ac:dyDescent="0.25">
      <c r="B28" s="1155" t="str">
        <f>ListAVS!$B$71</f>
        <v>Ilość szafek</v>
      </c>
      <c r="C28" s="1156"/>
      <c r="D28" s="1156"/>
      <c r="E28" s="1156"/>
      <c r="F28" s="1156"/>
      <c r="G28" s="1156"/>
      <c r="H28" s="437"/>
      <c r="I28" s="256"/>
      <c r="J28" s="264"/>
      <c r="K28" s="396"/>
      <c r="L28" s="265"/>
      <c r="N28" s="137"/>
      <c r="O28" s="137"/>
      <c r="P28" s="137"/>
      <c r="Q28" s="137"/>
      <c r="T28" s="346"/>
      <c r="U28" s="344"/>
      <c r="V28" s="344"/>
      <c r="W28" s="346"/>
      <c r="X28" s="345"/>
      <c r="Y28" s="164"/>
      <c r="Z28" s="164"/>
      <c r="AA28" s="301"/>
      <c r="AB28" s="165"/>
      <c r="AC28" s="395"/>
      <c r="AD28" s="167"/>
      <c r="AE28" s="408"/>
      <c r="AF28" s="168"/>
      <c r="AG28" s="408"/>
      <c r="AH28" s="168"/>
      <c r="AI28" s="108"/>
      <c r="AJ28" s="108"/>
      <c r="AK28" s="693"/>
      <c r="AL28" s="137"/>
      <c r="AM28" s="137"/>
      <c r="AN28" s="137"/>
      <c r="AO28" s="137"/>
      <c r="AP28" s="137"/>
      <c r="AQ28" s="37"/>
      <c r="AR28" s="37"/>
      <c r="AS28" s="137"/>
      <c r="AT28" s="137"/>
    </row>
    <row r="29" spans="1:48" ht="16.149999999999999" customHeight="1" x14ac:dyDescent="0.2">
      <c r="A29" s="137"/>
      <c r="B29" s="255" t="str">
        <f>IF(H28&gt;0,IF(OR(R26=0,M26=0), " ",IF(R26=1,$N$50,$N$51))," ")&amp;IF(H28&gt;0,IF(OR(R26=0, M26=0), " ",IF(R26=1,$N$52,$N$53))," ")</f>
        <v xml:space="preserve">  </v>
      </c>
      <c r="C29" s="255"/>
      <c r="D29" s="255"/>
      <c r="E29" s="255"/>
      <c r="F29" s="255"/>
      <c r="G29" s="255"/>
      <c r="H29" s="273"/>
      <c r="I29" s="273"/>
      <c r="J29" s="266"/>
      <c r="K29" s="266"/>
      <c r="L29" s="266"/>
      <c r="O29" s="138">
        <f>IF($P$29=FALSE,2,1)</f>
        <v>2</v>
      </c>
      <c r="P29" s="1063" t="b">
        <v>0</v>
      </c>
      <c r="Q29" s="1064"/>
      <c r="R29" s="139" t="s">
        <v>56</v>
      </c>
      <c r="S29" s="140"/>
      <c r="T29" s="346"/>
      <c r="U29" s="317"/>
      <c r="V29" s="347"/>
      <c r="X29" s="346"/>
      <c r="Y29" s="164"/>
      <c r="Z29" s="164"/>
      <c r="AA29" s="301"/>
      <c r="AB29" s="165"/>
      <c r="AC29" s="395"/>
      <c r="AD29" s="167"/>
      <c r="AE29" s="408"/>
      <c r="AF29" s="168"/>
      <c r="AG29" s="408"/>
      <c r="AH29" s="168"/>
      <c r="AI29" s="108"/>
      <c r="AJ29" s="108"/>
      <c r="AK29" s="693"/>
      <c r="AL29" s="137"/>
      <c r="AM29" s="137"/>
      <c r="AN29" s="137"/>
      <c r="AO29" s="137"/>
      <c r="AP29" s="137"/>
      <c r="AQ29" s="37"/>
      <c r="AR29" s="37"/>
      <c r="AS29" s="137"/>
      <c r="AT29" s="137"/>
    </row>
    <row r="30" spans="1:48" ht="16.149999999999999" customHeight="1" x14ac:dyDescent="0.2">
      <c r="B30" s="275" t="str">
        <f>IF(AND($Q$23=1, $Q$24=1, $R$23=1), ListAVS!$B$338&amp;$Y$50&amp;". "&amp;ListAVS!$B$339, IF(AND($Q$23=1, $Q$24=1, $R$24=1), ListAVS!$B$338&amp;$Y$49&amp;". "&amp;ListAVS!$B$339, " "))</f>
        <v xml:space="preserve"> </v>
      </c>
      <c r="C30" s="248"/>
      <c r="D30" s="396"/>
      <c r="E30" s="396"/>
      <c r="F30" s="274"/>
      <c r="G30" s="274"/>
      <c r="H30" s="396"/>
      <c r="I30" s="264"/>
      <c r="J30" s="264"/>
      <c r="K30" s="396"/>
      <c r="L30" s="265"/>
      <c r="T30" s="346"/>
      <c r="U30" s="119"/>
      <c r="V30" s="134"/>
      <c r="Y30" s="164"/>
      <c r="Z30" s="164"/>
      <c r="AA30" s="301"/>
      <c r="AB30" s="165"/>
      <c r="AC30" s="395"/>
      <c r="AD30" s="167"/>
      <c r="AE30" s="407"/>
      <c r="AF30" s="168"/>
      <c r="AG30" s="407"/>
      <c r="AH30" s="168"/>
      <c r="AI30" s="108"/>
      <c r="AJ30" s="108"/>
      <c r="AK30" s="693"/>
      <c r="AL30" s="137"/>
      <c r="AM30" s="137"/>
      <c r="AN30" s="137"/>
      <c r="AO30" s="137"/>
      <c r="AP30" s="137"/>
      <c r="AQ30" s="37"/>
      <c r="AR30" s="37"/>
      <c r="AS30" s="137"/>
      <c r="AT30" s="137"/>
    </row>
    <row r="31" spans="1:48" ht="16.149999999999999" customHeight="1" x14ac:dyDescent="0.2">
      <c r="B31" s="1047" t="str">
        <f>IF(OR(AND($R$14=2, $M$15&gt;0), AND($R$25=2, $M$26&gt;0)), ListAVS!$B$176, " ")</f>
        <v xml:space="preserve"> </v>
      </c>
      <c r="C31" s="1047"/>
      <c r="D31" s="1047"/>
      <c r="E31" s="1047"/>
      <c r="F31" s="1047"/>
      <c r="G31" s="1047"/>
      <c r="H31" s="1047"/>
      <c r="I31" s="1047"/>
      <c r="J31" s="1047"/>
      <c r="K31" s="397"/>
      <c r="L31" s="397"/>
      <c r="T31" s="346"/>
      <c r="U31" s="344"/>
      <c r="V31" s="344"/>
      <c r="W31" s="346"/>
      <c r="Y31" s="164"/>
      <c r="Z31" s="164"/>
      <c r="AA31" s="301"/>
      <c r="AB31" s="165"/>
      <c r="AC31" s="395"/>
      <c r="AD31" s="167"/>
      <c r="AE31" s="407"/>
      <c r="AF31" s="168"/>
      <c r="AG31" s="407"/>
      <c r="AH31" s="168"/>
      <c r="AI31" s="108"/>
      <c r="AJ31" s="108"/>
      <c r="AK31" s="108"/>
      <c r="AL31" s="137"/>
      <c r="AM31" s="137"/>
      <c r="AN31" s="137"/>
      <c r="AO31" s="137"/>
      <c r="AP31" s="137"/>
      <c r="AQ31" s="37"/>
      <c r="AR31" s="37"/>
      <c r="AS31" s="137"/>
      <c r="AT31" s="137"/>
    </row>
    <row r="32" spans="1:48" ht="16.149999999999999" customHeight="1" x14ac:dyDescent="0.2">
      <c r="B32" s="1047"/>
      <c r="C32" s="1047"/>
      <c r="D32" s="1047"/>
      <c r="E32" s="1047"/>
      <c r="F32" s="1047"/>
      <c r="G32" s="1047"/>
      <c r="H32" s="1047"/>
      <c r="I32" s="1047"/>
      <c r="J32" s="1047"/>
      <c r="K32" s="397"/>
      <c r="L32" s="397"/>
      <c r="T32" s="346"/>
      <c r="U32" s="344"/>
      <c r="V32" s="344"/>
      <c r="W32" s="346"/>
      <c r="X32" s="346"/>
      <c r="Y32" s="164" t="str">
        <f>CenAVS!A78</f>
        <v xml:space="preserve">mocowanie frontu do HK Top, HS/Top, HL/Top    </v>
      </c>
      <c r="Z32" s="164" t="str">
        <f>CenAVS!B78</f>
        <v>20S4200</v>
      </c>
      <c r="AA32" s="301" t="str">
        <f>CenAVS!C78</f>
        <v>NI</v>
      </c>
      <c r="AB32" s="165">
        <f>SUM(AE32,AG32)</f>
        <v>0</v>
      </c>
      <c r="AC32" s="395">
        <f>CenAVS!F78</f>
        <v>9.9925899999999999</v>
      </c>
      <c r="AD32" s="167">
        <f>AB32*AC32</f>
        <v>0</v>
      </c>
      <c r="AE32" s="407">
        <f>IF($O$45=2,SUM(AE$9:AE$12),0)</f>
        <v>0</v>
      </c>
      <c r="AF32" s="168">
        <f>$AC32*AE32</f>
        <v>0</v>
      </c>
      <c r="AG32" s="407">
        <f>IF($O$45=2,SUM(AG$9:AG$12),0)</f>
        <v>0</v>
      </c>
      <c r="AH32" s="168">
        <f>$AC32*AG32</f>
        <v>0</v>
      </c>
      <c r="AI32" s="108"/>
      <c r="AJ32" s="108"/>
      <c r="AK32" s="710"/>
      <c r="AL32" s="137"/>
      <c r="AM32" s="137"/>
      <c r="AN32" s="137"/>
      <c r="AO32" s="137"/>
      <c r="AP32" s="137"/>
      <c r="AQ32" s="37"/>
      <c r="AR32" s="37"/>
      <c r="AS32" s="137"/>
      <c r="AT32" s="137"/>
    </row>
    <row r="33" spans="2:48" ht="16.149999999999999" customHeight="1" x14ac:dyDescent="0.2">
      <c r="B33" s="1047"/>
      <c r="C33" s="1047"/>
      <c r="D33" s="1047"/>
      <c r="E33" s="1047"/>
      <c r="F33" s="1047"/>
      <c r="G33" s="1047"/>
      <c r="H33" s="1047"/>
      <c r="I33" s="1047"/>
      <c r="J33" s="1047"/>
      <c r="K33" s="266"/>
      <c r="L33" s="255"/>
      <c r="W33" s="346"/>
      <c r="X33" s="346"/>
      <c r="Y33" s="164" t="str">
        <f>CenAVS!A79</f>
        <v xml:space="preserve">mocowanie frontu HS, HK top, HL Expando    </v>
      </c>
      <c r="Z33" s="164" t="str">
        <f>CenAVS!B79</f>
        <v>20S42E1</v>
      </c>
      <c r="AA33" s="301" t="str">
        <f>CenAVS!C79</f>
        <v>NI</v>
      </c>
      <c r="AB33" s="165">
        <f>SUM(AE33,AG33)</f>
        <v>0</v>
      </c>
      <c r="AC33" s="395">
        <f>CenAVS!F79</f>
        <v>6.2138699999999991</v>
      </c>
      <c r="AD33" s="167">
        <f>AB33*AC33</f>
        <v>0</v>
      </c>
      <c r="AE33" s="407">
        <f>IF($O$45=1,SUM(AE$9:AE$12)*2,0)</f>
        <v>0</v>
      </c>
      <c r="AF33" s="168">
        <f>$AC33*AE33</f>
        <v>0</v>
      </c>
      <c r="AG33" s="407">
        <f>IF($O$45=1,SUM(AG$9:AG$12)*2,0)</f>
        <v>0</v>
      </c>
      <c r="AH33" s="168">
        <f>$AC33*AG33</f>
        <v>0</v>
      </c>
      <c r="AI33" s="108"/>
      <c r="AJ33" s="108"/>
      <c r="AK33" s="108"/>
      <c r="AL33" s="137"/>
      <c r="AM33" s="137"/>
      <c r="AN33" s="137"/>
      <c r="AO33" s="137"/>
      <c r="AP33" s="137"/>
      <c r="AQ33" s="37"/>
      <c r="AR33" s="37"/>
      <c r="AS33" s="137"/>
      <c r="AT33" s="137"/>
    </row>
    <row r="34" spans="2:48" ht="16.149999999999999" customHeight="1" x14ac:dyDescent="0.2">
      <c r="B34" s="272"/>
      <c r="C34" s="255"/>
      <c r="D34" s="266"/>
      <c r="E34" s="266"/>
      <c r="F34" s="266"/>
      <c r="G34" s="266"/>
      <c r="H34" s="266"/>
      <c r="I34" s="255"/>
      <c r="J34" s="266"/>
      <c r="K34" s="266"/>
      <c r="L34" s="255"/>
      <c r="W34" s="344"/>
      <c r="X34" s="344"/>
      <c r="Y34" s="164" t="str">
        <f>CenAVS!A80</f>
        <v>mocow. frontu do cienkich materiałów Aventos HK, HL, HS, Expando T</v>
      </c>
      <c r="Z34" s="164" t="str">
        <f>CenAVS!B80</f>
        <v>20S42T1</v>
      </c>
      <c r="AA34" s="301" t="str">
        <f>CenAVS!C80</f>
        <v>NI</v>
      </c>
      <c r="AB34" s="165">
        <f>SUM(AE34,AG34)</f>
        <v>0</v>
      </c>
      <c r="AC34" s="395">
        <f>CenAVS!F80</f>
        <v>31.992830000000005</v>
      </c>
      <c r="AD34" s="167">
        <f>AB34*AC34</f>
        <v>0</v>
      </c>
      <c r="AE34" s="407"/>
      <c r="AF34" s="168">
        <f>$AC34*AE34</f>
        <v>0</v>
      </c>
      <c r="AG34" s="407"/>
      <c r="AH34" s="168">
        <f>$AC34*AG34</f>
        <v>0</v>
      </c>
      <c r="AI34" s="108"/>
      <c r="AJ34" s="108"/>
      <c r="AK34" s="108"/>
      <c r="AL34" s="137"/>
      <c r="AM34" s="137"/>
      <c r="AN34" s="137"/>
      <c r="AO34" s="137"/>
      <c r="AP34" s="137"/>
      <c r="AQ34" s="37"/>
      <c r="AR34" s="37"/>
      <c r="AS34" s="137"/>
      <c r="AT34" s="137"/>
    </row>
    <row r="35" spans="2:48" ht="16.149999999999999" customHeight="1" x14ac:dyDescent="0.2">
      <c r="B35" s="272"/>
      <c r="C35" s="273"/>
      <c r="D35" s="266"/>
      <c r="E35" s="266"/>
      <c r="F35" s="266"/>
      <c r="G35" s="266"/>
      <c r="H35" s="266"/>
      <c r="I35" s="255"/>
      <c r="J35" s="266"/>
      <c r="K35" s="266"/>
      <c r="L35" s="255"/>
      <c r="N35" s="37" t="str">
        <f>ListAVS!B177</f>
        <v>Cena bez zasilacza!</v>
      </c>
      <c r="W35" s="344"/>
      <c r="X35" s="344"/>
      <c r="Y35" s="164" t="str">
        <f>CenAVS!A81</f>
        <v xml:space="preserve">mocowanie frontu alu HK Top, HS/Top, HL/Top    </v>
      </c>
      <c r="Z35" s="164" t="str">
        <f>CenAVS!B81</f>
        <v>20S4200A</v>
      </c>
      <c r="AA35" s="301" t="str">
        <f>CenAVS!C81</f>
        <v>NI</v>
      </c>
      <c r="AB35" s="165">
        <f>SUM(AE35,AG35)</f>
        <v>0</v>
      </c>
      <c r="AC35" s="395">
        <f>CenAVS!F81</f>
        <v>43.392219999999995</v>
      </c>
      <c r="AD35" s="167">
        <f>AB35*AC35</f>
        <v>0</v>
      </c>
      <c r="AE35" s="407"/>
      <c r="AF35" s="168">
        <f>$AC35*AE35</f>
        <v>0</v>
      </c>
      <c r="AG35" s="407"/>
      <c r="AH35" s="168">
        <f>$AC35*AG35</f>
        <v>0</v>
      </c>
      <c r="AI35" s="108"/>
      <c r="AJ35" s="108"/>
      <c r="AK35" s="108"/>
      <c r="AL35" s="137"/>
      <c r="AM35" s="137"/>
      <c r="AN35" s="137"/>
      <c r="AO35" s="137"/>
      <c r="AP35" s="137"/>
      <c r="AQ35" s="37"/>
      <c r="AR35" s="37"/>
      <c r="AS35" s="137"/>
      <c r="AT35" s="137"/>
    </row>
    <row r="36" spans="2:48" ht="16.149999999999999" customHeight="1" x14ac:dyDescent="0.2">
      <c r="B36" s="272"/>
      <c r="C36" s="255"/>
      <c r="D36" s="266"/>
      <c r="E36" s="266"/>
      <c r="F36" s="266"/>
      <c r="G36" s="266"/>
      <c r="H36" s="266"/>
      <c r="I36" s="255"/>
      <c r="J36" s="266"/>
      <c r="K36" s="266"/>
      <c r="L36" s="255"/>
      <c r="N36" s="37" t="str">
        <f>" "&amp;ListAVS!$B$118</f>
        <v xml:space="preserve"> Wprowadź na górze masę objętościową </v>
      </c>
      <c r="T36" s="344"/>
      <c r="U36" s="344"/>
      <c r="V36" s="344"/>
      <c r="W36" s="344"/>
      <c r="X36" s="344"/>
      <c r="Y36" s="164"/>
      <c r="Z36" s="164"/>
      <c r="AA36" s="301"/>
      <c r="AB36" s="165"/>
      <c r="AC36" s="395"/>
      <c r="AD36" s="167"/>
      <c r="AE36" s="407"/>
      <c r="AF36" s="168"/>
      <c r="AG36" s="407"/>
      <c r="AH36" s="168"/>
      <c r="AI36" s="108"/>
      <c r="AJ36" s="108"/>
      <c r="AK36" s="108"/>
      <c r="AL36" s="137"/>
      <c r="AM36" s="137"/>
      <c r="AN36" s="137"/>
      <c r="AO36" s="137"/>
      <c r="AP36" s="37"/>
      <c r="AQ36" s="37"/>
      <c r="AR36" s="37"/>
      <c r="AS36" s="37"/>
      <c r="AT36" s="137"/>
    </row>
    <row r="37" spans="2:48" ht="16.149999999999999" customHeight="1" x14ac:dyDescent="0.2">
      <c r="B37" s="274" t="s">
        <v>63</v>
      </c>
      <c r="C37" s="275" t="str">
        <f>ListAVS!$B$234</f>
        <v>Podaj liczbę ścianek środkowych w korpusie.</v>
      </c>
      <c r="D37" s="275"/>
      <c r="E37" s="275"/>
      <c r="F37" s="275"/>
      <c r="G37" s="275"/>
      <c r="H37" s="275"/>
      <c r="I37" s="275"/>
      <c r="J37" s="275"/>
      <c r="K37" s="275"/>
      <c r="L37" s="255"/>
      <c r="N37" s="37" t="str">
        <f>" "&amp;ListAVS!$B$116</f>
        <v xml:space="preserve"> Wprowadź wagę lub wypełnij wszystkie komórki</v>
      </c>
      <c r="T37" s="317"/>
      <c r="U37" s="317"/>
      <c r="V37" s="344"/>
      <c r="W37" s="344"/>
      <c r="X37" s="344"/>
      <c r="Y37" s="164" t="str">
        <f>CenAVS!A171</f>
        <v xml:space="preserve">Aventos HF/HL/HS - Top Servo-Drive      </v>
      </c>
      <c r="Z37" s="164" t="str">
        <f>CenAVS!B171</f>
        <v>23.A000</v>
      </c>
      <c r="AA37" s="301" t="str">
        <f>CenAVS!C171</f>
        <v>R7037</v>
      </c>
      <c r="AB37" s="165">
        <f>SUM(AE37,AG37)</f>
        <v>0</v>
      </c>
      <c r="AC37" s="395">
        <f>CenAVS!F171</f>
        <v>905.30219999999997</v>
      </c>
      <c r="AD37" s="167">
        <f>AB37*AC37</f>
        <v>0</v>
      </c>
      <c r="AE37" s="407">
        <f>IF($R$14=2, $M$15, 0)</f>
        <v>0</v>
      </c>
      <c r="AF37" s="168">
        <f>$AC37*AE37</f>
        <v>0</v>
      </c>
      <c r="AG37" s="407">
        <f>IF($R$25=2, $M$26, 0)</f>
        <v>0</v>
      </c>
      <c r="AH37" s="168">
        <f>$AC37*AG37</f>
        <v>0</v>
      </c>
      <c r="AI37" s="108"/>
      <c r="AJ37" s="108"/>
      <c r="AK37" s="108"/>
      <c r="AL37" s="137"/>
      <c r="AM37" s="137"/>
      <c r="AN37" s="137"/>
      <c r="AO37" s="137"/>
      <c r="AP37" s="37"/>
      <c r="AQ37" s="37"/>
      <c r="AR37" s="37"/>
      <c r="AS37" s="37"/>
      <c r="AT37" s="137"/>
    </row>
    <row r="38" spans="2:48" ht="16.149999999999999" customHeight="1" x14ac:dyDescent="0.2">
      <c r="B38" s="274" t="s">
        <v>83</v>
      </c>
      <c r="C38" s="255" t="str">
        <f>ListAVS!$B$187</f>
        <v>Jeżeli znasz wagę i nie chcesz skorzystać z "obliczenie wagi"</v>
      </c>
      <c r="D38" s="275"/>
      <c r="E38" s="275"/>
      <c r="F38" s="275"/>
      <c r="G38" s="275"/>
      <c r="H38" s="275"/>
      <c r="I38" s="275"/>
      <c r="J38" s="275"/>
      <c r="K38" s="275"/>
      <c r="L38" s="255"/>
      <c r="N38" s="37" t="str">
        <f>"◄ "&amp;ListAVS!$B$113</f>
        <v>◄ wartość będzie wykorzystana w celu wyboru siłownika</v>
      </c>
      <c r="T38" s="344"/>
      <c r="U38" s="344"/>
      <c r="V38" s="344"/>
      <c r="W38" s="317"/>
      <c r="X38" s="317"/>
      <c r="Y38" s="164"/>
      <c r="Z38" s="164"/>
      <c r="AA38" s="301"/>
      <c r="AB38" s="165"/>
      <c r="AC38" s="395"/>
      <c r="AD38" s="167"/>
      <c r="AE38" s="408"/>
      <c r="AF38" s="168">
        <f>$AC38*AE38</f>
        <v>0</v>
      </c>
      <c r="AG38" s="408"/>
      <c r="AH38" s="168">
        <f>$AC38*AG38</f>
        <v>0</v>
      </c>
      <c r="AI38" s="108"/>
      <c r="AJ38" s="108"/>
      <c r="AK38" s="108"/>
      <c r="AL38" s="137"/>
      <c r="AM38" s="37"/>
      <c r="AN38" s="37"/>
      <c r="AO38" s="37"/>
      <c r="AP38" s="37"/>
      <c r="AQ38" s="37"/>
      <c r="AR38" s="37"/>
      <c r="AS38" s="37"/>
      <c r="AT38" s="37"/>
      <c r="AU38" s="37"/>
    </row>
    <row r="39" spans="2:48" ht="16.149999999999999" customHeight="1" x14ac:dyDescent="0.2">
      <c r="B39" s="255"/>
      <c r="C39" s="275"/>
      <c r="D39" s="275"/>
      <c r="E39" s="275"/>
      <c r="F39" s="275"/>
      <c r="G39" s="275"/>
      <c r="H39" s="275"/>
      <c r="I39" s="275"/>
      <c r="J39" s="275"/>
      <c r="K39" s="275"/>
      <c r="L39" s="255"/>
      <c r="N39" s="37" t="str">
        <f>" * "&amp;ListAVS!$B$128</f>
        <v xml:space="preserve"> * Wypełnij wartości</v>
      </c>
      <c r="T39" s="344"/>
      <c r="U39" s="344"/>
      <c r="V39" s="344"/>
      <c r="W39" s="344"/>
      <c r="X39" s="344"/>
      <c r="AA39" s="118"/>
      <c r="AB39" s="118"/>
      <c r="AC39" s="918"/>
      <c r="AD39" s="919"/>
      <c r="AE39" s="118"/>
      <c r="AF39" s="170"/>
      <c r="AG39" s="118"/>
      <c r="AH39" s="170"/>
      <c r="AI39" s="37"/>
      <c r="AJ39" s="108"/>
      <c r="AK39" s="108"/>
      <c r="AL39" s="37"/>
      <c r="AM39" s="37"/>
      <c r="AN39" s="37"/>
      <c r="AO39" s="37"/>
      <c r="AP39" s="137"/>
      <c r="AQ39" s="37"/>
      <c r="AR39" s="37"/>
      <c r="AS39" s="137"/>
      <c r="AT39" s="37"/>
      <c r="AU39" s="37"/>
    </row>
    <row r="40" spans="2:48" ht="16.149999999999999" customHeight="1" x14ac:dyDescent="0.2">
      <c r="B40" s="255"/>
      <c r="C40" s="255"/>
      <c r="D40" s="276"/>
      <c r="E40" s="276"/>
      <c r="F40" s="276"/>
      <c r="G40" s="276"/>
      <c r="H40" s="276"/>
      <c r="I40" s="276"/>
      <c r="J40" s="276"/>
      <c r="K40" s="276"/>
      <c r="L40" s="255"/>
      <c r="T40" s="344"/>
      <c r="U40" s="344"/>
      <c r="V40" s="344"/>
      <c r="W40" s="344"/>
      <c r="X40" s="344"/>
      <c r="AC40" s="144" t="str">
        <f>ListAVS!$B$61&amp;" "</f>
        <v xml:space="preserve">Cena całkowita bez VAT </v>
      </c>
      <c r="AD40" s="171">
        <f>SUM(AD9:AD38)</f>
        <v>0</v>
      </c>
      <c r="AF40" s="201">
        <f>SUM(AF9:AF38)</f>
        <v>0</v>
      </c>
      <c r="AH40" s="201">
        <f>SUM(AH9:AH38)</f>
        <v>0</v>
      </c>
      <c r="AI40" s="37"/>
      <c r="AJ40" s="108"/>
      <c r="AK40" s="108"/>
      <c r="AL40" s="37"/>
      <c r="AM40" s="37"/>
      <c r="AN40" s="37"/>
      <c r="AO40" s="37"/>
      <c r="AP40" s="137"/>
      <c r="AQ40" s="37"/>
      <c r="AR40" s="37"/>
      <c r="AS40" s="137"/>
      <c r="AT40" s="37"/>
      <c r="AU40" s="37"/>
      <c r="AV40" s="37"/>
    </row>
    <row r="41" spans="2:48" ht="16.149999999999999" customHeight="1" x14ac:dyDescent="0.2">
      <c r="B41" s="255"/>
      <c r="C41" s="255"/>
      <c r="D41" s="255"/>
      <c r="E41" s="255"/>
      <c r="F41" s="255"/>
      <c r="G41" s="255"/>
      <c r="H41" s="255"/>
      <c r="I41" s="255"/>
      <c r="J41" s="255"/>
      <c r="K41" s="255"/>
      <c r="L41" s="255"/>
      <c r="N41" s="37" t="str">
        <f>ListAVS!$B$125&amp;"!"</f>
        <v>Waga poza dozwolonym zakresem!</v>
      </c>
      <c r="O41" s="37"/>
      <c r="Q41" s="37"/>
      <c r="T41" s="348"/>
      <c r="U41" s="344"/>
      <c r="V41" s="344"/>
      <c r="W41" s="344"/>
      <c r="X41" s="344"/>
      <c r="Y41" s="144" t="str">
        <f>Param!M30</f>
        <v>Parametry HL</v>
      </c>
      <c r="AA41" s="118"/>
      <c r="AB41" s="118"/>
      <c r="AC41" s="918"/>
      <c r="AD41" s="919"/>
      <c r="AE41" s="118"/>
      <c r="AF41" s="170"/>
      <c r="AG41" s="118"/>
      <c r="AH41" s="170"/>
      <c r="AI41" s="37"/>
      <c r="AJ41" s="108"/>
      <c r="AK41" s="108"/>
      <c r="AL41" s="37"/>
      <c r="AM41" s="137"/>
      <c r="AN41" s="137"/>
      <c r="AO41" s="137"/>
      <c r="AP41" s="137"/>
      <c r="AQ41" s="37"/>
      <c r="AR41" s="37"/>
      <c r="AS41" s="137"/>
      <c r="AT41" s="137"/>
      <c r="AV41" s="37"/>
    </row>
    <row r="42" spans="2:48" s="37" customFormat="1" ht="16.149999999999999" customHeight="1" x14ac:dyDescent="0.2">
      <c r="J42" s="145"/>
      <c r="K42" s="145"/>
      <c r="N42" s="37" t="str">
        <f>" max. 9 000! "&amp;ListAVS!$B$122</f>
        <v xml:space="preserve"> max. 9 000! Popraw wagę albo wysokość</v>
      </c>
      <c r="Q42" s="118"/>
      <c r="T42" s="344"/>
      <c r="U42" s="344"/>
      <c r="V42" s="344"/>
      <c r="W42" s="348"/>
      <c r="X42" s="348"/>
      <c r="Y42" s="132"/>
      <c r="Z42" s="883"/>
      <c r="AA42" s="910" t="str">
        <f>Param!O31</f>
        <v>22L2200</v>
      </c>
      <c r="AB42" s="910"/>
      <c r="AC42" s="911"/>
      <c r="AI42" s="108"/>
      <c r="AJ42" s="108"/>
      <c r="AK42" s="108"/>
      <c r="AL42" s="137"/>
      <c r="AM42" s="137"/>
      <c r="AN42" s="137"/>
      <c r="AO42" s="137"/>
      <c r="AP42" s="137"/>
      <c r="AS42" s="137"/>
      <c r="AT42" s="137"/>
      <c r="AU42" s="121"/>
    </row>
    <row r="43" spans="2:48" s="37" customFormat="1" ht="16.149999999999999" customHeight="1" x14ac:dyDescent="0.2">
      <c r="B43" s="147"/>
      <c r="C43" s="148"/>
      <c r="D43" s="148"/>
      <c r="E43" s="148"/>
      <c r="F43" s="148"/>
      <c r="G43" s="148"/>
      <c r="H43" s="148"/>
      <c r="I43" s="148"/>
      <c r="J43" s="148"/>
      <c r="K43" s="148"/>
      <c r="N43" s="149" t="str">
        <f>" "&amp;ListAVS!$B$235</f>
        <v xml:space="preserve"> Konieczna ścianka środkowa</v>
      </c>
      <c r="O43" s="118"/>
      <c r="Q43" s="118"/>
      <c r="T43" s="344"/>
      <c r="U43" s="344"/>
      <c r="V43" s="344"/>
      <c r="W43" s="344"/>
      <c r="X43" s="344"/>
      <c r="Y43" s="132"/>
      <c r="Z43" s="132" t="str">
        <f>Param!N32</f>
        <v>min KH</v>
      </c>
      <c r="AA43" s="132" t="str">
        <f>Param!O32</f>
        <v>max KH</v>
      </c>
      <c r="AB43" s="132" t="str">
        <f>Param!P32</f>
        <v>min FG</v>
      </c>
      <c r="AC43" s="132" t="str">
        <f>Param!Q32</f>
        <v>max FG</v>
      </c>
      <c r="AI43" s="108"/>
      <c r="AJ43" s="108"/>
      <c r="AK43" s="108"/>
      <c r="AL43" s="137"/>
      <c r="AM43" s="137"/>
      <c r="AN43" s="137"/>
      <c r="AO43" s="137"/>
      <c r="AP43" s="137"/>
      <c r="AS43" s="137"/>
      <c r="AT43" s="137"/>
      <c r="AU43" s="121"/>
      <c r="AV43" s="121"/>
    </row>
    <row r="44" spans="2:48" s="37" customFormat="1" ht="16.149999999999999" customHeight="1" x14ac:dyDescent="0.2">
      <c r="B44" s="142"/>
      <c r="C44" s="148"/>
      <c r="D44" s="148"/>
      <c r="E44" s="148"/>
      <c r="F44" s="148"/>
      <c r="G44" s="148"/>
      <c r="H44" s="148"/>
      <c r="I44" s="148"/>
      <c r="J44" s="148"/>
      <c r="K44" s="148"/>
      <c r="O44" s="118"/>
      <c r="Q44" s="118"/>
      <c r="T44" s="342"/>
      <c r="U44" s="342"/>
      <c r="V44" s="344"/>
      <c r="W44" s="344"/>
      <c r="X44" s="344"/>
      <c r="Y44" s="174" t="str">
        <f>Param!M33</f>
        <v>22L3200</v>
      </c>
      <c r="Z44" s="132">
        <f>Param!N33</f>
        <v>300</v>
      </c>
      <c r="AA44" s="132">
        <f>Param!O33</f>
        <v>339</v>
      </c>
      <c r="AB44" s="920">
        <f>Param!P33</f>
        <v>1.5</v>
      </c>
      <c r="AC44" s="920">
        <f>Param!Q33</f>
        <v>9</v>
      </c>
      <c r="AI44" s="108"/>
      <c r="AJ44" s="108"/>
      <c r="AK44" s="108"/>
      <c r="AL44" s="137"/>
      <c r="AM44" s="137"/>
      <c r="AN44" s="137"/>
      <c r="AO44" s="137"/>
      <c r="AP44" s="137"/>
      <c r="AS44" s="137"/>
      <c r="AT44" s="137"/>
      <c r="AU44" s="121"/>
      <c r="AV44" s="121"/>
    </row>
    <row r="45" spans="2:48" ht="16.149999999999999" customHeight="1" x14ac:dyDescent="0.2">
      <c r="B45" s="349"/>
      <c r="C45" s="148"/>
      <c r="D45" s="148"/>
      <c r="E45" s="148"/>
      <c r="F45" s="148"/>
      <c r="G45" s="148"/>
      <c r="H45" s="148"/>
      <c r="I45" s="148"/>
      <c r="J45" s="148"/>
      <c r="K45" s="148"/>
      <c r="N45" s="151"/>
      <c r="O45" s="117">
        <f>HL!$N$26</f>
        <v>2</v>
      </c>
      <c r="P45" s="151"/>
      <c r="T45" s="117">
        <f>MenuAVS!$P$28</f>
        <v>1</v>
      </c>
      <c r="U45" s="344"/>
      <c r="V45" s="344"/>
      <c r="W45" s="926">
        <f>HL!P26</f>
        <v>1</v>
      </c>
      <c r="X45" s="342"/>
      <c r="Y45" s="174" t="str">
        <f>Param!M34</f>
        <v>22L3500</v>
      </c>
      <c r="Z45" s="132">
        <f>Param!N34</f>
        <v>340</v>
      </c>
      <c r="AA45" s="132">
        <f>Param!O34</f>
        <v>389</v>
      </c>
      <c r="AB45" s="920">
        <f>Param!P34</f>
        <v>1.75</v>
      </c>
      <c r="AC45" s="920">
        <f>Param!Q34</f>
        <v>10</v>
      </c>
      <c r="AI45" s="108"/>
      <c r="AJ45" s="108"/>
      <c r="AK45" s="108"/>
      <c r="AL45" s="137"/>
      <c r="AM45" s="137"/>
      <c r="AN45" s="137"/>
      <c r="AO45" s="137"/>
      <c r="AP45" s="137"/>
      <c r="AQ45" s="37"/>
      <c r="AR45" s="37"/>
      <c r="AS45" s="137"/>
      <c r="AT45" s="137"/>
    </row>
    <row r="46" spans="2:48" ht="16.149999999999999" customHeight="1" x14ac:dyDescent="0.2">
      <c r="B46" s="350"/>
      <c r="C46" s="148"/>
      <c r="D46" s="148"/>
      <c r="E46" s="148"/>
      <c r="F46" s="148"/>
      <c r="G46" s="148"/>
      <c r="H46" s="148"/>
      <c r="I46" s="148"/>
      <c r="J46" s="148"/>
      <c r="K46" s="148"/>
      <c r="N46" s="153"/>
      <c r="O46" s="153" t="s">
        <v>84</v>
      </c>
      <c r="P46" s="153"/>
      <c r="Q46" s="154" t="s">
        <v>57</v>
      </c>
      <c r="T46" s="154" t="s">
        <v>6</v>
      </c>
      <c r="U46" s="344"/>
      <c r="V46" s="344"/>
      <c r="W46" s="922" t="str">
        <f>HL!P27</f>
        <v>mont.</v>
      </c>
      <c r="X46" s="345"/>
      <c r="Y46" s="174"/>
      <c r="Z46" s="132"/>
      <c r="AA46" s="132"/>
      <c r="AB46" s="132"/>
      <c r="AC46" s="132"/>
      <c r="AI46" s="108"/>
      <c r="AJ46" s="108"/>
      <c r="AK46" s="108"/>
      <c r="AL46" s="137"/>
      <c r="AM46" s="137"/>
      <c r="AN46" s="137"/>
      <c r="AO46" s="137"/>
      <c r="AP46" s="137"/>
      <c r="AQ46" s="37"/>
      <c r="AR46" s="37"/>
      <c r="AS46" s="137"/>
      <c r="AT46" s="137"/>
    </row>
    <row r="47" spans="2:48" ht="16.149999999999999" customHeight="1" x14ac:dyDescent="0.2">
      <c r="B47" s="316"/>
      <c r="C47" s="317"/>
      <c r="D47" s="317"/>
      <c r="E47" s="317"/>
      <c r="F47" s="317"/>
      <c r="G47" s="317"/>
      <c r="I47" s="317"/>
      <c r="J47" s="317"/>
      <c r="O47" s="118" t="str">
        <f>ListAVS!$B$143</f>
        <v>Expando</v>
      </c>
      <c r="Q47" s="149" t="s">
        <v>58</v>
      </c>
      <c r="T47" s="37" t="str">
        <f>ListAVS!$B$146</f>
        <v>Jasnoszary (HGR)</v>
      </c>
      <c r="U47" s="344"/>
      <c r="V47" s="344"/>
      <c r="W47" s="921" t="str">
        <f>HL!P28</f>
        <v>wkręty</v>
      </c>
      <c r="X47" s="346"/>
      <c r="Y47" s="174"/>
      <c r="Z47" s="883"/>
      <c r="AA47" s="910" t="str">
        <f>Param!O36</f>
        <v>22L2500</v>
      </c>
      <c r="AB47" s="910"/>
      <c r="AC47" s="911"/>
      <c r="AI47" s="108"/>
      <c r="AJ47" s="108"/>
      <c r="AK47" s="108"/>
      <c r="AL47" s="137"/>
      <c r="AM47" s="137"/>
      <c r="AN47" s="137"/>
      <c r="AO47" s="137"/>
      <c r="AP47" s="137"/>
      <c r="AQ47" s="37"/>
      <c r="AR47" s="37"/>
      <c r="AS47" s="137"/>
      <c r="AT47" s="137"/>
    </row>
    <row r="48" spans="2:48" ht="16.149999999999999" customHeight="1" x14ac:dyDescent="0.2">
      <c r="B48" s="317"/>
      <c r="C48" s="317"/>
      <c r="D48" s="317"/>
      <c r="E48" s="317"/>
      <c r="F48" s="317"/>
      <c r="G48" s="317"/>
      <c r="I48" s="317"/>
      <c r="J48" s="317"/>
      <c r="O48" s="118" t="str">
        <f>ListAVS!$B$144</f>
        <v>na wkręty</v>
      </c>
      <c r="Q48" s="149" t="s">
        <v>59</v>
      </c>
      <c r="T48" s="37" t="str">
        <f>ListAVS!$B$147</f>
        <v>Ciemnoszary (TGR)</v>
      </c>
      <c r="U48" s="344"/>
      <c r="V48" s="344"/>
      <c r="W48" s="921" t="str">
        <f>HL!P29</f>
        <v>wstępnie zamontowane eurowkręty</v>
      </c>
      <c r="X48" s="346"/>
      <c r="Y48" s="174">
        <f>Param!M37</f>
        <v>0</v>
      </c>
      <c r="Z48" s="132" t="str">
        <f>Param!N37</f>
        <v>min KH</v>
      </c>
      <c r="AA48" s="132" t="str">
        <f>Param!O37</f>
        <v>max KH</v>
      </c>
      <c r="AB48" s="132" t="str">
        <f>Param!P37</f>
        <v>min FG</v>
      </c>
      <c r="AC48" s="132" t="str">
        <f>Param!Q37</f>
        <v>max FG</v>
      </c>
      <c r="AD48" s="132" t="str">
        <f>Param!R37</f>
        <v>hranice</v>
      </c>
      <c r="AI48" s="108"/>
      <c r="AJ48" s="108"/>
      <c r="AK48" s="108"/>
      <c r="AL48" s="137"/>
      <c r="AM48" s="137"/>
      <c r="AN48" s="137"/>
      <c r="AO48" s="137"/>
      <c r="AP48" s="137"/>
      <c r="AQ48" s="37"/>
      <c r="AR48" s="37"/>
      <c r="AS48" s="137"/>
      <c r="AT48" s="137"/>
    </row>
    <row r="49" spans="2:48" ht="16.149999999999999" customHeight="1" x14ac:dyDescent="0.2">
      <c r="B49" s="316"/>
      <c r="C49" s="317"/>
      <c r="D49" s="317"/>
      <c r="E49" s="317"/>
      <c r="F49" s="317"/>
      <c r="G49" s="317"/>
      <c r="I49" s="317"/>
      <c r="J49" s="317"/>
      <c r="T49" s="37" t="str">
        <f>ListAVS!$B$148</f>
        <v>Jedwabiście biały (SW)</v>
      </c>
      <c r="U49" s="344"/>
      <c r="V49" s="344"/>
      <c r="W49" s="346"/>
      <c r="X49" s="346"/>
      <c r="Y49" s="174" t="str">
        <f>Param!M38</f>
        <v>22L3800</v>
      </c>
      <c r="Z49" s="132">
        <f>Param!N38</f>
        <v>390</v>
      </c>
      <c r="AA49" s="132">
        <f>Param!O38</f>
        <v>540</v>
      </c>
      <c r="AB49" s="920">
        <f>Param!P38</f>
        <v>2</v>
      </c>
      <c r="AC49" s="920">
        <f>Param!Q38</f>
        <v>12.25</v>
      </c>
      <c r="AD49" s="920">
        <f>Param!R38</f>
        <v>500</v>
      </c>
      <c r="AI49" s="108"/>
      <c r="AJ49" s="108"/>
      <c r="AK49" s="108"/>
      <c r="AL49" s="137"/>
      <c r="AM49" s="137"/>
      <c r="AN49" s="137"/>
      <c r="AO49" s="137"/>
      <c r="AP49" s="137"/>
      <c r="AQ49" s="37"/>
      <c r="AR49" s="37"/>
      <c r="AS49" s="137"/>
      <c r="AT49" s="137"/>
    </row>
    <row r="50" spans="2:48" x14ac:dyDescent="0.2">
      <c r="B50" s="144"/>
      <c r="C50" s="317"/>
      <c r="N50" s="37" t="str">
        <f>ListAVS!B188&amp;". "</f>
        <v xml:space="preserve">W celu określenia rodzaju siłownika będzie wykorzystana podana waga. </v>
      </c>
      <c r="T50" s="346"/>
      <c r="U50" s="344"/>
      <c r="V50" s="344"/>
      <c r="W50" s="346"/>
      <c r="X50" s="346"/>
      <c r="Y50" s="174" t="str">
        <f>Param!M39</f>
        <v>22L3900</v>
      </c>
      <c r="Z50" s="132">
        <f>Param!N39</f>
        <v>480</v>
      </c>
      <c r="AA50" s="132">
        <f>Param!O39</f>
        <v>580</v>
      </c>
      <c r="AB50" s="920">
        <f>Param!P39</f>
        <v>1.5</v>
      </c>
      <c r="AC50" s="920">
        <f>Param!Q39</f>
        <v>14</v>
      </c>
      <c r="AI50" s="108"/>
      <c r="AJ50" s="108"/>
      <c r="AK50" s="108"/>
      <c r="AL50" s="137"/>
      <c r="AM50" s="137"/>
      <c r="AN50" s="137"/>
      <c r="AO50" s="137"/>
      <c r="AP50" s="137"/>
      <c r="AQ50" s="37"/>
      <c r="AR50" s="37"/>
      <c r="AS50" s="137"/>
      <c r="AT50" s="137"/>
    </row>
    <row r="51" spans="2:48" ht="20.100000000000001" customHeight="1" x14ac:dyDescent="0.2">
      <c r="B51" s="606" t="str">
        <f>" "&amp;ListAVS!$B$395</f>
        <v xml:space="preserve"> Odległość frontu od korpusu</v>
      </c>
      <c r="N51" s="37" t="str">
        <f>ListAVS!B189&amp;". "</f>
        <v xml:space="preserve">W celu określenia rodzaju siłownika będzie wykorzystana obliczona waga. </v>
      </c>
      <c r="T51" s="346"/>
      <c r="U51" s="344"/>
      <c r="V51" s="344"/>
      <c r="W51" s="346"/>
      <c r="X51" s="346"/>
      <c r="Y51" s="346"/>
      <c r="Z51" s="346"/>
      <c r="AA51" s="346"/>
      <c r="AB51" s="346"/>
      <c r="AC51" s="346"/>
      <c r="AD51" s="346"/>
      <c r="AE51" s="346"/>
      <c r="AF51" s="346"/>
      <c r="AG51" s="346"/>
      <c r="AH51" s="346"/>
      <c r="AI51" s="108"/>
      <c r="AJ51" s="108"/>
      <c r="AK51" s="108"/>
      <c r="AL51" s="137"/>
      <c r="AM51" s="137"/>
      <c r="AN51" s="137"/>
      <c r="AO51" s="137"/>
      <c r="AP51" s="137"/>
      <c r="AQ51" s="37"/>
      <c r="AR51" s="37"/>
      <c r="AS51" s="137"/>
      <c r="AT51" s="137"/>
    </row>
    <row r="52" spans="2:48" ht="16.149999999999999" customHeight="1" x14ac:dyDescent="0.2">
      <c r="B52" s="1170" t="s">
        <v>78</v>
      </c>
      <c r="C52" s="1170"/>
      <c r="D52" s="1170" t="str">
        <f>ListAVS!$B$387</f>
        <v>Zestaw ramion teleskopowych</v>
      </c>
      <c r="E52" s="1170"/>
      <c r="F52" s="770" t="s">
        <v>745</v>
      </c>
      <c r="G52" s="770" t="s">
        <v>746</v>
      </c>
      <c r="H52" s="770" t="s">
        <v>748</v>
      </c>
      <c r="I52" s="770" t="s">
        <v>747</v>
      </c>
      <c r="J52" s="155"/>
      <c r="N52" s="37" t="str">
        <f>ListAVS!B190</f>
        <v>Jeżeli chcesz wykorzystać obliczoną wagę, zmaż podaną wartość</v>
      </c>
      <c r="T52" s="346"/>
      <c r="U52" s="344"/>
      <c r="V52" s="344"/>
      <c r="W52" s="346"/>
      <c r="X52" s="346"/>
      <c r="Y52" s="346"/>
      <c r="Z52" s="346"/>
      <c r="AA52" s="346"/>
      <c r="AB52" s="346"/>
      <c r="AC52" s="346"/>
      <c r="AD52" s="346"/>
      <c r="AE52" s="346"/>
      <c r="AF52" s="346"/>
      <c r="AG52" s="346"/>
      <c r="AH52" s="346"/>
      <c r="AI52" s="108"/>
      <c r="AJ52" s="108"/>
      <c r="AK52" s="108"/>
      <c r="AL52" s="137"/>
      <c r="AM52" s="137"/>
      <c r="AN52" s="137"/>
      <c r="AO52" s="137"/>
      <c r="AP52" s="137"/>
      <c r="AQ52" s="37"/>
      <c r="AR52" s="37"/>
      <c r="AS52" s="137"/>
      <c r="AT52" s="137"/>
    </row>
    <row r="53" spans="2:48" ht="16.149999999999999" customHeight="1" x14ac:dyDescent="0.2">
      <c r="B53" s="1169" t="s">
        <v>750</v>
      </c>
      <c r="C53" s="1169"/>
      <c r="D53" s="1169" t="s">
        <v>717</v>
      </c>
      <c r="E53" s="1169"/>
      <c r="F53" s="731">
        <v>112</v>
      </c>
      <c r="G53" s="948">
        <v>272.5</v>
      </c>
      <c r="H53" s="948">
        <v>155.5</v>
      </c>
      <c r="I53" s="948">
        <v>272.5</v>
      </c>
      <c r="N53" s="37" t="str">
        <f>ListAVS!B191</f>
        <v>Jeżeli chcesz wykorzystać podaną wagą, wpisz ją w pole</v>
      </c>
      <c r="T53" s="346"/>
      <c r="U53" s="344"/>
      <c r="V53" s="344"/>
      <c r="W53" s="346"/>
      <c r="X53" s="346"/>
      <c r="Y53" s="346"/>
      <c r="Z53" s="346"/>
      <c r="AA53" s="346"/>
      <c r="AB53" s="346"/>
      <c r="AC53" s="346"/>
      <c r="AD53" s="346"/>
      <c r="AE53" s="346"/>
      <c r="AF53" s="346"/>
      <c r="AG53" s="346"/>
      <c r="AH53" s="346"/>
      <c r="AI53" s="108"/>
      <c r="AJ53" s="108"/>
      <c r="AK53" s="108"/>
      <c r="AL53" s="137"/>
      <c r="AM53" s="137"/>
      <c r="AN53" s="137"/>
      <c r="AO53" s="137"/>
      <c r="AP53" s="37"/>
      <c r="AQ53" s="37"/>
      <c r="AR53" s="37"/>
      <c r="AS53" s="37"/>
      <c r="AT53" s="137"/>
    </row>
    <row r="54" spans="2:48" ht="16.149999999999999" customHeight="1" x14ac:dyDescent="0.2">
      <c r="B54" s="1169" t="s">
        <v>749</v>
      </c>
      <c r="C54" s="1169"/>
      <c r="D54" s="1169" t="s">
        <v>718</v>
      </c>
      <c r="E54" s="1169"/>
      <c r="F54" s="731">
        <v>140.5</v>
      </c>
      <c r="G54" s="948">
        <v>340</v>
      </c>
      <c r="H54" s="948">
        <v>195</v>
      </c>
      <c r="I54" s="948">
        <v>340</v>
      </c>
      <c r="T54" s="346"/>
      <c r="U54" s="344"/>
      <c r="V54" s="344"/>
      <c r="W54" s="346"/>
      <c r="X54" s="346"/>
      <c r="Y54" s="345"/>
      <c r="Z54" s="345"/>
      <c r="AA54" s="345"/>
      <c r="AB54" s="345"/>
      <c r="AC54" s="345"/>
      <c r="AD54" s="345"/>
      <c r="AE54" s="345"/>
      <c r="AF54" s="345"/>
      <c r="AG54" s="345"/>
      <c r="AH54" s="345"/>
      <c r="AI54" s="108"/>
      <c r="AJ54" s="108"/>
      <c r="AK54" s="108"/>
      <c r="AL54" s="137"/>
      <c r="AM54" s="137"/>
      <c r="AN54" s="137"/>
      <c r="AO54" s="137"/>
      <c r="AP54" s="37"/>
      <c r="AQ54" s="37"/>
      <c r="AR54" s="37"/>
      <c r="AS54" s="37"/>
      <c r="AT54" s="137"/>
    </row>
    <row r="55" spans="2:48" ht="16.149999999999999" customHeight="1" x14ac:dyDescent="0.2">
      <c r="B55" s="1169" t="s">
        <v>751</v>
      </c>
      <c r="C55" s="1169"/>
      <c r="D55" s="1169" t="s">
        <v>720</v>
      </c>
      <c r="E55" s="1169"/>
      <c r="F55" s="731">
        <v>176</v>
      </c>
      <c r="G55" s="948">
        <v>425</v>
      </c>
      <c r="H55" s="948">
        <v>245</v>
      </c>
      <c r="I55" s="948">
        <v>425</v>
      </c>
      <c r="N55" s="37" t="str">
        <f>" "&amp;ListAVS!$B$109</f>
        <v xml:space="preserve"> w połączeniu z SERVO-DRIVE</v>
      </c>
      <c r="T55" s="345"/>
      <c r="U55" s="344"/>
      <c r="V55" s="344"/>
      <c r="W55" s="346"/>
      <c r="X55" s="346"/>
      <c r="Y55" s="346"/>
      <c r="Z55" s="346"/>
      <c r="AA55" s="346"/>
      <c r="AB55" s="346"/>
      <c r="AC55" s="346"/>
      <c r="AD55" s="346"/>
      <c r="AE55" s="346"/>
      <c r="AF55" s="346"/>
      <c r="AG55" s="346"/>
      <c r="AH55" s="346"/>
      <c r="AI55" s="108"/>
      <c r="AJ55" s="108"/>
      <c r="AK55" s="108"/>
      <c r="AL55" s="137"/>
      <c r="AM55" s="137"/>
      <c r="AN55" s="137"/>
      <c r="AO55" s="137"/>
      <c r="AP55" s="137"/>
      <c r="AQ55" s="37"/>
      <c r="AR55" s="37"/>
      <c r="AS55" s="137"/>
      <c r="AT55" s="37"/>
      <c r="AU55" s="37"/>
    </row>
    <row r="56" spans="2:48" ht="16.149999999999999" customHeight="1" x14ac:dyDescent="0.2">
      <c r="B56" s="1169" t="s">
        <v>752</v>
      </c>
      <c r="C56" s="1169"/>
      <c r="D56" s="1169" t="s">
        <v>721</v>
      </c>
      <c r="E56" s="1169"/>
      <c r="F56" s="731">
        <v>214.5</v>
      </c>
      <c r="G56" s="948">
        <v>517</v>
      </c>
      <c r="H56" s="948">
        <v>297.5</v>
      </c>
      <c r="I56" s="948">
        <v>517</v>
      </c>
      <c r="N56" s="37" t="str">
        <f>" "&amp;ListAVS!$B$110</f>
        <v xml:space="preserve"> niemożliwe w połączeniu z SERVO-DRIVE</v>
      </c>
      <c r="T56" s="346"/>
      <c r="U56" s="344"/>
      <c r="V56" s="344"/>
      <c r="W56" s="345"/>
      <c r="X56" s="345"/>
      <c r="Y56" s="346"/>
      <c r="Z56" s="346"/>
      <c r="AA56" s="346"/>
      <c r="AB56" s="346"/>
      <c r="AC56" s="346"/>
      <c r="AD56" s="346"/>
      <c r="AE56" s="346"/>
      <c r="AF56" s="346"/>
      <c r="AG56" s="346"/>
      <c r="AH56" s="346"/>
      <c r="AI56" s="108"/>
      <c r="AJ56" s="108"/>
      <c r="AK56" s="108"/>
      <c r="AL56" s="137"/>
      <c r="AM56" s="137"/>
      <c r="AN56" s="137"/>
      <c r="AO56" s="137"/>
      <c r="AP56" s="137"/>
      <c r="AQ56" s="37"/>
      <c r="AR56" s="37"/>
      <c r="AS56" s="137"/>
      <c r="AT56" s="37"/>
      <c r="AU56" s="37"/>
    </row>
    <row r="57" spans="2:48" ht="16.149999999999999" customHeight="1" x14ac:dyDescent="0.2">
      <c r="T57" s="346"/>
      <c r="U57" s="344"/>
      <c r="V57" s="344"/>
      <c r="W57" s="346"/>
      <c r="X57" s="346"/>
      <c r="Y57" s="346"/>
      <c r="Z57" s="346"/>
      <c r="AA57" s="346"/>
      <c r="AB57" s="346"/>
      <c r="AC57" s="346"/>
      <c r="AD57" s="346"/>
      <c r="AE57" s="346"/>
      <c r="AF57" s="346"/>
      <c r="AG57" s="346"/>
      <c r="AH57" s="346"/>
      <c r="AI57" s="108"/>
      <c r="AJ57" s="108"/>
      <c r="AK57" s="108"/>
      <c r="AL57" s="137"/>
      <c r="AM57" s="137"/>
      <c r="AN57" s="137"/>
      <c r="AO57" s="137"/>
      <c r="AP57" s="137"/>
      <c r="AQ57" s="37"/>
      <c r="AR57" s="37"/>
      <c r="AS57" s="137"/>
      <c r="AT57" s="137"/>
      <c r="AV57" s="37"/>
    </row>
    <row r="58" spans="2:48" ht="16.149999999999999" customHeight="1" x14ac:dyDescent="0.2">
      <c r="N58" s="37" t="str">
        <f>" "&amp;ListAVS!$B$125&amp;"!"</f>
        <v xml:space="preserve"> Waga poza dozwolonym zakresem!</v>
      </c>
      <c r="O58" s="37"/>
      <c r="Q58" s="37"/>
      <c r="T58" s="346"/>
      <c r="U58" s="344"/>
      <c r="V58" s="344"/>
      <c r="W58" s="346"/>
      <c r="X58" s="346"/>
      <c r="Y58" s="346"/>
      <c r="Z58" s="346"/>
      <c r="AA58" s="346"/>
      <c r="AB58" s="346"/>
      <c r="AC58" s="346"/>
      <c r="AD58" s="346"/>
      <c r="AE58" s="346"/>
      <c r="AF58" s="346"/>
      <c r="AG58" s="346"/>
      <c r="AH58" s="346"/>
      <c r="AI58" s="108"/>
      <c r="AJ58" s="108"/>
      <c r="AK58" s="108"/>
      <c r="AL58" s="137"/>
      <c r="AM58" s="137"/>
      <c r="AN58" s="137"/>
      <c r="AO58" s="137"/>
      <c r="AP58" s="137"/>
      <c r="AQ58" s="37"/>
      <c r="AR58" s="37"/>
      <c r="AS58" s="137"/>
      <c r="AT58" s="137"/>
      <c r="AV58" s="37"/>
    </row>
    <row r="59" spans="2:48" s="37" customFormat="1" ht="16.149999999999999" customHeight="1" x14ac:dyDescent="0.2">
      <c r="T59" s="346"/>
      <c r="U59" s="344"/>
      <c r="V59" s="344"/>
      <c r="W59" s="346"/>
      <c r="X59" s="346"/>
      <c r="Y59" s="346"/>
      <c r="Z59" s="346"/>
      <c r="AA59" s="346"/>
      <c r="AB59" s="346"/>
      <c r="AC59" s="346"/>
      <c r="AD59" s="346"/>
      <c r="AE59" s="346"/>
      <c r="AF59" s="346"/>
      <c r="AG59" s="346"/>
      <c r="AH59" s="346"/>
      <c r="AI59" s="108"/>
      <c r="AJ59" s="108"/>
      <c r="AK59" s="108"/>
      <c r="AL59" s="137"/>
      <c r="AM59" s="137"/>
      <c r="AN59" s="137"/>
      <c r="AO59" s="137"/>
      <c r="AP59" s="137"/>
      <c r="AS59" s="137"/>
      <c r="AT59" s="137"/>
      <c r="AU59" s="121"/>
      <c r="AV59" s="121"/>
    </row>
    <row r="60" spans="2:48" s="37" customFormat="1" ht="16.149999999999999" customHeight="1" x14ac:dyDescent="0.2">
      <c r="O60" s="118"/>
      <c r="Q60" s="118"/>
      <c r="T60" s="346"/>
      <c r="U60" s="344"/>
      <c r="V60" s="344"/>
      <c r="W60" s="346"/>
      <c r="X60" s="346"/>
      <c r="Y60" s="346"/>
      <c r="Z60" s="346"/>
      <c r="AA60" s="346"/>
      <c r="AB60" s="346"/>
      <c r="AC60" s="346"/>
      <c r="AD60" s="346"/>
      <c r="AE60" s="346"/>
      <c r="AF60" s="346"/>
      <c r="AG60" s="346"/>
      <c r="AH60" s="346"/>
      <c r="AI60" s="108"/>
      <c r="AJ60" s="108"/>
      <c r="AK60" s="108"/>
      <c r="AL60" s="137"/>
      <c r="AM60" s="137"/>
      <c r="AN60" s="137"/>
      <c r="AO60" s="137"/>
      <c r="AP60" s="137"/>
      <c r="AS60" s="137"/>
      <c r="AT60" s="137"/>
      <c r="AU60" s="121"/>
      <c r="AV60" s="121"/>
    </row>
    <row r="61" spans="2:48" ht="16.149999999999999" customHeight="1" x14ac:dyDescent="0.2">
      <c r="T61" s="346"/>
      <c r="U61" s="344"/>
      <c r="V61" s="344"/>
      <c r="W61" s="346"/>
      <c r="X61" s="346"/>
      <c r="Y61" s="346"/>
      <c r="Z61" s="346"/>
      <c r="AA61" s="346"/>
      <c r="AB61" s="346"/>
      <c r="AC61" s="346"/>
      <c r="AD61" s="346"/>
      <c r="AE61" s="346"/>
      <c r="AF61" s="346"/>
      <c r="AG61" s="346"/>
      <c r="AH61" s="346"/>
      <c r="AI61" s="108"/>
      <c r="AJ61" s="108"/>
      <c r="AK61" s="108"/>
      <c r="AL61" s="137"/>
      <c r="AM61" s="137"/>
      <c r="AN61" s="137"/>
      <c r="AO61" s="137"/>
      <c r="AP61" s="137"/>
      <c r="AQ61" s="37"/>
      <c r="AR61" s="37"/>
      <c r="AS61" s="137"/>
      <c r="AT61" s="137"/>
    </row>
    <row r="62" spans="2:48" ht="16.149999999999999" customHeight="1" x14ac:dyDescent="0.2">
      <c r="T62" s="346"/>
      <c r="U62" s="344"/>
      <c r="V62" s="344"/>
      <c r="W62" s="346"/>
      <c r="X62" s="346"/>
      <c r="Y62" s="346"/>
      <c r="Z62" s="346"/>
      <c r="AA62" s="346"/>
      <c r="AB62" s="346"/>
      <c r="AC62" s="346"/>
      <c r="AD62" s="346"/>
      <c r="AE62" s="346"/>
      <c r="AF62" s="346"/>
      <c r="AG62" s="346"/>
      <c r="AH62" s="346"/>
      <c r="AI62" s="108"/>
      <c r="AJ62" s="108"/>
      <c r="AK62" s="108"/>
      <c r="AL62" s="137"/>
      <c r="AM62" s="137"/>
      <c r="AN62" s="137"/>
      <c r="AO62" s="137"/>
      <c r="AP62" s="137"/>
      <c r="AQ62" s="37"/>
      <c r="AR62" s="37"/>
      <c r="AS62" s="137"/>
      <c r="AT62" s="137"/>
    </row>
    <row r="63" spans="2:48" ht="16.149999999999999" customHeight="1" x14ac:dyDescent="0.2">
      <c r="T63" s="346"/>
      <c r="U63" s="344"/>
      <c r="V63" s="344"/>
      <c r="W63" s="346"/>
      <c r="X63" s="346"/>
      <c r="Y63" s="346"/>
      <c r="Z63" s="346"/>
      <c r="AA63" s="346"/>
      <c r="AB63" s="346"/>
      <c r="AC63" s="346"/>
      <c r="AD63" s="346"/>
      <c r="AE63" s="346"/>
      <c r="AF63" s="346"/>
      <c r="AG63" s="346"/>
      <c r="AH63" s="346"/>
      <c r="AI63" s="108"/>
      <c r="AJ63" s="108"/>
      <c r="AK63" s="108"/>
      <c r="AL63" s="137"/>
      <c r="AM63" s="137"/>
      <c r="AN63" s="137"/>
      <c r="AO63" s="137"/>
      <c r="AP63" s="137"/>
      <c r="AQ63" s="37"/>
      <c r="AR63" s="37"/>
      <c r="AS63" s="137"/>
      <c r="AT63" s="137"/>
    </row>
    <row r="64" spans="2:48" x14ac:dyDescent="0.2">
      <c r="T64" s="346"/>
      <c r="U64" s="344"/>
      <c r="V64" s="344"/>
      <c r="W64" s="346"/>
      <c r="X64" s="346"/>
      <c r="Y64" s="345"/>
      <c r="Z64" s="345"/>
      <c r="AA64" s="345"/>
      <c r="AB64" s="345"/>
      <c r="AC64" s="345"/>
      <c r="AD64" s="345"/>
      <c r="AE64" s="345"/>
      <c r="AF64" s="345"/>
      <c r="AG64" s="345"/>
      <c r="AH64" s="345"/>
      <c r="AI64" s="108"/>
      <c r="AJ64" s="108"/>
      <c r="AK64" s="108"/>
      <c r="AL64" s="137"/>
      <c r="AM64" s="137"/>
      <c r="AN64" s="137"/>
      <c r="AO64" s="137"/>
      <c r="AP64" s="137"/>
      <c r="AQ64" s="37"/>
      <c r="AR64" s="37"/>
      <c r="AS64" s="137"/>
      <c r="AT64" s="137"/>
    </row>
    <row r="65" spans="1:48" x14ac:dyDescent="0.2">
      <c r="T65" s="345"/>
      <c r="U65" s="344"/>
      <c r="V65" s="344"/>
      <c r="W65" s="346"/>
      <c r="X65" s="346"/>
      <c r="Y65" s="346"/>
      <c r="Z65" s="346"/>
      <c r="AA65" s="346"/>
      <c r="AB65" s="346"/>
      <c r="AC65" s="346"/>
      <c r="AD65" s="346"/>
      <c r="AE65" s="346"/>
      <c r="AF65" s="346"/>
      <c r="AG65" s="346"/>
      <c r="AH65" s="346"/>
      <c r="AI65" s="108"/>
      <c r="AJ65" s="108"/>
      <c r="AK65" s="108"/>
      <c r="AL65" s="137"/>
      <c r="AM65" s="137"/>
      <c r="AN65" s="137"/>
      <c r="AO65" s="137"/>
      <c r="AP65" s="137"/>
      <c r="AQ65" s="37"/>
      <c r="AR65" s="37"/>
      <c r="AS65" s="137"/>
      <c r="AT65" s="137"/>
    </row>
    <row r="66" spans="1:48" x14ac:dyDescent="0.2">
      <c r="B66" s="118"/>
      <c r="C66" s="118"/>
      <c r="D66" s="118"/>
      <c r="E66" s="118"/>
      <c r="F66" s="118"/>
      <c r="G66" s="118"/>
      <c r="H66" s="118"/>
      <c r="T66" s="348"/>
      <c r="U66" s="344"/>
      <c r="V66" s="344"/>
      <c r="W66" s="344"/>
      <c r="X66" s="344"/>
      <c r="Y66" s="344"/>
      <c r="Z66" s="344"/>
      <c r="AA66" s="344"/>
      <c r="AB66" s="344"/>
      <c r="AC66" s="344"/>
      <c r="AD66" s="344"/>
      <c r="AE66" s="344"/>
      <c r="AF66" s="344"/>
      <c r="AG66" s="344"/>
      <c r="AH66" s="344"/>
      <c r="AI66" s="108"/>
      <c r="AJ66" s="108"/>
      <c r="AK66" s="108"/>
      <c r="AL66" s="137"/>
      <c r="AM66" s="137"/>
      <c r="AN66" s="137"/>
      <c r="AO66" s="137"/>
      <c r="AP66" s="137"/>
      <c r="AQ66" s="37"/>
      <c r="AR66" s="37"/>
      <c r="AS66" s="137"/>
      <c r="AT66" s="137"/>
    </row>
    <row r="67" spans="1:48" x14ac:dyDescent="0.2">
      <c r="B67" s="118"/>
      <c r="C67" s="118"/>
      <c r="D67" s="118"/>
      <c r="E67" s="118"/>
      <c r="F67" s="118"/>
      <c r="G67" s="118"/>
      <c r="H67" s="118"/>
      <c r="T67" s="344"/>
      <c r="U67" s="344"/>
      <c r="V67" s="344"/>
      <c r="W67" s="344"/>
      <c r="X67" s="344"/>
      <c r="AI67" s="108"/>
      <c r="AJ67" s="108"/>
      <c r="AK67" s="108"/>
      <c r="AL67" s="137"/>
      <c r="AM67" s="137"/>
      <c r="AN67" s="137"/>
      <c r="AO67" s="137"/>
      <c r="AP67" s="137"/>
      <c r="AQ67" s="37"/>
      <c r="AR67" s="37"/>
      <c r="AS67" s="137"/>
      <c r="AT67" s="137"/>
    </row>
    <row r="68" spans="1:48" x14ac:dyDescent="0.2">
      <c r="B68" s="118"/>
      <c r="C68" s="118"/>
      <c r="D68" s="118"/>
      <c r="E68" s="118"/>
      <c r="F68" s="118"/>
      <c r="G68" s="118"/>
      <c r="H68" s="118"/>
      <c r="O68" s="37"/>
      <c r="Q68" s="37"/>
      <c r="AI68" s="108"/>
      <c r="AJ68" s="108"/>
      <c r="AK68" s="108"/>
      <c r="AL68" s="137"/>
      <c r="AM68" s="137"/>
      <c r="AN68" s="137"/>
      <c r="AO68" s="137"/>
      <c r="AP68" s="137"/>
      <c r="AQ68" s="37"/>
      <c r="AR68" s="37"/>
      <c r="AS68" s="137"/>
      <c r="AT68" s="137"/>
    </row>
    <row r="69" spans="1:48" x14ac:dyDescent="0.2">
      <c r="B69" s="118"/>
      <c r="C69" s="118"/>
      <c r="D69" s="118"/>
      <c r="E69" s="118"/>
      <c r="F69" s="118"/>
      <c r="G69" s="118"/>
      <c r="H69" s="118"/>
      <c r="N69" s="172" t="str">
        <f>ListAVS!$B$73</f>
        <v>Obliczanie wagi frontów</v>
      </c>
      <c r="O69" s="173"/>
      <c r="P69" s="173"/>
      <c r="Q69" s="173"/>
      <c r="R69" s="173"/>
      <c r="AI69" s="108"/>
      <c r="AJ69" s="108"/>
      <c r="AK69" s="108"/>
      <c r="AL69" s="137"/>
      <c r="AM69" s="137"/>
      <c r="AN69" s="137"/>
      <c r="AO69" s="137"/>
      <c r="AP69" s="137"/>
      <c r="AQ69" s="37"/>
      <c r="AR69" s="37"/>
      <c r="AS69" s="137"/>
      <c r="AT69" s="137"/>
    </row>
    <row r="70" spans="1:48" ht="15.75" customHeight="1" x14ac:dyDescent="0.2">
      <c r="B70" s="118"/>
      <c r="C70" s="118"/>
      <c r="D70" s="118"/>
      <c r="E70" s="118"/>
      <c r="F70" s="118"/>
      <c r="G70" s="118"/>
      <c r="H70" s="118"/>
      <c r="O70" s="137"/>
      <c r="P70" s="174" t="str">
        <f>ListAVS!$B$180&amp;"  "</f>
        <v xml:space="preserve">Wykonanie frontów  </v>
      </c>
      <c r="Q70" s="37"/>
      <c r="T70" s="300">
        <f>J4</f>
        <v>0</v>
      </c>
      <c r="U70" s="175" t="str">
        <f>IF(Z77=3,IF(T70=0,Y72," "),IF(T70&gt;0,Y73," "))</f>
        <v xml:space="preserve"> </v>
      </c>
      <c r="Y70" s="149" t="str">
        <f>IF($Z$77=1,$Z$78,IF($Z$77=2,$Z$79,$Z$80&amp;" "&amp;$Y$80&amp;"kg/m3"))&amp;" A~"&amp;$T$78&amp;"/ B~"&amp;$T$89&amp;"mm"</f>
        <v>MDF (760 kg/m3) A~0/ B~0mm</v>
      </c>
      <c r="Z70" s="118"/>
      <c r="AB70" s="118"/>
      <c r="AH70" s="108"/>
      <c r="AI70" s="108"/>
      <c r="AJ70" s="108"/>
      <c r="AK70" s="108"/>
      <c r="AL70" s="137"/>
      <c r="AM70" s="137"/>
      <c r="AN70" s="137"/>
      <c r="AO70" s="137"/>
      <c r="AP70" s="118"/>
      <c r="AQ70" s="118"/>
      <c r="AR70" s="118"/>
      <c r="AS70" s="118"/>
      <c r="AT70" s="137"/>
    </row>
    <row r="71" spans="1:48" ht="13.5" customHeight="1" x14ac:dyDescent="0.2">
      <c r="B71" s="118"/>
      <c r="C71" s="118"/>
      <c r="D71" s="118"/>
      <c r="E71" s="118"/>
      <c r="F71" s="118"/>
      <c r="G71" s="118"/>
      <c r="H71" s="118"/>
      <c r="O71" s="37"/>
      <c r="P71" s="1098" t="str">
        <f>IF($Z$77&lt;&gt;3,$Y$71," ")&amp;"      "</f>
        <v xml:space="preserve"> Możesz zmienić wartości we Wstępie do planowania      </v>
      </c>
      <c r="Q71" s="1098"/>
      <c r="R71" s="1098"/>
      <c r="S71" s="1098"/>
      <c r="T71" s="1098"/>
      <c r="Y71" s="37" t="str">
        <f>" "&amp;ListAVS!$B$410</f>
        <v xml:space="preserve"> Możesz zmienić wartości we Wstępie do planowania</v>
      </c>
      <c r="Z71" s="118"/>
      <c r="AB71" s="118"/>
      <c r="AH71" s="108"/>
      <c r="AI71" s="108"/>
      <c r="AJ71" s="108"/>
      <c r="AK71" s="108"/>
      <c r="AL71" s="137"/>
      <c r="AM71" s="137"/>
      <c r="AN71" s="137"/>
      <c r="AO71" s="137"/>
      <c r="AP71" s="118"/>
      <c r="AQ71" s="118"/>
      <c r="AR71" s="118"/>
      <c r="AS71" s="118"/>
      <c r="AT71" s="137"/>
    </row>
    <row r="72" spans="1:48" x14ac:dyDescent="0.2">
      <c r="B72" s="118"/>
      <c r="C72" s="118"/>
      <c r="D72" s="118"/>
      <c r="E72" s="118"/>
      <c r="F72" s="118"/>
      <c r="G72" s="118"/>
      <c r="H72" s="118"/>
      <c r="N72" s="137"/>
      <c r="O72" s="37"/>
      <c r="Q72" s="37"/>
      <c r="Y72" s="37" t="str">
        <f>" "&amp;ListAVS!$B$245&amp;" [kg/m3]"</f>
        <v xml:space="preserve"> Podaj masę objętościową [kg/m3]</v>
      </c>
      <c r="Z72" s="118"/>
      <c r="AB72" s="118"/>
      <c r="AH72" s="108"/>
      <c r="AI72" s="108"/>
      <c r="AJ72" s="108"/>
      <c r="AK72" s="108"/>
      <c r="AL72" s="137"/>
      <c r="AM72" s="137"/>
      <c r="AN72" s="137"/>
      <c r="AO72" s="137"/>
      <c r="AP72" s="118"/>
      <c r="AQ72" s="118"/>
      <c r="AR72" s="118"/>
      <c r="AS72" s="118"/>
      <c r="AT72" s="118"/>
      <c r="AU72" s="118"/>
    </row>
    <row r="73" spans="1:48" x14ac:dyDescent="0.2">
      <c r="N73" s="137"/>
      <c r="O73" s="37"/>
      <c r="Q73" s="37"/>
      <c r="Y73" s="37" t="str">
        <f>" "&amp;ListAVS!$B$241&amp;" '"&amp;ListAVS!$B$92&amp;"'"</f>
        <v xml:space="preserve"> Wartość obowiązuje tylko dla opcji 'Inne – wybrana gęstość materiału'</v>
      </c>
      <c r="Z73" s="118"/>
      <c r="AB73" s="118"/>
      <c r="AH73" s="108"/>
      <c r="AI73" s="108"/>
      <c r="AJ73" s="108"/>
      <c r="AK73" s="108"/>
      <c r="AL73" s="137"/>
      <c r="AM73" s="137"/>
      <c r="AN73" s="137"/>
      <c r="AO73" s="137"/>
      <c r="AP73" s="118"/>
      <c r="AQ73" s="118"/>
      <c r="AR73" s="118"/>
      <c r="AS73" s="118"/>
      <c r="AT73" s="118"/>
      <c r="AU73" s="118"/>
    </row>
    <row r="74" spans="1:48" x14ac:dyDescent="0.2">
      <c r="O74" s="37"/>
      <c r="Q74" s="37"/>
      <c r="Z74" s="118"/>
      <c r="AB74" s="118"/>
      <c r="AH74" s="108"/>
      <c r="AI74" s="108"/>
      <c r="AJ74" s="108"/>
      <c r="AK74" s="108"/>
      <c r="AL74" s="137"/>
      <c r="AM74" s="137"/>
      <c r="AN74" s="137"/>
      <c r="AO74" s="137"/>
      <c r="AP74" s="118"/>
      <c r="AQ74" s="118"/>
      <c r="AR74" s="118"/>
      <c r="AS74" s="118"/>
      <c r="AT74" s="118"/>
      <c r="AU74" s="118"/>
      <c r="AV74" s="118"/>
    </row>
    <row r="75" spans="1:48" ht="15.75" customHeight="1" x14ac:dyDescent="0.2">
      <c r="B75" s="118"/>
      <c r="C75" s="118"/>
      <c r="D75" s="118"/>
      <c r="E75" s="118"/>
      <c r="F75" s="118"/>
      <c r="G75" s="118"/>
      <c r="H75" s="118"/>
      <c r="N75" s="137"/>
      <c r="O75" s="137"/>
      <c r="P75" s="137"/>
      <c r="Q75" s="37"/>
      <c r="R75" s="1082" t="str">
        <f>D9</f>
        <v xml:space="preserve"> </v>
      </c>
      <c r="S75" s="1083"/>
      <c r="T75" s="1084"/>
      <c r="Z75" s="118"/>
      <c r="AB75" s="118"/>
      <c r="AH75" s="108"/>
      <c r="AI75" s="108"/>
      <c r="AJ75" s="108"/>
      <c r="AK75" s="108"/>
      <c r="AL75" s="137"/>
      <c r="AM75" s="137"/>
      <c r="AN75" s="137"/>
      <c r="AO75" s="137"/>
      <c r="AP75" s="137"/>
      <c r="AQ75" s="37"/>
      <c r="AR75" s="37"/>
      <c r="AS75" s="137"/>
      <c r="AT75" s="118"/>
      <c r="AU75" s="118"/>
      <c r="AV75" s="118"/>
    </row>
    <row r="76" spans="1:48" s="118" customFormat="1" ht="13.5" customHeight="1" x14ac:dyDescent="0.2">
      <c r="A76" s="37"/>
      <c r="N76" s="1125" t="str">
        <f>ListAVS!$B$74&amp;" KB [mm]       "</f>
        <v xml:space="preserve">Szerokość korpusu KB [mm]       </v>
      </c>
      <c r="O76" s="1126"/>
      <c r="P76" s="1126"/>
      <c r="Q76" s="1126"/>
      <c r="R76" s="1126"/>
      <c r="S76" s="1127"/>
      <c r="T76" s="300">
        <f>H10</f>
        <v>0</v>
      </c>
      <c r="U76" s="108"/>
      <c r="W76" s="37"/>
      <c r="X76" s="37"/>
      <c r="Y76" s="37">
        <f>T76*T77*T78</f>
        <v>0</v>
      </c>
      <c r="Z76" s="37"/>
      <c r="AA76" s="37"/>
      <c r="AC76" s="37"/>
      <c r="AD76" s="37">
        <v>3.51</v>
      </c>
      <c r="AE76" s="149" t="s">
        <v>67</v>
      </c>
      <c r="AF76" s="37"/>
      <c r="AG76" s="37"/>
      <c r="AH76" s="108"/>
      <c r="AJ76" s="108"/>
      <c r="AK76" s="108"/>
      <c r="AL76" s="137"/>
      <c r="AM76" s="137"/>
      <c r="AN76" s="137"/>
      <c r="AO76" s="137"/>
      <c r="AP76" s="137"/>
      <c r="AQ76" s="37"/>
      <c r="AR76" s="37"/>
      <c r="AS76" s="137"/>
    </row>
    <row r="77" spans="1:48" s="118" customFormat="1" ht="13.5" customHeight="1" x14ac:dyDescent="0.2">
      <c r="A77" s="37"/>
      <c r="N77" s="1125" t="str">
        <f>ListAVS!$B$75&amp;" KH [mm]       "</f>
        <v xml:space="preserve">Wysokość korpusu KH [mm]       </v>
      </c>
      <c r="O77" s="1126"/>
      <c r="P77" s="1126"/>
      <c r="Q77" s="1126"/>
      <c r="R77" s="1126"/>
      <c r="S77" s="1127"/>
      <c r="T77" s="300">
        <f>H11</f>
        <v>0</v>
      </c>
      <c r="U77" s="108"/>
      <c r="W77" s="37"/>
      <c r="X77" s="37"/>
      <c r="Y77" s="37">
        <f>Y76/1000000000</f>
        <v>0</v>
      </c>
      <c r="Z77" s="117">
        <v>1</v>
      </c>
      <c r="AC77" s="37"/>
      <c r="AD77" s="144" t="s">
        <v>71</v>
      </c>
      <c r="AE77" s="37">
        <f>SUM(T76*2,T77*2)*AD76/10000</f>
        <v>0</v>
      </c>
      <c r="AF77" s="117">
        <v>3</v>
      </c>
      <c r="AG77" s="37"/>
      <c r="AH77" s="108"/>
      <c r="AJ77" s="108"/>
      <c r="AK77" s="108"/>
      <c r="AL77" s="137"/>
      <c r="AM77" s="137"/>
      <c r="AN77" s="137"/>
      <c r="AO77" s="137"/>
      <c r="AT77" s="137"/>
      <c r="AU77" s="121"/>
    </row>
    <row r="78" spans="1:48" s="118" customFormat="1" ht="13.5" customHeight="1" x14ac:dyDescent="0.2">
      <c r="A78" s="37"/>
      <c r="N78" s="1079" t="str">
        <f>ListAVS!$B$80&amp;" TS [mm] "</f>
        <v xml:space="preserve">Grubość frontu TS [mm] </v>
      </c>
      <c r="O78" s="1080"/>
      <c r="P78" s="1080"/>
      <c r="Q78" s="1080"/>
      <c r="R78" s="1080"/>
      <c r="S78" s="1081"/>
      <c r="T78" s="300">
        <f>H13</f>
        <v>0</v>
      </c>
      <c r="U78" s="130" t="str">
        <f>IF(SUM(T76,T77)=0," ",IF(T78=0," ● "&amp;ListAVS!$B$129," "))</f>
        <v xml:space="preserve"> </v>
      </c>
      <c r="W78" s="37"/>
      <c r="X78" s="37"/>
      <c r="Y78" s="319">
        <f>MenuAVS!$C$31</f>
        <v>760</v>
      </c>
      <c r="Z78" s="175" t="str">
        <f>ListAVS!$B$90&amp;" ("&amp;Y78&amp;" kg/m3)"</f>
        <v>MDF (760 kg/m3)</v>
      </c>
      <c r="AC78" s="37"/>
      <c r="AD78" s="37">
        <v>10</v>
      </c>
      <c r="AE78" s="37">
        <f>SUM($T$76*$T$77*$AD78)/1000000</f>
        <v>0</v>
      </c>
      <c r="AF78" s="149" t="str">
        <f>ListAVS!$B$93</f>
        <v>Ramki aluminiowe z 4mm szkłem</v>
      </c>
      <c r="AG78" s="37"/>
      <c r="AH78" s="108"/>
      <c r="AJ78" s="108"/>
      <c r="AK78" s="108"/>
      <c r="AL78" s="137"/>
      <c r="AM78" s="137"/>
      <c r="AN78" s="137"/>
      <c r="AO78" s="137"/>
      <c r="AT78" s="137"/>
      <c r="AU78" s="121"/>
    </row>
    <row r="79" spans="1:48" s="118" customFormat="1" ht="13.5" customHeight="1" x14ac:dyDescent="0.2">
      <c r="A79" s="37"/>
      <c r="N79" s="1079" t="str">
        <f>ListAVS!$B$83&amp;" [kg] "</f>
        <v xml:space="preserve">Waga uchwytu [kg] </v>
      </c>
      <c r="O79" s="1080"/>
      <c r="P79" s="1080"/>
      <c r="Q79" s="1080"/>
      <c r="R79" s="1080"/>
      <c r="S79" s="1081"/>
      <c r="T79" s="300">
        <f>H14</f>
        <v>0</v>
      </c>
      <c r="U79" s="130" t="str">
        <f>IF(SUM(T76,T77)=0," ",IF(T79=0," ● "&amp;ListAVS!$B$130," "))</f>
        <v xml:space="preserve"> </v>
      </c>
      <c r="W79" s="37"/>
      <c r="X79" s="37"/>
      <c r="Y79" s="319">
        <f>MenuAVS!$C$32</f>
        <v>680</v>
      </c>
      <c r="Z79" s="175" t="str">
        <f>ListAVS!$B$91&amp;" ("&amp;Y79&amp;" kg/m3)"</f>
        <v>Płyta wiórowa (680 kg/m3)</v>
      </c>
      <c r="AC79" s="37"/>
      <c r="AD79" s="37">
        <v>15</v>
      </c>
      <c r="AE79" s="37">
        <f>SUM($T$76*$T$77*$AD79)/1000000</f>
        <v>0</v>
      </c>
      <c r="AF79" s="149" t="str">
        <f>ListAVS!$B$94</f>
        <v>Ramki aluminiowe z 5mm szkłem</v>
      </c>
      <c r="AG79" s="37"/>
      <c r="AH79" s="108"/>
      <c r="AJ79" s="108"/>
      <c r="AK79" s="108"/>
      <c r="AL79" s="137"/>
      <c r="AM79" s="137"/>
      <c r="AN79" s="137"/>
      <c r="AO79" s="137"/>
      <c r="AT79" s="137"/>
      <c r="AU79" s="121"/>
    </row>
    <row r="80" spans="1:48" s="118" customFormat="1" ht="13.5" customHeight="1" x14ac:dyDescent="0.2">
      <c r="A80" s="37"/>
      <c r="N80" s="1079" t="str">
        <f>ListAVS!$B$79&amp;" [kg] "</f>
        <v xml:space="preserve">Obliczona waga frontu [kg] </v>
      </c>
      <c r="O80" s="1080"/>
      <c r="P80" s="1080"/>
      <c r="Q80" s="1080"/>
      <c r="R80" s="1080"/>
      <c r="S80" s="1081"/>
      <c r="T80" s="185">
        <f>IF(X80=0,0,X80+T79)</f>
        <v>0</v>
      </c>
      <c r="U80" s="119"/>
      <c r="W80" s="37"/>
      <c r="X80" s="186">
        <f>IF(T76*T77*T78=0,0,IF(Z77=1,Y77*Y78,IF(Z77=2,Y77*Y79,Y77*Y80)))</f>
        <v>0</v>
      </c>
      <c r="Y80" s="37">
        <f>$T$70</f>
        <v>0</v>
      </c>
      <c r="Z80" s="175" t="str">
        <f>ListAVS!$B$92</f>
        <v>Inne – wybrana gęstość materiału</v>
      </c>
      <c r="AC80" s="37"/>
      <c r="AD80" s="334">
        <f>2.5*$T$70</f>
        <v>0</v>
      </c>
      <c r="AE80" s="37">
        <f>SUM($T$76*$T$77*$AD80)/1000000</f>
        <v>0</v>
      </c>
      <c r="AF80" s="149" t="str">
        <f>ListAVS!$B$95</f>
        <v>Ramki aluminiowe z innym szkłem</v>
      </c>
      <c r="AG80" s="37"/>
      <c r="AH80" s="108"/>
      <c r="AJ80" s="108"/>
      <c r="AK80" s="108"/>
      <c r="AL80" s="137"/>
      <c r="AM80" s="137"/>
      <c r="AN80" s="137"/>
      <c r="AO80" s="137"/>
      <c r="AT80" s="137"/>
      <c r="AU80" s="121"/>
    </row>
    <row r="81" spans="1:48" s="118" customFormat="1" ht="13.5" customHeight="1" x14ac:dyDescent="0.2">
      <c r="A81" s="37"/>
      <c r="N81" s="632"/>
      <c r="O81" s="142" t="str">
        <f>IF(T80&gt;0,IF(T79=0,$Y$96," ")," ")</f>
        <v xml:space="preserve"> </v>
      </c>
      <c r="P81" s="632"/>
      <c r="Q81" s="632"/>
      <c r="R81" s="632"/>
      <c r="S81" s="632"/>
      <c r="T81" s="599"/>
      <c r="U81" s="119"/>
      <c r="W81" s="37"/>
      <c r="X81" s="37"/>
      <c r="Y81" s="37"/>
      <c r="AA81" s="37"/>
      <c r="AC81" s="37"/>
      <c r="AD81" s="186">
        <f>SUM(IF(AF77=1,AE78,IF(AF77=2,AE79,AE80)),AE77)</f>
        <v>0</v>
      </c>
      <c r="AE81" s="37"/>
      <c r="AF81" s="37"/>
      <c r="AG81" s="37"/>
      <c r="AH81" s="108"/>
      <c r="AJ81" s="108"/>
      <c r="AK81" s="108"/>
      <c r="AL81" s="137"/>
      <c r="AM81" s="137"/>
      <c r="AN81" s="137"/>
      <c r="AO81" s="137"/>
      <c r="AV81" s="121"/>
    </row>
    <row r="82" spans="1:48" s="118" customFormat="1" ht="13.5" customHeight="1" x14ac:dyDescent="0.2">
      <c r="A82" s="37"/>
      <c r="N82" s="632"/>
      <c r="P82" s="632"/>
      <c r="Q82" s="632"/>
      <c r="R82" s="632"/>
      <c r="S82" s="632"/>
      <c r="T82" s="599"/>
      <c r="U82" s="119"/>
      <c r="W82" s="37"/>
      <c r="X82" s="37"/>
      <c r="Y82" s="37"/>
      <c r="AA82" s="37"/>
      <c r="AC82" s="37"/>
      <c r="AD82" s="37"/>
      <c r="AE82" s="37"/>
      <c r="AF82" s="37"/>
      <c r="AG82" s="37"/>
      <c r="AH82" s="108"/>
      <c r="AJ82" s="108"/>
      <c r="AK82" s="108"/>
      <c r="AL82" s="137"/>
      <c r="AM82" s="137"/>
      <c r="AN82" s="137"/>
      <c r="AO82" s="137"/>
      <c r="AV82" s="121"/>
    </row>
    <row r="83" spans="1:48" ht="13.5" customHeight="1" x14ac:dyDescent="0.2">
      <c r="B83" s="118"/>
      <c r="C83" s="118"/>
      <c r="D83" s="118"/>
      <c r="E83" s="118"/>
      <c r="F83" s="118"/>
      <c r="G83" s="118"/>
      <c r="H83" s="118"/>
      <c r="O83" s="137"/>
      <c r="Q83" s="37"/>
      <c r="Z83" s="118"/>
      <c r="AB83" s="118"/>
      <c r="AH83" s="108"/>
      <c r="AI83" s="108"/>
      <c r="AJ83" s="108"/>
      <c r="AK83" s="108"/>
      <c r="AL83" s="137"/>
      <c r="AM83" s="137"/>
      <c r="AN83" s="137"/>
      <c r="AO83" s="137"/>
      <c r="AP83" s="118"/>
      <c r="AQ83" s="118"/>
      <c r="AR83" s="118"/>
      <c r="AS83" s="118"/>
      <c r="AT83" s="118"/>
      <c r="AU83" s="118"/>
      <c r="AV83" s="118"/>
    </row>
    <row r="84" spans="1:48" x14ac:dyDescent="0.2">
      <c r="B84" s="118"/>
      <c r="C84" s="118"/>
      <c r="D84" s="118"/>
      <c r="E84" s="118"/>
      <c r="F84" s="118"/>
      <c r="G84" s="118"/>
      <c r="H84" s="118"/>
      <c r="O84" s="37"/>
      <c r="Q84" s="37"/>
      <c r="Y84" s="118"/>
      <c r="Z84" s="118"/>
      <c r="AB84" s="118"/>
      <c r="AH84" s="108"/>
      <c r="AI84" s="108"/>
      <c r="AJ84" s="108"/>
      <c r="AK84" s="108"/>
      <c r="AL84" s="137"/>
      <c r="AM84" s="137"/>
      <c r="AN84" s="137"/>
      <c r="AO84" s="137"/>
      <c r="AP84" s="118"/>
      <c r="AQ84" s="118"/>
      <c r="AR84" s="118"/>
      <c r="AS84" s="118"/>
      <c r="AT84" s="118"/>
      <c r="AU84" s="118"/>
      <c r="AV84" s="118"/>
    </row>
    <row r="85" spans="1:48" s="118" customFormat="1" x14ac:dyDescent="0.2">
      <c r="A85" s="37"/>
      <c r="N85" s="37"/>
      <c r="O85" s="37"/>
      <c r="P85" s="37"/>
      <c r="Q85" s="37"/>
      <c r="R85" s="37"/>
      <c r="S85" s="37"/>
      <c r="T85" s="37"/>
      <c r="U85" s="37"/>
      <c r="V85" s="37"/>
      <c r="W85" s="37"/>
      <c r="X85" s="37"/>
      <c r="AA85" s="37"/>
      <c r="AC85" s="37"/>
      <c r="AD85" s="37"/>
      <c r="AE85" s="37"/>
      <c r="AF85" s="37"/>
      <c r="AG85" s="37"/>
      <c r="AH85" s="108"/>
      <c r="AJ85" s="108"/>
      <c r="AK85" s="108"/>
      <c r="AL85" s="137"/>
      <c r="AM85" s="137"/>
      <c r="AN85" s="137"/>
      <c r="AO85" s="137"/>
    </row>
    <row r="86" spans="1:48" s="118" customFormat="1" ht="15.75" customHeight="1" x14ac:dyDescent="0.2">
      <c r="A86" s="37"/>
      <c r="Q86" s="37"/>
      <c r="R86" s="1082" t="str">
        <f>D20</f>
        <v xml:space="preserve"> </v>
      </c>
      <c r="S86" s="1083"/>
      <c r="T86" s="1084"/>
      <c r="U86" s="37"/>
      <c r="V86" s="37"/>
      <c r="W86" s="37"/>
      <c r="X86" s="37"/>
      <c r="AA86" s="37"/>
      <c r="AC86" s="37"/>
      <c r="AD86" s="37"/>
      <c r="AE86" s="37"/>
      <c r="AF86" s="37"/>
      <c r="AG86" s="37"/>
      <c r="AH86" s="108"/>
      <c r="AJ86" s="108"/>
      <c r="AK86" s="108"/>
      <c r="AL86" s="137"/>
      <c r="AM86" s="137"/>
      <c r="AN86" s="137"/>
      <c r="AO86" s="137"/>
    </row>
    <row r="87" spans="1:48" s="118" customFormat="1" ht="13.5" customHeight="1" x14ac:dyDescent="0.2">
      <c r="A87" s="37"/>
      <c r="N87" s="1125" t="str">
        <f>ListAVS!$B$74&amp;" KB [mm]       "</f>
        <v xml:space="preserve">Szerokość korpusu KB [mm]       </v>
      </c>
      <c r="O87" s="1126"/>
      <c r="P87" s="1126"/>
      <c r="Q87" s="1126"/>
      <c r="R87" s="1126"/>
      <c r="S87" s="1127"/>
      <c r="T87" s="300">
        <f>H21</f>
        <v>0</v>
      </c>
      <c r="U87" s="108"/>
      <c r="V87" s="37"/>
      <c r="W87" s="37"/>
      <c r="X87" s="37"/>
      <c r="Y87" s="37">
        <f>T87*T88*T89</f>
        <v>0</v>
      </c>
      <c r="Z87" s="37"/>
      <c r="AA87" s="37"/>
      <c r="AC87" s="37"/>
      <c r="AD87" s="37">
        <f>AD76</f>
        <v>3.51</v>
      </c>
      <c r="AE87" s="149" t="s">
        <v>67</v>
      </c>
      <c r="AF87" s="37"/>
      <c r="AG87" s="37"/>
      <c r="AH87" s="108"/>
      <c r="AJ87" s="108"/>
      <c r="AK87" s="108"/>
      <c r="AL87" s="137"/>
      <c r="AM87" s="137"/>
      <c r="AN87" s="137"/>
      <c r="AO87" s="137"/>
    </row>
    <row r="88" spans="1:48" s="118" customFormat="1" ht="13.5" customHeight="1" x14ac:dyDescent="0.2">
      <c r="A88" s="37"/>
      <c r="N88" s="1125" t="str">
        <f>ListAVS!$B$75&amp;" KH [mm]       "</f>
        <v xml:space="preserve">Wysokość korpusu KH [mm]       </v>
      </c>
      <c r="O88" s="1126"/>
      <c r="P88" s="1126"/>
      <c r="Q88" s="1126"/>
      <c r="R88" s="1126"/>
      <c r="S88" s="1127"/>
      <c r="T88" s="300">
        <f>H22</f>
        <v>0</v>
      </c>
      <c r="U88" s="108"/>
      <c r="V88" s="37"/>
      <c r="W88" s="37"/>
      <c r="X88" s="37"/>
      <c r="Y88" s="37">
        <f>Y87/1000000000</f>
        <v>0</v>
      </c>
      <c r="Z88" s="182">
        <f>Z77</f>
        <v>1</v>
      </c>
      <c r="AC88" s="37"/>
      <c r="AD88" s="144" t="s">
        <v>71</v>
      </c>
      <c r="AE88" s="37">
        <f>SUM(T87*2,T88*2)*AD87/10000</f>
        <v>0</v>
      </c>
      <c r="AF88" s="117">
        <f>AF77</f>
        <v>3</v>
      </c>
      <c r="AG88" s="37"/>
      <c r="AH88" s="108"/>
      <c r="AJ88" s="108"/>
      <c r="AK88" s="108"/>
      <c r="AL88" s="137"/>
      <c r="AM88" s="137"/>
      <c r="AN88" s="137"/>
      <c r="AO88" s="137"/>
    </row>
    <row r="89" spans="1:48" s="118" customFormat="1" ht="13.5" customHeight="1" x14ac:dyDescent="0.2">
      <c r="A89" s="37"/>
      <c r="B89" s="37"/>
      <c r="C89" s="37"/>
      <c r="D89" s="37"/>
      <c r="E89" s="37"/>
      <c r="F89" s="37"/>
      <c r="G89" s="37"/>
      <c r="H89" s="37"/>
      <c r="N89" s="1079" t="str">
        <f>ListAVS!$B$80&amp;" TS [mm] "</f>
        <v xml:space="preserve">Grubość frontu TS [mm] </v>
      </c>
      <c r="O89" s="1080"/>
      <c r="P89" s="1080"/>
      <c r="Q89" s="1080"/>
      <c r="R89" s="1080"/>
      <c r="S89" s="1081"/>
      <c r="T89" s="300">
        <f>H24</f>
        <v>0</v>
      </c>
      <c r="U89" s="130" t="str">
        <f>IF(SUM(T87,T88)=0," ",IF(T89=0," ● "&amp;ListAVS!$B$129," "))</f>
        <v xml:space="preserve"> </v>
      </c>
      <c r="X89" s="37"/>
      <c r="Y89" s="319">
        <f>$Y$78</f>
        <v>760</v>
      </c>
      <c r="Z89" s="37" t="str">
        <f>$Z$78</f>
        <v>MDF (760 kg/m3)</v>
      </c>
      <c r="AC89" s="37"/>
      <c r="AD89" s="37">
        <f>AD78</f>
        <v>10</v>
      </c>
      <c r="AE89" s="37">
        <f>SUM($T$87*$T$88*$AD89)/1000000</f>
        <v>0</v>
      </c>
      <c r="AF89" s="149" t="str">
        <f>ListAVS!$B$93</f>
        <v>Ramki aluminiowe z 4mm szkłem</v>
      </c>
      <c r="AG89" s="37"/>
      <c r="AH89" s="108"/>
      <c r="AJ89" s="108"/>
      <c r="AK89" s="108"/>
      <c r="AL89" s="137"/>
      <c r="AM89" s="137"/>
      <c r="AN89" s="137"/>
      <c r="AO89" s="137"/>
    </row>
    <row r="90" spans="1:48" s="118" customFormat="1" ht="13.5" customHeight="1" x14ac:dyDescent="0.2">
      <c r="A90" s="37"/>
      <c r="B90" s="308" t="s">
        <v>16</v>
      </c>
      <c r="C90" s="321"/>
      <c r="D90" s="308"/>
      <c r="E90" s="308"/>
      <c r="F90" s="308"/>
      <c r="G90" s="308"/>
      <c r="H90" s="308"/>
      <c r="N90" s="1079" t="str">
        <f>ListAVS!$B$83&amp;" [kg] "</f>
        <v xml:space="preserve">Waga uchwytu [kg] </v>
      </c>
      <c r="O90" s="1080"/>
      <c r="P90" s="1080"/>
      <c r="Q90" s="1080"/>
      <c r="R90" s="1080"/>
      <c r="S90" s="1081"/>
      <c r="T90" s="300">
        <f>H25</f>
        <v>0</v>
      </c>
      <c r="U90" s="130" t="str">
        <f>IF(SUM(T87,T88)=0," ",IF(T90=0," ● "&amp;ListAVS!$B$130," "))</f>
        <v xml:space="preserve"> </v>
      </c>
      <c r="X90" s="37"/>
      <c r="Y90" s="319">
        <f>$Y$79</f>
        <v>680</v>
      </c>
      <c r="Z90" s="37" t="str">
        <f>$Z$79</f>
        <v>Płyta wiórowa (680 kg/m3)</v>
      </c>
      <c r="AC90" s="37"/>
      <c r="AD90" s="37">
        <f>AD79</f>
        <v>15</v>
      </c>
      <c r="AE90" s="37">
        <f>SUM($T$87*$T$88*$AD90)/1000000</f>
        <v>0</v>
      </c>
      <c r="AF90" s="149" t="str">
        <f>ListAVS!$B$94</f>
        <v>Ramki aluminiowe z 5mm szkłem</v>
      </c>
      <c r="AG90" s="37"/>
      <c r="AH90" s="108"/>
      <c r="AJ90" s="108"/>
      <c r="AK90" s="108"/>
      <c r="AL90" s="137"/>
      <c r="AM90" s="137"/>
      <c r="AN90" s="137"/>
      <c r="AO90" s="137"/>
    </row>
    <row r="91" spans="1:48" s="118" customFormat="1" ht="13.5" customHeight="1" x14ac:dyDescent="0.2">
      <c r="A91" s="37"/>
      <c r="B91" s="255"/>
      <c r="C91" s="255"/>
      <c r="D91" s="255"/>
      <c r="E91" s="255"/>
      <c r="F91" s="255"/>
      <c r="G91" s="255"/>
      <c r="H91" s="255"/>
      <c r="N91" s="1079" t="str">
        <f>ListAVS!$B$79&amp;" [kg] "</f>
        <v xml:space="preserve">Obliczona waga frontu [kg] </v>
      </c>
      <c r="O91" s="1080"/>
      <c r="P91" s="1080"/>
      <c r="Q91" s="1080"/>
      <c r="R91" s="1080"/>
      <c r="S91" s="1081"/>
      <c r="T91" s="185">
        <f>IF(X91=0,0,X91+T90)</f>
        <v>0</v>
      </c>
      <c r="U91" s="119"/>
      <c r="X91" s="186">
        <f>IF(T87*T88*T89=0,0,IF(Z88=1,Y88*Y89,IF(Z88=2,Y88*Y90,Y88*Y91)))</f>
        <v>0</v>
      </c>
      <c r="Y91" s="37">
        <f>$Y$80</f>
        <v>0</v>
      </c>
      <c r="Z91" s="37" t="str">
        <f>$Z$80</f>
        <v>Inne – wybrana gęstość materiału</v>
      </c>
      <c r="AC91" s="37"/>
      <c r="AD91" s="334">
        <f>AD80</f>
        <v>0</v>
      </c>
      <c r="AE91" s="37">
        <f>SUM($T$87*$T$88*$AD91)/1000000</f>
        <v>0</v>
      </c>
      <c r="AF91" s="149" t="str">
        <f>ListAVS!$B$95</f>
        <v>Ramki aluminiowe z innym szkłem</v>
      </c>
      <c r="AG91" s="37"/>
      <c r="AH91" s="108"/>
      <c r="AJ91" s="108"/>
      <c r="AK91" s="108"/>
      <c r="AL91" s="137"/>
      <c r="AM91" s="137"/>
      <c r="AN91" s="137"/>
      <c r="AO91" s="137"/>
    </row>
    <row r="92" spans="1:48" s="118" customFormat="1" ht="12.75" x14ac:dyDescent="0.2">
      <c r="A92" s="37"/>
      <c r="B92" s="255" t="str">
        <f>ListAVS!$B$333</f>
        <v>Aby wybrać odpowiedni siłownik potrzebujesz znać wysokość korpusu i wagę frontu</v>
      </c>
      <c r="C92" s="255"/>
      <c r="D92" s="255"/>
      <c r="E92" s="255"/>
      <c r="F92" s="255"/>
      <c r="G92" s="255"/>
      <c r="H92" s="255"/>
      <c r="N92" s="37"/>
      <c r="O92" s="142" t="str">
        <f>IF(T91&gt;0,IF(T90=0,$Y$96," ")," ")</f>
        <v xml:space="preserve"> </v>
      </c>
      <c r="P92" s="37"/>
      <c r="Q92" s="37"/>
      <c r="R92" s="37"/>
      <c r="S92" s="37"/>
      <c r="T92" s="37"/>
      <c r="U92" s="37"/>
      <c r="V92" s="37"/>
      <c r="W92" s="37"/>
      <c r="X92" s="37"/>
      <c r="Y92" s="37"/>
      <c r="AA92" s="37"/>
      <c r="AC92" s="37"/>
      <c r="AD92" s="186">
        <f>SUM(IF(AF88=1,AE89,IF(AF88=2,AE90,AE91)),AE88)</f>
        <v>0</v>
      </c>
      <c r="AE92" s="37"/>
      <c r="AF92" s="37"/>
      <c r="AG92" s="37"/>
      <c r="AH92" s="108"/>
      <c r="AJ92" s="108"/>
      <c r="AK92" s="108"/>
      <c r="AL92" s="137"/>
      <c r="AM92" s="137"/>
      <c r="AN92" s="137"/>
      <c r="AO92" s="137"/>
    </row>
    <row r="93" spans="1:48" s="118" customFormat="1" ht="12.75" x14ac:dyDescent="0.2">
      <c r="A93" s="37"/>
      <c r="B93" s="255"/>
      <c r="C93" s="255"/>
      <c r="D93" s="255"/>
      <c r="E93" s="255"/>
      <c r="F93" s="255"/>
      <c r="G93" s="255"/>
      <c r="H93" s="255"/>
      <c r="N93" s="37"/>
      <c r="O93" s="37"/>
      <c r="P93" s="37"/>
      <c r="Q93" s="37"/>
      <c r="R93" s="37"/>
      <c r="S93" s="37"/>
      <c r="T93" s="37"/>
      <c r="U93" s="37"/>
      <c r="V93" s="37"/>
      <c r="W93" s="37"/>
      <c r="X93" s="37"/>
      <c r="Y93" s="37"/>
      <c r="AA93" s="37"/>
      <c r="AC93" s="37"/>
      <c r="AD93" s="37"/>
      <c r="AE93" s="37"/>
      <c r="AF93" s="37"/>
      <c r="AG93" s="37"/>
      <c r="AH93" s="108"/>
      <c r="AJ93" s="108"/>
      <c r="AK93" s="108"/>
      <c r="AL93" s="137"/>
      <c r="AM93" s="137"/>
      <c r="AN93" s="137"/>
      <c r="AO93" s="137"/>
    </row>
    <row r="94" spans="1:48" s="118" customFormat="1" ht="12.75" x14ac:dyDescent="0.2">
      <c r="A94" s="37"/>
      <c r="B94" s="255" t="str">
        <f>ListAVS!$B$312</f>
        <v>Jeśli znasz wagę frontu, możesz ją wprowadzić, w przeciwnym razie skorzystaj z „Obliczenia wagi”.</v>
      </c>
      <c r="C94" s="255"/>
      <c r="D94" s="255"/>
      <c r="E94" s="255"/>
      <c r="F94" s="255"/>
      <c r="G94" s="255"/>
      <c r="H94" s="255"/>
      <c r="N94" s="37"/>
      <c r="O94" s="37"/>
      <c r="P94" s="37"/>
      <c r="Q94" s="37"/>
      <c r="R94" s="37"/>
      <c r="S94" s="37"/>
      <c r="T94" s="37"/>
      <c r="U94" s="37"/>
      <c r="V94" s="37"/>
      <c r="W94" s="37"/>
      <c r="X94" s="37"/>
      <c r="Y94" s="37"/>
      <c r="AA94" s="37"/>
      <c r="AC94" s="37"/>
      <c r="AD94" s="37"/>
      <c r="AE94" s="37"/>
      <c r="AF94" s="37"/>
      <c r="AG94" s="37"/>
      <c r="AH94" s="108"/>
      <c r="AJ94" s="108"/>
      <c r="AK94" s="108"/>
      <c r="AL94" s="137"/>
      <c r="AM94" s="137"/>
      <c r="AN94" s="137"/>
      <c r="AO94" s="137"/>
    </row>
    <row r="95" spans="1:48" s="118" customFormat="1" ht="12.75" x14ac:dyDescent="0.2">
      <c r="A95" s="37"/>
      <c r="B95" s="255" t="str">
        <f>ListAVS!$B$313</f>
        <v>W tabeli wprowadzona wartość ma pierwszeństwo aby skorzystać z wagi obliczeniowej, należy usunąć wprowadzoną wartość.</v>
      </c>
      <c r="C95" s="255"/>
      <c r="D95" s="255"/>
      <c r="E95" s="255"/>
      <c r="F95" s="255"/>
      <c r="G95" s="255"/>
      <c r="H95" s="255"/>
      <c r="N95" s="37"/>
      <c r="O95" s="37"/>
      <c r="P95" s="37"/>
      <c r="Q95" s="37"/>
      <c r="R95" s="37"/>
      <c r="S95" s="37"/>
      <c r="T95" s="37"/>
      <c r="U95" s="37"/>
      <c r="V95" s="37"/>
      <c r="W95" s="37"/>
      <c r="X95" s="37"/>
      <c r="Y95" s="37"/>
      <c r="AA95" s="37"/>
      <c r="AC95" s="37"/>
      <c r="AD95" s="37"/>
      <c r="AE95" s="37"/>
      <c r="AF95" s="37"/>
      <c r="AG95" s="37"/>
      <c r="AH95" s="108"/>
      <c r="AJ95" s="108"/>
      <c r="AK95" s="108"/>
      <c r="AL95" s="137"/>
      <c r="AM95" s="137"/>
      <c r="AN95" s="137"/>
      <c r="AO95" s="137"/>
    </row>
    <row r="96" spans="1:48" s="118" customFormat="1" ht="12.75" x14ac:dyDescent="0.2">
      <c r="A96" s="37"/>
      <c r="B96" s="255"/>
      <c r="C96" s="255"/>
      <c r="D96" s="255"/>
      <c r="E96" s="255"/>
      <c r="F96" s="255"/>
      <c r="G96" s="255"/>
      <c r="H96" s="255"/>
      <c r="N96" s="37"/>
      <c r="O96" s="37"/>
      <c r="P96" s="37"/>
      <c r="Q96" s="37"/>
      <c r="R96" s="37"/>
      <c r="S96" s="37"/>
      <c r="T96" s="37"/>
      <c r="U96" s="37"/>
      <c r="V96" s="37"/>
      <c r="W96" s="37"/>
      <c r="X96" s="37"/>
      <c r="Y96" s="37" t="str">
        <f>ListAVS!$B$103&amp;"!"</f>
        <v>Bez wagi uchwytu!</v>
      </c>
      <c r="AA96" s="37"/>
      <c r="AC96" s="37"/>
      <c r="AD96" s="37"/>
      <c r="AE96" s="37"/>
      <c r="AF96" s="37"/>
      <c r="AG96" s="37"/>
      <c r="AH96" s="108"/>
      <c r="AJ96" s="108"/>
      <c r="AK96" s="108"/>
      <c r="AL96" s="137"/>
      <c r="AM96" s="137"/>
      <c r="AN96" s="137"/>
      <c r="AO96" s="137"/>
    </row>
    <row r="97" spans="1:52" s="118" customFormat="1" ht="12.75" x14ac:dyDescent="0.2">
      <c r="A97" s="37"/>
      <c r="B97" s="255"/>
      <c r="C97" s="255"/>
      <c r="D97" s="255"/>
      <c r="E97" s="255"/>
      <c r="F97" s="255"/>
      <c r="G97" s="255"/>
      <c r="H97" s="255"/>
      <c r="N97" s="37"/>
      <c r="O97" s="37"/>
      <c r="P97" s="37"/>
      <c r="Q97" s="37"/>
      <c r="R97" s="37"/>
      <c r="S97" s="37"/>
      <c r="T97" s="37"/>
      <c r="U97" s="37"/>
      <c r="V97" s="37"/>
      <c r="W97" s="37"/>
      <c r="X97" s="37"/>
      <c r="Y97" s="37"/>
      <c r="AA97" s="37"/>
      <c r="AC97" s="37"/>
      <c r="AD97" s="37"/>
      <c r="AE97" s="37"/>
      <c r="AF97" s="37"/>
      <c r="AG97" s="37"/>
      <c r="AH97" s="108"/>
      <c r="AJ97" s="108"/>
      <c r="AK97" s="108"/>
      <c r="AL97" s="137"/>
      <c r="AM97" s="137"/>
      <c r="AN97" s="137"/>
      <c r="AO97" s="137"/>
      <c r="AP97" s="137"/>
      <c r="AQ97" s="37"/>
      <c r="AR97" s="37"/>
      <c r="AS97" s="137"/>
      <c r="AT97" s="137"/>
      <c r="AU97" s="121"/>
      <c r="AV97" s="121"/>
    </row>
    <row r="98" spans="1:52" s="118" customFormat="1" ht="12.75" x14ac:dyDescent="0.2">
      <c r="A98" s="37"/>
      <c r="B98" s="255" t="str">
        <f>ListAVS!$B$306</f>
        <v>Aby zmienić kolor zaślepek przejdź do „Wprowadzenie do planowania”</v>
      </c>
      <c r="C98" s="255"/>
      <c r="D98" s="255"/>
      <c r="E98" s="255"/>
      <c r="F98" s="255"/>
      <c r="G98" s="255"/>
      <c r="H98" s="255"/>
      <c r="N98" s="37"/>
      <c r="O98" s="37"/>
      <c r="P98" s="37"/>
      <c r="Q98" s="37"/>
      <c r="R98" s="37"/>
      <c r="S98" s="37"/>
      <c r="T98" s="37"/>
      <c r="U98" s="37"/>
      <c r="V98" s="37"/>
      <c r="W98" s="37"/>
      <c r="X98" s="37"/>
      <c r="Y98" s="37"/>
      <c r="AA98" s="37"/>
      <c r="AC98" s="37"/>
      <c r="AD98" s="37"/>
      <c r="AE98" s="37"/>
      <c r="AF98" s="37"/>
      <c r="AG98" s="37"/>
      <c r="AH98" s="108"/>
      <c r="AJ98" s="108"/>
      <c r="AK98" s="108"/>
      <c r="AL98" s="137"/>
      <c r="AM98" s="137"/>
      <c r="AN98" s="137"/>
      <c r="AO98" s="137"/>
      <c r="AP98" s="137"/>
      <c r="AQ98" s="37"/>
      <c r="AR98" s="37"/>
      <c r="AS98" s="137"/>
      <c r="AT98" s="37"/>
      <c r="AU98" s="37"/>
      <c r="AV98" s="121"/>
    </row>
    <row r="99" spans="1:52" ht="12.75" x14ac:dyDescent="0.2">
      <c r="A99" s="1045"/>
      <c r="B99" s="255"/>
      <c r="C99" s="255"/>
      <c r="D99" s="255"/>
      <c r="E99" s="255"/>
      <c r="F99" s="255"/>
      <c r="G99" s="255"/>
      <c r="H99" s="255"/>
      <c r="AI99" s="108"/>
      <c r="AJ99" s="108"/>
      <c r="AK99" s="108"/>
      <c r="AL99" s="137"/>
      <c r="AM99" s="137"/>
      <c r="AN99" s="137"/>
      <c r="AO99" s="137"/>
      <c r="AP99" s="137"/>
      <c r="AQ99" s="37"/>
      <c r="AR99" s="37"/>
      <c r="AS99" s="137"/>
      <c r="AT99" s="137"/>
    </row>
    <row r="100" spans="1:52" ht="15" customHeight="1" x14ac:dyDescent="0.2">
      <c r="A100" s="1045"/>
      <c r="B100" s="255"/>
      <c r="C100" s="255"/>
      <c r="D100" s="255"/>
      <c r="E100" s="255"/>
      <c r="F100" s="255"/>
      <c r="G100" s="255"/>
      <c r="H100" s="255"/>
      <c r="I100" s="308"/>
      <c r="J100" s="308"/>
      <c r="K100" s="308"/>
      <c r="L100" s="308"/>
      <c r="AI100" s="108"/>
      <c r="AJ100" s="108"/>
      <c r="AK100" s="108"/>
      <c r="AL100" s="137"/>
      <c r="AM100" s="137"/>
      <c r="AN100" s="137"/>
      <c r="AO100" s="137"/>
      <c r="AP100" s="137"/>
      <c r="AQ100" s="37"/>
      <c r="AR100" s="37"/>
      <c r="AS100" s="137"/>
      <c r="AT100" s="137"/>
      <c r="AV100" s="37"/>
    </row>
    <row r="101" spans="1:52" ht="12.75" x14ac:dyDescent="0.2">
      <c r="A101" s="1045"/>
      <c r="B101" s="255"/>
      <c r="C101" s="255"/>
      <c r="D101" s="255"/>
      <c r="E101" s="255"/>
      <c r="F101" s="255"/>
      <c r="G101" s="255"/>
      <c r="H101" s="255"/>
      <c r="I101" s="255"/>
      <c r="J101" s="255"/>
      <c r="K101" s="255"/>
      <c r="L101" s="255"/>
      <c r="AI101" s="108"/>
      <c r="AJ101" s="108"/>
      <c r="AK101" s="108"/>
      <c r="AL101" s="137"/>
      <c r="AM101" s="137"/>
      <c r="AN101" s="137"/>
      <c r="AO101" s="137"/>
      <c r="AP101" s="137"/>
      <c r="AQ101" s="37"/>
      <c r="AR101" s="37"/>
      <c r="AS101" s="137"/>
      <c r="AT101" s="137"/>
    </row>
    <row r="102" spans="1:52" ht="12.75" x14ac:dyDescent="0.2">
      <c r="A102" s="1045"/>
      <c r="B102" s="255"/>
      <c r="C102" s="255"/>
      <c r="D102" s="255"/>
      <c r="E102" s="255"/>
      <c r="F102" s="255"/>
      <c r="G102" s="255"/>
      <c r="H102" s="255"/>
      <c r="I102" s="255"/>
      <c r="J102" s="255"/>
      <c r="K102" s="255"/>
      <c r="L102" s="255"/>
      <c r="AI102" s="108"/>
      <c r="AJ102" s="108"/>
      <c r="AK102" s="108"/>
      <c r="AL102" s="137"/>
      <c r="AM102" s="137"/>
      <c r="AN102" s="137"/>
      <c r="AO102" s="137"/>
      <c r="AP102" s="137"/>
      <c r="AQ102" s="37"/>
      <c r="AR102" s="37"/>
      <c r="AS102" s="137"/>
      <c r="AT102" s="137"/>
      <c r="AW102" s="37"/>
      <c r="AX102" s="36"/>
      <c r="AY102" s="36"/>
      <c r="AZ102" s="36"/>
    </row>
    <row r="103" spans="1:52" ht="12.75" x14ac:dyDescent="0.2">
      <c r="A103" s="1045"/>
      <c r="B103" s="255"/>
      <c r="C103" s="255"/>
      <c r="D103" s="255"/>
      <c r="E103" s="255"/>
      <c r="F103" s="255"/>
      <c r="G103" s="255"/>
      <c r="H103" s="255"/>
      <c r="I103" s="255"/>
      <c r="J103" s="255"/>
      <c r="K103" s="255"/>
      <c r="L103" s="255"/>
      <c r="AI103" s="108"/>
      <c r="AJ103" s="108"/>
      <c r="AK103" s="108"/>
      <c r="AL103" s="137"/>
      <c r="AM103" s="137"/>
      <c r="AN103" s="137"/>
      <c r="AO103" s="137"/>
      <c r="AP103" s="137"/>
      <c r="AQ103" s="37"/>
      <c r="AR103" s="37"/>
      <c r="AS103" s="137"/>
      <c r="AT103" s="137"/>
    </row>
    <row r="104" spans="1:52" ht="12.75" x14ac:dyDescent="0.2">
      <c r="A104" s="1045"/>
      <c r="I104" s="255"/>
      <c r="J104" s="255"/>
      <c r="K104" s="255"/>
      <c r="L104" s="255"/>
      <c r="AI104" s="108"/>
      <c r="AJ104" s="108"/>
      <c r="AK104" s="108"/>
      <c r="AL104" s="137"/>
      <c r="AM104" s="137"/>
      <c r="AN104" s="137"/>
      <c r="AO104" s="137"/>
      <c r="AP104" s="137"/>
      <c r="AQ104" s="37"/>
      <c r="AR104" s="37"/>
      <c r="AS104" s="137"/>
      <c r="AT104" s="137"/>
    </row>
    <row r="105" spans="1:52" ht="12.75" x14ac:dyDescent="0.2">
      <c r="A105" s="1045"/>
      <c r="I105" s="255"/>
      <c r="J105" s="255"/>
      <c r="K105" s="255"/>
      <c r="L105" s="255"/>
      <c r="AI105" s="108"/>
      <c r="AJ105" s="108"/>
      <c r="AK105" s="108"/>
      <c r="AL105" s="137"/>
      <c r="AM105" s="137"/>
      <c r="AN105" s="137"/>
      <c r="AO105" s="137"/>
      <c r="AP105" s="137"/>
      <c r="AQ105" s="37"/>
      <c r="AR105" s="37"/>
      <c r="AS105" s="137"/>
      <c r="AT105" s="137"/>
    </row>
    <row r="106" spans="1:52" ht="12.75" x14ac:dyDescent="0.2">
      <c r="A106" s="1045"/>
      <c r="I106" s="255"/>
      <c r="J106" s="255"/>
      <c r="K106" s="255"/>
      <c r="L106" s="255"/>
      <c r="AI106" s="108"/>
      <c r="AJ106" s="108"/>
      <c r="AK106" s="108"/>
      <c r="AL106" s="137"/>
      <c r="AM106" s="137"/>
      <c r="AN106" s="137"/>
      <c r="AO106" s="137"/>
      <c r="AP106" s="137"/>
      <c r="AQ106" s="37"/>
      <c r="AR106" s="37"/>
      <c r="AS106" s="137"/>
      <c r="AT106" s="137"/>
    </row>
    <row r="107" spans="1:52" ht="12.75" x14ac:dyDescent="0.2">
      <c r="A107" s="1045"/>
      <c r="I107" s="255"/>
      <c r="J107" s="255"/>
      <c r="K107" s="255"/>
      <c r="L107" s="255"/>
      <c r="AI107" s="108"/>
      <c r="AJ107" s="108"/>
      <c r="AK107" s="108"/>
      <c r="AL107" s="137"/>
      <c r="AM107" s="137"/>
      <c r="AN107" s="137"/>
      <c r="AO107" s="137"/>
      <c r="AP107" s="137"/>
      <c r="AQ107" s="37"/>
      <c r="AR107" s="37"/>
      <c r="AS107" s="137"/>
      <c r="AT107" s="137"/>
    </row>
    <row r="108" spans="1:52" ht="12.75" x14ac:dyDescent="0.2">
      <c r="A108" s="1045"/>
      <c r="I108" s="255"/>
      <c r="J108" s="255"/>
      <c r="K108" s="255"/>
      <c r="L108" s="255"/>
      <c r="AI108" s="108"/>
      <c r="AJ108" s="108"/>
      <c r="AK108" s="108"/>
      <c r="AL108" s="137"/>
      <c r="AM108" s="137"/>
      <c r="AN108" s="137"/>
      <c r="AO108" s="137"/>
      <c r="AP108" s="137"/>
      <c r="AQ108" s="37"/>
      <c r="AR108" s="37"/>
      <c r="AS108" s="137"/>
      <c r="AT108" s="137"/>
    </row>
    <row r="109" spans="1:52" ht="12.75" x14ac:dyDescent="0.2">
      <c r="A109" s="1045"/>
      <c r="I109" s="255"/>
      <c r="J109" s="255"/>
      <c r="K109" s="255"/>
      <c r="L109" s="255"/>
      <c r="AI109" s="108"/>
      <c r="AJ109" s="108"/>
      <c r="AK109" s="108"/>
      <c r="AL109" s="137"/>
      <c r="AM109" s="137"/>
      <c r="AN109" s="137"/>
      <c r="AO109" s="137"/>
      <c r="AP109" s="137"/>
      <c r="AQ109" s="37"/>
      <c r="AR109" s="37"/>
      <c r="AS109" s="137"/>
      <c r="AT109" s="137"/>
    </row>
    <row r="110" spans="1:52" ht="12.75" x14ac:dyDescent="0.2">
      <c r="A110" s="1045"/>
      <c r="I110" s="255"/>
      <c r="J110" s="255"/>
      <c r="K110" s="255"/>
      <c r="L110" s="255"/>
      <c r="AI110" s="108"/>
      <c r="AJ110" s="108"/>
      <c r="AK110" s="108"/>
      <c r="AL110" s="137"/>
      <c r="AM110" s="137"/>
      <c r="AN110" s="137"/>
      <c r="AO110" s="137"/>
      <c r="AP110" s="137"/>
      <c r="AQ110" s="37"/>
      <c r="AR110" s="37"/>
      <c r="AS110" s="137"/>
      <c r="AT110" s="137"/>
    </row>
    <row r="111" spans="1:52" ht="12.75" x14ac:dyDescent="0.2">
      <c r="A111" s="1045"/>
      <c r="I111" s="255"/>
      <c r="J111" s="255"/>
      <c r="K111" s="255"/>
      <c r="L111" s="255"/>
      <c r="AI111" s="108"/>
      <c r="AJ111" s="108"/>
      <c r="AK111" s="108"/>
      <c r="AL111" s="137"/>
      <c r="AM111" s="137"/>
      <c r="AN111" s="137"/>
      <c r="AO111" s="137"/>
      <c r="AP111" s="137"/>
      <c r="AQ111" s="37"/>
      <c r="AR111" s="37"/>
      <c r="AS111" s="137"/>
      <c r="AT111" s="137"/>
    </row>
    <row r="112" spans="1:52" ht="12.75" x14ac:dyDescent="0.2">
      <c r="A112" s="1045"/>
      <c r="I112" s="255"/>
      <c r="J112" s="255"/>
      <c r="K112" s="255"/>
      <c r="L112" s="702" t="str">
        <f>ListAVS!$B$168</f>
        <v>Z powrotem</v>
      </c>
      <c r="AI112" s="108"/>
      <c r="AJ112" s="108"/>
      <c r="AK112" s="108"/>
      <c r="AL112" s="137"/>
      <c r="AM112" s="137"/>
      <c r="AN112" s="137"/>
      <c r="AO112" s="137"/>
      <c r="AP112" s="137"/>
      <c r="AQ112" s="37"/>
      <c r="AR112" s="37"/>
      <c r="AS112" s="137"/>
      <c r="AT112" s="137"/>
    </row>
    <row r="113" spans="1:46" ht="12.75" x14ac:dyDescent="0.2">
      <c r="A113" s="1045"/>
      <c r="I113" s="255"/>
      <c r="J113" s="255"/>
      <c r="K113" s="255"/>
      <c r="L113" s="255"/>
      <c r="AI113" s="108"/>
      <c r="AJ113" s="108"/>
      <c r="AK113" s="108"/>
      <c r="AL113" s="137"/>
      <c r="AM113" s="137"/>
      <c r="AN113" s="137"/>
      <c r="AO113" s="137"/>
      <c r="AP113" s="137"/>
      <c r="AQ113" s="37"/>
      <c r="AR113" s="37"/>
      <c r="AS113" s="137"/>
      <c r="AT113" s="137"/>
    </row>
    <row r="114" spans="1:46" x14ac:dyDescent="0.2">
      <c r="A114" s="1045"/>
      <c r="AI114" s="108"/>
      <c r="AJ114" s="108"/>
      <c r="AK114" s="108"/>
      <c r="AL114" s="137"/>
      <c r="AM114" s="137"/>
      <c r="AN114" s="137"/>
      <c r="AO114" s="137"/>
      <c r="AP114" s="137"/>
      <c r="AQ114" s="37"/>
      <c r="AR114" s="37"/>
      <c r="AS114" s="137"/>
      <c r="AT114" s="137"/>
    </row>
    <row r="115" spans="1:46" x14ac:dyDescent="0.2">
      <c r="A115" s="1045"/>
      <c r="AI115" s="108"/>
      <c r="AJ115" s="108"/>
      <c r="AK115" s="108"/>
      <c r="AL115" s="137"/>
      <c r="AM115" s="137"/>
      <c r="AN115" s="137"/>
      <c r="AO115" s="137"/>
      <c r="AP115" s="137"/>
      <c r="AQ115" s="37"/>
      <c r="AR115" s="37"/>
      <c r="AS115" s="137"/>
      <c r="AT115" s="137"/>
    </row>
    <row r="116" spans="1:46" x14ac:dyDescent="0.2">
      <c r="A116" s="1045"/>
      <c r="AI116" s="108"/>
      <c r="AJ116" s="108"/>
      <c r="AK116" s="108"/>
      <c r="AL116" s="137"/>
      <c r="AM116" s="137"/>
      <c r="AN116" s="137"/>
      <c r="AO116" s="137"/>
      <c r="AP116" s="137"/>
      <c r="AQ116" s="37"/>
      <c r="AR116" s="37"/>
      <c r="AS116" s="137"/>
      <c r="AT116" s="137"/>
    </row>
    <row r="117" spans="1:46" x14ac:dyDescent="0.2">
      <c r="A117" s="1045"/>
      <c r="AI117" s="108"/>
      <c r="AJ117" s="108"/>
      <c r="AK117" s="108"/>
      <c r="AL117" s="137"/>
      <c r="AM117" s="137"/>
      <c r="AN117" s="137"/>
      <c r="AO117" s="137"/>
      <c r="AP117" s="137"/>
      <c r="AQ117" s="37"/>
      <c r="AR117" s="37"/>
      <c r="AS117" s="137"/>
      <c r="AT117" s="137"/>
    </row>
    <row r="118" spans="1:46" x14ac:dyDescent="0.2">
      <c r="A118" s="1045"/>
      <c r="AI118" s="108"/>
      <c r="AJ118" s="108"/>
      <c r="AK118" s="108"/>
      <c r="AL118" s="137"/>
      <c r="AM118" s="137"/>
      <c r="AN118" s="137"/>
      <c r="AO118" s="137"/>
      <c r="AP118" s="137"/>
      <c r="AQ118" s="37"/>
      <c r="AR118" s="37"/>
      <c r="AS118" s="137"/>
      <c r="AT118" s="137"/>
    </row>
    <row r="119" spans="1:46" x14ac:dyDescent="0.2">
      <c r="A119" s="1045"/>
      <c r="AI119" s="108"/>
      <c r="AJ119" s="108"/>
      <c r="AK119" s="108"/>
      <c r="AL119" s="137"/>
      <c r="AM119" s="137"/>
      <c r="AN119" s="137"/>
      <c r="AO119" s="137"/>
      <c r="AP119" s="137"/>
      <c r="AQ119" s="37"/>
      <c r="AR119" s="37"/>
      <c r="AS119" s="137"/>
      <c r="AT119" s="137"/>
    </row>
    <row r="120" spans="1:46" x14ac:dyDescent="0.2">
      <c r="A120" s="1045"/>
      <c r="AI120" s="108"/>
      <c r="AJ120" s="108"/>
      <c r="AK120" s="108"/>
      <c r="AL120" s="137"/>
      <c r="AM120" s="137"/>
      <c r="AN120" s="137"/>
      <c r="AO120" s="137"/>
      <c r="AP120" s="137"/>
      <c r="AQ120" s="37"/>
      <c r="AR120" s="37"/>
      <c r="AS120" s="137"/>
      <c r="AT120" s="137"/>
    </row>
    <row r="121" spans="1:46" x14ac:dyDescent="0.2">
      <c r="A121" s="1045"/>
      <c r="AI121" s="108"/>
      <c r="AJ121" s="108"/>
      <c r="AK121" s="108"/>
      <c r="AL121" s="137"/>
      <c r="AM121" s="137"/>
      <c r="AN121" s="137"/>
      <c r="AO121" s="137"/>
      <c r="AP121" s="137"/>
      <c r="AQ121" s="37"/>
      <c r="AR121" s="37"/>
      <c r="AS121" s="137"/>
      <c r="AT121" s="137"/>
    </row>
    <row r="122" spans="1:46" x14ac:dyDescent="0.2">
      <c r="A122" s="1045"/>
      <c r="AI122" s="108"/>
      <c r="AJ122" s="108"/>
      <c r="AK122" s="108"/>
      <c r="AL122" s="137"/>
      <c r="AM122" s="137"/>
      <c r="AN122" s="137"/>
      <c r="AO122" s="137"/>
      <c r="AP122" s="137"/>
      <c r="AQ122" s="37"/>
      <c r="AR122" s="37"/>
      <c r="AS122" s="137"/>
      <c r="AT122" s="137"/>
    </row>
    <row r="123" spans="1:46" x14ac:dyDescent="0.2">
      <c r="A123" s="1045"/>
      <c r="AI123" s="108"/>
      <c r="AJ123" s="108"/>
      <c r="AK123" s="108"/>
      <c r="AL123" s="137"/>
      <c r="AM123" s="137"/>
      <c r="AN123" s="137"/>
      <c r="AO123" s="137"/>
      <c r="AP123" s="137"/>
      <c r="AQ123" s="37"/>
      <c r="AR123" s="37"/>
      <c r="AS123" s="137"/>
      <c r="AT123" s="137"/>
    </row>
    <row r="124" spans="1:46" x14ac:dyDescent="0.2">
      <c r="A124" s="1045"/>
      <c r="AI124" s="108"/>
      <c r="AJ124" s="108"/>
      <c r="AK124" s="108"/>
      <c r="AL124" s="137"/>
      <c r="AM124" s="137"/>
      <c r="AN124" s="137"/>
      <c r="AO124" s="137"/>
      <c r="AP124" s="137"/>
      <c r="AQ124" s="37"/>
      <c r="AR124" s="37"/>
      <c r="AS124" s="137"/>
      <c r="AT124" s="137"/>
    </row>
    <row r="125" spans="1:46" x14ac:dyDescent="0.2">
      <c r="A125" s="1045"/>
      <c r="AI125" s="108"/>
      <c r="AJ125" s="108"/>
      <c r="AK125" s="108"/>
      <c r="AL125" s="137"/>
      <c r="AM125" s="137"/>
      <c r="AN125" s="137"/>
      <c r="AO125" s="137"/>
      <c r="AP125" s="137"/>
      <c r="AQ125" s="37"/>
      <c r="AR125" s="37"/>
      <c r="AS125" s="137"/>
      <c r="AT125" s="137"/>
    </row>
    <row r="126" spans="1:46" x14ac:dyDescent="0.2">
      <c r="A126" s="1045"/>
      <c r="AI126" s="108"/>
      <c r="AJ126" s="108"/>
      <c r="AK126" s="108"/>
      <c r="AL126" s="137"/>
      <c r="AM126" s="137"/>
      <c r="AN126" s="137"/>
      <c r="AO126" s="137"/>
      <c r="AP126" s="137"/>
      <c r="AQ126" s="37"/>
      <c r="AR126" s="37"/>
      <c r="AS126" s="137"/>
      <c r="AT126" s="137"/>
    </row>
    <row r="127" spans="1:46" x14ac:dyDescent="0.2">
      <c r="A127" s="1045"/>
      <c r="AI127" s="108"/>
      <c r="AJ127" s="108"/>
      <c r="AK127" s="108"/>
      <c r="AL127" s="137"/>
      <c r="AM127" s="137"/>
      <c r="AN127" s="137"/>
      <c r="AO127" s="137"/>
      <c r="AP127" s="137"/>
      <c r="AQ127" s="37"/>
      <c r="AR127" s="37"/>
      <c r="AS127" s="137"/>
      <c r="AT127" s="137"/>
    </row>
    <row r="128" spans="1:46" x14ac:dyDescent="0.2">
      <c r="A128" s="1045"/>
      <c r="AI128" s="108"/>
      <c r="AJ128" s="108"/>
      <c r="AK128" s="108"/>
      <c r="AL128" s="137"/>
      <c r="AM128" s="137"/>
      <c r="AN128" s="137"/>
      <c r="AO128" s="137"/>
      <c r="AP128" s="137"/>
      <c r="AQ128" s="37"/>
      <c r="AR128" s="37"/>
      <c r="AS128" s="137"/>
      <c r="AT128" s="137"/>
    </row>
    <row r="129" spans="1:46" x14ac:dyDescent="0.2">
      <c r="A129" s="1045"/>
      <c r="AI129" s="108"/>
      <c r="AJ129" s="108"/>
      <c r="AK129" s="108"/>
      <c r="AL129" s="137"/>
      <c r="AM129" s="137"/>
      <c r="AN129" s="137"/>
      <c r="AO129" s="137"/>
      <c r="AP129" s="137"/>
      <c r="AQ129" s="37"/>
      <c r="AR129" s="37"/>
      <c r="AS129" s="137"/>
      <c r="AT129" s="137"/>
    </row>
    <row r="130" spans="1:46" x14ac:dyDescent="0.2">
      <c r="A130" s="1045"/>
      <c r="AI130" s="108"/>
      <c r="AJ130" s="108"/>
      <c r="AK130" s="108"/>
      <c r="AL130" s="137"/>
      <c r="AM130" s="137"/>
      <c r="AN130" s="137"/>
      <c r="AO130" s="137"/>
      <c r="AP130" s="137"/>
      <c r="AQ130" s="37"/>
      <c r="AR130" s="37"/>
      <c r="AS130" s="137"/>
      <c r="AT130" s="137"/>
    </row>
    <row r="131" spans="1:46" x14ac:dyDescent="0.2">
      <c r="A131" s="1045"/>
      <c r="AI131" s="108"/>
      <c r="AJ131" s="108"/>
      <c r="AK131" s="108"/>
      <c r="AL131" s="137"/>
      <c r="AM131" s="137"/>
      <c r="AN131" s="137"/>
      <c r="AO131" s="137"/>
      <c r="AP131" s="137"/>
      <c r="AQ131" s="37"/>
      <c r="AR131" s="37"/>
      <c r="AS131" s="137"/>
      <c r="AT131" s="137"/>
    </row>
    <row r="132" spans="1:46" x14ac:dyDescent="0.2">
      <c r="A132" s="1045"/>
      <c r="AI132" s="108"/>
      <c r="AJ132" s="108"/>
      <c r="AK132" s="108"/>
      <c r="AL132" s="137"/>
      <c r="AM132" s="137"/>
      <c r="AN132" s="137"/>
      <c r="AO132" s="137"/>
      <c r="AP132" s="137"/>
      <c r="AQ132" s="37"/>
      <c r="AR132" s="37"/>
      <c r="AS132" s="137"/>
      <c r="AT132" s="137"/>
    </row>
    <row r="133" spans="1:46" x14ac:dyDescent="0.2">
      <c r="A133" s="1045"/>
      <c r="AI133" s="108"/>
      <c r="AJ133" s="108"/>
      <c r="AK133" s="108"/>
      <c r="AL133" s="137"/>
      <c r="AM133" s="137"/>
      <c r="AN133" s="137"/>
      <c r="AO133" s="137"/>
      <c r="AP133" s="137"/>
      <c r="AQ133" s="37"/>
      <c r="AR133" s="37"/>
      <c r="AS133" s="137"/>
      <c r="AT133" s="137"/>
    </row>
    <row r="134" spans="1:46" x14ac:dyDescent="0.2">
      <c r="A134" s="1045"/>
      <c r="AI134" s="108"/>
      <c r="AJ134" s="108"/>
      <c r="AK134" s="108"/>
      <c r="AL134" s="137"/>
      <c r="AM134" s="137"/>
      <c r="AN134" s="137"/>
      <c r="AO134" s="137"/>
      <c r="AP134" s="137"/>
      <c r="AQ134" s="37"/>
      <c r="AR134" s="37"/>
      <c r="AS134" s="137"/>
      <c r="AT134" s="137"/>
    </row>
    <row r="135" spans="1:46" x14ac:dyDescent="0.2">
      <c r="A135" s="1045"/>
      <c r="AI135" s="108"/>
      <c r="AJ135" s="108"/>
      <c r="AK135" s="108"/>
      <c r="AL135" s="137"/>
      <c r="AM135" s="137"/>
      <c r="AN135" s="137"/>
      <c r="AO135" s="137"/>
      <c r="AP135" s="137"/>
      <c r="AQ135" s="37"/>
      <c r="AR135" s="37"/>
      <c r="AS135" s="137"/>
      <c r="AT135" s="137"/>
    </row>
    <row r="136" spans="1:46" x14ac:dyDescent="0.2">
      <c r="A136" s="1045"/>
      <c r="AI136" s="108"/>
      <c r="AJ136" s="108"/>
      <c r="AK136" s="108"/>
      <c r="AL136" s="137"/>
      <c r="AM136" s="137"/>
      <c r="AN136" s="137"/>
      <c r="AO136" s="137"/>
      <c r="AP136" s="137"/>
      <c r="AQ136" s="37"/>
      <c r="AR136" s="37"/>
      <c r="AS136" s="137"/>
      <c r="AT136" s="137"/>
    </row>
    <row r="137" spans="1:46" x14ac:dyDescent="0.2">
      <c r="A137" s="1045"/>
      <c r="AI137" s="108"/>
      <c r="AJ137" s="108"/>
      <c r="AK137" s="108"/>
      <c r="AL137" s="137"/>
      <c r="AM137" s="137"/>
      <c r="AN137" s="137"/>
      <c r="AO137" s="137"/>
      <c r="AP137" s="137"/>
      <c r="AQ137" s="37"/>
      <c r="AR137" s="37"/>
      <c r="AS137" s="137"/>
      <c r="AT137" s="137"/>
    </row>
    <row r="138" spans="1:46" x14ac:dyDescent="0.2">
      <c r="A138" s="1045"/>
      <c r="AI138" s="108"/>
      <c r="AJ138" s="108"/>
      <c r="AK138" s="108"/>
      <c r="AL138" s="137"/>
      <c r="AM138" s="137"/>
      <c r="AN138" s="137"/>
      <c r="AO138" s="137"/>
      <c r="AP138" s="137"/>
      <c r="AQ138" s="37"/>
      <c r="AR138" s="37"/>
      <c r="AS138" s="137"/>
      <c r="AT138" s="137"/>
    </row>
    <row r="139" spans="1:46" x14ac:dyDescent="0.2">
      <c r="A139" s="1045"/>
      <c r="AI139" s="108"/>
      <c r="AJ139" s="108"/>
      <c r="AK139" s="108"/>
      <c r="AL139" s="137"/>
      <c r="AM139" s="137"/>
      <c r="AN139" s="137"/>
      <c r="AO139" s="137"/>
      <c r="AP139" s="137"/>
      <c r="AQ139" s="37"/>
      <c r="AR139" s="37"/>
      <c r="AS139" s="137"/>
      <c r="AT139" s="137"/>
    </row>
    <row r="140" spans="1:46" x14ac:dyDescent="0.2">
      <c r="A140" s="1045"/>
      <c r="AI140" s="108"/>
      <c r="AJ140" s="108"/>
      <c r="AK140" s="108"/>
      <c r="AL140" s="137"/>
      <c r="AM140" s="137"/>
      <c r="AN140" s="137"/>
      <c r="AO140" s="137"/>
      <c r="AP140" s="137"/>
      <c r="AQ140" s="37"/>
      <c r="AR140" s="37"/>
      <c r="AS140" s="137"/>
      <c r="AT140" s="137"/>
    </row>
    <row r="141" spans="1:46" x14ac:dyDescent="0.2">
      <c r="AI141" s="108"/>
      <c r="AJ141" s="108"/>
      <c r="AK141" s="108"/>
      <c r="AL141" s="137"/>
      <c r="AM141" s="137"/>
      <c r="AN141" s="137"/>
      <c r="AO141" s="137"/>
      <c r="AP141" s="137"/>
      <c r="AQ141" s="37"/>
      <c r="AR141" s="37"/>
      <c r="AS141" s="137"/>
      <c r="AT141" s="137"/>
    </row>
    <row r="142" spans="1:46" x14ac:dyDescent="0.2">
      <c r="AI142" s="108"/>
      <c r="AJ142" s="108"/>
      <c r="AK142" s="108"/>
      <c r="AL142" s="137"/>
      <c r="AM142" s="137"/>
      <c r="AN142" s="137"/>
      <c r="AO142" s="137"/>
      <c r="AP142" s="137"/>
      <c r="AQ142" s="37"/>
      <c r="AR142" s="37"/>
      <c r="AS142" s="137"/>
      <c r="AT142" s="137"/>
    </row>
    <row r="143" spans="1:46" x14ac:dyDescent="0.2">
      <c r="AI143" s="108"/>
      <c r="AJ143" s="108"/>
      <c r="AK143" s="108"/>
      <c r="AL143" s="137"/>
      <c r="AM143" s="137"/>
      <c r="AN143" s="137"/>
      <c r="AO143" s="137"/>
      <c r="AP143" s="137"/>
      <c r="AQ143" s="37"/>
      <c r="AR143" s="37"/>
      <c r="AS143" s="137"/>
      <c r="AT143" s="137"/>
    </row>
    <row r="144" spans="1:46" x14ac:dyDescent="0.2">
      <c r="AI144" s="108"/>
      <c r="AJ144" s="108"/>
      <c r="AK144" s="108"/>
      <c r="AL144" s="137"/>
      <c r="AM144" s="137"/>
      <c r="AN144" s="137"/>
      <c r="AO144" s="137"/>
      <c r="AP144" s="137"/>
      <c r="AQ144" s="37"/>
      <c r="AR144" s="37"/>
      <c r="AS144" s="137"/>
      <c r="AT144" s="137"/>
    </row>
    <row r="145" spans="35:46" x14ac:dyDescent="0.2">
      <c r="AI145" s="108"/>
      <c r="AJ145" s="108"/>
      <c r="AK145" s="108"/>
      <c r="AL145" s="137"/>
      <c r="AM145" s="137"/>
      <c r="AN145" s="137"/>
      <c r="AO145" s="137"/>
      <c r="AP145" s="137"/>
      <c r="AQ145" s="37"/>
      <c r="AR145" s="37"/>
      <c r="AS145" s="137"/>
      <c r="AT145" s="137"/>
    </row>
    <row r="146" spans="35:46" x14ac:dyDescent="0.2">
      <c r="AI146" s="108"/>
      <c r="AJ146" s="108"/>
      <c r="AK146" s="108"/>
      <c r="AL146" s="137"/>
      <c r="AM146" s="137"/>
      <c r="AN146" s="137"/>
      <c r="AO146" s="137"/>
      <c r="AP146" s="137"/>
      <c r="AQ146" s="37"/>
      <c r="AR146" s="37"/>
      <c r="AS146" s="137"/>
      <c r="AT146" s="137"/>
    </row>
    <row r="147" spans="35:46" x14ac:dyDescent="0.2">
      <c r="AI147" s="108"/>
      <c r="AJ147" s="108"/>
      <c r="AK147" s="108"/>
      <c r="AL147" s="137"/>
      <c r="AM147" s="137"/>
      <c r="AN147" s="137"/>
      <c r="AO147" s="137"/>
      <c r="AP147" s="137"/>
      <c r="AQ147" s="37"/>
      <c r="AR147" s="37"/>
      <c r="AS147" s="137"/>
      <c r="AT147" s="137"/>
    </row>
    <row r="148" spans="35:46" x14ac:dyDescent="0.2">
      <c r="AI148" s="108"/>
      <c r="AJ148" s="108"/>
      <c r="AK148" s="108"/>
      <c r="AL148" s="137"/>
      <c r="AM148" s="137"/>
      <c r="AN148" s="137"/>
      <c r="AO148" s="137"/>
      <c r="AP148" s="137"/>
      <c r="AQ148" s="37"/>
      <c r="AR148" s="37"/>
      <c r="AS148" s="137"/>
      <c r="AT148" s="137"/>
    </row>
    <row r="149" spans="35:46" x14ac:dyDescent="0.2">
      <c r="AI149" s="108"/>
      <c r="AJ149" s="108"/>
      <c r="AK149" s="108"/>
      <c r="AL149" s="137"/>
      <c r="AM149" s="137"/>
      <c r="AN149" s="137"/>
      <c r="AO149" s="137"/>
      <c r="AP149" s="137"/>
      <c r="AQ149" s="37"/>
      <c r="AR149" s="37"/>
      <c r="AS149" s="137"/>
      <c r="AT149" s="137"/>
    </row>
    <row r="150" spans="35:46" x14ac:dyDescent="0.2">
      <c r="AI150" s="108"/>
      <c r="AJ150" s="108"/>
      <c r="AK150" s="108"/>
      <c r="AL150" s="137"/>
      <c r="AM150" s="137"/>
      <c r="AN150" s="137"/>
      <c r="AO150" s="137"/>
      <c r="AP150" s="137"/>
      <c r="AQ150" s="37"/>
      <c r="AR150" s="37"/>
      <c r="AS150" s="137"/>
      <c r="AT150" s="137"/>
    </row>
    <row r="151" spans="35:46" x14ac:dyDescent="0.2">
      <c r="AI151" s="108"/>
      <c r="AJ151" s="108"/>
      <c r="AK151" s="108"/>
      <c r="AL151" s="137"/>
      <c r="AM151" s="137"/>
      <c r="AN151" s="137"/>
      <c r="AO151" s="137"/>
      <c r="AP151" s="137"/>
      <c r="AQ151" s="37"/>
      <c r="AR151" s="37"/>
      <c r="AS151" s="137"/>
      <c r="AT151" s="137"/>
    </row>
    <row r="152" spans="35:46" x14ac:dyDescent="0.2">
      <c r="AI152" s="108"/>
      <c r="AJ152" s="108"/>
      <c r="AK152" s="108"/>
      <c r="AL152" s="137"/>
      <c r="AM152" s="137"/>
      <c r="AN152" s="137"/>
      <c r="AO152" s="137"/>
    </row>
    <row r="153" spans="35:46" x14ac:dyDescent="0.2">
      <c r="AI153" s="108"/>
      <c r="AJ153" s="108"/>
      <c r="AK153" s="108"/>
      <c r="AL153" s="137"/>
      <c r="AM153" s="137"/>
      <c r="AN153" s="137"/>
      <c r="AO153" s="137"/>
    </row>
    <row r="154" spans="35:46" x14ac:dyDescent="0.2">
      <c r="AK154" s="108"/>
    </row>
  </sheetData>
  <sheetProtection algorithmName="SHA-512" hashValue="TGZPmxcr9k1VtQ79UnvYQ42JYznTcBIwftdtRzuNKuru5FrPVp7DbwhcH3WHeGbAqStUqruENt31YslqQNJ8gQ==" saltValue="0LFP1iBmX/AfXF0r3u335w==" spinCount="100000" sheet="1" objects="1" scenarios="1"/>
  <mergeCells count="56">
    <mergeCell ref="R75:T75"/>
    <mergeCell ref="A99:A140"/>
    <mergeCell ref="N90:S90"/>
    <mergeCell ref="N91:S91"/>
    <mergeCell ref="N89:S89"/>
    <mergeCell ref="N76:S76"/>
    <mergeCell ref="N77:S77"/>
    <mergeCell ref="N78:S78"/>
    <mergeCell ref="N79:S79"/>
    <mergeCell ref="N80:S80"/>
    <mergeCell ref="R86:T86"/>
    <mergeCell ref="N87:S87"/>
    <mergeCell ref="N88:S88"/>
    <mergeCell ref="B27:G27"/>
    <mergeCell ref="B20:C20"/>
    <mergeCell ref="F20:H20"/>
    <mergeCell ref="D53:E53"/>
    <mergeCell ref="B28:G28"/>
    <mergeCell ref="B31:J33"/>
    <mergeCell ref="P29:Q29"/>
    <mergeCell ref="P71:T71"/>
    <mergeCell ref="P25:Q25"/>
    <mergeCell ref="B12:G12"/>
    <mergeCell ref="B16:G16"/>
    <mergeCell ref="P14:Q14"/>
    <mergeCell ref="B17:G17"/>
    <mergeCell ref="B21:G21"/>
    <mergeCell ref="B22:G22"/>
    <mergeCell ref="B23:G23"/>
    <mergeCell ref="D15:G15"/>
    <mergeCell ref="B24:C26"/>
    <mergeCell ref="D24:G24"/>
    <mergeCell ref="D25:G25"/>
    <mergeCell ref="B13:C15"/>
    <mergeCell ref="D13:G13"/>
    <mergeCell ref="D14:G14"/>
    <mergeCell ref="D26:G26"/>
    <mergeCell ref="AQ1:AT1"/>
    <mergeCell ref="B2:C2"/>
    <mergeCell ref="B10:G10"/>
    <mergeCell ref="B11:G11"/>
    <mergeCell ref="B9:C9"/>
    <mergeCell ref="F9:H9"/>
    <mergeCell ref="K4:L5"/>
    <mergeCell ref="B7:C7"/>
    <mergeCell ref="G7:H7"/>
    <mergeCell ref="F5:J5"/>
    <mergeCell ref="B55:C55"/>
    <mergeCell ref="D55:E55"/>
    <mergeCell ref="B56:C56"/>
    <mergeCell ref="D56:E56"/>
    <mergeCell ref="B52:C52"/>
    <mergeCell ref="B53:C53"/>
    <mergeCell ref="B54:C54"/>
    <mergeCell ref="D54:E54"/>
    <mergeCell ref="D52:E52"/>
  </mergeCells>
  <phoneticPr fontId="117" type="noConversion"/>
  <conditionalFormatting sqref="E9">
    <cfRule type="expression" dxfId="225" priority="30">
      <formula>$M$15&gt;0</formula>
    </cfRule>
  </conditionalFormatting>
  <conditionalFormatting sqref="I15">
    <cfRule type="expression" dxfId="224" priority="17">
      <formula>$M$15=0</formula>
    </cfRule>
    <cfRule type="containsText" dxfId="223" priority="18" operator="containsText" text="Doplňte">
      <formula>NOT(ISERROR(SEARCH("Doplňte",I15)))</formula>
    </cfRule>
  </conditionalFormatting>
  <conditionalFormatting sqref="I26">
    <cfRule type="expression" dxfId="222" priority="11">
      <formula>$M$15=0</formula>
    </cfRule>
    <cfRule type="containsText" dxfId="221" priority="12" operator="containsText" text="Doplňte">
      <formula>NOT(ISERROR(SEARCH("Doplňte",I26)))</formula>
    </cfRule>
  </conditionalFormatting>
  <conditionalFormatting sqref="I12">
    <cfRule type="containsText" dxfId="220" priority="5" operator="containsText" text="Doplňte">
      <formula>NOT(ISERROR(SEARCH("Doplňte",I12)))</formula>
    </cfRule>
  </conditionalFormatting>
  <conditionalFormatting sqref="I12">
    <cfRule type="expression" dxfId="219" priority="4">
      <formula>$M$15=0</formula>
    </cfRule>
  </conditionalFormatting>
  <conditionalFormatting sqref="I23">
    <cfRule type="containsText" dxfId="218" priority="3" operator="containsText" text="Doplňte">
      <formula>NOT(ISERROR(SEARCH("Doplňte",I23)))</formula>
    </cfRule>
  </conditionalFormatting>
  <conditionalFormatting sqref="I23">
    <cfRule type="expression" dxfId="217" priority="2">
      <formula>$M$26=0</formula>
    </cfRule>
  </conditionalFormatting>
  <conditionalFormatting sqref="E20">
    <cfRule type="expression" dxfId="216" priority="1">
      <formula>$M$26&gt;0</formula>
    </cfRule>
  </conditionalFormatting>
  <hyperlinks>
    <hyperlink ref="N76:S76" location="HLw!H10" tooltip=" " display="HLw!H10" xr:uid="{37976FAB-9872-4496-8B43-1ECB72AE6944}"/>
    <hyperlink ref="N77:S77" location="HLw!H11" tooltip=" " display="HLw!H11" xr:uid="{13B0EA62-6ECB-4470-BAB4-83852BE53A9C}"/>
    <hyperlink ref="N87:S87" location="HLw!H19" tooltip=" " display="HLw!H19" xr:uid="{8EB3F5AA-26AA-4521-A629-398D547E3685}"/>
    <hyperlink ref="N88:S88" location="HLw!H20" tooltip=" " display="HLw!H20" xr:uid="{9AA07F49-60FB-41DE-9EA9-05D25F32BA6C}"/>
    <hyperlink ref="AK5" location="HLw!A110" tooltip=" " display="HLw!A110" xr:uid="{EA0BA286-6125-4251-922A-983A3CCF0D01}"/>
    <hyperlink ref="L112" location="HLw!A1" tooltip=" " display="HLw!A1" xr:uid="{3FDC4096-63F2-403A-BDC8-0111BFF2D8D0}"/>
    <hyperlink ref="AK9" location="SumAVS!A1" tooltip=" " display="SumAVS!A1" xr:uid="{881F37CF-2E32-4D8C-9EB7-A962E5DA422B}"/>
    <hyperlink ref="AK10" location="OrdAVS!A1" tooltip=" " display="OrdAVS!A1" xr:uid="{F3F56FBC-C67F-482D-923A-A2AF3A58991F}"/>
    <hyperlink ref="AK7" location="AcsAVS!A1" tooltip=" " display="AcsAVS!A1" xr:uid="{D61862BE-BB8E-49B8-9096-A2B4C741CEC1}"/>
    <hyperlink ref="AK4" location="MenuAVS!A1" tooltip=" " display="MenuAVS!A1" xr:uid="{E890352C-2AAD-44D8-99F5-228758DE4D46}"/>
    <hyperlink ref="B2:C2" location="HL!A1" tooltip=" " display="AVENTOS HL" xr:uid="{BE56ECCA-11C1-4519-92FF-701A75E8FA2F}"/>
  </hyperlinks>
  <pageMargins left="0.62992125984251968" right="0.23622047244094488" top="0.74803149606299213" bottom="0.74803149606299213" header="0.31496062992125984" footer="0.31496062992125984"/>
  <pageSetup paperSize="9" orientation="portrait" horizontalDpi="4294967293"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65891" r:id="rId4" name="Drop Down 3">
              <controlPr defaultSize="0" autoLine="0" autoPict="0">
                <anchor moveWithCells="1">
                  <from>
                    <xdr:col>3</xdr:col>
                    <xdr:colOff>19050</xdr:colOff>
                    <xdr:row>6</xdr:row>
                    <xdr:rowOff>0</xdr:rowOff>
                  </from>
                  <to>
                    <xdr:col>5</xdr:col>
                    <xdr:colOff>571500</xdr:colOff>
                    <xdr:row>7</xdr:row>
                    <xdr:rowOff>0</xdr:rowOff>
                  </to>
                </anchor>
              </controlPr>
            </control>
          </mc:Choice>
        </mc:AlternateContent>
        <mc:AlternateContent xmlns:mc="http://schemas.openxmlformats.org/markup-compatibility/2006">
          <mc:Choice Requires="x14">
            <control shapeId="165896" r:id="rId5" name="Drop Down 8">
              <controlPr defaultSize="0" autoLine="0" autoPict="0">
                <anchor moveWithCells="1">
                  <from>
                    <xdr:col>1</xdr:col>
                    <xdr:colOff>0</xdr:colOff>
                    <xdr:row>9</xdr:row>
                    <xdr:rowOff>0</xdr:rowOff>
                  </from>
                  <to>
                    <xdr:col>3</xdr:col>
                    <xdr:colOff>19050</xdr:colOff>
                    <xdr:row>10</xdr:row>
                    <xdr:rowOff>0</xdr:rowOff>
                  </to>
                </anchor>
              </controlPr>
            </control>
          </mc:Choice>
        </mc:AlternateContent>
        <mc:AlternateContent xmlns:mc="http://schemas.openxmlformats.org/markup-compatibility/2006">
          <mc:Choice Requires="x14">
            <control shapeId="165897" r:id="rId6" name="Drop Down 9">
              <controlPr defaultSize="0" autoLine="0" autoPict="0">
                <anchor moveWithCells="1">
                  <from>
                    <xdr:col>1</xdr:col>
                    <xdr:colOff>0</xdr:colOff>
                    <xdr:row>20</xdr:row>
                    <xdr:rowOff>0</xdr:rowOff>
                  </from>
                  <to>
                    <xdr:col>3</xdr:col>
                    <xdr:colOff>9525</xdr:colOff>
                    <xdr:row>21</xdr:row>
                    <xdr:rowOff>0</xdr:rowOff>
                  </to>
                </anchor>
              </controlPr>
            </control>
          </mc:Choice>
        </mc:AlternateContent>
        <mc:AlternateContent xmlns:mc="http://schemas.openxmlformats.org/markup-compatibility/2006">
          <mc:Choice Requires="x14">
            <control shapeId="165898" r:id="rId7" name="Drop Down 10">
              <controlPr defaultSize="0" autoLine="0" autoPict="0">
                <anchor moveWithCells="1">
                  <from>
                    <xdr:col>5</xdr:col>
                    <xdr:colOff>590550</xdr:colOff>
                    <xdr:row>3</xdr:row>
                    <xdr:rowOff>0</xdr:rowOff>
                  </from>
                  <to>
                    <xdr:col>8</xdr:col>
                    <xdr:colOff>571500</xdr:colOff>
                    <xdr:row>4</xdr:row>
                    <xdr:rowOff>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A5B84-A84C-4BD4-8A19-9BA5ECBD3288}">
  <sheetPr codeName="Sheet44">
    <tabColor indexed="17"/>
  </sheetPr>
  <dimension ref="A1:AU153"/>
  <sheetViews>
    <sheetView showGridLines="0" showRowColHeaders="0" zoomScaleNormal="100" workbookViewId="0">
      <selection activeCell="H28" sqref="H28"/>
    </sheetView>
  </sheetViews>
  <sheetFormatPr defaultColWidth="8.28515625" defaultRowHeight="12" x14ac:dyDescent="0.2"/>
  <cols>
    <col min="1" max="1" width="1.28515625" style="37" customWidth="1"/>
    <col min="2" max="9" width="8.5703125" style="37" customWidth="1"/>
    <col min="10" max="10" width="6.7109375" style="37" customWidth="1"/>
    <col min="11" max="11" width="10.42578125" style="37" customWidth="1"/>
    <col min="12" max="12" width="17.28515625" style="37" customWidth="1"/>
    <col min="13" max="14" width="6.42578125" style="37" hidden="1" customWidth="1"/>
    <col min="15" max="15" width="6.42578125" style="118" hidden="1" customWidth="1"/>
    <col min="16" max="16" width="6.42578125" style="37" hidden="1" customWidth="1"/>
    <col min="17" max="17" width="6" style="118" hidden="1" customWidth="1"/>
    <col min="18" max="18" width="6.42578125" style="37" hidden="1" customWidth="1"/>
    <col min="19" max="22" width="7.7109375" style="37" hidden="1" customWidth="1"/>
    <col min="23" max="24" width="6.42578125" style="37" hidden="1" customWidth="1"/>
    <col min="25" max="25" width="37.28515625" style="37" hidden="1" customWidth="1"/>
    <col min="26" max="26" width="13.5703125" style="37" hidden="1" customWidth="1"/>
    <col min="27" max="29" width="6.7109375" style="37" hidden="1" customWidth="1"/>
    <col min="30" max="30" width="9.42578125" style="37" hidden="1" customWidth="1"/>
    <col min="31" max="34" width="7.7109375" style="37" hidden="1" customWidth="1"/>
    <col min="35" max="35" width="3.28515625" style="36" hidden="1" customWidth="1"/>
    <col min="36" max="36" width="5.28515625" style="36" customWidth="1"/>
    <col min="37" max="37" width="23.42578125" style="36" customWidth="1"/>
    <col min="38" max="42" width="8.28515625" style="121"/>
    <col min="43" max="43" width="13.28515625" style="121" customWidth="1"/>
    <col min="44" max="46" width="19.7109375" style="121" customWidth="1"/>
    <col min="47" max="16384" width="8.28515625" style="121"/>
  </cols>
  <sheetData>
    <row r="1" spans="1:46" ht="4.5" customHeight="1" thickBot="1" x14ac:dyDescent="0.25">
      <c r="L1" s="137"/>
      <c r="AI1" s="108"/>
      <c r="AJ1" s="108"/>
      <c r="AK1" s="108"/>
      <c r="AL1" s="137"/>
      <c r="AM1" s="137"/>
      <c r="AN1" s="137"/>
      <c r="AO1" s="137"/>
      <c r="AP1" s="137"/>
      <c r="AQ1" s="1045"/>
      <c r="AR1" s="1045"/>
      <c r="AS1" s="1045"/>
      <c r="AT1" s="1045"/>
    </row>
    <row r="2" spans="1:46" s="36" customFormat="1" ht="19.5" customHeight="1" thickBot="1" x14ac:dyDescent="0.25">
      <c r="A2" s="108"/>
      <c r="B2" s="1048" t="s">
        <v>669</v>
      </c>
      <c r="C2" s="1048"/>
      <c r="D2" s="884"/>
      <c r="E2" s="884"/>
      <c r="F2" s="884"/>
      <c r="G2" s="884"/>
      <c r="H2" s="884"/>
      <c r="I2" s="884"/>
      <c r="J2" s="884"/>
      <c r="K2" s="884"/>
      <c r="L2" s="884"/>
      <c r="M2" s="108"/>
      <c r="N2" s="343"/>
      <c r="O2" s="108" t="s">
        <v>64</v>
      </c>
      <c r="P2" s="37"/>
      <c r="Q2" s="343"/>
      <c r="R2" s="343"/>
      <c r="S2" s="117">
        <v>3</v>
      </c>
      <c r="T2" s="342"/>
      <c r="U2" s="342"/>
      <c r="V2" s="37"/>
      <c r="W2" s="343"/>
      <c r="X2" s="343"/>
      <c r="Y2" s="343"/>
      <c r="Z2" s="343"/>
      <c r="AA2" s="343"/>
      <c r="AB2" s="343"/>
      <c r="AC2" s="343"/>
      <c r="AD2" s="343"/>
      <c r="AE2" s="343"/>
      <c r="AF2" s="343"/>
      <c r="AG2" s="343"/>
      <c r="AH2" s="343"/>
      <c r="AI2" s="108"/>
      <c r="AJ2" s="108"/>
      <c r="AK2" s="379" t="str">
        <f>ListAVS!$B$153</f>
        <v>Przejdź do</v>
      </c>
      <c r="AL2" s="108"/>
      <c r="AM2" s="108"/>
      <c r="AN2" s="108"/>
      <c r="AO2" s="108"/>
      <c r="AP2" s="108"/>
      <c r="AQ2" s="108"/>
      <c r="AR2" s="108"/>
      <c r="AS2" s="108"/>
      <c r="AT2" s="108"/>
    </row>
    <row r="3" spans="1:46" ht="3.75" customHeight="1" x14ac:dyDescent="0.2">
      <c r="B3" s="312"/>
      <c r="C3" s="306"/>
      <c r="D3" s="306"/>
      <c r="E3" s="306"/>
      <c r="F3" s="306"/>
      <c r="G3" s="306"/>
      <c r="H3" s="306"/>
      <c r="I3" s="306"/>
      <c r="J3" s="306"/>
      <c r="K3" s="306"/>
      <c r="L3" s="137"/>
      <c r="V3" s="344"/>
      <c r="AI3" s="108"/>
      <c r="AJ3" s="108"/>
      <c r="AK3" s="670"/>
      <c r="AL3" s="137"/>
      <c r="AM3" s="137"/>
      <c r="AN3" s="137"/>
      <c r="AO3" s="137"/>
      <c r="AP3" s="137"/>
      <c r="AQ3" s="37"/>
      <c r="AR3" s="37"/>
      <c r="AS3" s="137"/>
      <c r="AT3" s="137"/>
    </row>
    <row r="4" spans="1:46" ht="16.149999999999999" customHeight="1" thickBot="1" x14ac:dyDescent="0.25">
      <c r="B4" s="313" t="str">
        <f>ListAVS!$B$20&amp;" ***"</f>
        <v>Szeroka ramka aluminiowa ***</v>
      </c>
      <c r="C4" s="313"/>
      <c r="D4" s="266"/>
      <c r="E4" s="313"/>
      <c r="F4" s="269" t="str">
        <f>ListAVS!$B$180&amp;"  "</f>
        <v xml:space="preserve">Wykonanie frontów  </v>
      </c>
      <c r="G4" s="255"/>
      <c r="H4" s="255"/>
      <c r="I4" s="255"/>
      <c r="J4" s="260"/>
      <c r="K4" s="593" t="str">
        <f>U70</f>
        <v xml:space="preserve"> </v>
      </c>
      <c r="L4" s="266"/>
      <c r="N4" s="317"/>
      <c r="O4" s="117">
        <v>1</v>
      </c>
      <c r="Q4" s="317"/>
      <c r="R4" s="344"/>
      <c r="S4" s="37" t="str">
        <f>" "&amp;ListAVS!$B$41&amp;" A "</f>
        <v xml:space="preserve"> Cena za korpus A </v>
      </c>
      <c r="T4" s="345"/>
      <c r="U4" s="344"/>
      <c r="V4" s="344"/>
      <c r="W4" s="342"/>
      <c r="X4" s="342"/>
      <c r="Y4" s="342"/>
      <c r="Z4" s="342"/>
      <c r="AA4" s="342"/>
      <c r="AB4" s="342"/>
      <c r="AC4" s="342"/>
      <c r="AD4" s="342"/>
      <c r="AE4" s="342"/>
      <c r="AF4" s="342"/>
      <c r="AG4" s="342"/>
      <c r="AH4" s="342"/>
      <c r="AI4" s="108"/>
      <c r="AJ4" s="108"/>
      <c r="AK4" s="383" t="s">
        <v>77</v>
      </c>
      <c r="AL4" s="137"/>
      <c r="AM4" s="137"/>
      <c r="AN4" s="137"/>
      <c r="AO4" s="137"/>
      <c r="AP4" s="137"/>
      <c r="AQ4" s="37"/>
      <c r="AR4" s="37"/>
      <c r="AS4" s="137"/>
      <c r="AT4" s="137"/>
    </row>
    <row r="5" spans="1:46" ht="16.149999999999999" customHeight="1" x14ac:dyDescent="0.2">
      <c r="B5" s="266"/>
      <c r="C5" s="313"/>
      <c r="D5" s="313"/>
      <c r="E5" s="313"/>
      <c r="F5" s="1027" t="str">
        <f>IF($AF$76&lt;&gt;3,$Y$71," ")&amp;"      "</f>
        <v xml:space="preserve"> Możesz zmienić wartości we Wstępie do planowania      </v>
      </c>
      <c r="G5" s="1027"/>
      <c r="H5" s="1027"/>
      <c r="I5" s="1027"/>
      <c r="J5" s="1027"/>
      <c r="K5" s="434"/>
      <c r="L5" s="266"/>
      <c r="N5" s="317"/>
      <c r="O5" s="118" t="s">
        <v>65</v>
      </c>
      <c r="Q5" s="317"/>
      <c r="R5" s="344"/>
      <c r="S5" s="37" t="str">
        <f>" "&amp;ListAVS!$B$41&amp;" B "</f>
        <v xml:space="preserve"> Cena za korpus B </v>
      </c>
      <c r="T5" s="346"/>
      <c r="U5" s="344"/>
      <c r="V5" s="344"/>
      <c r="W5" s="345"/>
      <c r="X5" s="345"/>
      <c r="Y5" s="345"/>
      <c r="Z5" s="345"/>
      <c r="AA5" s="345"/>
      <c r="AB5" s="345"/>
      <c r="AC5" s="345"/>
      <c r="AD5" s="345"/>
      <c r="AE5" s="345"/>
      <c r="AF5" s="345"/>
      <c r="AG5" s="345"/>
      <c r="AH5" s="345"/>
      <c r="AI5" s="108"/>
      <c r="AJ5" s="108"/>
      <c r="AK5" s="708" t="str">
        <f>" "&amp;ListAVS!$B$155</f>
        <v xml:space="preserve"> Pomoc</v>
      </c>
      <c r="AL5" s="137"/>
      <c r="AM5" s="137"/>
      <c r="AN5" s="137"/>
      <c r="AO5" s="137"/>
      <c r="AP5" s="137"/>
      <c r="AQ5" s="37"/>
      <c r="AR5" s="37"/>
      <c r="AS5" s="137"/>
      <c r="AT5" s="137"/>
    </row>
    <row r="6" spans="1:46" ht="22.5" customHeight="1" x14ac:dyDescent="0.2">
      <c r="B6" s="313"/>
      <c r="C6" s="313"/>
      <c r="D6" s="313"/>
      <c r="E6" s="313"/>
      <c r="F6" s="266"/>
      <c r="G6" s="434"/>
      <c r="H6" s="434"/>
      <c r="I6" s="434"/>
      <c r="J6" s="434"/>
      <c r="K6" s="434"/>
      <c r="L6" s="266"/>
      <c r="N6" s="317"/>
      <c r="O6" s="323" t="s">
        <v>66</v>
      </c>
      <c r="Q6" s="317"/>
      <c r="R6" s="344"/>
      <c r="S6" s="37" t="str">
        <f>" "&amp;ListAVS!$B$61</f>
        <v xml:space="preserve"> Cena całkowita bez VAT</v>
      </c>
      <c r="T6" s="346"/>
      <c r="U6" s="344"/>
      <c r="V6" s="344"/>
      <c r="W6" s="346"/>
      <c r="X6" s="346"/>
      <c r="Y6" s="346"/>
      <c r="Z6" s="346"/>
      <c r="AA6" s="346"/>
      <c r="AB6" s="346"/>
      <c r="AC6" s="346"/>
      <c r="AD6" s="346"/>
      <c r="AE6" s="346"/>
      <c r="AF6" s="346"/>
      <c r="AG6" s="346"/>
      <c r="AH6" s="346"/>
      <c r="AI6" s="108"/>
      <c r="AJ6" s="108"/>
      <c r="AK6" s="736"/>
      <c r="AL6" s="137"/>
      <c r="AM6" s="137"/>
      <c r="AN6" s="137"/>
      <c r="AO6" s="137"/>
      <c r="AP6" s="137"/>
      <c r="AQ6" s="37"/>
      <c r="AR6" s="37"/>
      <c r="AS6" s="137"/>
      <c r="AT6" s="137"/>
    </row>
    <row r="7" spans="1:46" ht="16.149999999999999" customHeight="1" x14ac:dyDescent="0.2">
      <c r="B7" s="1059" t="str">
        <f>ListAVS!$B$51&amp;":   "</f>
        <v xml:space="preserve">Cena okucia:   </v>
      </c>
      <c r="C7" s="1060"/>
      <c r="D7" s="255"/>
      <c r="E7" s="266"/>
      <c r="F7" s="266"/>
      <c r="G7" s="1061">
        <f>IF(S2=1,$AF$45,IF($S$2=2,$AH$45,IF($S$2=3,$AD$45,0)))</f>
        <v>0</v>
      </c>
      <c r="H7" s="1062"/>
      <c r="I7" s="255"/>
      <c r="J7" s="255"/>
      <c r="K7" s="255"/>
      <c r="L7" s="255"/>
      <c r="N7" s="317"/>
      <c r="O7" s="344"/>
      <c r="Q7" s="317"/>
      <c r="R7" s="344"/>
      <c r="T7" s="346"/>
      <c r="U7" s="344"/>
      <c r="V7" s="344"/>
      <c r="W7" s="346"/>
      <c r="X7" s="346"/>
      <c r="Y7" s="156" t="str">
        <f>$B$2</f>
        <v>AVENTOS HL top</v>
      </c>
      <c r="Z7" s="157">
        <f>B5</f>
        <v>0</v>
      </c>
      <c r="AA7" s="157"/>
      <c r="AB7" s="157"/>
      <c r="AC7" s="157"/>
      <c r="AD7" s="158"/>
      <c r="AG7" s="118"/>
      <c r="AI7" s="108"/>
      <c r="AJ7" s="108"/>
      <c r="AK7" s="675" t="str">
        <f>" "&amp;ListAVS!$B$160</f>
        <v xml:space="preserve"> Dodatki</v>
      </c>
      <c r="AL7" s="137"/>
      <c r="AM7" s="137"/>
      <c r="AN7" s="137"/>
      <c r="AO7" s="137"/>
      <c r="AP7" s="137"/>
      <c r="AQ7" s="956" t="str">
        <f>ListAVS!B84&amp;":"</f>
        <v>Mechanizm podnoszący:</v>
      </c>
      <c r="AR7" s="37"/>
      <c r="AS7" s="137"/>
      <c r="AT7" s="137"/>
    </row>
    <row r="8" spans="1:46" ht="25.15" customHeight="1" thickBot="1" x14ac:dyDescent="0.25">
      <c r="B8" s="255"/>
      <c r="C8" s="255"/>
      <c r="D8" s="255"/>
      <c r="E8" s="255"/>
      <c r="F8" s="255"/>
      <c r="G8" s="255"/>
      <c r="H8" s="269" t="str">
        <f>IF(AND(OR($R$14=2, $R$24=2), $AD$45&gt;0), $N$34, " ")</f>
        <v xml:space="preserve"> </v>
      </c>
      <c r="I8" s="255"/>
      <c r="J8" s="255"/>
      <c r="K8" s="255"/>
      <c r="L8" s="255"/>
      <c r="N8" s="317"/>
      <c r="O8" s="344"/>
      <c r="P8" s="317"/>
      <c r="Q8" s="317"/>
      <c r="R8" s="344"/>
      <c r="S8" s="108"/>
      <c r="T8" s="346"/>
      <c r="U8" s="344"/>
      <c r="V8" s="344"/>
      <c r="W8" s="346"/>
      <c r="X8" s="346"/>
      <c r="Y8" s="159" t="str">
        <f>ListAVS!B52</f>
        <v>Nazwa</v>
      </c>
      <c r="Z8" s="160" t="str">
        <f>ListAVS!$B$53</f>
        <v>Kod asortymentu</v>
      </c>
      <c r="AA8" s="161" t="str">
        <f>ListAVS!B54</f>
        <v>Kolor</v>
      </c>
      <c r="AB8" s="161" t="str">
        <f>ListAVS!B56</f>
        <v>Sztuka</v>
      </c>
      <c r="AC8" s="162" t="str">
        <f>ListAVS!B58</f>
        <v>Cena za sztukę</v>
      </c>
      <c r="AD8" s="161" t="str">
        <f>ListAVS!B59</f>
        <v>W sumie</v>
      </c>
      <c r="AE8" s="204" t="s">
        <v>29</v>
      </c>
      <c r="AF8" s="163" t="s">
        <v>30</v>
      </c>
      <c r="AG8" s="163" t="s">
        <v>31</v>
      </c>
      <c r="AH8" s="163" t="s">
        <v>30</v>
      </c>
      <c r="AI8" s="108"/>
      <c r="AJ8" s="108"/>
      <c r="AK8" s="671"/>
      <c r="AL8" s="137"/>
      <c r="AM8" s="137"/>
      <c r="AN8" s="137"/>
      <c r="AO8" s="137"/>
      <c r="AP8" s="137"/>
      <c r="AQ8" s="953" t="str">
        <f>ListAVS!$B$75&amp;" KH (mm)"</f>
        <v>Wysokość korpusu KH (mm)</v>
      </c>
      <c r="AR8" s="953" t="str">
        <f>ListAVS!$B$84&amp;" "&amp;ListAVS!$B$350</f>
        <v>Mechanizm podnoszący wkręty</v>
      </c>
      <c r="AS8" s="953" t="str">
        <f>ListAVS!$B$84&amp;" "&amp;ListAVS!$B$351</f>
        <v>Mechanizm podnoszący wstępnie zamontowane eurowkręty</v>
      </c>
    </row>
    <row r="9" spans="1:46" ht="16.149999999999999" customHeight="1" thickBot="1" x14ac:dyDescent="0.25">
      <c r="B9" s="1051" t="str">
        <f>"▼ "&amp;ListAVS!$B$318</f>
        <v>▼ Sposób otwierania</v>
      </c>
      <c r="C9" s="1052"/>
      <c r="D9" s="406" t="str">
        <f>IF($M$15&gt;0, ListAVS!$B$37&amp;": ", " ")</f>
        <v xml:space="preserve"> </v>
      </c>
      <c r="E9" s="688" t="str">
        <f>IF(SUM($AE$9:$AE$10)&gt;0, "22", IF(SUM($AE$11:$AE$12)&gt;0,"25", " "))</f>
        <v xml:space="preserve"> </v>
      </c>
      <c r="F9" s="1056" t="str">
        <f>ListAVS!$B$64&amp;" A"</f>
        <v>Korpus A</v>
      </c>
      <c r="G9" s="1057"/>
      <c r="H9" s="1058"/>
      <c r="I9" s="273"/>
      <c r="J9" s="255"/>
      <c r="K9" s="255"/>
      <c r="L9" s="255"/>
      <c r="R9" s="37" t="s">
        <v>727</v>
      </c>
      <c r="S9" s="923"/>
      <c r="T9" s="923"/>
      <c r="U9" s="737"/>
      <c r="V9" s="737"/>
      <c r="W9" s="737"/>
      <c r="X9" s="737"/>
      <c r="Y9" s="164" t="str">
        <f>CenAVS!A36</f>
        <v xml:space="preserve">Aventos HL Top słaby, wkręty      </v>
      </c>
      <c r="Z9" s="164" t="str">
        <f>CenAVS!B36</f>
        <v>22L2200</v>
      </c>
      <c r="AA9" s="301" t="str">
        <f>CenAVS!C36</f>
        <v>ZN</v>
      </c>
      <c r="AB9" s="165">
        <f t="shared" ref="AB9:AB17" si="0">SUM(AE9,AG9)</f>
        <v>0</v>
      </c>
      <c r="AC9" s="395">
        <f>CenAVS!F36</f>
        <v>191.41126</v>
      </c>
      <c r="AD9" s="167">
        <f>AB9*AC9</f>
        <v>0</v>
      </c>
      <c r="AE9" s="407">
        <f>IF($W$45=1, $O$10*$M$15, 0)</f>
        <v>0</v>
      </c>
      <c r="AF9" s="168">
        <f>$AC9*AE9</f>
        <v>0</v>
      </c>
      <c r="AG9" s="407">
        <f>IF($W$45=1, $O$21*$M$26, 0)</f>
        <v>0</v>
      </c>
      <c r="AH9" s="168">
        <f>$AC9*AG9</f>
        <v>0</v>
      </c>
      <c r="AI9" s="108"/>
      <c r="AJ9" s="108"/>
      <c r="AK9" s="383" t="str">
        <f>" "&amp;ListAVS!$B$157</f>
        <v xml:space="preserve"> Rodzaje korpusów</v>
      </c>
      <c r="AL9" s="137"/>
      <c r="AM9" s="137"/>
      <c r="AN9" s="137"/>
      <c r="AO9" s="137"/>
      <c r="AP9" s="137"/>
      <c r="AQ9" s="954" t="s">
        <v>773</v>
      </c>
      <c r="AR9" s="955" t="s">
        <v>712</v>
      </c>
      <c r="AS9" s="955" t="s">
        <v>722</v>
      </c>
    </row>
    <row r="10" spans="1:46" s="122" customFormat="1" ht="16.149999999999999" customHeight="1" thickBot="1" x14ac:dyDescent="0.25">
      <c r="A10" s="37"/>
      <c r="B10" s="1011" t="str">
        <f>ListAVS!$B$74&amp;" KB [mm] "</f>
        <v xml:space="preserve">Szerokość korpusu KB [mm] </v>
      </c>
      <c r="C10" s="1012"/>
      <c r="D10" s="1012"/>
      <c r="E10" s="1012"/>
      <c r="F10" s="1012"/>
      <c r="G10" s="1013"/>
      <c r="H10" s="435"/>
      <c r="I10" s="256" t="str">
        <f>IF($H10=0," ",IF($H10&lt;220," min. 220mm",IF($H10&gt;1800," max. 1 800mm"," ")))&amp;IF(AND(H17&gt;0,H10=0),"● "&amp;ListAVS!$B$129," ")</f>
        <v xml:space="preserve">  </v>
      </c>
      <c r="J10" s="255"/>
      <c r="K10" s="255"/>
      <c r="L10" s="255"/>
      <c r="M10" s="37"/>
      <c r="N10" s="929" t="s">
        <v>726</v>
      </c>
      <c r="O10" s="929">
        <f>IF(AND($H$11&gt;=$Z$44, $H$11&lt;=$AA$45), 1, 0)</f>
        <v>0</v>
      </c>
      <c r="P10" s="929" t="s">
        <v>35</v>
      </c>
      <c r="Q10" s="929">
        <f>IF(AND($H$11&gt;=$Z$44, $H$11&lt;=$AA$44, Q$15&gt;=$AB$44, $Q$15&lt;=$AC$44), 1, 0)</f>
        <v>0</v>
      </c>
      <c r="R10" s="344"/>
      <c r="S10" s="344"/>
      <c r="T10" s="344"/>
      <c r="U10" s="344"/>
      <c r="V10" s="344"/>
      <c r="W10" s="714"/>
      <c r="X10" s="714"/>
      <c r="Y10" s="164" t="str">
        <f>CenAVS!A37</f>
        <v xml:space="preserve">Aventos HL Top słaby, eurowkręty      </v>
      </c>
      <c r="Z10" s="164" t="str">
        <f>CenAVS!B37</f>
        <v>22L2210</v>
      </c>
      <c r="AA10" s="301" t="str">
        <f>CenAVS!C37</f>
        <v>ZN</v>
      </c>
      <c r="AB10" s="165">
        <f t="shared" si="0"/>
        <v>0</v>
      </c>
      <c r="AC10" s="395">
        <f>CenAVS!F37</f>
        <v>192.89991000000001</v>
      </c>
      <c r="AD10" s="167">
        <f t="shared" ref="AD10:AD17" si="1">AB10*AC10</f>
        <v>0</v>
      </c>
      <c r="AE10" s="407">
        <f>IF($W$45=2, $O$10*$M$15, 0)</f>
        <v>0</v>
      </c>
      <c r="AF10" s="168">
        <f>$AC10*AE10</f>
        <v>0</v>
      </c>
      <c r="AG10" s="407">
        <f>IF($W$45=2, $O$21*$M$26, 0)</f>
        <v>0</v>
      </c>
      <c r="AH10" s="168">
        <f>$AC10*AG10</f>
        <v>0</v>
      </c>
      <c r="AI10" s="108"/>
      <c r="AJ10" s="108"/>
      <c r="AK10" s="383" t="str">
        <f>" "&amp;ListAVS!$B$158</f>
        <v xml:space="preserve"> Zamówienie</v>
      </c>
      <c r="AL10" s="137"/>
      <c r="AM10" s="137"/>
      <c r="AN10" s="137"/>
      <c r="AO10" s="137"/>
      <c r="AP10" s="37"/>
      <c r="AQ10" s="954" t="s">
        <v>774</v>
      </c>
      <c r="AR10" s="955" t="s">
        <v>719</v>
      </c>
      <c r="AS10" s="955" t="s">
        <v>723</v>
      </c>
    </row>
    <row r="11" spans="1:46" s="122" customFormat="1" ht="16.149999999999999" customHeight="1" x14ac:dyDescent="0.2">
      <c r="A11" s="37"/>
      <c r="B11" s="1011" t="str">
        <f>ListAVS!$B$75&amp;" KH [mm]  "</f>
        <v xml:space="preserve">Wysokość korpusu KH [mm]  </v>
      </c>
      <c r="C11" s="1012"/>
      <c r="D11" s="1012"/>
      <c r="E11" s="1012"/>
      <c r="F11" s="1012"/>
      <c r="G11" s="1013"/>
      <c r="H11" s="435"/>
      <c r="I11" s="256" t="str">
        <f>IF($H11=0," ",IF($H11&lt;300," min. 300mm",IF($H11&gt;580," max. 580 mm"," ")))&amp;IF(H17&gt;0,IF(H11=0,"● "&amp;ListAVS!$B$129," ")," ")</f>
        <v xml:space="preserve">  </v>
      </c>
      <c r="J11" s="255"/>
      <c r="K11" s="255"/>
      <c r="L11" s="255"/>
      <c r="M11" s="37"/>
      <c r="N11" s="906"/>
      <c r="O11" s="906"/>
      <c r="P11" s="929" t="s">
        <v>41</v>
      </c>
      <c r="Q11" s="929">
        <f>IF(AND($H$11&gt;=$Z$45, $H$11&lt;=$AA$45, Q$15&gt;=$AB$45, $Q$15&lt;=$AC$45), 1, 0)</f>
        <v>0</v>
      </c>
      <c r="R11" s="344"/>
      <c r="S11" s="344"/>
      <c r="T11" s="344"/>
      <c r="U11" s="344"/>
      <c r="V11" s="344"/>
      <c r="W11" s="344"/>
      <c r="X11" s="344"/>
      <c r="Y11" s="164" t="str">
        <f>CenAVS!A38</f>
        <v xml:space="preserve">Aventos HL Top mocny, wkręty      </v>
      </c>
      <c r="Z11" s="164" t="str">
        <f>CenAVS!B38</f>
        <v>22L2500</v>
      </c>
      <c r="AA11" s="301" t="str">
        <f>CenAVS!C38</f>
        <v>ZN</v>
      </c>
      <c r="AB11" s="165">
        <f t="shared" si="0"/>
        <v>0</v>
      </c>
      <c r="AC11" s="395">
        <f>CenAVS!F38</f>
        <v>205.38082999999997</v>
      </c>
      <c r="AD11" s="167">
        <f t="shared" si="1"/>
        <v>0</v>
      </c>
      <c r="AE11" s="407">
        <f>IF($W$45=1, $O$12*$M$15, 0)</f>
        <v>0</v>
      </c>
      <c r="AF11" s="168">
        <f>$AC11*AE11</f>
        <v>0</v>
      </c>
      <c r="AG11" s="407">
        <f>IF($W$45=1, $O$23*$M$26, 0)</f>
        <v>0</v>
      </c>
      <c r="AH11" s="168">
        <f>$AC11*AG11</f>
        <v>0</v>
      </c>
      <c r="AI11" s="108"/>
      <c r="AJ11" s="108"/>
      <c r="AK11" s="255"/>
      <c r="AL11" s="137"/>
      <c r="AM11" s="137"/>
      <c r="AN11" s="137"/>
      <c r="AO11" s="137"/>
      <c r="AP11" s="37"/>
      <c r="AQ11" s="951"/>
      <c r="AR11" s="951"/>
      <c r="AS11" s="952"/>
      <c r="AT11" s="952"/>
    </row>
    <row r="12" spans="1:46" s="122" customFormat="1" ht="16.149999999999999" customHeight="1" x14ac:dyDescent="0.2">
      <c r="A12" s="37"/>
      <c r="B12" s="1011" t="str">
        <f>ListAVS!$B$77&amp;" [kg] ** "</f>
        <v xml:space="preserve">Waga frontu wraz z uchwytem [kg] ** </v>
      </c>
      <c r="C12" s="1012"/>
      <c r="D12" s="1012"/>
      <c r="E12" s="1012"/>
      <c r="F12" s="1012"/>
      <c r="G12" s="1013"/>
      <c r="H12" s="258"/>
      <c r="I12" s="227" t="str">
        <f>IF($H17=0," ",IF(SUM($H12,$H15)=0,$N$37," "))&amp;IF(AND(SUM($O$10:$O$14)=1,$V16="ne",H12&gt;0),$N$41,IF(AND($H17&gt;0,$H12&gt;0,V$16="ano"),$N$38," "))</f>
        <v xml:space="preserve">  </v>
      </c>
      <c r="J12" s="255"/>
      <c r="K12" s="255"/>
      <c r="L12" s="255"/>
      <c r="M12" s="37"/>
      <c r="N12" s="929" t="s">
        <v>87</v>
      </c>
      <c r="O12" s="929">
        <f>IF(AND($H$11&gt;=$Z$49, $H$11&lt;=$AA$50), 1, 0)</f>
        <v>0</v>
      </c>
      <c r="P12" s="929" t="s">
        <v>45</v>
      </c>
      <c r="Q12" s="929">
        <f>IF(AND($H$11&gt;=$Z$49, $H$11&lt;=$AA$49, Q$15&gt;=$AB$49, $Q$15&lt;=$AC$49), 1, 0)</f>
        <v>0</v>
      </c>
      <c r="R12" s="906">
        <f>IF(AND($Q$12=1, $Q$13=1, $H$11&lt;=$AD$49), 1, IF(AND($Q12=1, $Q13=0), $Q12, 0))</f>
        <v>0</v>
      </c>
      <c r="S12" s="37"/>
      <c r="T12" s="344"/>
      <c r="U12" s="344"/>
      <c r="V12" s="344"/>
      <c r="W12" s="344"/>
      <c r="X12" s="344"/>
      <c r="Y12" s="164" t="str">
        <f>CenAVS!A39</f>
        <v xml:space="preserve">Aventos HL Top mocny, eurowkręty      </v>
      </c>
      <c r="Z12" s="164" t="str">
        <f>CenAVS!B39</f>
        <v>22L2510</v>
      </c>
      <c r="AA12" s="301" t="str">
        <f>CenAVS!C39</f>
        <v>ZN</v>
      </c>
      <c r="AB12" s="165">
        <f t="shared" si="0"/>
        <v>0</v>
      </c>
      <c r="AC12" s="395">
        <f>CenAVS!F39</f>
        <v>206.97785999999999</v>
      </c>
      <c r="AD12" s="167">
        <f t="shared" si="1"/>
        <v>0</v>
      </c>
      <c r="AE12" s="407">
        <f>IF($W$45=2, $O$12*$M$15, 0)</f>
        <v>0</v>
      </c>
      <c r="AF12" s="168">
        <f>$AC12*AE12</f>
        <v>0</v>
      </c>
      <c r="AG12" s="407">
        <f>IF($W$45=2, $O$23*$M$26, 0)</f>
        <v>0</v>
      </c>
      <c r="AH12" s="168">
        <f>$AC12*AG12</f>
        <v>0</v>
      </c>
      <c r="AI12" s="108"/>
      <c r="AJ12" s="108"/>
      <c r="AK12" s="670"/>
      <c r="AL12" s="137"/>
      <c r="AM12" s="137"/>
      <c r="AN12" s="137"/>
      <c r="AO12" s="137"/>
      <c r="AP12" s="37"/>
      <c r="AQ12" s="545" t="str">
        <f>ListAVS!B350&amp;" = "&amp;ListAVS!B352</f>
        <v>wkręty = podnośniki z zintegrowanym szablonem (nie ma potrzeby mierzenia)</v>
      </c>
      <c r="AS12" s="952"/>
      <c r="AT12" s="952"/>
    </row>
    <row r="13" spans="1:46" s="122" customFormat="1" ht="16.149999999999999" customHeight="1" x14ac:dyDescent="0.2">
      <c r="A13" s="37"/>
      <c r="B13" s="1055" t="str">
        <f>ListAVS!$B$293</f>
        <v>Obliczenie wagi</v>
      </c>
      <c r="C13" s="1055"/>
      <c r="D13" s="1153" t="str">
        <f>ListAVS!$B$80&amp;" TS [mm] "</f>
        <v xml:space="preserve">Grubość frontu TS [mm] </v>
      </c>
      <c r="E13" s="1153"/>
      <c r="F13" s="1153"/>
      <c r="G13" s="1154"/>
      <c r="H13" s="259"/>
      <c r="I13" s="256"/>
      <c r="J13" s="255"/>
      <c r="K13" s="255"/>
      <c r="L13" s="255"/>
      <c r="M13" s="37"/>
      <c r="N13" s="906"/>
      <c r="O13" s="906"/>
      <c r="P13" s="929" t="s">
        <v>48</v>
      </c>
      <c r="Q13" s="929">
        <f>IF(AND($H$11&gt;=$Z$50, $H$11&lt;=$AA$50, Q$15&gt;=$AB$50, $Q$15&lt;=$AC$50), 1, 0)</f>
        <v>0</v>
      </c>
      <c r="R13" s="906">
        <f>IF(AND($Q12=1,$Q13=1,$H11&gt;$AD$49),1, IF(AND($Q12=0,$Q13=1),$Q13,0))</f>
        <v>0</v>
      </c>
      <c r="S13" s="930" t="s">
        <v>81</v>
      </c>
      <c r="T13" s="931" t="s">
        <v>82</v>
      </c>
      <c r="U13" s="344"/>
      <c r="V13" s="344"/>
      <c r="W13" s="344"/>
      <c r="X13" s="344"/>
      <c r="Y13" s="164"/>
      <c r="Z13" s="164"/>
      <c r="AA13" s="301"/>
      <c r="AB13" s="165"/>
      <c r="AC13" s="395"/>
      <c r="AD13" s="167"/>
      <c r="AE13" s="407"/>
      <c r="AF13" s="168"/>
      <c r="AG13" s="407"/>
      <c r="AH13" s="168"/>
      <c r="AI13" s="108"/>
      <c r="AJ13" s="108"/>
      <c r="AK13" s="670"/>
      <c r="AL13" s="137"/>
      <c r="AM13" s="137"/>
      <c r="AN13" s="137"/>
      <c r="AO13" s="137"/>
      <c r="AP13" s="37"/>
      <c r="AQ13" s="545" t="str">
        <f>ListAVS!B351&amp;" = "&amp;ListAVS!B353</f>
        <v>wstępnie zamontowane eurowkręty = podnośniki ze wstępnie zamontowanymi wkrętami (wymagane wstępne nawiercenie)</v>
      </c>
      <c r="AS13" s="952"/>
      <c r="AT13" s="952"/>
    </row>
    <row r="14" spans="1:46" s="122" customFormat="1" ht="16.149999999999999" customHeight="1" x14ac:dyDescent="0.2">
      <c r="A14" s="37"/>
      <c r="B14" s="1055"/>
      <c r="C14" s="1055"/>
      <c r="D14" s="1053" t="str">
        <f>ListAVS!$B$83&amp;" [kg] "</f>
        <v xml:space="preserve">Waga uchwytu [kg] </v>
      </c>
      <c r="E14" s="1053"/>
      <c r="F14" s="1053"/>
      <c r="G14" s="1054"/>
      <c r="H14" s="258"/>
      <c r="I14" s="256" t="str">
        <f>IF(H17=0, " ", IF(AND(H12=0, R14=1, H14=0), " ● "&amp;ListAVS!$B$130," "))</f>
        <v xml:space="preserve"> </v>
      </c>
      <c r="J14" s="255"/>
      <c r="K14" s="255"/>
      <c r="L14" s="255"/>
      <c r="M14" s="37"/>
      <c r="N14" s="317"/>
      <c r="O14" s="344"/>
      <c r="P14" s="1171"/>
      <c r="Q14" s="1172"/>
      <c r="R14" s="934">
        <v>1</v>
      </c>
      <c r="S14" s="932">
        <f>IF($H$10&gt;1360,2, IF($H$10&lt;610,0.5,1))</f>
        <v>0.5</v>
      </c>
      <c r="T14" s="933">
        <f>H16</f>
        <v>0</v>
      </c>
      <c r="U14" s="37"/>
      <c r="V14" s="37"/>
      <c r="W14" s="37"/>
      <c r="X14" s="37"/>
      <c r="Y14" s="164" t="str">
        <f>CenAVS!A40</f>
        <v xml:space="preserve">ramiona 300-339 HL Top       </v>
      </c>
      <c r="Z14" s="164" t="str">
        <f>CenAVS!B40</f>
        <v>22L3200</v>
      </c>
      <c r="AA14" s="164" t="str">
        <f>CenAVS!C40</f>
        <v>NI</v>
      </c>
      <c r="AB14" s="165">
        <f t="shared" si="0"/>
        <v>0</v>
      </c>
      <c r="AC14" s="395">
        <f>CenAVS!F40</f>
        <v>134.60047</v>
      </c>
      <c r="AD14" s="167">
        <f t="shared" si="1"/>
        <v>0</v>
      </c>
      <c r="AE14" s="407">
        <f>$Q10*$M$15</f>
        <v>0</v>
      </c>
      <c r="AF14" s="168">
        <f>$AC14*AE14</f>
        <v>0</v>
      </c>
      <c r="AG14" s="407">
        <f>$Q21*$M$26</f>
        <v>0</v>
      </c>
      <c r="AH14" s="168">
        <f>$AC14*AG14</f>
        <v>0</v>
      </c>
      <c r="AI14" s="108"/>
      <c r="AJ14" s="108"/>
      <c r="AK14" s="670"/>
      <c r="AL14" s="137"/>
      <c r="AM14" s="137"/>
      <c r="AN14" s="137"/>
      <c r="AO14" s="137"/>
      <c r="AP14" s="37"/>
      <c r="AQ14" s="37"/>
      <c r="AR14" s="37"/>
      <c r="AS14" s="37"/>
      <c r="AT14" s="37"/>
    </row>
    <row r="15" spans="1:46" s="122" customFormat="1" ht="16.149999999999999" customHeight="1" x14ac:dyDescent="0.2">
      <c r="A15" s="37"/>
      <c r="B15" s="1055"/>
      <c r="C15" s="1055"/>
      <c r="D15" s="1053" t="str">
        <f>ListAVS!$B$79&amp;" [kg] "</f>
        <v xml:space="preserve">Obliczona waga frontu [kg] </v>
      </c>
      <c r="E15" s="1053"/>
      <c r="F15" s="1053"/>
      <c r="G15" s="1054"/>
      <c r="H15" s="259">
        <v>0</v>
      </c>
      <c r="I15" s="227" t="str">
        <f>IF(AND($H17&gt;0,$H15&gt;0,$H12=0,$M15&gt;0), $N$38," ")&amp;IF(AND(H17&gt;0, H12=0, Z77=3, $J$4=0), $N$36, " ")</f>
        <v xml:space="preserve">  </v>
      </c>
      <c r="J15" s="255"/>
      <c r="K15" s="255"/>
      <c r="L15" s="255"/>
      <c r="M15" s="315">
        <f>IF($H10*$H11*$Q15=0, 0, IF(SUM(O10:O12)=0, 0, IF(SUM(Q10:Q13)=0, 0, IF($H10&gt;1800, 0, IF($H10&lt;220, 0, $H17)))))</f>
        <v>0</v>
      </c>
      <c r="N15" s="37"/>
      <c r="O15" s="37"/>
      <c r="P15" s="690" t="s">
        <v>51</v>
      </c>
      <c r="Q15" s="691">
        <f>IF(H12&gt;0,H12,H15)</f>
        <v>0</v>
      </c>
      <c r="R15" s="37">
        <f>IF(SUM(H12,H15)=0,0,IF(H12&gt;0,1,2))</f>
        <v>0</v>
      </c>
      <c r="S15" s="571" t="s">
        <v>52</v>
      </c>
      <c r="T15" s="37"/>
      <c r="U15" s="717" t="s">
        <v>79</v>
      </c>
      <c r="V15" s="927" t="str">
        <f>IF(AND(219&lt;H10,H10&lt;1801,299&lt;H11,H11&lt;581),"ano","ne")</f>
        <v>ne</v>
      </c>
      <c r="W15" s="345"/>
      <c r="X15" s="345"/>
      <c r="Y15" s="164" t="str">
        <f>CenAVS!A41</f>
        <v xml:space="preserve">ramiona 340-389 HL Top       </v>
      </c>
      <c r="Z15" s="164" t="str">
        <f>CenAVS!B41</f>
        <v>22L3500</v>
      </c>
      <c r="AA15" s="164" t="str">
        <f>CenAVS!C41</f>
        <v>NI</v>
      </c>
      <c r="AB15" s="165">
        <f t="shared" si="0"/>
        <v>0</v>
      </c>
      <c r="AC15" s="395">
        <f>CenAVS!F41</f>
        <v>137.39402999999999</v>
      </c>
      <c r="AD15" s="167">
        <f t="shared" si="1"/>
        <v>0</v>
      </c>
      <c r="AE15" s="407">
        <f>$Q11*$M$15</f>
        <v>0</v>
      </c>
      <c r="AF15" s="168">
        <f>$AC15*AE15</f>
        <v>0</v>
      </c>
      <c r="AG15" s="407">
        <f>$Q22*$M$26</f>
        <v>0</v>
      </c>
      <c r="AH15" s="168">
        <f>$AC15*AG15</f>
        <v>0</v>
      </c>
      <c r="AI15" s="108"/>
      <c r="AJ15" s="108"/>
      <c r="AK15" s="255"/>
      <c r="AL15" s="137"/>
      <c r="AM15" s="137"/>
      <c r="AN15" s="137"/>
      <c r="AO15" s="137"/>
      <c r="AP15" s="37"/>
      <c r="AQ15" s="37"/>
      <c r="AR15" s="37"/>
      <c r="AS15" s="137"/>
      <c r="AT15" s="137"/>
    </row>
    <row r="16" spans="1:46" s="122" customFormat="1" ht="16.149999999999999" customHeight="1" thickBot="1" x14ac:dyDescent="0.25">
      <c r="A16" s="37"/>
      <c r="B16" s="1011" t="str">
        <f>ListAVS!$B$29&amp;" * "</f>
        <v xml:space="preserve">Liczba ścianek środkowych * </v>
      </c>
      <c r="C16" s="1012"/>
      <c r="D16" s="1012"/>
      <c r="E16" s="1012"/>
      <c r="F16" s="1012"/>
      <c r="G16" s="1013"/>
      <c r="H16" s="435"/>
      <c r="I16" s="256"/>
      <c r="J16" s="255"/>
      <c r="K16" s="255"/>
      <c r="L16" s="255"/>
      <c r="M16" s="118"/>
      <c r="N16" s="119"/>
      <c r="O16" s="132"/>
      <c r="P16" s="132"/>
      <c r="Q16" s="119"/>
      <c r="R16" s="37"/>
      <c r="S16" s="37"/>
      <c r="T16" s="37"/>
      <c r="U16" s="717" t="s">
        <v>710</v>
      </c>
      <c r="V16" s="928" t="str">
        <f>IF(AND($H$11&gt;=$Z$44, $H$11&lt;=$AA$44, $Q$15&gt;=$AB$44, $Q$15&lt;=$AC$44), "ano", IF(AND($H$11&gt;=$Z$45, $H$11&lt;=$AA$45, $Q$15&gt;=$AB$45, $Q$15&lt;=$AC$45), "ano", IF(AND($H$11&gt;=$Z$49, $H$11&lt;=$AA$49, $Q$15&gt;=$AB$49, $Q$15&lt;=$AC$49), "ano", IF(AND($H$11&gt;=$Z$50, $H$11&lt;=$AA$50, $Q$15&gt;=$AB$50, $Q$15&lt;=$AC$50), "ano", "ne"))))</f>
        <v>ne</v>
      </c>
      <c r="W16" s="346"/>
      <c r="X16" s="346"/>
      <c r="Y16" s="164" t="str">
        <f>CenAVS!A42</f>
        <v xml:space="preserve">ramiona 390-540 HL Top       </v>
      </c>
      <c r="Z16" s="164" t="str">
        <f>CenAVS!B42</f>
        <v>22L3800</v>
      </c>
      <c r="AA16" s="164" t="str">
        <f>CenAVS!C42</f>
        <v>NI</v>
      </c>
      <c r="AB16" s="165">
        <f t="shared" si="0"/>
        <v>0</v>
      </c>
      <c r="AC16" s="395">
        <f>CenAVS!F42</f>
        <v>141.58481</v>
      </c>
      <c r="AD16" s="167">
        <f t="shared" si="1"/>
        <v>0</v>
      </c>
      <c r="AE16" s="407">
        <f>$R12*$M$15</f>
        <v>0</v>
      </c>
      <c r="AF16" s="168">
        <f>$AC16*AE16</f>
        <v>0</v>
      </c>
      <c r="AG16" s="407">
        <f>$R23*$M$26</f>
        <v>0</v>
      </c>
      <c r="AH16" s="168">
        <f>$AC16*AG16</f>
        <v>0</v>
      </c>
      <c r="AI16" s="108"/>
      <c r="AJ16" s="108"/>
      <c r="AK16" s="255"/>
      <c r="AL16" s="137"/>
      <c r="AM16" s="137"/>
      <c r="AN16" s="137"/>
      <c r="AO16" s="137"/>
      <c r="AP16" s="37"/>
      <c r="AQ16" s="37"/>
      <c r="AR16" s="37"/>
      <c r="AS16" s="137"/>
      <c r="AT16" s="137"/>
    </row>
    <row r="17" spans="1:47" s="122" customFormat="1" ht="16.149999999999999" customHeight="1" thickBot="1" x14ac:dyDescent="0.25">
      <c r="A17" s="37"/>
      <c r="B17" s="1011" t="str">
        <f>ListAVS!$B$71</f>
        <v>Ilość szafek</v>
      </c>
      <c r="C17" s="1012"/>
      <c r="D17" s="1012"/>
      <c r="E17" s="1012"/>
      <c r="F17" s="1012"/>
      <c r="G17" s="1012"/>
      <c r="H17" s="437"/>
      <c r="I17" s="256"/>
      <c r="J17" s="255"/>
      <c r="K17" s="255"/>
      <c r="L17" s="255"/>
      <c r="M17" s="118"/>
      <c r="N17" s="119"/>
      <c r="O17" s="132"/>
      <c r="P17" s="132"/>
      <c r="Q17" s="119"/>
      <c r="R17" s="37"/>
      <c r="S17" s="37"/>
      <c r="T17" s="37"/>
      <c r="U17" s="37"/>
      <c r="V17" s="344"/>
      <c r="W17" s="346"/>
      <c r="X17" s="346"/>
      <c r="Y17" s="164" t="str">
        <f>CenAVS!A43</f>
        <v xml:space="preserve">ramiona 480-580 HL Top       </v>
      </c>
      <c r="Z17" s="164" t="str">
        <f>CenAVS!B43</f>
        <v>22L3900</v>
      </c>
      <c r="AA17" s="164" t="str">
        <f>CenAVS!C43</f>
        <v>NI</v>
      </c>
      <c r="AB17" s="165">
        <f t="shared" si="0"/>
        <v>0</v>
      </c>
      <c r="AC17" s="395">
        <f>CenAVS!F43</f>
        <v>156.95116999999999</v>
      </c>
      <c r="AD17" s="167">
        <f t="shared" si="1"/>
        <v>0</v>
      </c>
      <c r="AE17" s="407">
        <f>$R13*$M$15</f>
        <v>0</v>
      </c>
      <c r="AF17" s="168">
        <f>$AC17*AE17</f>
        <v>0</v>
      </c>
      <c r="AG17" s="407">
        <f>$R24*$M$26</f>
        <v>0</v>
      </c>
      <c r="AH17" s="168">
        <f>$AC17*AG17</f>
        <v>0</v>
      </c>
      <c r="AI17" s="108"/>
      <c r="AJ17" s="108"/>
      <c r="AK17" s="37"/>
      <c r="AL17" s="137"/>
      <c r="AM17" s="137"/>
      <c r="AN17" s="137"/>
      <c r="AO17" s="137"/>
      <c r="AP17" s="37"/>
      <c r="AQ17" s="37"/>
      <c r="AR17" s="37"/>
      <c r="AS17" s="137"/>
      <c r="AT17" s="137"/>
    </row>
    <row r="18" spans="1:47" s="122" customFormat="1" ht="16.149999999999999" customHeight="1" x14ac:dyDescent="0.2">
      <c r="A18" s="37"/>
      <c r="B18" s="255" t="str">
        <f>IF(H17&gt;0,IF(OR(R15=0,M15=0), " ",IF(R15=1,$N$50,$N$51))," ")&amp;IF(H17&gt;0,IF(OR(R15=0, M15=0), " ",IF(R15=1,$N$52,$N$53))," ")</f>
        <v xml:space="preserve">  </v>
      </c>
      <c r="C18" s="255"/>
      <c r="D18" s="255"/>
      <c r="E18" s="255"/>
      <c r="F18" s="433"/>
      <c r="G18" s="433"/>
      <c r="H18" s="255"/>
      <c r="I18" s="255"/>
      <c r="J18" s="255"/>
      <c r="K18" s="255"/>
      <c r="L18" s="255"/>
      <c r="M18" s="118"/>
      <c r="N18" s="119"/>
      <c r="O18" s="132"/>
      <c r="P18" s="132"/>
      <c r="Q18" s="119"/>
      <c r="R18" s="37"/>
      <c r="S18" s="37"/>
      <c r="T18" s="37"/>
      <c r="U18" s="37"/>
      <c r="V18" s="344"/>
      <c r="W18" s="346"/>
      <c r="X18" s="346"/>
      <c r="Y18" s="164"/>
      <c r="Z18" s="164"/>
      <c r="AA18" s="164"/>
      <c r="AB18" s="165"/>
      <c r="AC18" s="395"/>
      <c r="AD18" s="167"/>
      <c r="AE18" s="407"/>
      <c r="AF18" s="168"/>
      <c r="AG18" s="407"/>
      <c r="AH18" s="168"/>
      <c r="AI18" s="108"/>
      <c r="AJ18" s="108"/>
      <c r="AK18" s="255"/>
      <c r="AL18" s="137"/>
      <c r="AM18" s="137"/>
      <c r="AN18" s="137"/>
      <c r="AO18" s="137"/>
      <c r="AP18" s="37"/>
      <c r="AQ18" s="956" t="str">
        <f>ListAVS!B387&amp;":"</f>
        <v>Zestaw ramion teleskopowych:</v>
      </c>
      <c r="AR18" s="37"/>
      <c r="AS18" s="137"/>
      <c r="AT18" s="137"/>
    </row>
    <row r="19" spans="1:47" s="122" customFormat="1" ht="25.15" customHeight="1" thickBot="1" x14ac:dyDescent="0.25">
      <c r="A19" s="37"/>
      <c r="B19" s="275" t="str">
        <f>IF(AND($Q$12=1, $Q$13=1, $R$12=1), ListAVS!$B$338&amp;$Y$50&amp;". "&amp;ListAVS!$B$339, IF(AND($Q$12=1, $Q$13=1, $R$13=1), ListAVS!$B$338&amp;$Y$49&amp;". "&amp;ListAVS!$B$339, " "))</f>
        <v xml:space="preserve"> </v>
      </c>
      <c r="C19" s="255"/>
      <c r="D19" s="255"/>
      <c r="E19" s="255"/>
      <c r="F19" s="433"/>
      <c r="G19" s="433"/>
      <c r="H19" s="255"/>
      <c r="I19" s="255"/>
      <c r="J19" s="255"/>
      <c r="K19" s="255"/>
      <c r="L19" s="255"/>
      <c r="M19" s="118"/>
      <c r="N19" s="119"/>
      <c r="O19" s="132"/>
      <c r="P19" s="132"/>
      <c r="Q19" s="119"/>
      <c r="R19" s="37"/>
      <c r="S19" s="37"/>
      <c r="T19" s="37"/>
      <c r="U19" s="37"/>
      <c r="V19" s="344"/>
      <c r="W19" s="346"/>
      <c r="X19" s="346"/>
      <c r="Y19" s="164" t="str">
        <f>CenAVS!A44</f>
        <v xml:space="preserve">stablizacja poprzeczna HL Top       </v>
      </c>
      <c r="Z19" s="164" t="str">
        <f>CenAVS!B44</f>
        <v>22Q1076U</v>
      </c>
      <c r="AA19" s="164" t="str">
        <f>CenAVS!C44</f>
        <v>EV</v>
      </c>
      <c r="AB19" s="165">
        <f t="shared" ref="AB19:AB27" si="2">SUM(AE19,AG19)</f>
        <v>0</v>
      </c>
      <c r="AC19" s="395">
        <f>CenAVS!F44</f>
        <v>36.874780000000001</v>
      </c>
      <c r="AD19" s="167">
        <f t="shared" ref="AD19:AD27" si="3">AB19*AC19</f>
        <v>0</v>
      </c>
      <c r="AE19" s="407">
        <f>ROUNDUP($S$14*$M$15, 0)</f>
        <v>0</v>
      </c>
      <c r="AF19" s="168">
        <f t="shared" ref="AF19:AF27" si="4">$AC19*AE19</f>
        <v>0</v>
      </c>
      <c r="AG19" s="407">
        <f>ROUNDUP($S$25*$M$26, 0)</f>
        <v>0</v>
      </c>
      <c r="AH19" s="168">
        <f t="shared" ref="AH19:AH27" si="5">$AC19*AG19</f>
        <v>0</v>
      </c>
      <c r="AI19" s="108"/>
      <c r="AJ19" s="108"/>
      <c r="AK19" s="732"/>
      <c r="AL19" s="137"/>
      <c r="AM19" s="137"/>
      <c r="AN19" s="137"/>
      <c r="AO19" s="137"/>
      <c r="AP19" s="37"/>
      <c r="AQ19" s="953" t="str">
        <f>ListAVS!B75&amp;" KH (mm)"</f>
        <v>Wysokość korpusu KH (mm)</v>
      </c>
      <c r="AR19" s="953" t="str">
        <f>ListAVS!B76&amp;" FG (kg)"</f>
        <v>Waga frontu FG (kg)</v>
      </c>
      <c r="AS19" s="953" t="str">
        <f>ListAVS!$B$387</f>
        <v>Zestaw ramion teleskopowych</v>
      </c>
      <c r="AT19" s="121"/>
    </row>
    <row r="20" spans="1:47" s="122" customFormat="1" ht="16.149999999999999" customHeight="1" thickBot="1" x14ac:dyDescent="0.25">
      <c r="A20" s="37"/>
      <c r="B20" s="1051" t="str">
        <f>"▼ "&amp;ListAVS!$B$318</f>
        <v>▼ Sposób otwierania</v>
      </c>
      <c r="C20" s="1052"/>
      <c r="D20" s="406" t="str">
        <f>IF($M$25&gt;0, ListAVS!$B$37&amp;": ", " ")</f>
        <v xml:space="preserve"> </v>
      </c>
      <c r="E20" s="688" t="str">
        <f>IF(SUM($AG$9:$AG$10)&gt;0, "22", IF(SUM($AG$11:$AG$12)&gt;0,"25", " "))</f>
        <v xml:space="preserve"> </v>
      </c>
      <c r="F20" s="1056" t="str">
        <f>ListAVS!$B$64&amp;" B"</f>
        <v>Korpus B</v>
      </c>
      <c r="G20" s="1057"/>
      <c r="H20" s="1058"/>
      <c r="I20" s="273"/>
      <c r="J20" s="255"/>
      <c r="K20" s="255"/>
      <c r="L20" s="255"/>
      <c r="M20" s="37"/>
      <c r="N20" s="37"/>
      <c r="O20" s="118"/>
      <c r="P20" s="37"/>
      <c r="Q20" s="118"/>
      <c r="R20" s="37" t="s">
        <v>727</v>
      </c>
      <c r="S20" s="923"/>
      <c r="T20" s="923"/>
      <c r="U20" s="737"/>
      <c r="V20" s="737"/>
      <c r="W20" s="737"/>
      <c r="X20" s="346"/>
      <c r="Y20" s="164" t="str">
        <f>CenAVS!A45</f>
        <v xml:space="preserve">przedłużka do stabilizacji poprzecznej Aventos HL Top    </v>
      </c>
      <c r="Z20" s="164" t="str">
        <f>CenAVS!B45</f>
        <v>22Q080Z</v>
      </c>
      <c r="AA20" s="164" t="str">
        <f>CenAVS!C45</f>
        <v>EV</v>
      </c>
      <c r="AB20" s="165">
        <f t="shared" si="2"/>
        <v>0</v>
      </c>
      <c r="AC20" s="395">
        <f>CenAVS!F45</f>
        <v>33.577959999999997</v>
      </c>
      <c r="AD20" s="167">
        <f t="shared" si="3"/>
        <v>0</v>
      </c>
      <c r="AE20" s="407">
        <f>IF($H$10&gt;=1228, $M$15, IF($T$14&gt;0, $T$14*$M$15, 0))</f>
        <v>0</v>
      </c>
      <c r="AF20" s="168">
        <f t="shared" si="4"/>
        <v>0</v>
      </c>
      <c r="AG20" s="407">
        <f>IF($H$21&gt;=1228, $M$26, IF($T$25&gt;0, $T$14*$M$26, 0))</f>
        <v>0</v>
      </c>
      <c r="AH20" s="168">
        <f t="shared" si="5"/>
        <v>0</v>
      </c>
      <c r="AI20" s="108"/>
      <c r="AJ20" s="108"/>
      <c r="AK20" s="255"/>
      <c r="AL20" s="137"/>
      <c r="AM20" s="137"/>
      <c r="AN20" s="137"/>
      <c r="AO20" s="137"/>
      <c r="AP20" s="37"/>
      <c r="AQ20" s="954" t="s">
        <v>750</v>
      </c>
      <c r="AR20" s="954" t="s">
        <v>775</v>
      </c>
      <c r="AS20" s="955" t="s">
        <v>717</v>
      </c>
      <c r="AT20" s="121"/>
    </row>
    <row r="21" spans="1:47" s="122" customFormat="1" ht="16.149999999999999" customHeight="1" x14ac:dyDescent="0.2">
      <c r="A21" s="37"/>
      <c r="B21" s="1011" t="str">
        <f>ListAVS!$B$74&amp;" KB [mm] "</f>
        <v xml:space="preserve">Szerokość korpusu KB [mm] </v>
      </c>
      <c r="C21" s="1012"/>
      <c r="D21" s="1012"/>
      <c r="E21" s="1012"/>
      <c r="F21" s="1012"/>
      <c r="G21" s="1013"/>
      <c r="H21" s="435"/>
      <c r="I21" s="256" t="str">
        <f>IF($H21=0," ",IF($H21&lt;220," min. 220mm",IF($H21&gt;1800," max. 1 800mm"," ")))&amp;IF(AND(H28&gt;0,H21=0),"● "&amp;ListAVS!$B$129," ")</f>
        <v xml:space="preserve">  </v>
      </c>
      <c r="J21" s="255"/>
      <c r="K21" s="255"/>
      <c r="L21" s="255"/>
      <c r="M21" s="37"/>
      <c r="N21" s="929" t="s">
        <v>726</v>
      </c>
      <c r="O21" s="929">
        <f>IF(AND($H$22&gt;=$Z$44, $H$22&lt;=$AA$45), 1, 0)</f>
        <v>0</v>
      </c>
      <c r="P21" s="929" t="s">
        <v>35</v>
      </c>
      <c r="Q21" s="929">
        <f>IF(AND($H$22&gt;=$Z$44, $H$22&lt;=$AA$44, Q$26&gt;=$AB$44, $Q$26&lt;=$AC$44), 1, 0)</f>
        <v>0</v>
      </c>
      <c r="R21" s="344"/>
      <c r="S21" s="344"/>
      <c r="T21" s="344"/>
      <c r="U21" s="344"/>
      <c r="V21" s="344"/>
      <c r="W21" s="714"/>
      <c r="X21" s="737"/>
      <c r="Y21" s="164"/>
      <c r="Z21" s="164"/>
      <c r="AA21" s="164"/>
      <c r="AB21" s="165"/>
      <c r="AC21" s="395"/>
      <c r="AD21" s="167"/>
      <c r="AE21" s="407"/>
      <c r="AF21" s="168">
        <f t="shared" si="4"/>
        <v>0</v>
      </c>
      <c r="AG21" s="407"/>
      <c r="AH21" s="168">
        <f t="shared" si="5"/>
        <v>0</v>
      </c>
      <c r="AI21" s="108"/>
      <c r="AJ21" s="108"/>
      <c r="AK21" s="255"/>
      <c r="AL21" s="137"/>
      <c r="AM21" s="137"/>
      <c r="AN21" s="137"/>
      <c r="AO21" s="137"/>
      <c r="AP21" s="37"/>
      <c r="AQ21" s="954" t="s">
        <v>749</v>
      </c>
      <c r="AR21" s="954" t="s">
        <v>777</v>
      </c>
      <c r="AS21" s="955" t="s">
        <v>718</v>
      </c>
      <c r="AT21" s="121"/>
    </row>
    <row r="22" spans="1:47" s="122" customFormat="1" ht="16.149999999999999" customHeight="1" x14ac:dyDescent="0.2">
      <c r="A22" s="37"/>
      <c r="B22" s="1011" t="str">
        <f>ListAVS!$B$75&amp;" KH [mm] "</f>
        <v xml:space="preserve">Wysokość korpusu KH [mm] </v>
      </c>
      <c r="C22" s="1012"/>
      <c r="D22" s="1012"/>
      <c r="E22" s="1012"/>
      <c r="F22" s="1012"/>
      <c r="G22" s="1013"/>
      <c r="H22" s="435"/>
      <c r="I22" s="256" t="str">
        <f>IF($H22=0," ",IF($H22&lt;300," min. 300mm",IF($H22&gt;580," max. 580 mm"," ")))&amp;IF(H28&gt;0,IF(H22=0,"● "&amp;ListAVS!$B$129," ")," ")</f>
        <v xml:space="preserve">  </v>
      </c>
      <c r="J22" s="255"/>
      <c r="K22" s="255"/>
      <c r="L22" s="255"/>
      <c r="M22" s="37"/>
      <c r="N22" s="906"/>
      <c r="O22" s="906"/>
      <c r="P22" s="929" t="s">
        <v>41</v>
      </c>
      <c r="Q22" s="929">
        <f>IF(AND($H$22&gt;=$Z$45, $H$22&lt;=$AA$45, Q$26&gt;=$AB$45, $Q$26&lt;=$AC$45), 1, 0)</f>
        <v>0</v>
      </c>
      <c r="R22" s="344"/>
      <c r="S22" s="344"/>
      <c r="T22" s="344"/>
      <c r="U22" s="344"/>
      <c r="V22" s="344"/>
      <c r="W22" s="344"/>
      <c r="X22" s="714"/>
      <c r="Y22" s="164" t="str">
        <f>CenAVS!A47</f>
        <v xml:space="preserve">Zaślepki HF/HL/HS - Top bez SD jasnoszare HGR   </v>
      </c>
      <c r="Z22" s="164" t="str">
        <f>CenAVS!B47</f>
        <v>22.8000</v>
      </c>
      <c r="AA22" s="164" t="str">
        <f>CenAVS!C47</f>
        <v>HGR</v>
      </c>
      <c r="AB22" s="165">
        <f t="shared" si="2"/>
        <v>0</v>
      </c>
      <c r="AC22" s="395">
        <f>CenAVS!F47</f>
        <v>27.586120000000001</v>
      </c>
      <c r="AD22" s="167">
        <f t="shared" si="3"/>
        <v>0</v>
      </c>
      <c r="AE22" s="407">
        <f>IF(AND($T$45=1, $R$14=1), SUM($AE$9:$AE$12), 0)</f>
        <v>0</v>
      </c>
      <c r="AF22" s="168">
        <f t="shared" si="4"/>
        <v>0</v>
      </c>
      <c r="AG22" s="407">
        <f>IF(AND($T$45=1, $R$25=1), SUM($AG$9:$AG$12), 0)</f>
        <v>0</v>
      </c>
      <c r="AH22" s="168">
        <f t="shared" si="5"/>
        <v>0</v>
      </c>
      <c r="AI22" s="108"/>
      <c r="AJ22" s="108"/>
      <c r="AK22" s="255"/>
      <c r="AL22" s="137"/>
      <c r="AM22" s="137"/>
      <c r="AN22" s="137"/>
      <c r="AO22" s="137"/>
      <c r="AP22" s="37"/>
      <c r="AQ22" s="954" t="s">
        <v>751</v>
      </c>
      <c r="AR22" s="954" t="s">
        <v>776</v>
      </c>
      <c r="AS22" s="955" t="s">
        <v>720</v>
      </c>
      <c r="AT22" s="37"/>
    </row>
    <row r="23" spans="1:47" s="122" customFormat="1" ht="16.149999999999999" customHeight="1" x14ac:dyDescent="0.2">
      <c r="A23" s="37"/>
      <c r="B23" s="1011" t="str">
        <f>ListAVS!$B$77&amp;" [kg] ** "</f>
        <v xml:space="preserve">Waga frontu wraz z uchwytem [kg] ** </v>
      </c>
      <c r="C23" s="1012"/>
      <c r="D23" s="1012"/>
      <c r="E23" s="1012"/>
      <c r="F23" s="1012"/>
      <c r="G23" s="1013"/>
      <c r="H23" s="258"/>
      <c r="I23" s="227" t="str">
        <f>IF($H28=0," ",IF(SUM($H23,$H26)=0,$N$37," "))&amp;IF(AND(SUM($O$21:$O$25)=1,$V27="ne",H23&gt;0),$N$41,IF(AND($H28&gt;0,$H23&gt;0,V$27="ano"),$N$38," "))</f>
        <v xml:space="preserve">  </v>
      </c>
      <c r="J23" s="255"/>
      <c r="K23" s="255"/>
      <c r="L23" s="255"/>
      <c r="M23" s="37"/>
      <c r="N23" s="929" t="s">
        <v>87</v>
      </c>
      <c r="O23" s="929">
        <f>IF(AND($H$22&gt;=$Z$49, $H$22&lt;=$AA$50), 1, 0)</f>
        <v>0</v>
      </c>
      <c r="P23" s="929" t="s">
        <v>45</v>
      </c>
      <c r="Q23" s="929">
        <f>IF(AND($H$22&gt;=$Z$49, $H$22&lt;=$AA$49, Q$26&gt;=$AB$49, $Q$26&lt;=$AC$49), 1, 0)</f>
        <v>0</v>
      </c>
      <c r="R23" s="906">
        <f>IF(AND($Q$23=1, $Q$24=1, $H$11&lt;=$AD$49), 1, IF(AND($Q23=1, $Q24=0), $Q23, 0))</f>
        <v>0</v>
      </c>
      <c r="S23" s="37"/>
      <c r="T23" s="344"/>
      <c r="U23" s="344"/>
      <c r="V23" s="344"/>
      <c r="W23" s="344"/>
      <c r="X23" s="344"/>
      <c r="Y23" s="164" t="str">
        <f>CenAVS!A48</f>
        <v xml:space="preserve">zaślepki HF/HL/HS - Top bez SD ciemnoszare TGR   </v>
      </c>
      <c r="Z23" s="164" t="str">
        <f>CenAVS!B48</f>
        <v>22.8000</v>
      </c>
      <c r="AA23" s="164" t="str">
        <f>CenAVS!C48</f>
        <v>TGR</v>
      </c>
      <c r="AB23" s="165">
        <f t="shared" si="2"/>
        <v>0</v>
      </c>
      <c r="AC23" s="395">
        <f>CenAVS!F48</f>
        <v>30.106369999999998</v>
      </c>
      <c r="AD23" s="167">
        <f t="shared" si="3"/>
        <v>0</v>
      </c>
      <c r="AE23" s="407">
        <f>IF(AND($T$45=2, $R$14=1), SUM($AE$9:$AE$12), 0)</f>
        <v>0</v>
      </c>
      <c r="AF23" s="168">
        <f t="shared" si="4"/>
        <v>0</v>
      </c>
      <c r="AG23" s="407">
        <f>IF(AND($T$45=2, $R$25=1), SUM($AG$9:$AG$12), 0)</f>
        <v>0</v>
      </c>
      <c r="AH23" s="168">
        <f t="shared" si="5"/>
        <v>0</v>
      </c>
      <c r="AI23" s="108"/>
      <c r="AJ23" s="108"/>
      <c r="AK23" s="255"/>
      <c r="AL23" s="137"/>
      <c r="AM23" s="37"/>
      <c r="AN23" s="37"/>
      <c r="AO23" s="37"/>
      <c r="AP23" s="37"/>
      <c r="AQ23" s="954" t="s">
        <v>752</v>
      </c>
      <c r="AR23" s="954" t="s">
        <v>778</v>
      </c>
      <c r="AS23" s="955" t="s">
        <v>721</v>
      </c>
      <c r="AT23" s="37"/>
    </row>
    <row r="24" spans="1:47" s="122" customFormat="1" ht="16.149999999999999" customHeight="1" x14ac:dyDescent="0.2">
      <c r="A24" s="37"/>
      <c r="B24" s="1055" t="str">
        <f>ListAVS!$B$293</f>
        <v>Obliczenie wagi</v>
      </c>
      <c r="C24" s="1055"/>
      <c r="D24" s="1153" t="str">
        <f>ListAVS!$B$80&amp;" TS [mm] "</f>
        <v xml:space="preserve">Grubość frontu TS [mm] </v>
      </c>
      <c r="E24" s="1153"/>
      <c r="F24" s="1153"/>
      <c r="G24" s="1154"/>
      <c r="H24" s="259"/>
      <c r="I24" s="256"/>
      <c r="J24" s="255"/>
      <c r="K24" s="255"/>
      <c r="L24" s="255"/>
      <c r="M24" s="37"/>
      <c r="N24" s="906"/>
      <c r="O24" s="906"/>
      <c r="P24" s="929" t="s">
        <v>48</v>
      </c>
      <c r="Q24" s="929">
        <f>IF(AND($H$22&gt;=$Z$50, $H$22&lt;=$AA$50, Q$26&gt;=$AB$50, $Q$26&lt;=$AC$50), 1, 0)</f>
        <v>0</v>
      </c>
      <c r="R24" s="906">
        <f>IF(AND($Q23=1,$Q24=1,$H22&gt;$AD$49),1, IF(AND($Q23=0,$Q24=1),$Q24,0))</f>
        <v>0</v>
      </c>
      <c r="S24" s="930" t="s">
        <v>81</v>
      </c>
      <c r="T24" s="931" t="s">
        <v>82</v>
      </c>
      <c r="U24" s="344"/>
      <c r="V24" s="344"/>
      <c r="W24" s="344"/>
      <c r="X24" s="344"/>
      <c r="Y24" s="164" t="str">
        <f>CenAVS!A49</f>
        <v xml:space="preserve">Zaślepki HF/HL/HS - Top bez SD białe SW   </v>
      </c>
      <c r="Z24" s="164" t="str">
        <f>CenAVS!B49</f>
        <v>22.8000</v>
      </c>
      <c r="AA24" s="164" t="str">
        <f>CenAVS!C49</f>
        <v>SW</v>
      </c>
      <c r="AB24" s="165">
        <f t="shared" si="2"/>
        <v>0</v>
      </c>
      <c r="AC24" s="395">
        <f>CenAVS!F49</f>
        <v>30.106369999999998</v>
      </c>
      <c r="AD24" s="167">
        <f t="shared" si="3"/>
        <v>0</v>
      </c>
      <c r="AE24" s="407">
        <f>IF(AND($T$45=3, $R$14=1), SUM($AE$9:$AE$12), 0)</f>
        <v>0</v>
      </c>
      <c r="AF24" s="168">
        <f t="shared" si="4"/>
        <v>0</v>
      </c>
      <c r="AG24" s="407">
        <f>IF(AND($T$45=3, $R$25=1), SUM($AG$9:$AG$12), 0)</f>
        <v>0</v>
      </c>
      <c r="AH24" s="168">
        <f t="shared" si="5"/>
        <v>0</v>
      </c>
      <c r="AI24" s="108"/>
      <c r="AJ24" s="108"/>
      <c r="AK24" s="137"/>
      <c r="AL24" s="37"/>
      <c r="AM24" s="137"/>
      <c r="AN24" s="137"/>
      <c r="AO24" s="137"/>
      <c r="AP24" s="137"/>
      <c r="AQ24" s="137"/>
      <c r="AR24" s="137"/>
      <c r="AS24" s="137"/>
      <c r="AT24" s="37"/>
    </row>
    <row r="25" spans="1:47" s="122" customFormat="1" ht="16.149999999999999" customHeight="1" x14ac:dyDescent="0.2">
      <c r="A25" s="37"/>
      <c r="B25" s="1055"/>
      <c r="C25" s="1055"/>
      <c r="D25" s="1053" t="str">
        <f>ListAVS!$B$83&amp;" [kg] "</f>
        <v xml:space="preserve">Waga uchwytu [kg] </v>
      </c>
      <c r="E25" s="1053"/>
      <c r="F25" s="1053"/>
      <c r="G25" s="1054"/>
      <c r="H25" s="258"/>
      <c r="I25" s="256" t="str">
        <f>IF(H28=0, " ", IF(AND(H23=0, R25=1, H25=0), " ● "&amp;ListAVS!$B$130," "))</f>
        <v xml:space="preserve"> </v>
      </c>
      <c r="J25" s="255"/>
      <c r="K25" s="255"/>
      <c r="L25" s="255"/>
      <c r="M25" s="118"/>
      <c r="N25" s="317"/>
      <c r="O25" s="344"/>
      <c r="P25" s="1171"/>
      <c r="Q25" s="1172"/>
      <c r="R25" s="934">
        <v>1</v>
      </c>
      <c r="S25" s="932">
        <f>IF($H$21&gt;1360,2, IF($H$10&lt;610,0.5,1))</f>
        <v>0.5</v>
      </c>
      <c r="T25" s="933">
        <f>H27</f>
        <v>0</v>
      </c>
      <c r="U25" s="37"/>
      <c r="V25" s="37"/>
      <c r="W25" s="37"/>
      <c r="X25" s="344"/>
      <c r="Y25" s="164" t="str">
        <f>CenAVS!A50</f>
        <v xml:space="preserve">zaślepki HF/HL/HS - Top do SD jasnoszare HGR   </v>
      </c>
      <c r="Z25" s="164" t="str">
        <f>CenAVS!B50</f>
        <v>23.8000</v>
      </c>
      <c r="AA25" s="164" t="str">
        <f>CenAVS!C50</f>
        <v>HGR</v>
      </c>
      <c r="AB25" s="165">
        <f t="shared" si="2"/>
        <v>0</v>
      </c>
      <c r="AC25" s="395">
        <f>CenAVS!F50</f>
        <v>284.41748999999999</v>
      </c>
      <c r="AD25" s="167">
        <f t="shared" si="3"/>
        <v>0</v>
      </c>
      <c r="AE25" s="407">
        <f>IF(AND($T$45=1, $R$14=2), SUM($AE$9:$AE$12), 0)</f>
        <v>0</v>
      </c>
      <c r="AF25" s="168">
        <f t="shared" si="4"/>
        <v>0</v>
      </c>
      <c r="AG25" s="407">
        <f>IF(AND($T$45=1, $R$25=2), SUM($AG$9:$AG$12), 0)</f>
        <v>0</v>
      </c>
      <c r="AH25" s="168">
        <f t="shared" si="5"/>
        <v>0</v>
      </c>
      <c r="AI25" s="108"/>
      <c r="AJ25" s="108"/>
      <c r="AK25" s="137"/>
      <c r="AL25" s="137"/>
      <c r="AM25" s="137"/>
      <c r="AN25" s="137"/>
      <c r="AO25" s="137"/>
      <c r="AP25" s="137"/>
      <c r="AQ25" s="137"/>
      <c r="AR25" s="137"/>
      <c r="AS25" s="137"/>
      <c r="AT25" s="37"/>
    </row>
    <row r="26" spans="1:47" s="122" customFormat="1" ht="16.149999999999999" customHeight="1" x14ac:dyDescent="0.2">
      <c r="A26" s="37"/>
      <c r="B26" s="1055"/>
      <c r="C26" s="1055"/>
      <c r="D26" s="1053" t="str">
        <f>ListAVS!$B$79&amp;" [kg] "</f>
        <v xml:space="preserve">Obliczona waga frontu [kg] </v>
      </c>
      <c r="E26" s="1053"/>
      <c r="F26" s="1053"/>
      <c r="G26" s="1054"/>
      <c r="H26" s="259">
        <f>$T$91</f>
        <v>0</v>
      </c>
      <c r="I26" s="227" t="str">
        <f>IF(AND($H28&gt;0,$H26&gt;0,$H23=0,$M26&gt;0), $N$38," ")&amp;IF(AND(H28&gt;0, H23=0, Z88=3, $J$4=0), $N$36, " ")</f>
        <v xml:space="preserve">  </v>
      </c>
      <c r="J26" s="255"/>
      <c r="K26" s="255"/>
      <c r="L26" s="255"/>
      <c r="M26" s="315">
        <f>IF($H21*$H22*$Q26=0,0,IF(SUM(O21:O23)=0,0,IF(SUM(Q21:Q24)=0,0,IF($H21&gt;1800,0,IF($H21&lt;220,0,$H28)))))</f>
        <v>0</v>
      </c>
      <c r="N26" s="37"/>
      <c r="O26" s="118"/>
      <c r="P26" s="690" t="s">
        <v>51</v>
      </c>
      <c r="Q26" s="691">
        <f>IF(H23&gt;0,H23,H26)</f>
        <v>0</v>
      </c>
      <c r="R26" s="37">
        <f>IF(SUM(H23,H26)=0,0,IF(H23&gt;0,1,2))</f>
        <v>0</v>
      </c>
      <c r="S26" s="571" t="s">
        <v>52</v>
      </c>
      <c r="T26" s="37"/>
      <c r="U26" s="717" t="s">
        <v>79</v>
      </c>
      <c r="V26" s="927" t="str">
        <f>IF(AND(219&lt;H21,H21&lt;1801,299&lt;H22,H22&lt;581),"ano","ne")</f>
        <v>ne</v>
      </c>
      <c r="W26" s="346"/>
      <c r="X26" s="37"/>
      <c r="Y26" s="164" t="str">
        <f>CenAVS!A51</f>
        <v xml:space="preserve">Zaślepki HF/HL/HS - Top do SD ciemnoszare TGR   </v>
      </c>
      <c r="Z26" s="164" t="str">
        <f>CenAVS!B51</f>
        <v>23.8000</v>
      </c>
      <c r="AA26" s="164" t="str">
        <f>CenAVS!C51</f>
        <v>TGR</v>
      </c>
      <c r="AB26" s="165">
        <f t="shared" si="2"/>
        <v>0</v>
      </c>
      <c r="AC26" s="395">
        <f>CenAVS!F51</f>
        <v>295.60313000000002</v>
      </c>
      <c r="AD26" s="167">
        <f t="shared" si="3"/>
        <v>0</v>
      </c>
      <c r="AE26" s="407">
        <f>IF(AND($T$45=2, $R$14=2), SUM($AE$9:$AE$12), 0)</f>
        <v>0</v>
      </c>
      <c r="AF26" s="168">
        <f t="shared" si="4"/>
        <v>0</v>
      </c>
      <c r="AG26" s="407">
        <f>IF(AND($T$45=2, $R$25=2), SUM($AG$9:$AG$12), 0)</f>
        <v>0</v>
      </c>
      <c r="AH26" s="168">
        <f t="shared" si="5"/>
        <v>0</v>
      </c>
      <c r="AI26" s="108"/>
      <c r="AJ26" s="108"/>
      <c r="AK26" s="108"/>
      <c r="AL26" s="137"/>
      <c r="AM26" s="137"/>
      <c r="AN26" s="137"/>
      <c r="AO26" s="137"/>
      <c r="AP26" s="137"/>
      <c r="AQ26" s="137"/>
      <c r="AR26" s="137"/>
      <c r="AS26" s="137"/>
      <c r="AT26" s="137"/>
      <c r="AU26" s="121"/>
    </row>
    <row r="27" spans="1:47" s="122" customFormat="1" ht="16.149999999999999" customHeight="1" thickBot="1" x14ac:dyDescent="0.25">
      <c r="A27" s="37"/>
      <c r="B27" s="1011" t="str">
        <f>ListAVS!$B$29&amp;" * "</f>
        <v xml:space="preserve">Liczba ścianek środkowych * </v>
      </c>
      <c r="C27" s="1012"/>
      <c r="D27" s="1012"/>
      <c r="E27" s="1012"/>
      <c r="F27" s="1012"/>
      <c r="G27" s="1013"/>
      <c r="H27" s="435"/>
      <c r="I27" s="256"/>
      <c r="J27" s="255"/>
      <c r="K27" s="248"/>
      <c r="L27" s="255"/>
      <c r="M27" s="37"/>
      <c r="N27" s="137"/>
      <c r="O27" s="137"/>
      <c r="P27" s="137"/>
      <c r="Q27" s="137"/>
      <c r="R27" s="37"/>
      <c r="S27" s="37"/>
      <c r="T27" s="346"/>
      <c r="U27" s="717" t="s">
        <v>710</v>
      </c>
      <c r="V27" s="928" t="str">
        <f>IF(AND($H$22&gt;=$Z$44, $H$22&lt;=$AA$44, $Q$26&gt;=$AB$44, $Q$26&lt;=$AC$44), "ano", IF(AND($H$22&gt;=$Z$45, $H$22&lt;=$AA$45, $Q$26&gt;=$AB$45, $Q$26&lt;=$AC$45), "ano", IF(AND($H$22&gt;=$Z$49, $H$22&lt;=$AA$49, $Q$26&gt;=$AB$49, $Q$26&lt;=$AC$49), "ano", IF(AND($H$22&gt;=$Z$50, $H$22&lt;=$AA$50, $Q$26&gt;=$AB$50, $Q$26&lt;=$AC$50), "ano", "ne"))))</f>
        <v>ne</v>
      </c>
      <c r="W27" s="345"/>
      <c r="X27" s="346"/>
      <c r="Y27" s="164" t="str">
        <f>CenAVS!A52</f>
        <v xml:space="preserve">Zaślepki HF/HL/HS - Top do SD białe SW   </v>
      </c>
      <c r="Z27" s="164" t="str">
        <f>CenAVS!B52</f>
        <v>23.8000</v>
      </c>
      <c r="AA27" s="164" t="str">
        <f>CenAVS!C52</f>
        <v>SW</v>
      </c>
      <c r="AB27" s="165">
        <f t="shared" si="2"/>
        <v>0</v>
      </c>
      <c r="AC27" s="395">
        <f>CenAVS!F52</f>
        <v>295.60313000000002</v>
      </c>
      <c r="AD27" s="167">
        <f t="shared" si="3"/>
        <v>0</v>
      </c>
      <c r="AE27" s="407">
        <f>IF(AND($T$45=3, $R$14=2), SUM($AE$9:$AE$12), 0)</f>
        <v>0</v>
      </c>
      <c r="AF27" s="168">
        <f t="shared" si="4"/>
        <v>0</v>
      </c>
      <c r="AG27" s="407">
        <f>IF(AND($T$45=3, $R$25=2), SUM($AG$9:$AG$12), 0)</f>
        <v>0</v>
      </c>
      <c r="AH27" s="168">
        <f t="shared" si="5"/>
        <v>0</v>
      </c>
      <c r="AI27" s="108"/>
      <c r="AJ27" s="108"/>
      <c r="AK27" s="693"/>
      <c r="AL27" s="137"/>
      <c r="AM27" s="137"/>
      <c r="AN27" s="137"/>
      <c r="AO27" s="137"/>
      <c r="AP27" s="137"/>
      <c r="AQ27" s="137"/>
      <c r="AR27" s="137"/>
      <c r="AS27" s="137"/>
      <c r="AT27" s="137"/>
      <c r="AU27" s="121"/>
    </row>
    <row r="28" spans="1:47" ht="16.149999999999999" customHeight="1" thickBot="1" x14ac:dyDescent="0.25">
      <c r="B28" s="1011" t="str">
        <f>ListAVS!$B$71</f>
        <v>Ilość szafek</v>
      </c>
      <c r="C28" s="1012"/>
      <c r="D28" s="1012"/>
      <c r="E28" s="1012"/>
      <c r="F28" s="1012"/>
      <c r="G28" s="1176"/>
      <c r="H28" s="437"/>
      <c r="I28" s="256"/>
      <c r="J28" s="264"/>
      <c r="K28" s="396"/>
      <c r="L28" s="265"/>
      <c r="O28" s="138">
        <f>IF($P$28=FALSE,2,1)</f>
        <v>2</v>
      </c>
      <c r="P28" s="1063" t="b">
        <v>0</v>
      </c>
      <c r="Q28" s="1064"/>
      <c r="R28" s="139" t="s">
        <v>56</v>
      </c>
      <c r="S28" s="140"/>
      <c r="T28" s="346"/>
      <c r="U28" s="317"/>
      <c r="V28" s="347"/>
      <c r="X28" s="345"/>
      <c r="Y28" s="164"/>
      <c r="Z28" s="164"/>
      <c r="AA28" s="301"/>
      <c r="AB28" s="165"/>
      <c r="AC28" s="395"/>
      <c r="AD28" s="167"/>
      <c r="AE28" s="408"/>
      <c r="AF28" s="168"/>
      <c r="AG28" s="408"/>
      <c r="AH28" s="168"/>
      <c r="AI28" s="108"/>
      <c r="AJ28" s="108"/>
      <c r="AK28" s="693"/>
      <c r="AL28" s="137"/>
      <c r="AM28" s="137"/>
      <c r="AN28" s="137"/>
      <c r="AO28" s="137"/>
      <c r="AP28" s="137"/>
      <c r="AQ28" s="137"/>
      <c r="AR28" s="137"/>
      <c r="AS28" s="137"/>
      <c r="AT28" s="137"/>
    </row>
    <row r="29" spans="1:47" ht="16.149999999999999" customHeight="1" x14ac:dyDescent="0.2">
      <c r="A29" s="137"/>
      <c r="B29" s="255" t="str">
        <f>IF(H28&gt;0,IF(OR(R26=0,M26=0), " ",IF(R26=1,$N$50,$N$51))," ")&amp;IF(H28&gt;0,IF(OR(R26=0, M26=0), " ",IF(R26=1,$N$52,$N$53))," ")</f>
        <v xml:space="preserve">  </v>
      </c>
      <c r="C29" s="255"/>
      <c r="D29" s="255"/>
      <c r="E29" s="255"/>
      <c r="F29" s="255"/>
      <c r="G29" s="255"/>
      <c r="H29" s="273"/>
      <c r="I29" s="273"/>
      <c r="J29" s="266"/>
      <c r="K29" s="266"/>
      <c r="L29" s="266"/>
      <c r="T29" s="346"/>
      <c r="U29" s="119"/>
      <c r="V29" s="134"/>
      <c r="Y29" s="164"/>
      <c r="Z29" s="164"/>
      <c r="AA29" s="301"/>
      <c r="AB29" s="165"/>
      <c r="AC29" s="395"/>
      <c r="AD29" s="167"/>
      <c r="AE29" s="408"/>
      <c r="AF29" s="168"/>
      <c r="AG29" s="408"/>
      <c r="AH29" s="168"/>
      <c r="AI29" s="108"/>
      <c r="AJ29" s="108"/>
      <c r="AK29" s="693"/>
      <c r="AL29" s="137"/>
      <c r="AM29" s="137"/>
      <c r="AN29" s="137"/>
      <c r="AO29" s="137"/>
      <c r="AP29" s="137"/>
      <c r="AQ29" s="137"/>
      <c r="AR29" s="137"/>
      <c r="AS29" s="137"/>
      <c r="AT29" s="137"/>
    </row>
    <row r="30" spans="1:47" ht="16.149999999999999" customHeight="1" x14ac:dyDescent="0.2">
      <c r="B30" s="275" t="str">
        <f>IF(AND($Q$23=1, $Q$24=1, $R$23=1), ListAVS!$B$338&amp;$Y$50&amp;". "&amp;ListAVS!$B$339, IF(AND($Q$23=1, $Q$24=1, $R$24=1), ListAVS!$B$338&amp;$Y$49&amp;". "&amp;ListAVS!$B$339, " "))</f>
        <v xml:space="preserve"> </v>
      </c>
      <c r="C30" s="248"/>
      <c r="D30" s="396"/>
      <c r="E30" s="396"/>
      <c r="F30" s="274"/>
      <c r="G30" s="274"/>
      <c r="H30" s="396"/>
      <c r="I30" s="264"/>
      <c r="J30" s="264"/>
      <c r="K30" s="396"/>
      <c r="L30" s="265"/>
      <c r="T30" s="346"/>
      <c r="U30" s="344"/>
      <c r="V30" s="344"/>
      <c r="W30" s="346"/>
      <c r="Y30" s="164"/>
      <c r="Z30" s="164"/>
      <c r="AA30" s="301"/>
      <c r="AB30" s="165"/>
      <c r="AC30" s="395"/>
      <c r="AD30" s="167"/>
      <c r="AE30" s="407"/>
      <c r="AF30" s="168"/>
      <c r="AG30" s="407"/>
      <c r="AH30" s="168"/>
      <c r="AI30" s="108"/>
      <c r="AJ30" s="108"/>
      <c r="AK30" s="108"/>
      <c r="AL30" s="137"/>
      <c r="AM30" s="137"/>
      <c r="AN30" s="137"/>
      <c r="AO30" s="137"/>
      <c r="AP30" s="137"/>
      <c r="AQ30" s="137"/>
      <c r="AR30" s="137"/>
      <c r="AS30" s="137"/>
      <c r="AT30" s="137"/>
    </row>
    <row r="31" spans="1:47" ht="16.149999999999999" customHeight="1" x14ac:dyDescent="0.2">
      <c r="B31" s="1109" t="str">
        <f>IF(OR(AND($R$14=2, $M$15&gt;0), AND($R$24=2, $M$25&gt;0)), ListAVS!$B$176, " ")</f>
        <v xml:space="preserve"> </v>
      </c>
      <c r="C31" s="1109"/>
      <c r="D31" s="1109"/>
      <c r="E31" s="1109"/>
      <c r="F31" s="1109"/>
      <c r="G31" s="1109"/>
      <c r="H31" s="1109"/>
      <c r="I31" s="1109"/>
      <c r="J31" s="1109"/>
      <c r="K31" s="397"/>
      <c r="L31" s="397"/>
      <c r="W31" s="346"/>
      <c r="X31" s="346"/>
      <c r="Y31" s="164"/>
      <c r="Z31" s="164"/>
      <c r="AA31" s="301"/>
      <c r="AB31" s="165"/>
      <c r="AC31" s="395"/>
      <c r="AD31" s="167"/>
      <c r="AE31" s="407"/>
      <c r="AF31" s="168"/>
      <c r="AG31" s="407"/>
      <c r="AH31" s="168"/>
      <c r="AI31" s="108"/>
      <c r="AJ31" s="108"/>
      <c r="AK31" s="710"/>
      <c r="AL31" s="137"/>
      <c r="AM31" s="137"/>
      <c r="AN31" s="137"/>
      <c r="AO31" s="137"/>
      <c r="AP31" s="137"/>
      <c r="AQ31" s="137"/>
      <c r="AR31" s="137"/>
      <c r="AS31" s="137"/>
      <c r="AT31" s="137"/>
    </row>
    <row r="32" spans="1:47" ht="16.149999999999999" customHeight="1" x14ac:dyDescent="0.2">
      <c r="B32" s="1109"/>
      <c r="C32" s="1109"/>
      <c r="D32" s="1109"/>
      <c r="E32" s="1109"/>
      <c r="F32" s="1109"/>
      <c r="G32" s="1109"/>
      <c r="H32" s="1109"/>
      <c r="I32" s="1109"/>
      <c r="J32" s="1109"/>
      <c r="K32" s="397"/>
      <c r="L32" s="397"/>
      <c r="W32" s="346"/>
      <c r="X32" s="346"/>
      <c r="Y32" s="164" t="str">
        <f>CenAVS!A78</f>
        <v xml:space="preserve">mocowanie frontu do HK Top, HS/Top, HL/Top    </v>
      </c>
      <c r="Z32" s="164" t="str">
        <f>CenAVS!B78</f>
        <v>20S4200</v>
      </c>
      <c r="AA32" s="301" t="str">
        <f>CenAVS!C78</f>
        <v>NI</v>
      </c>
      <c r="AB32" s="165">
        <f>SUM(AE32,AG32)</f>
        <v>0</v>
      </c>
      <c r="AC32" s="395">
        <f>CenAVS!F78</f>
        <v>9.9925899999999999</v>
      </c>
      <c r="AD32" s="167">
        <f>AB32*AC32</f>
        <v>0</v>
      </c>
      <c r="AE32" s="407">
        <f>SUM(AE$9:AE$12)</f>
        <v>0</v>
      </c>
      <c r="AF32" s="168">
        <f>$AC32*AE32</f>
        <v>0</v>
      </c>
      <c r="AG32" s="407">
        <f>SUM(AG$9:AG$12)</f>
        <v>0</v>
      </c>
      <c r="AH32" s="168">
        <f>$AC32*AG32</f>
        <v>0</v>
      </c>
      <c r="AI32" s="108"/>
      <c r="AJ32" s="108"/>
      <c r="AK32" s="108"/>
      <c r="AL32" s="137"/>
      <c r="AM32" s="137"/>
      <c r="AN32" s="137"/>
      <c r="AO32" s="137"/>
      <c r="AP32" s="137"/>
      <c r="AQ32" s="137"/>
      <c r="AR32" s="137"/>
      <c r="AS32" s="137"/>
      <c r="AT32" s="137"/>
    </row>
    <row r="33" spans="2:47" ht="16.149999999999999" customHeight="1" x14ac:dyDescent="0.2">
      <c r="B33" s="1109"/>
      <c r="C33" s="1109"/>
      <c r="D33" s="1109"/>
      <c r="E33" s="1109"/>
      <c r="F33" s="1109"/>
      <c r="G33" s="1109"/>
      <c r="H33" s="1109"/>
      <c r="I33" s="1109"/>
      <c r="J33" s="1109"/>
      <c r="K33" s="266"/>
      <c r="L33" s="255"/>
      <c r="W33" s="344"/>
      <c r="X33" s="344"/>
      <c r="Y33" s="164" t="str">
        <f>CenAVS!A79</f>
        <v xml:space="preserve">mocowanie frontu HS, HK top, HL Expando    </v>
      </c>
      <c r="Z33" s="164" t="str">
        <f>CenAVS!B79</f>
        <v>20S42E1</v>
      </c>
      <c r="AA33" s="301" t="str">
        <f>CenAVS!C79</f>
        <v>NI</v>
      </c>
      <c r="AB33" s="165">
        <f>SUM(AE33,AG33)</f>
        <v>0</v>
      </c>
      <c r="AC33" s="395">
        <f>CenAVS!F79</f>
        <v>6.2138699999999991</v>
      </c>
      <c r="AD33" s="167">
        <f>AB33*AC33</f>
        <v>0</v>
      </c>
      <c r="AE33" s="407"/>
      <c r="AF33" s="168">
        <f>$AC33*AE33</f>
        <v>0</v>
      </c>
      <c r="AG33" s="407"/>
      <c r="AH33" s="168">
        <f>$AC33*AG33</f>
        <v>0</v>
      </c>
      <c r="AI33" s="108"/>
      <c r="AJ33" s="108"/>
      <c r="AK33" s="108"/>
      <c r="AL33" s="137"/>
      <c r="AM33" s="137"/>
      <c r="AN33" s="137"/>
      <c r="AO33" s="137"/>
      <c r="AP33" s="137"/>
      <c r="AQ33" s="137"/>
      <c r="AR33" s="137"/>
      <c r="AS33" s="137"/>
      <c r="AT33" s="137"/>
    </row>
    <row r="34" spans="2:47" ht="16.149999999999999" customHeight="1" x14ac:dyDescent="0.2">
      <c r="B34" s="272"/>
      <c r="C34" s="255"/>
      <c r="D34" s="266"/>
      <c r="E34" s="266"/>
      <c r="F34" s="266"/>
      <c r="G34" s="266"/>
      <c r="H34" s="266"/>
      <c r="I34" s="255"/>
      <c r="J34" s="266"/>
      <c r="K34" s="266"/>
      <c r="L34" s="255"/>
      <c r="W34" s="344"/>
      <c r="X34" s="344"/>
      <c r="Y34" s="164" t="str">
        <f>CenAVS!A80</f>
        <v>mocow. frontu do cienkich materiałów Aventos HK, HL, HS, Expando T</v>
      </c>
      <c r="Z34" s="164" t="str">
        <f>CenAVS!B80</f>
        <v>20S42T1</v>
      </c>
      <c r="AA34" s="301" t="str">
        <f>CenAVS!C80</f>
        <v>NI</v>
      </c>
      <c r="AB34" s="165">
        <f>SUM(AE34,AG34)</f>
        <v>0</v>
      </c>
      <c r="AC34" s="395">
        <f>CenAVS!F80</f>
        <v>31.992830000000005</v>
      </c>
      <c r="AD34" s="167">
        <f>AB34*AC34</f>
        <v>0</v>
      </c>
      <c r="AE34" s="407"/>
      <c r="AF34" s="168">
        <f>$AC34*AE34</f>
        <v>0</v>
      </c>
      <c r="AG34" s="407"/>
      <c r="AH34" s="168">
        <f>$AC34*AG34</f>
        <v>0</v>
      </c>
      <c r="AI34" s="108"/>
      <c r="AJ34" s="108"/>
      <c r="AK34" s="108"/>
      <c r="AL34" s="137"/>
      <c r="AM34" s="137"/>
      <c r="AN34" s="137"/>
      <c r="AO34" s="137"/>
      <c r="AP34" s="137"/>
      <c r="AQ34" s="137"/>
      <c r="AR34" s="137"/>
      <c r="AS34" s="137"/>
      <c r="AT34" s="137"/>
    </row>
    <row r="35" spans="2:47" ht="16.149999999999999" customHeight="1" x14ac:dyDescent="0.2">
      <c r="B35" s="272"/>
      <c r="C35" s="273"/>
      <c r="D35" s="266"/>
      <c r="E35" s="266"/>
      <c r="F35" s="266"/>
      <c r="G35" s="266"/>
      <c r="H35" s="266"/>
      <c r="I35" s="255"/>
      <c r="J35" s="266"/>
      <c r="K35" s="266"/>
      <c r="L35" s="255"/>
      <c r="N35" s="37" t="str">
        <f>ListAVS!B177</f>
        <v>Cena bez zasilacza!</v>
      </c>
      <c r="T35" s="344"/>
      <c r="U35" s="344"/>
      <c r="V35" s="344"/>
      <c r="W35" s="344"/>
      <c r="X35" s="344"/>
      <c r="Y35" s="164" t="str">
        <f>CenAVS!A81</f>
        <v xml:space="preserve">mocowanie frontu alu HK Top, HS/Top, HL/Top    </v>
      </c>
      <c r="Z35" s="164" t="str">
        <f>CenAVS!B81</f>
        <v>20S4200A</v>
      </c>
      <c r="AA35" s="301" t="str">
        <f>CenAVS!C81</f>
        <v>NI</v>
      </c>
      <c r="AB35" s="165">
        <f>SUM(AE35,AG35)</f>
        <v>0</v>
      </c>
      <c r="AC35" s="395">
        <f>CenAVS!F81</f>
        <v>43.392219999999995</v>
      </c>
      <c r="AD35" s="167">
        <f>AB35*AC35</f>
        <v>0</v>
      </c>
      <c r="AE35" s="407"/>
      <c r="AF35" s="168">
        <f>$AC35*AE35</f>
        <v>0</v>
      </c>
      <c r="AG35" s="407"/>
      <c r="AH35" s="168">
        <f>$AC35*AG35</f>
        <v>0</v>
      </c>
      <c r="AI35" s="108"/>
      <c r="AJ35" s="108"/>
      <c r="AK35" s="108"/>
      <c r="AL35" s="137"/>
      <c r="AM35" s="137"/>
      <c r="AN35" s="137"/>
      <c r="AO35" s="137"/>
      <c r="AP35" s="137"/>
      <c r="AQ35" s="137"/>
      <c r="AR35" s="137"/>
      <c r="AS35" s="137"/>
      <c r="AT35" s="137"/>
    </row>
    <row r="36" spans="2:47" ht="16.149999999999999" customHeight="1" x14ac:dyDescent="0.2">
      <c r="B36" s="272"/>
      <c r="C36" s="255"/>
      <c r="D36" s="266"/>
      <c r="E36" s="266"/>
      <c r="F36" s="266"/>
      <c r="G36" s="266"/>
      <c r="H36" s="266"/>
      <c r="I36" s="255"/>
      <c r="J36" s="266"/>
      <c r="K36" s="266"/>
      <c r="L36" s="255"/>
      <c r="N36" s="37" t="str">
        <f>" "&amp;ListAVS!$B$118</f>
        <v xml:space="preserve"> Wprowadź na górze masę objętościową </v>
      </c>
      <c r="T36" s="317"/>
      <c r="U36" s="317"/>
      <c r="V36" s="344"/>
      <c r="W36" s="344"/>
      <c r="X36" s="344"/>
      <c r="Y36" s="164"/>
      <c r="Z36" s="164"/>
      <c r="AA36" s="301"/>
      <c r="AB36" s="165"/>
      <c r="AC36" s="395"/>
      <c r="AD36" s="167"/>
      <c r="AE36" s="407"/>
      <c r="AF36" s="168"/>
      <c r="AG36" s="407"/>
      <c r="AH36" s="168"/>
      <c r="AI36" s="108"/>
      <c r="AJ36" s="108"/>
      <c r="AK36" s="108"/>
      <c r="AL36" s="137"/>
      <c r="AM36" s="137"/>
      <c r="AN36" s="137"/>
      <c r="AO36" s="137"/>
      <c r="AP36" s="137"/>
      <c r="AQ36" s="137"/>
      <c r="AR36" s="137"/>
      <c r="AS36" s="137"/>
      <c r="AT36" s="137"/>
    </row>
    <row r="37" spans="2:47" ht="16.149999999999999" customHeight="1" x14ac:dyDescent="0.2">
      <c r="B37" s="274"/>
      <c r="C37" s="275" t="str">
        <f>"* "&amp;ListAVS!$B$234</f>
        <v>* Podaj liczbę ścianek środkowych w korpusie.</v>
      </c>
      <c r="D37" s="275"/>
      <c r="E37" s="275"/>
      <c r="F37" s="275"/>
      <c r="G37" s="275"/>
      <c r="H37" s="275"/>
      <c r="I37" s="275"/>
      <c r="J37" s="275"/>
      <c r="K37" s="275"/>
      <c r="L37" s="275"/>
      <c r="N37" s="37" t="str">
        <f>" "&amp;ListAVS!$B$116</f>
        <v xml:space="preserve"> Wprowadź wagę lub wypełnij wszystkie komórki</v>
      </c>
      <c r="T37" s="344"/>
      <c r="U37" s="344"/>
      <c r="V37" s="344"/>
      <c r="W37" s="317"/>
      <c r="X37" s="317"/>
      <c r="Y37" s="164" t="str">
        <f>CenAVS!A171</f>
        <v xml:space="preserve">Aventos HF/HL/HS - Top Servo-Drive      </v>
      </c>
      <c r="Z37" s="164" t="str">
        <f>CenAVS!B171</f>
        <v>23.A000</v>
      </c>
      <c r="AA37" s="301" t="str">
        <f>CenAVS!C171</f>
        <v>R7037</v>
      </c>
      <c r="AB37" s="165">
        <f>SUM(AE37,AG37)</f>
        <v>0</v>
      </c>
      <c r="AC37" s="395">
        <f>CenAVS!F171</f>
        <v>905.30219999999997</v>
      </c>
      <c r="AD37" s="167">
        <f>AB37*AC37</f>
        <v>0</v>
      </c>
      <c r="AE37" s="407">
        <f>IF($R$14=2, $M$15, 0)</f>
        <v>0</v>
      </c>
      <c r="AF37" s="168">
        <f>$AC37*AE37</f>
        <v>0</v>
      </c>
      <c r="AG37" s="407">
        <f>IF($R$25=2, $M$26, 0)</f>
        <v>0</v>
      </c>
      <c r="AH37" s="168">
        <f>$AC37*AG37</f>
        <v>0</v>
      </c>
      <c r="AI37" s="108"/>
      <c r="AJ37" s="108"/>
      <c r="AK37" s="108"/>
      <c r="AL37" s="137"/>
      <c r="AM37" s="137"/>
      <c r="AN37" s="137"/>
      <c r="AO37" s="137"/>
      <c r="AP37" s="137"/>
      <c r="AQ37" s="137"/>
      <c r="AR37" s="137"/>
      <c r="AS37" s="137"/>
      <c r="AT37" s="137"/>
    </row>
    <row r="38" spans="2:47" ht="16.149999999999999" customHeight="1" x14ac:dyDescent="0.2">
      <c r="B38" s="255"/>
      <c r="C38" s="255" t="str">
        <f>"** "&amp;ListAVS!$B$187</f>
        <v>** Jeżeli znasz wagę i nie chcesz skorzystać z "obliczenie wagi"</v>
      </c>
      <c r="D38" s="275"/>
      <c r="E38" s="275"/>
      <c r="F38" s="275"/>
      <c r="G38" s="275"/>
      <c r="H38" s="275"/>
      <c r="I38" s="275"/>
      <c r="J38" s="275"/>
      <c r="K38" s="275"/>
      <c r="L38" s="275"/>
      <c r="N38" s="37" t="str">
        <f>"◄ "&amp;ListAVS!$B$113</f>
        <v>◄ wartość będzie wykorzystana w celu wyboru siłownika</v>
      </c>
      <c r="T38" s="344"/>
      <c r="U38" s="344"/>
      <c r="V38" s="344"/>
      <c r="W38" s="344"/>
      <c r="X38" s="344"/>
      <c r="Y38" s="164"/>
      <c r="Z38" s="164"/>
      <c r="AA38" s="301"/>
      <c r="AB38" s="165"/>
      <c r="AC38" s="395"/>
      <c r="AD38" s="167"/>
      <c r="AE38" s="408"/>
      <c r="AF38" s="168">
        <f>$AC38*AE38</f>
        <v>0</v>
      </c>
      <c r="AG38" s="408"/>
      <c r="AH38" s="168">
        <f>$AC38*AG38</f>
        <v>0</v>
      </c>
      <c r="AI38" s="37"/>
      <c r="AJ38" s="108"/>
      <c r="AK38" s="108"/>
      <c r="AL38" s="137"/>
      <c r="AM38" s="37"/>
      <c r="AN38" s="37"/>
      <c r="AO38" s="37"/>
      <c r="AP38" s="37"/>
      <c r="AQ38" s="37"/>
      <c r="AR38" s="37"/>
      <c r="AS38" s="37"/>
      <c r="AT38" s="137"/>
    </row>
    <row r="39" spans="2:47" ht="16.149999999999999" customHeight="1" x14ac:dyDescent="0.2">
      <c r="B39" s="255"/>
      <c r="C39" s="273" t="str">
        <f>"*** "&amp;ListAVS!$B$403</f>
        <v>*** Wybierz rodzaj ramki aluminiowej!</v>
      </c>
      <c r="D39" s="266"/>
      <c r="E39" s="266"/>
      <c r="F39" s="266"/>
      <c r="G39" s="266"/>
      <c r="H39" s="276"/>
      <c r="I39" s="276"/>
      <c r="J39" s="276"/>
      <c r="K39" s="276"/>
      <c r="L39" s="255"/>
      <c r="N39" s="37" t="str">
        <f>" * "&amp;ListAVS!$B$128</f>
        <v xml:space="preserve"> * Wypełnij wartości</v>
      </c>
      <c r="T39" s="344"/>
      <c r="U39" s="344"/>
      <c r="V39" s="344"/>
      <c r="W39" s="344"/>
      <c r="X39" s="344"/>
      <c r="AA39" s="118"/>
      <c r="AB39" s="118"/>
      <c r="AC39" s="918"/>
      <c r="AD39" s="919"/>
      <c r="AE39" s="118"/>
      <c r="AF39" s="170"/>
      <c r="AG39" s="118"/>
      <c r="AH39" s="170"/>
      <c r="AI39" s="37"/>
      <c r="AJ39" s="108"/>
      <c r="AK39" s="108"/>
      <c r="AL39" s="37"/>
      <c r="AM39" s="37"/>
      <c r="AN39" s="37"/>
      <c r="AO39" s="37"/>
      <c r="AP39" s="37"/>
      <c r="AQ39" s="37"/>
      <c r="AR39" s="37"/>
      <c r="AS39" s="37"/>
      <c r="AT39" s="137"/>
    </row>
    <row r="40" spans="2:47" ht="16.149999999999999" customHeight="1" x14ac:dyDescent="0.2">
      <c r="B40" s="274"/>
      <c r="C40" s="670" t="str">
        <f>"      "&amp;ListAVS!$B$404</f>
        <v xml:space="preserve">      Więcej informacji o wyborze ramki aluminiowej w Pomocy</v>
      </c>
      <c r="D40" s="255"/>
      <c r="E40" s="255"/>
      <c r="F40" s="255"/>
      <c r="G40" s="255"/>
      <c r="H40" s="276"/>
      <c r="I40" s="276"/>
      <c r="J40" s="276"/>
      <c r="K40" s="276"/>
      <c r="L40" s="255"/>
      <c r="O40" s="37"/>
      <c r="Q40" s="37"/>
      <c r="T40" s="348"/>
      <c r="U40" s="344"/>
      <c r="V40" s="344"/>
      <c r="W40" s="344"/>
      <c r="X40" s="344"/>
      <c r="AC40" s="144" t="str">
        <f>ListAVS!$B$61&amp;" "</f>
        <v xml:space="preserve">Cena całkowita bez VAT </v>
      </c>
      <c r="AD40" s="171">
        <f>SUM(AD9:AD38)</f>
        <v>0</v>
      </c>
      <c r="AF40" s="201">
        <f>SUM(AF9:AF38)</f>
        <v>0</v>
      </c>
      <c r="AH40" s="201">
        <f>SUM(AH9:AH38)</f>
        <v>0</v>
      </c>
      <c r="AI40" s="37"/>
      <c r="AJ40" s="108"/>
      <c r="AK40" s="108"/>
      <c r="AL40" s="37"/>
      <c r="AM40" s="37"/>
      <c r="AN40" s="37"/>
      <c r="AO40" s="37"/>
      <c r="AP40" s="37"/>
      <c r="AQ40" s="37"/>
      <c r="AR40" s="37"/>
      <c r="AS40" s="37"/>
      <c r="AT40" s="37"/>
      <c r="AU40" s="37"/>
    </row>
    <row r="41" spans="2:47" ht="16.149999999999999" customHeight="1" x14ac:dyDescent="0.2">
      <c r="B41" s="255"/>
      <c r="C41" s="255"/>
      <c r="D41" s="399"/>
      <c r="E41" s="399"/>
      <c r="F41" s="399"/>
      <c r="G41" s="399"/>
      <c r="H41" s="255"/>
      <c r="I41" s="255"/>
      <c r="J41" s="255"/>
      <c r="K41" s="255"/>
      <c r="L41" s="255"/>
      <c r="N41" s="37" t="str">
        <f>" "&amp;ListAVS!$B$125&amp;"!"</f>
        <v xml:space="preserve"> Waga poza dozwolonym zakresem!</v>
      </c>
      <c r="O41" s="37"/>
      <c r="T41" s="344"/>
      <c r="U41" s="344"/>
      <c r="V41" s="344"/>
      <c r="W41" s="348"/>
      <c r="X41" s="348"/>
      <c r="Y41" s="144" t="str">
        <f>Param!M30</f>
        <v>Parametry HL</v>
      </c>
      <c r="AA41" s="118"/>
      <c r="AB41" s="118"/>
      <c r="AC41" s="918"/>
      <c r="AD41" s="919"/>
      <c r="AE41" s="118"/>
      <c r="AF41" s="170"/>
      <c r="AG41" s="118"/>
      <c r="AH41" s="170"/>
      <c r="AI41" s="108"/>
      <c r="AJ41" s="108"/>
      <c r="AK41" s="108"/>
      <c r="AL41" s="37"/>
      <c r="AM41" s="137"/>
      <c r="AN41" s="137"/>
      <c r="AO41" s="137"/>
      <c r="AP41" s="137"/>
      <c r="AQ41" s="137"/>
      <c r="AR41" s="137"/>
      <c r="AS41" s="137"/>
      <c r="AT41" s="37"/>
      <c r="AU41" s="37"/>
    </row>
    <row r="42" spans="2:47" s="37" customFormat="1" ht="16.149999999999999" customHeight="1" x14ac:dyDescent="0.2">
      <c r="J42" s="145"/>
      <c r="K42" s="145"/>
      <c r="N42" s="37" t="str">
        <f>" max. 9 000! "&amp;ListAVS!$B$122</f>
        <v xml:space="preserve"> max. 9 000! Popraw wagę albo wysokość</v>
      </c>
      <c r="O42" s="118"/>
      <c r="Q42" s="118"/>
      <c r="T42" s="344"/>
      <c r="U42" s="344"/>
      <c r="V42" s="344"/>
      <c r="W42" s="344"/>
      <c r="X42" s="344"/>
      <c r="Y42" s="132"/>
      <c r="Z42" s="883"/>
      <c r="AA42" s="910" t="str">
        <f>Param!O31</f>
        <v>22L2200</v>
      </c>
      <c r="AB42" s="910"/>
      <c r="AC42" s="911"/>
      <c r="AI42" s="108"/>
      <c r="AJ42" s="108"/>
      <c r="AK42" s="108"/>
      <c r="AL42" s="137"/>
      <c r="AM42" s="137"/>
      <c r="AN42" s="137"/>
      <c r="AO42" s="137"/>
      <c r="AP42" s="137"/>
      <c r="AQ42" s="137"/>
      <c r="AR42" s="137"/>
      <c r="AS42" s="137"/>
    </row>
    <row r="43" spans="2:47" s="37" customFormat="1" ht="16.149999999999999" customHeight="1" x14ac:dyDescent="0.2">
      <c r="B43" s="147"/>
      <c r="C43" s="148"/>
      <c r="D43" s="148"/>
      <c r="E43" s="148"/>
      <c r="F43" s="148"/>
      <c r="G43" s="148"/>
      <c r="H43" s="148"/>
      <c r="I43" s="148"/>
      <c r="J43" s="148"/>
      <c r="K43" s="148"/>
      <c r="N43" s="149" t="str">
        <f>" "&amp;ListAVS!$B$235</f>
        <v xml:space="preserve"> Konieczna ścianka środkowa</v>
      </c>
      <c r="O43" s="118"/>
      <c r="Q43" s="118"/>
      <c r="T43" s="342"/>
      <c r="U43" s="342"/>
      <c r="V43" s="344"/>
      <c r="W43" s="344"/>
      <c r="X43" s="344"/>
      <c r="Y43" s="132"/>
      <c r="Z43" s="132" t="str">
        <f>Param!N32</f>
        <v>min KH</v>
      </c>
      <c r="AA43" s="132" t="str">
        <f>Param!O32</f>
        <v>max KH</v>
      </c>
      <c r="AB43" s="132" t="str">
        <f>Param!P32</f>
        <v>min FG</v>
      </c>
      <c r="AC43" s="132" t="str">
        <f>Param!Q32</f>
        <v>max FG</v>
      </c>
      <c r="AI43" s="108"/>
      <c r="AJ43" s="108"/>
      <c r="AK43" s="108"/>
      <c r="AL43" s="137"/>
      <c r="AM43" s="137"/>
      <c r="AN43" s="137"/>
      <c r="AO43" s="137"/>
      <c r="AP43" s="137"/>
      <c r="AQ43" s="137"/>
      <c r="AR43" s="137"/>
      <c r="AS43" s="137"/>
      <c r="AT43" s="137"/>
      <c r="AU43" s="121"/>
    </row>
    <row r="44" spans="2:47" s="37" customFormat="1" ht="16.149999999999999" customHeight="1" x14ac:dyDescent="0.2">
      <c r="B44" s="142"/>
      <c r="C44" s="148"/>
      <c r="D44" s="148"/>
      <c r="E44" s="148"/>
      <c r="F44" s="148"/>
      <c r="G44" s="148"/>
      <c r="H44" s="148"/>
      <c r="I44" s="148"/>
      <c r="J44" s="148"/>
      <c r="K44" s="148"/>
      <c r="N44" s="149"/>
      <c r="O44" s="118"/>
      <c r="Q44" s="118"/>
      <c r="T44" s="342"/>
      <c r="U44" s="342"/>
      <c r="V44" s="344"/>
      <c r="W44" s="344"/>
      <c r="X44" s="344"/>
      <c r="Y44" s="174" t="str">
        <f>Param!M33</f>
        <v>22L3200</v>
      </c>
      <c r="Z44" s="132">
        <f>Param!N33</f>
        <v>300</v>
      </c>
      <c r="AA44" s="132">
        <f>Param!O33</f>
        <v>339</v>
      </c>
      <c r="AB44" s="920">
        <f>Param!P33</f>
        <v>1.5</v>
      </c>
      <c r="AC44" s="920">
        <f>Param!Q33</f>
        <v>9</v>
      </c>
      <c r="AI44" s="108"/>
      <c r="AJ44" s="108"/>
      <c r="AK44" s="108"/>
      <c r="AL44" s="137"/>
      <c r="AM44" s="137"/>
      <c r="AN44" s="137"/>
      <c r="AO44" s="137"/>
      <c r="AP44" s="137"/>
      <c r="AQ44" s="137"/>
      <c r="AR44" s="137"/>
      <c r="AS44" s="137"/>
      <c r="AT44" s="137"/>
      <c r="AU44" s="121"/>
    </row>
    <row r="45" spans="2:47" ht="16.149999999999999" customHeight="1" x14ac:dyDescent="0.2">
      <c r="B45" s="349"/>
      <c r="C45" s="148"/>
      <c r="D45" s="148"/>
      <c r="E45" s="148"/>
      <c r="F45" s="148"/>
      <c r="G45" s="148"/>
      <c r="H45" s="148"/>
      <c r="I45" s="148"/>
      <c r="J45" s="148"/>
      <c r="K45" s="148"/>
      <c r="N45" s="151"/>
      <c r="O45" s="117">
        <f>HL!$N$26</f>
        <v>2</v>
      </c>
      <c r="P45" s="151"/>
      <c r="T45" s="117">
        <f>MenuAVS!$P$28</f>
        <v>1</v>
      </c>
      <c r="U45" s="344"/>
      <c r="V45" s="344"/>
      <c r="W45" s="926">
        <f>HL!P26</f>
        <v>1</v>
      </c>
      <c r="X45" s="342"/>
      <c r="Y45" s="174" t="str">
        <f>Param!M34</f>
        <v>22L3500</v>
      </c>
      <c r="Z45" s="132">
        <f>Param!N34</f>
        <v>340</v>
      </c>
      <c r="AA45" s="132">
        <f>Param!O34</f>
        <v>389</v>
      </c>
      <c r="AB45" s="920">
        <f>Param!P34</f>
        <v>1.75</v>
      </c>
      <c r="AC45" s="920">
        <f>Param!Q34</f>
        <v>10</v>
      </c>
      <c r="AI45" s="108"/>
      <c r="AJ45" s="108"/>
      <c r="AK45" s="108"/>
      <c r="AL45" s="137"/>
      <c r="AM45" s="137"/>
      <c r="AN45" s="137"/>
      <c r="AO45" s="137"/>
      <c r="AP45" s="137"/>
      <c r="AQ45" s="137"/>
      <c r="AR45" s="137"/>
      <c r="AS45" s="137"/>
      <c r="AT45" s="137"/>
    </row>
    <row r="46" spans="2:47" ht="16.149999999999999" customHeight="1" x14ac:dyDescent="0.2">
      <c r="B46" s="350"/>
      <c r="C46" s="148"/>
      <c r="D46" s="148"/>
      <c r="E46" s="148"/>
      <c r="F46" s="148"/>
      <c r="G46" s="148"/>
      <c r="H46" s="148"/>
      <c r="I46" s="148"/>
      <c r="J46" s="148"/>
      <c r="K46" s="148"/>
      <c r="N46" s="153"/>
      <c r="O46" s="153" t="s">
        <v>84</v>
      </c>
      <c r="P46" s="153"/>
      <c r="Q46" s="154" t="s">
        <v>57</v>
      </c>
      <c r="T46" s="154" t="s">
        <v>6</v>
      </c>
      <c r="U46" s="344"/>
      <c r="V46" s="344"/>
      <c r="W46" s="922" t="str">
        <f>HL!P27</f>
        <v>mont.</v>
      </c>
      <c r="X46" s="345"/>
      <c r="Y46" s="174"/>
      <c r="Z46" s="132"/>
      <c r="AA46" s="132"/>
      <c r="AB46" s="132"/>
      <c r="AC46" s="132"/>
      <c r="AI46" s="108"/>
      <c r="AJ46" s="108"/>
      <c r="AK46" s="108"/>
      <c r="AL46" s="137"/>
      <c r="AM46" s="137"/>
      <c r="AN46" s="137"/>
      <c r="AO46" s="137"/>
      <c r="AP46" s="137"/>
      <c r="AQ46" s="137"/>
      <c r="AR46" s="137"/>
      <c r="AS46" s="137"/>
      <c r="AT46" s="137"/>
    </row>
    <row r="47" spans="2:47" ht="16.149999999999999" customHeight="1" x14ac:dyDescent="0.2">
      <c r="B47" s="316"/>
      <c r="C47" s="317"/>
      <c r="D47" s="317"/>
      <c r="E47" s="317"/>
      <c r="F47" s="317"/>
      <c r="G47" s="317"/>
      <c r="I47" s="317"/>
      <c r="J47" s="317"/>
      <c r="O47" s="118" t="str">
        <f>ListAVS!$B$143</f>
        <v>Expando</v>
      </c>
      <c r="Q47" s="149" t="s">
        <v>58</v>
      </c>
      <c r="T47" s="37" t="str">
        <f>ListAVS!$B$146</f>
        <v>Jasnoszary (HGR)</v>
      </c>
      <c r="U47" s="344"/>
      <c r="V47" s="344"/>
      <c r="W47" s="921" t="str">
        <f>HL!P28</f>
        <v>wkręty</v>
      </c>
      <c r="X47" s="346"/>
      <c r="Y47" s="174"/>
      <c r="Z47" s="883"/>
      <c r="AA47" s="910" t="str">
        <f>Param!O36</f>
        <v>22L2500</v>
      </c>
      <c r="AB47" s="910"/>
      <c r="AC47" s="911"/>
      <c r="AI47" s="108"/>
      <c r="AJ47" s="108"/>
      <c r="AK47" s="108"/>
      <c r="AL47" s="137"/>
      <c r="AM47" s="137"/>
      <c r="AN47" s="137"/>
      <c r="AO47" s="137"/>
      <c r="AP47" s="137"/>
      <c r="AQ47" s="137"/>
      <c r="AR47" s="137"/>
      <c r="AS47" s="137"/>
      <c r="AT47" s="137"/>
    </row>
    <row r="48" spans="2:47" ht="16.149999999999999" customHeight="1" x14ac:dyDescent="0.2">
      <c r="B48" s="317"/>
      <c r="C48" s="317"/>
      <c r="D48" s="317"/>
      <c r="E48" s="317"/>
      <c r="F48" s="317"/>
      <c r="G48" s="317"/>
      <c r="I48" s="317"/>
      <c r="J48" s="317"/>
      <c r="O48" s="118" t="str">
        <f>ListAVS!$B$144</f>
        <v>na wkręty</v>
      </c>
      <c r="Q48" s="149" t="s">
        <v>59</v>
      </c>
      <c r="T48" s="37" t="str">
        <f>ListAVS!$B$147</f>
        <v>Ciemnoszary (TGR)</v>
      </c>
      <c r="U48" s="344"/>
      <c r="V48" s="344"/>
      <c r="W48" s="921" t="str">
        <f>HL!P29</f>
        <v>wstępnie zamontowane eurowkręty</v>
      </c>
      <c r="X48" s="346"/>
      <c r="Y48" s="174">
        <f>Param!M37</f>
        <v>0</v>
      </c>
      <c r="Z48" s="132" t="str">
        <f>Param!N37</f>
        <v>min KH</v>
      </c>
      <c r="AA48" s="132" t="str">
        <f>Param!O37</f>
        <v>max KH</v>
      </c>
      <c r="AB48" s="132" t="str">
        <f>Param!P37</f>
        <v>min FG</v>
      </c>
      <c r="AC48" s="132" t="str">
        <f>Param!Q37</f>
        <v>max FG</v>
      </c>
      <c r="AD48" s="132" t="str">
        <f>Param!R37</f>
        <v>hranice</v>
      </c>
      <c r="AI48" s="108"/>
      <c r="AJ48" s="108"/>
      <c r="AK48" s="108"/>
      <c r="AL48" s="137"/>
      <c r="AM48" s="137"/>
      <c r="AN48" s="137"/>
      <c r="AO48" s="137"/>
      <c r="AP48" s="137"/>
      <c r="AQ48" s="137"/>
      <c r="AR48" s="137"/>
      <c r="AS48" s="137"/>
      <c r="AT48" s="137"/>
    </row>
    <row r="49" spans="2:47" ht="16.149999999999999" customHeight="1" x14ac:dyDescent="0.2">
      <c r="B49" s="316"/>
      <c r="C49" s="317"/>
      <c r="D49" s="317"/>
      <c r="E49" s="317"/>
      <c r="F49" s="317"/>
      <c r="G49" s="317"/>
      <c r="I49" s="317"/>
      <c r="J49" s="317"/>
      <c r="T49" s="37" t="str">
        <f>ListAVS!$B$148</f>
        <v>Jedwabiście biały (SW)</v>
      </c>
      <c r="U49" s="344"/>
      <c r="V49" s="344"/>
      <c r="W49" s="346"/>
      <c r="X49" s="346"/>
      <c r="Y49" s="174" t="str">
        <f>Param!M38</f>
        <v>22L3800</v>
      </c>
      <c r="Z49" s="132">
        <f>Param!N38</f>
        <v>390</v>
      </c>
      <c r="AA49" s="132">
        <f>Param!O38</f>
        <v>540</v>
      </c>
      <c r="AB49" s="920">
        <f>Param!P38</f>
        <v>2</v>
      </c>
      <c r="AC49" s="920">
        <f>Param!Q38</f>
        <v>12.25</v>
      </c>
      <c r="AD49" s="920">
        <f>Param!R38</f>
        <v>500</v>
      </c>
      <c r="AI49" s="108"/>
      <c r="AJ49" s="108"/>
      <c r="AK49" s="108"/>
      <c r="AL49" s="137"/>
      <c r="AM49" s="137"/>
      <c r="AN49" s="137"/>
      <c r="AO49" s="137"/>
      <c r="AP49" s="137"/>
      <c r="AQ49" s="137"/>
      <c r="AR49" s="137"/>
      <c r="AS49" s="137"/>
      <c r="AT49" s="137"/>
    </row>
    <row r="50" spans="2:47" x14ac:dyDescent="0.2">
      <c r="B50" s="144"/>
      <c r="C50" s="317"/>
      <c r="N50" s="37" t="str">
        <f>ListAVS!B188&amp;". "</f>
        <v xml:space="preserve">W celu określenia rodzaju siłownika będzie wykorzystana podana waga. </v>
      </c>
      <c r="T50" s="346"/>
      <c r="U50" s="344"/>
      <c r="V50" s="344"/>
      <c r="W50" s="346"/>
      <c r="X50" s="346"/>
      <c r="Y50" s="174" t="str">
        <f>Param!M39</f>
        <v>22L3900</v>
      </c>
      <c r="Z50" s="132">
        <f>Param!N39</f>
        <v>480</v>
      </c>
      <c r="AA50" s="132">
        <f>Param!O39</f>
        <v>580</v>
      </c>
      <c r="AB50" s="920">
        <f>Param!P39</f>
        <v>1.5</v>
      </c>
      <c r="AC50" s="920">
        <f>Param!Q39</f>
        <v>14</v>
      </c>
      <c r="AI50" s="108"/>
      <c r="AJ50" s="108"/>
      <c r="AK50" s="108"/>
      <c r="AL50" s="137"/>
      <c r="AM50" s="137"/>
      <c r="AN50" s="137"/>
      <c r="AO50" s="137"/>
      <c r="AP50" s="137"/>
      <c r="AQ50" s="137"/>
      <c r="AR50" s="137"/>
      <c r="AS50" s="137"/>
      <c r="AT50" s="137"/>
    </row>
    <row r="51" spans="2:47" ht="20.100000000000001" customHeight="1" x14ac:dyDescent="0.2">
      <c r="B51" s="606" t="str">
        <f>" "&amp;ListAVS!$B$395</f>
        <v xml:space="preserve"> Odległość frontu od korpusu</v>
      </c>
      <c r="N51" s="37" t="str">
        <f>ListAVS!B189&amp;". "</f>
        <v xml:space="preserve">W celu określenia rodzaju siłownika będzie wykorzystana obliczona waga. </v>
      </c>
      <c r="T51" s="346"/>
      <c r="U51" s="344"/>
      <c r="V51" s="344"/>
      <c r="W51" s="346"/>
      <c r="X51" s="346"/>
      <c r="Y51" s="346"/>
      <c r="Z51" s="346"/>
      <c r="AA51" s="346"/>
      <c r="AB51" s="346"/>
      <c r="AC51" s="346"/>
      <c r="AD51" s="346"/>
      <c r="AE51" s="346"/>
      <c r="AF51" s="346"/>
      <c r="AG51" s="346"/>
      <c r="AH51" s="346"/>
      <c r="AI51" s="108"/>
      <c r="AJ51" s="108"/>
      <c r="AK51" s="108"/>
      <c r="AL51" s="137"/>
      <c r="AM51" s="137"/>
      <c r="AN51" s="137"/>
      <c r="AO51" s="137"/>
      <c r="AP51" s="137"/>
      <c r="AQ51" s="137"/>
      <c r="AR51" s="137"/>
      <c r="AS51" s="137"/>
      <c r="AT51" s="137"/>
    </row>
    <row r="52" spans="2:47" ht="16.149999999999999" customHeight="1" x14ac:dyDescent="0.2">
      <c r="B52" s="1170" t="s">
        <v>78</v>
      </c>
      <c r="C52" s="1170"/>
      <c r="D52" s="1170" t="str">
        <f>ListAVS!$B$387</f>
        <v>Zestaw ramion teleskopowych</v>
      </c>
      <c r="E52" s="1170"/>
      <c r="F52" s="770" t="s">
        <v>745</v>
      </c>
      <c r="G52" s="770" t="s">
        <v>746</v>
      </c>
      <c r="H52" s="770" t="s">
        <v>748</v>
      </c>
      <c r="I52" s="770" t="s">
        <v>747</v>
      </c>
      <c r="J52" s="155"/>
      <c r="N52" s="37" t="str">
        <f>ListAVS!B190</f>
        <v>Jeżeli chcesz wykorzystać obliczoną wagę, zmaż podaną wartość</v>
      </c>
      <c r="T52" s="346"/>
      <c r="U52" s="344"/>
      <c r="V52" s="344"/>
      <c r="W52" s="346"/>
      <c r="X52" s="346"/>
      <c r="Y52" s="346"/>
      <c r="Z52" s="346"/>
      <c r="AA52" s="346"/>
      <c r="AB52" s="346"/>
      <c r="AC52" s="346"/>
      <c r="AD52" s="346"/>
      <c r="AE52" s="346"/>
      <c r="AF52" s="346"/>
      <c r="AG52" s="346"/>
      <c r="AH52" s="346"/>
      <c r="AI52" s="108"/>
      <c r="AJ52" s="108"/>
      <c r="AK52" s="108"/>
      <c r="AL52" s="137"/>
      <c r="AM52" s="137"/>
      <c r="AN52" s="137"/>
      <c r="AO52" s="137"/>
      <c r="AP52" s="137"/>
      <c r="AQ52" s="137"/>
      <c r="AR52" s="137"/>
      <c r="AS52" s="137"/>
      <c r="AT52" s="137"/>
    </row>
    <row r="53" spans="2:47" ht="16.149999999999999" customHeight="1" x14ac:dyDescent="0.2">
      <c r="B53" s="1169" t="s">
        <v>750</v>
      </c>
      <c r="C53" s="1169"/>
      <c r="D53" s="1169" t="s">
        <v>717</v>
      </c>
      <c r="E53" s="1169"/>
      <c r="F53" s="731">
        <v>112</v>
      </c>
      <c r="G53" s="948">
        <v>272.5</v>
      </c>
      <c r="H53" s="948">
        <v>155.5</v>
      </c>
      <c r="I53" s="948">
        <v>272.5</v>
      </c>
      <c r="N53" s="37" t="str">
        <f>ListAVS!B191</f>
        <v>Jeżeli chcesz wykorzystać podaną wagą, wpisz ją w pole</v>
      </c>
      <c r="T53" s="346"/>
      <c r="U53" s="344"/>
      <c r="V53" s="344"/>
      <c r="W53" s="346"/>
      <c r="X53" s="346"/>
      <c r="Y53" s="345"/>
      <c r="Z53" s="345"/>
      <c r="AA53" s="345"/>
      <c r="AB53" s="345"/>
      <c r="AC53" s="345"/>
      <c r="AD53" s="345"/>
      <c r="AE53" s="345"/>
      <c r="AF53" s="345"/>
      <c r="AG53" s="345"/>
      <c r="AH53" s="345"/>
      <c r="AI53" s="108"/>
      <c r="AJ53" s="108"/>
      <c r="AK53" s="108"/>
      <c r="AL53" s="137"/>
      <c r="AM53" s="137"/>
      <c r="AN53" s="137"/>
      <c r="AO53" s="137"/>
      <c r="AP53" s="137"/>
      <c r="AQ53" s="137"/>
      <c r="AR53" s="137"/>
      <c r="AS53" s="137"/>
      <c r="AT53" s="137"/>
    </row>
    <row r="54" spans="2:47" ht="16.149999999999999" customHeight="1" x14ac:dyDescent="0.2">
      <c r="B54" s="1169" t="s">
        <v>749</v>
      </c>
      <c r="C54" s="1169"/>
      <c r="D54" s="1169" t="s">
        <v>718</v>
      </c>
      <c r="E54" s="1169"/>
      <c r="F54" s="731">
        <v>140.5</v>
      </c>
      <c r="G54" s="948">
        <v>340</v>
      </c>
      <c r="H54" s="948">
        <v>195</v>
      </c>
      <c r="I54" s="948">
        <v>340</v>
      </c>
      <c r="T54" s="346"/>
      <c r="U54" s="344"/>
      <c r="V54" s="344"/>
      <c r="W54" s="346"/>
      <c r="X54" s="346"/>
      <c r="Y54" s="346"/>
      <c r="Z54" s="346"/>
      <c r="AA54" s="346"/>
      <c r="AB54" s="346"/>
      <c r="AC54" s="346"/>
      <c r="AD54" s="346"/>
      <c r="AE54" s="346"/>
      <c r="AF54" s="346"/>
      <c r="AG54" s="346"/>
      <c r="AH54" s="346"/>
      <c r="AI54" s="108"/>
      <c r="AJ54" s="108"/>
      <c r="AK54" s="108"/>
      <c r="AL54" s="137"/>
      <c r="AM54" s="137"/>
      <c r="AN54" s="137"/>
      <c r="AO54" s="137"/>
      <c r="AP54" s="137"/>
      <c r="AQ54" s="137"/>
      <c r="AR54" s="137"/>
      <c r="AS54" s="137"/>
      <c r="AT54" s="137"/>
    </row>
    <row r="55" spans="2:47" ht="16.149999999999999" customHeight="1" x14ac:dyDescent="0.2">
      <c r="B55" s="1169" t="s">
        <v>751</v>
      </c>
      <c r="C55" s="1169"/>
      <c r="D55" s="1169" t="s">
        <v>720</v>
      </c>
      <c r="E55" s="1169"/>
      <c r="F55" s="731">
        <v>176</v>
      </c>
      <c r="G55" s="948">
        <v>425</v>
      </c>
      <c r="H55" s="948">
        <v>245</v>
      </c>
      <c r="I55" s="948">
        <v>425</v>
      </c>
      <c r="N55" s="37" t="str">
        <f>" "&amp;ListAVS!$B$109</f>
        <v xml:space="preserve"> w połączeniu z SERVO-DRIVE</v>
      </c>
      <c r="T55" s="345"/>
      <c r="U55" s="344"/>
      <c r="V55" s="344"/>
      <c r="W55" s="346"/>
      <c r="X55" s="346"/>
      <c r="Y55" s="346"/>
      <c r="Z55" s="346"/>
      <c r="AA55" s="346"/>
      <c r="AB55" s="346"/>
      <c r="AC55" s="346"/>
      <c r="AD55" s="346"/>
      <c r="AE55" s="346"/>
      <c r="AF55" s="346"/>
      <c r="AG55" s="346"/>
      <c r="AH55" s="346"/>
      <c r="AI55" s="108"/>
      <c r="AJ55" s="108"/>
      <c r="AK55" s="108"/>
      <c r="AL55" s="137"/>
      <c r="AM55" s="137"/>
      <c r="AN55" s="137"/>
      <c r="AO55" s="137"/>
      <c r="AP55" s="37"/>
      <c r="AQ55" s="37"/>
      <c r="AR55" s="37"/>
      <c r="AS55" s="37"/>
      <c r="AT55" s="137"/>
    </row>
    <row r="56" spans="2:47" ht="16.149999999999999" customHeight="1" x14ac:dyDescent="0.2">
      <c r="B56" s="1169" t="s">
        <v>752</v>
      </c>
      <c r="C56" s="1169"/>
      <c r="D56" s="1169" t="s">
        <v>721</v>
      </c>
      <c r="E56" s="1169"/>
      <c r="F56" s="731">
        <v>214.5</v>
      </c>
      <c r="G56" s="948">
        <v>517</v>
      </c>
      <c r="H56" s="948">
        <v>297.5</v>
      </c>
      <c r="I56" s="948">
        <v>517</v>
      </c>
      <c r="N56" s="37" t="str">
        <f>" "&amp;ListAVS!$B$110</f>
        <v xml:space="preserve"> niemożliwe w połączeniu z SERVO-DRIVE</v>
      </c>
      <c r="T56" s="346"/>
      <c r="U56" s="344"/>
      <c r="V56" s="344"/>
      <c r="W56" s="345"/>
      <c r="X56" s="345"/>
      <c r="Y56" s="346"/>
      <c r="Z56" s="346"/>
      <c r="AA56" s="346"/>
      <c r="AB56" s="346"/>
      <c r="AC56" s="346"/>
      <c r="AD56" s="346"/>
      <c r="AE56" s="346"/>
      <c r="AF56" s="346"/>
      <c r="AG56" s="346"/>
      <c r="AH56" s="346"/>
      <c r="AI56" s="108"/>
      <c r="AJ56" s="108"/>
      <c r="AK56" s="108"/>
      <c r="AL56" s="137"/>
      <c r="AM56" s="137"/>
      <c r="AN56" s="137"/>
      <c r="AO56" s="137"/>
      <c r="AP56" s="37"/>
      <c r="AQ56" s="37"/>
      <c r="AR56" s="37"/>
      <c r="AS56" s="37"/>
      <c r="AT56" s="137"/>
    </row>
    <row r="57" spans="2:47" ht="16.149999999999999" customHeight="1" x14ac:dyDescent="0.2">
      <c r="C57" s="268"/>
      <c r="D57" s="1177"/>
      <c r="E57" s="1177"/>
      <c r="F57" s="268"/>
      <c r="G57" s="268"/>
      <c r="T57" s="346"/>
      <c r="U57" s="344"/>
      <c r="V57" s="344"/>
      <c r="W57" s="346"/>
      <c r="X57" s="346"/>
      <c r="Y57" s="346"/>
      <c r="Z57" s="346"/>
      <c r="AA57" s="346"/>
      <c r="AB57" s="346"/>
      <c r="AC57" s="346"/>
      <c r="AD57" s="346"/>
      <c r="AE57" s="346"/>
      <c r="AF57" s="346"/>
      <c r="AG57" s="346"/>
      <c r="AH57" s="346"/>
      <c r="AI57" s="108"/>
      <c r="AJ57" s="108"/>
      <c r="AK57" s="108"/>
      <c r="AL57" s="137"/>
      <c r="AM57" s="137"/>
      <c r="AN57" s="137"/>
      <c r="AO57" s="137"/>
      <c r="AP57" s="137"/>
      <c r="AQ57" s="137"/>
      <c r="AR57" s="137"/>
      <c r="AS57" s="137"/>
      <c r="AT57" s="37"/>
      <c r="AU57" s="37"/>
    </row>
    <row r="58" spans="2:47" ht="16.149999999999999" customHeight="1" x14ac:dyDescent="0.2">
      <c r="C58" s="227"/>
      <c r="D58" s="227"/>
      <c r="E58" s="227"/>
      <c r="F58" s="227"/>
      <c r="G58" s="227"/>
      <c r="O58" s="37"/>
      <c r="Q58" s="37"/>
      <c r="T58" s="346"/>
      <c r="U58" s="344"/>
      <c r="V58" s="344"/>
      <c r="W58" s="346"/>
      <c r="X58" s="346"/>
      <c r="Y58" s="346"/>
      <c r="Z58" s="346"/>
      <c r="AA58" s="346"/>
      <c r="AB58" s="346"/>
      <c r="AC58" s="346"/>
      <c r="AD58" s="346"/>
      <c r="AE58" s="346"/>
      <c r="AF58" s="346"/>
      <c r="AG58" s="346"/>
      <c r="AH58" s="346"/>
      <c r="AI58" s="108"/>
      <c r="AJ58" s="108"/>
      <c r="AK58" s="108"/>
      <c r="AL58" s="137"/>
      <c r="AM58" s="137"/>
      <c r="AN58" s="137"/>
      <c r="AO58" s="137"/>
      <c r="AP58" s="137"/>
      <c r="AQ58" s="137"/>
      <c r="AR58" s="137"/>
      <c r="AS58" s="137"/>
      <c r="AT58" s="37"/>
      <c r="AU58" s="37"/>
    </row>
    <row r="59" spans="2:47" s="37" customFormat="1" ht="16.149999999999999" customHeight="1" x14ac:dyDescent="0.2">
      <c r="C59" s="268"/>
      <c r="D59" s="1177"/>
      <c r="E59" s="1177"/>
      <c r="F59" s="788"/>
      <c r="G59" s="788"/>
      <c r="T59" s="346"/>
      <c r="U59" s="344"/>
      <c r="V59" s="344"/>
      <c r="W59" s="346"/>
      <c r="X59" s="346"/>
      <c r="Y59" s="346"/>
      <c r="Z59" s="346"/>
      <c r="AA59" s="346"/>
      <c r="AB59" s="346"/>
      <c r="AC59" s="346"/>
      <c r="AD59" s="346"/>
      <c r="AE59" s="346"/>
      <c r="AF59" s="346"/>
      <c r="AG59" s="346"/>
      <c r="AH59" s="346"/>
      <c r="AI59" s="108"/>
      <c r="AJ59" s="108"/>
      <c r="AK59" s="108"/>
      <c r="AL59" s="137"/>
      <c r="AM59" s="137"/>
      <c r="AN59" s="137"/>
      <c r="AO59" s="137"/>
      <c r="AP59" s="137"/>
      <c r="AQ59" s="137"/>
      <c r="AR59" s="137"/>
      <c r="AS59" s="137"/>
      <c r="AT59" s="137"/>
      <c r="AU59" s="121"/>
    </row>
    <row r="60" spans="2:47" s="37" customFormat="1" ht="16.149999999999999" customHeight="1" x14ac:dyDescent="0.2">
      <c r="C60" s="268"/>
      <c r="D60" s="1177"/>
      <c r="E60" s="1177"/>
      <c r="F60" s="268"/>
      <c r="G60" s="268"/>
      <c r="O60" s="118"/>
      <c r="Q60" s="118"/>
      <c r="T60" s="346"/>
      <c r="U60" s="344"/>
      <c r="V60" s="344"/>
      <c r="W60" s="346"/>
      <c r="X60" s="346"/>
      <c r="Y60" s="346"/>
      <c r="Z60" s="346"/>
      <c r="AA60" s="346"/>
      <c r="AB60" s="346"/>
      <c r="AC60" s="346"/>
      <c r="AD60" s="346"/>
      <c r="AE60" s="346"/>
      <c r="AF60" s="346"/>
      <c r="AG60" s="346"/>
      <c r="AH60" s="346"/>
      <c r="AI60" s="108"/>
      <c r="AJ60" s="108"/>
      <c r="AK60" s="108"/>
      <c r="AL60" s="137"/>
      <c r="AM60" s="137"/>
      <c r="AN60" s="137"/>
      <c r="AO60" s="137"/>
      <c r="AP60" s="137"/>
      <c r="AQ60" s="137"/>
      <c r="AR60" s="137"/>
      <c r="AS60" s="137"/>
      <c r="AT60" s="137"/>
      <c r="AU60" s="121"/>
    </row>
    <row r="61" spans="2:47" ht="16.149999999999999" customHeight="1" x14ac:dyDescent="0.2">
      <c r="C61" s="227"/>
      <c r="D61" s="227"/>
      <c r="E61" s="227"/>
      <c r="F61" s="227"/>
      <c r="G61" s="227"/>
      <c r="T61" s="346"/>
      <c r="U61" s="344"/>
      <c r="V61" s="344"/>
      <c r="W61" s="346"/>
      <c r="X61" s="346"/>
      <c r="Y61" s="346"/>
      <c r="Z61" s="346"/>
      <c r="AA61" s="346"/>
      <c r="AB61" s="346"/>
      <c r="AC61" s="346"/>
      <c r="AD61" s="346"/>
      <c r="AE61" s="346"/>
      <c r="AF61" s="346"/>
      <c r="AG61" s="346"/>
      <c r="AH61" s="346"/>
      <c r="AI61" s="108"/>
      <c r="AJ61" s="108"/>
      <c r="AK61" s="108"/>
      <c r="AL61" s="137"/>
      <c r="AM61" s="137"/>
      <c r="AN61" s="137"/>
      <c r="AO61" s="137"/>
      <c r="AP61" s="137"/>
      <c r="AQ61" s="137"/>
      <c r="AR61" s="137"/>
      <c r="AS61" s="137"/>
      <c r="AT61" s="137"/>
    </row>
    <row r="62" spans="2:47" ht="16.149999999999999" customHeight="1" x14ac:dyDescent="0.2">
      <c r="C62" s="268"/>
      <c r="D62" s="1177"/>
      <c r="E62" s="1177"/>
      <c r="F62" s="788"/>
      <c r="G62" s="788"/>
      <c r="T62" s="346"/>
      <c r="U62" s="344"/>
      <c r="V62" s="344"/>
      <c r="W62" s="346"/>
      <c r="X62" s="346"/>
      <c r="Y62" s="346"/>
      <c r="Z62" s="346"/>
      <c r="AA62" s="346"/>
      <c r="AB62" s="346"/>
      <c r="AC62" s="346"/>
      <c r="AD62" s="346"/>
      <c r="AE62" s="346"/>
      <c r="AF62" s="346"/>
      <c r="AG62" s="346"/>
      <c r="AH62" s="346"/>
      <c r="AI62" s="108"/>
      <c r="AJ62" s="108"/>
      <c r="AK62" s="108"/>
      <c r="AL62" s="137"/>
      <c r="AM62" s="137"/>
      <c r="AN62" s="137"/>
      <c r="AO62" s="137"/>
      <c r="AP62" s="137"/>
      <c r="AQ62" s="137"/>
      <c r="AR62" s="137"/>
      <c r="AS62" s="137"/>
      <c r="AT62" s="137"/>
    </row>
    <row r="63" spans="2:47" ht="16.149999999999999" customHeight="1" x14ac:dyDescent="0.2">
      <c r="C63" s="268"/>
      <c r="D63" s="1177"/>
      <c r="E63" s="1177"/>
      <c r="F63" s="268"/>
      <c r="G63" s="268"/>
      <c r="T63" s="346"/>
      <c r="U63" s="344"/>
      <c r="V63" s="344"/>
      <c r="W63" s="346"/>
      <c r="X63" s="346"/>
      <c r="Y63" s="345"/>
      <c r="Z63" s="345"/>
      <c r="AA63" s="345"/>
      <c r="AB63" s="345"/>
      <c r="AC63" s="345"/>
      <c r="AD63" s="345"/>
      <c r="AE63" s="345"/>
      <c r="AF63" s="345"/>
      <c r="AG63" s="345"/>
      <c r="AH63" s="345"/>
      <c r="AI63" s="108"/>
      <c r="AJ63" s="108"/>
      <c r="AK63" s="108"/>
      <c r="AL63" s="137"/>
      <c r="AM63" s="137"/>
      <c r="AN63" s="137"/>
      <c r="AO63" s="137"/>
      <c r="AP63" s="137"/>
      <c r="AQ63" s="137"/>
      <c r="AR63" s="137"/>
      <c r="AS63" s="137"/>
      <c r="AT63" s="137"/>
    </row>
    <row r="64" spans="2:47" x14ac:dyDescent="0.2">
      <c r="T64" s="345"/>
      <c r="U64" s="344"/>
      <c r="V64" s="344"/>
      <c r="W64" s="346"/>
      <c r="X64" s="346"/>
      <c r="Y64" s="346"/>
      <c r="Z64" s="346"/>
      <c r="AA64" s="346"/>
      <c r="AB64" s="346"/>
      <c r="AC64" s="346"/>
      <c r="AD64" s="346"/>
      <c r="AE64" s="346"/>
      <c r="AF64" s="346"/>
      <c r="AG64" s="346"/>
      <c r="AH64" s="346"/>
      <c r="AI64" s="108"/>
      <c r="AJ64" s="108"/>
      <c r="AK64" s="108"/>
      <c r="AL64" s="137"/>
      <c r="AM64" s="137"/>
      <c r="AN64" s="137"/>
      <c r="AO64" s="137"/>
      <c r="AP64" s="137"/>
      <c r="AQ64" s="137"/>
      <c r="AR64" s="137"/>
      <c r="AS64" s="137"/>
      <c r="AT64" s="137"/>
    </row>
    <row r="65" spans="1:47" x14ac:dyDescent="0.2">
      <c r="T65" s="346"/>
      <c r="U65" s="344"/>
      <c r="V65" s="344"/>
      <c r="W65" s="345"/>
      <c r="X65" s="345"/>
      <c r="Y65" s="346"/>
      <c r="Z65" s="346"/>
      <c r="AA65" s="346"/>
      <c r="AB65" s="346"/>
      <c r="AC65" s="346"/>
      <c r="AD65" s="346"/>
      <c r="AE65" s="346"/>
      <c r="AF65" s="346"/>
      <c r="AG65" s="346"/>
      <c r="AH65" s="346"/>
      <c r="AI65" s="108"/>
      <c r="AJ65" s="108"/>
      <c r="AK65" s="108"/>
      <c r="AL65" s="137"/>
      <c r="AM65" s="137"/>
      <c r="AN65" s="137"/>
      <c r="AO65" s="137"/>
      <c r="AP65" s="137"/>
      <c r="AQ65" s="137"/>
      <c r="AR65" s="137"/>
      <c r="AS65" s="137"/>
      <c r="AT65" s="137"/>
    </row>
    <row r="66" spans="1:47" x14ac:dyDescent="0.2">
      <c r="T66" s="346"/>
      <c r="U66" s="344"/>
      <c r="V66" s="344"/>
      <c r="W66" s="346"/>
      <c r="X66" s="346"/>
      <c r="Y66" s="346"/>
      <c r="Z66" s="346"/>
      <c r="AA66" s="346"/>
      <c r="AB66" s="346"/>
      <c r="AC66" s="346"/>
      <c r="AD66" s="346"/>
      <c r="AE66" s="346"/>
      <c r="AF66" s="346"/>
      <c r="AG66" s="346"/>
      <c r="AH66" s="346"/>
      <c r="AI66" s="108"/>
      <c r="AJ66" s="108"/>
      <c r="AK66" s="108"/>
      <c r="AL66" s="137"/>
      <c r="AM66" s="137"/>
      <c r="AN66" s="137"/>
      <c r="AO66" s="137"/>
      <c r="AP66" s="137"/>
      <c r="AQ66" s="137"/>
      <c r="AR66" s="137"/>
      <c r="AS66" s="137"/>
      <c r="AT66" s="137"/>
    </row>
    <row r="67" spans="1:47" x14ac:dyDescent="0.2">
      <c r="T67" s="344"/>
      <c r="U67" s="344"/>
      <c r="V67" s="344"/>
      <c r="W67" s="344"/>
      <c r="X67" s="344"/>
      <c r="AI67" s="108"/>
      <c r="AJ67" s="108"/>
      <c r="AK67" s="108"/>
      <c r="AL67" s="137"/>
      <c r="AM67" s="137"/>
      <c r="AN67" s="137"/>
      <c r="AO67" s="137"/>
      <c r="AP67" s="137"/>
      <c r="AQ67" s="137"/>
      <c r="AR67" s="137"/>
      <c r="AS67" s="137"/>
      <c r="AT67" s="137"/>
    </row>
    <row r="68" spans="1:47" ht="12.75" x14ac:dyDescent="0.2">
      <c r="A68" s="255"/>
      <c r="N68" s="255"/>
      <c r="O68" s="255"/>
      <c r="P68" s="255"/>
      <c r="Q68" s="255"/>
      <c r="R68" s="255"/>
      <c r="S68" s="255"/>
      <c r="T68" s="255"/>
      <c r="U68" s="255"/>
      <c r="V68" s="255"/>
      <c r="W68" s="255"/>
      <c r="AI68" s="108"/>
      <c r="AJ68" s="108"/>
      <c r="AK68" s="108"/>
      <c r="AL68" s="137"/>
      <c r="AM68" s="137"/>
      <c r="AN68" s="137"/>
      <c r="AO68" s="137"/>
      <c r="AP68" s="137"/>
      <c r="AQ68" s="137"/>
      <c r="AR68" s="137"/>
      <c r="AS68" s="137"/>
      <c r="AT68" s="137"/>
    </row>
    <row r="69" spans="1:47" ht="12.75" x14ac:dyDescent="0.2">
      <c r="A69" s="255"/>
      <c r="N69" s="517" t="str">
        <f>ListAVS!$B$73</f>
        <v>Obliczanie wagi frontów</v>
      </c>
      <c r="O69" s="518"/>
      <c r="P69" s="518"/>
      <c r="Q69" s="518"/>
      <c r="R69" s="518"/>
      <c r="S69" s="255"/>
      <c r="T69" s="255"/>
      <c r="U69" s="255"/>
      <c r="V69" s="255"/>
      <c r="W69" s="255"/>
      <c r="AI69" s="108"/>
      <c r="AJ69" s="108"/>
      <c r="AK69" s="108"/>
      <c r="AL69" s="137"/>
      <c r="AM69" s="137"/>
      <c r="AN69" s="137"/>
      <c r="AO69" s="137"/>
      <c r="AP69" s="137"/>
      <c r="AQ69" s="137"/>
      <c r="AR69" s="137"/>
      <c r="AS69" s="137"/>
      <c r="AT69" s="137"/>
    </row>
    <row r="70" spans="1:47" ht="15.75" customHeight="1" x14ac:dyDescent="0.2">
      <c r="A70" s="255"/>
      <c r="N70" s="255"/>
      <c r="O70" s="137"/>
      <c r="P70" s="269" t="str">
        <f>ListAVS!$B$180&amp;"  "</f>
        <v xml:space="preserve">Wykonanie frontów  </v>
      </c>
      <c r="Q70" s="255"/>
      <c r="R70" s="255"/>
      <c r="S70" s="255"/>
      <c r="T70" s="829">
        <f>J4</f>
        <v>0</v>
      </c>
      <c r="U70" s="262" t="str">
        <f>IF(AF76=3,IF(T70=0,Y72," "),IF(T70&gt;0,Y73," "))</f>
        <v xml:space="preserve"> </v>
      </c>
      <c r="V70" s="255"/>
      <c r="W70" s="255"/>
      <c r="Y70" s="335" t="str">
        <f>IF($AF$76=1,$AF$95,IF($AF$76=2,$AF$96,#REF!&amp;" - "&amp;$Y$80&amp;"mm"))</f>
        <v>Ramki aluminiowe z 4mm szkłem</v>
      </c>
      <c r="Z70" s="118"/>
      <c r="AB70" s="118"/>
      <c r="AD70" s="598">
        <f>MenuAVS!$Q$81</f>
        <v>2500</v>
      </c>
      <c r="AI70" s="108"/>
      <c r="AJ70" s="108"/>
      <c r="AK70" s="108"/>
      <c r="AL70" s="137"/>
      <c r="AM70" s="137"/>
      <c r="AN70" s="137"/>
      <c r="AO70" s="137"/>
      <c r="AP70" s="137"/>
      <c r="AQ70" s="137"/>
      <c r="AR70" s="137"/>
      <c r="AS70" s="137"/>
      <c r="AT70" s="137"/>
    </row>
    <row r="71" spans="1:47" ht="15.75" customHeight="1" x14ac:dyDescent="0.2">
      <c r="A71" s="255"/>
      <c r="N71" s="255"/>
      <c r="O71" s="255"/>
      <c r="P71" s="255"/>
      <c r="Q71" s="255"/>
      <c r="R71" s="255"/>
      <c r="S71" s="255"/>
      <c r="T71" s="255"/>
      <c r="U71" s="255"/>
      <c r="V71" s="255"/>
      <c r="W71" s="255"/>
      <c r="Y71" s="37" t="str">
        <f>" "&amp;ListAVS!$B$410</f>
        <v xml:space="preserve"> Możesz zmienić wartości we Wstępie do planowania</v>
      </c>
      <c r="Z71" s="118"/>
      <c r="AB71" s="118"/>
      <c r="AI71" s="108"/>
      <c r="AJ71" s="108"/>
      <c r="AK71" s="108"/>
      <c r="AL71" s="137"/>
      <c r="AM71" s="137"/>
      <c r="AN71" s="137"/>
      <c r="AO71" s="137"/>
      <c r="AP71" s="137"/>
      <c r="AQ71" s="137"/>
      <c r="AR71" s="137"/>
      <c r="AS71" s="137"/>
      <c r="AT71" s="137"/>
    </row>
    <row r="72" spans="1:47" ht="12.75" x14ac:dyDescent="0.2">
      <c r="A72" s="255"/>
      <c r="N72" s="266"/>
      <c r="O72" s="255"/>
      <c r="P72" s="255"/>
      <c r="Q72" s="255"/>
      <c r="R72" s="255"/>
      <c r="S72" s="255"/>
      <c r="T72" s="255"/>
      <c r="U72" s="255"/>
      <c r="V72" s="255"/>
      <c r="W72" s="255"/>
      <c r="Y72" s="37" t="str">
        <f>" "&amp;ListAVS!$B$246&amp;" [mm]"</f>
        <v xml:space="preserve"> Podaj grubość szkła [mm]</v>
      </c>
      <c r="Z72" s="118"/>
      <c r="AB72" s="118"/>
      <c r="AI72" s="108"/>
      <c r="AJ72" s="108"/>
      <c r="AK72" s="108"/>
      <c r="AL72" s="137"/>
      <c r="AM72" s="137"/>
      <c r="AN72" s="137"/>
      <c r="AO72" s="137"/>
      <c r="AP72" s="118"/>
      <c r="AQ72" s="118"/>
      <c r="AR72" s="118"/>
      <c r="AS72" s="118"/>
      <c r="AT72" s="137"/>
    </row>
    <row r="73" spans="1:47" ht="12.75" x14ac:dyDescent="0.2">
      <c r="A73" s="255"/>
      <c r="N73" s="266"/>
      <c r="O73" s="255"/>
      <c r="P73" s="255"/>
      <c r="Q73" s="255"/>
      <c r="R73" s="255"/>
      <c r="S73" s="255"/>
      <c r="T73" s="255"/>
      <c r="U73" s="255"/>
      <c r="V73" s="255"/>
      <c r="W73" s="255"/>
      <c r="Y73" s="37" t="str">
        <f>" "&amp;ListAVS!$B$241&amp;" '"&amp;ListAVS!$B$95&amp;"'"</f>
        <v xml:space="preserve"> Wartość obowiązuje tylko dla opcji 'Ramki aluminiowe z innym szkłem'</v>
      </c>
      <c r="Z73" s="118"/>
      <c r="AB73" s="118"/>
      <c r="AI73" s="108"/>
      <c r="AJ73" s="108"/>
      <c r="AK73" s="108"/>
      <c r="AL73" s="137"/>
      <c r="AM73" s="137"/>
      <c r="AN73" s="137"/>
      <c r="AO73" s="137"/>
      <c r="AP73" s="118"/>
      <c r="AQ73" s="118"/>
      <c r="AR73" s="118"/>
      <c r="AS73" s="118"/>
      <c r="AT73" s="137"/>
    </row>
    <row r="74" spans="1:47" ht="12.75" x14ac:dyDescent="0.2">
      <c r="A74" s="255"/>
      <c r="N74" s="255"/>
      <c r="O74" s="255"/>
      <c r="P74" s="255"/>
      <c r="Q74" s="255"/>
      <c r="R74" s="255"/>
      <c r="S74" s="255"/>
      <c r="T74" s="255"/>
      <c r="U74" s="255"/>
      <c r="V74" s="255"/>
      <c r="W74" s="255"/>
      <c r="Y74" s="137"/>
      <c r="Z74" s="118"/>
      <c r="AB74" s="118"/>
      <c r="AI74" s="108"/>
      <c r="AJ74" s="108"/>
      <c r="AK74" s="108"/>
      <c r="AL74" s="137"/>
      <c r="AM74" s="137"/>
      <c r="AN74" s="137"/>
      <c r="AO74" s="137"/>
      <c r="AP74" s="118"/>
      <c r="AQ74" s="118"/>
      <c r="AR74" s="118"/>
      <c r="AS74" s="118"/>
      <c r="AT74" s="118"/>
      <c r="AU74" s="118"/>
    </row>
    <row r="75" spans="1:47" ht="15.75" customHeight="1" x14ac:dyDescent="0.2">
      <c r="A75" s="255"/>
      <c r="N75" s="266"/>
      <c r="O75" s="266"/>
      <c r="P75" s="266"/>
      <c r="Q75" s="255"/>
      <c r="R75" s="1148" t="str">
        <f>D9</f>
        <v xml:space="preserve"> </v>
      </c>
      <c r="S75" s="1149"/>
      <c r="T75" s="1150"/>
      <c r="U75" s="255"/>
      <c r="V75" s="255"/>
      <c r="W75" s="255"/>
      <c r="Z75" s="118"/>
      <c r="AB75" s="118"/>
      <c r="AD75" s="209"/>
      <c r="AE75" s="601" t="s">
        <v>68</v>
      </c>
      <c r="AF75" s="601" t="s">
        <v>69</v>
      </c>
      <c r="AG75" s="601" t="s">
        <v>70</v>
      </c>
      <c r="AI75" s="108"/>
      <c r="AJ75" s="108"/>
      <c r="AK75" s="108"/>
      <c r="AL75" s="137"/>
      <c r="AM75" s="137"/>
      <c r="AN75" s="137"/>
      <c r="AO75" s="137"/>
      <c r="AP75" s="118"/>
      <c r="AQ75" s="118"/>
      <c r="AR75" s="118"/>
      <c r="AS75" s="118"/>
      <c r="AT75" s="118"/>
      <c r="AU75" s="118"/>
    </row>
    <row r="76" spans="1:47" s="118" customFormat="1" ht="15" customHeight="1" x14ac:dyDescent="0.2">
      <c r="A76" s="255"/>
      <c r="N76" s="1138" t="str">
        <f>ListAVS!$B$74&amp;" KB [mm]       "</f>
        <v xml:space="preserve">Szerokość korpusu KB [mm]       </v>
      </c>
      <c r="O76" s="1139"/>
      <c r="P76" s="1139"/>
      <c r="Q76" s="1139"/>
      <c r="R76" s="1139"/>
      <c r="S76" s="1140"/>
      <c r="T76" s="829">
        <f>H10</f>
        <v>0</v>
      </c>
      <c r="U76" s="670"/>
      <c r="V76" s="248"/>
      <c r="W76" s="255"/>
      <c r="X76" s="37"/>
      <c r="Y76" s="37">
        <f>T76*T77*T78</f>
        <v>0</v>
      </c>
      <c r="Z76" s="37"/>
      <c r="AA76" s="37"/>
      <c r="AC76" s="37"/>
      <c r="AD76" s="325">
        <f>IF($AG$76=1,$X$95,$X$96)</f>
        <v>0.62</v>
      </c>
      <c r="AE76" s="325">
        <f>$X$97</f>
        <v>0.61</v>
      </c>
      <c r="AF76" s="327">
        <v>1</v>
      </c>
      <c r="AG76" s="328">
        <f>$O$4</f>
        <v>1</v>
      </c>
      <c r="AH76" s="37"/>
      <c r="AJ76" s="108"/>
      <c r="AK76" s="108"/>
      <c r="AL76" s="137"/>
      <c r="AM76" s="137"/>
      <c r="AN76" s="137"/>
      <c r="AO76" s="137"/>
    </row>
    <row r="77" spans="1:47" s="118" customFormat="1" ht="15" customHeight="1" x14ac:dyDescent="0.2">
      <c r="A77" s="255"/>
      <c r="N77" s="1138" t="str">
        <f>ListAVS!$B$75&amp;" KH [mm]       "</f>
        <v xml:space="preserve">Wysokość korpusu KH [mm]       </v>
      </c>
      <c r="O77" s="1139"/>
      <c r="P77" s="1139"/>
      <c r="Q77" s="1139"/>
      <c r="R77" s="1139"/>
      <c r="S77" s="1140"/>
      <c r="T77" s="829">
        <f>H11</f>
        <v>0</v>
      </c>
      <c r="U77" s="670"/>
      <c r="V77" s="248"/>
      <c r="W77" s="255"/>
      <c r="X77" s="37"/>
      <c r="Y77" s="37">
        <f>Y76/1000000000</f>
        <v>0</v>
      </c>
      <c r="Z77" s="117">
        <v>2</v>
      </c>
      <c r="AC77" s="37"/>
      <c r="AD77" s="153" t="s">
        <v>71</v>
      </c>
      <c r="AE77" s="209">
        <f>SUM(T76*2,(T77-90)*2)*AD76/1000</f>
        <v>-0.11159999999999999</v>
      </c>
      <c r="AF77" s="601" t="s">
        <v>72</v>
      </c>
      <c r="AG77" s="601"/>
      <c r="AH77" s="37"/>
      <c r="AJ77" s="108"/>
      <c r="AK77" s="108"/>
      <c r="AL77" s="137"/>
      <c r="AM77" s="137"/>
      <c r="AN77" s="137"/>
      <c r="AO77" s="137"/>
      <c r="AP77" s="137"/>
      <c r="AQ77" s="137"/>
      <c r="AR77" s="137"/>
      <c r="AS77" s="137"/>
    </row>
    <row r="78" spans="1:47" s="118" customFormat="1" ht="15" customHeight="1" x14ac:dyDescent="0.2">
      <c r="A78" s="255"/>
      <c r="N78" s="1173" t="str">
        <f>ListAVS!$B$80&amp;" TS [mm] "</f>
        <v xml:space="preserve">Grubość frontu TS [mm] </v>
      </c>
      <c r="O78" s="1174"/>
      <c r="P78" s="1174"/>
      <c r="Q78" s="1174"/>
      <c r="R78" s="1174"/>
      <c r="S78" s="1175"/>
      <c r="T78" s="829"/>
      <c r="U78" s="227"/>
      <c r="V78" s="248"/>
      <c r="W78" s="255"/>
      <c r="X78" s="37"/>
      <c r="Y78" s="319">
        <f>MenuAVS!$C$31</f>
        <v>760</v>
      </c>
      <c r="Z78" s="175" t="str">
        <f>ListAVS!$B$90&amp;" ("&amp;Y78&amp;" kg/m3)"</f>
        <v>MDF (760 kg/m3)</v>
      </c>
      <c r="AC78" s="37"/>
      <c r="AD78" s="209">
        <f>$AD$70*4/1000</f>
        <v>10</v>
      </c>
      <c r="AE78" s="330">
        <f>IF($AG$76=1,AF78*AD78,AG78*AD78)</f>
        <v>6.4000000000000001E-2</v>
      </c>
      <c r="AF78" s="209">
        <f>SUM(($T$76-80)*($T$77-80)/1000000)</f>
        <v>6.4000000000000003E-3</v>
      </c>
      <c r="AG78" s="351">
        <f>SUM(($T$76-6)*($T$77-6)/1000000)</f>
        <v>3.6000000000000001E-5</v>
      </c>
      <c r="AH78" s="208" t="s">
        <v>73</v>
      </c>
      <c r="AJ78" s="108"/>
      <c r="AK78" s="108"/>
      <c r="AL78" s="137"/>
      <c r="AM78" s="137"/>
      <c r="AN78" s="137"/>
      <c r="AO78" s="137"/>
      <c r="AP78" s="137"/>
      <c r="AQ78" s="137"/>
      <c r="AR78" s="137"/>
      <c r="AS78" s="137"/>
    </row>
    <row r="79" spans="1:47" s="118" customFormat="1" ht="15" customHeight="1" x14ac:dyDescent="0.2">
      <c r="A79" s="255"/>
      <c r="N79" s="1143" t="str">
        <f>ListAVS!$B$83&amp;" [kg] "</f>
        <v xml:space="preserve">Waga uchwytu [kg] </v>
      </c>
      <c r="O79" s="1144"/>
      <c r="P79" s="1144"/>
      <c r="Q79" s="1144"/>
      <c r="R79" s="1144"/>
      <c r="S79" s="1145"/>
      <c r="T79" s="831">
        <f>H14</f>
        <v>0</v>
      </c>
      <c r="U79" s="256" t="str">
        <f>IF(SUM(T76,T77)=0," ",IF(T79=0," ● "&amp;ListAVS!$B$130," "))</f>
        <v xml:space="preserve"> </v>
      </c>
      <c r="V79" s="248"/>
      <c r="W79" s="255"/>
      <c r="X79" s="37"/>
      <c r="Y79" s="319">
        <f>MenuAVS!$C$32</f>
        <v>680</v>
      </c>
      <c r="Z79" s="175" t="str">
        <f>ListAVS!$B$91&amp;" ("&amp;Y79&amp;" kg/m3)"</f>
        <v>Płyta wiórowa (680 kg/m3)</v>
      </c>
      <c r="AC79" s="37"/>
      <c r="AD79" s="209">
        <f>$AD$70*5/1000</f>
        <v>12.5</v>
      </c>
      <c r="AE79" s="330">
        <f>IF($AG$76=1,AF79*AD79,AG79*AD79)</f>
        <v>0.08</v>
      </c>
      <c r="AF79" s="209">
        <f>SUM(($T$76-80)*($T$77-80)/1000000)</f>
        <v>6.4000000000000003E-3</v>
      </c>
      <c r="AG79" s="351">
        <f>SUM(($T$76-6)*($T$77-6)/1000000)</f>
        <v>3.6000000000000001E-5</v>
      </c>
      <c r="AH79" s="208" t="s">
        <v>74</v>
      </c>
      <c r="AJ79" s="108"/>
      <c r="AK79" s="108"/>
      <c r="AL79" s="137"/>
      <c r="AM79" s="137"/>
      <c r="AN79" s="137"/>
      <c r="AO79" s="137"/>
      <c r="AT79" s="137"/>
      <c r="AU79" s="121"/>
    </row>
    <row r="80" spans="1:47" s="118" customFormat="1" ht="15" customHeight="1" x14ac:dyDescent="0.2">
      <c r="A80" s="255"/>
      <c r="N80" s="1143" t="str">
        <f>ListAVS!$B$79&amp;" [kg] "</f>
        <v xml:space="preserve">Obliczona waga frontu [kg] </v>
      </c>
      <c r="O80" s="1144"/>
      <c r="P80" s="1144"/>
      <c r="Q80" s="1144"/>
      <c r="R80" s="1144"/>
      <c r="S80" s="1145"/>
      <c r="T80" s="533">
        <f>IF(AD81=0,0,AD81+T79)</f>
        <v>0</v>
      </c>
      <c r="U80" s="227"/>
      <c r="V80" s="248"/>
      <c r="W80" s="255"/>
      <c r="X80" s="186">
        <f>IF(T76*T77*T78=0,0,IF(Z77=1,Y77*Y78,IF(Z77=2,Y77*Y79,Y77*Y80)))</f>
        <v>0</v>
      </c>
      <c r="Y80" s="37">
        <f>$T$70</f>
        <v>0</v>
      </c>
      <c r="Z80" s="175" t="str">
        <f>ListAVS!$B$92</f>
        <v>Inne – wybrana gęstość materiału</v>
      </c>
      <c r="AC80" s="37"/>
      <c r="AD80" s="209">
        <f>$AD$70*$T$70/1000</f>
        <v>0</v>
      </c>
      <c r="AE80" s="330">
        <f>IF($AG$76=1,AF80*AD80,AG80*AD80)</f>
        <v>0</v>
      </c>
      <c r="AF80" s="209">
        <f>SUM(($T$76-80)*($T$77-80)/1000000)</f>
        <v>6.4000000000000003E-3</v>
      </c>
      <c r="AG80" s="351">
        <f>SUM(($T$76-6)*($T$77-6)/1000000)</f>
        <v>3.6000000000000001E-5</v>
      </c>
      <c r="AH80" s="208" t="s">
        <v>75</v>
      </c>
      <c r="AJ80" s="108"/>
      <c r="AK80" s="108"/>
      <c r="AL80" s="137"/>
      <c r="AM80" s="137"/>
      <c r="AN80" s="137"/>
      <c r="AO80" s="137"/>
      <c r="AT80" s="137"/>
      <c r="AU80" s="121"/>
    </row>
    <row r="81" spans="1:47" s="118" customFormat="1" ht="15" customHeight="1" x14ac:dyDescent="0.2">
      <c r="A81" s="255"/>
      <c r="N81" s="816"/>
      <c r="O81" s="816"/>
      <c r="P81" s="816"/>
      <c r="Q81" s="816"/>
      <c r="R81" s="816"/>
      <c r="S81" s="816"/>
      <c r="T81" s="600"/>
      <c r="U81" s="227"/>
      <c r="V81" s="248"/>
      <c r="W81" s="255"/>
      <c r="X81" s="37"/>
      <c r="Y81" s="37"/>
      <c r="AA81" s="37"/>
      <c r="AC81" s="37"/>
      <c r="AD81" s="332">
        <f>IF(OR(AND(AF76=3, $T$70=0), T76*T77=0), 0, SUM(IF(AF76=1,AE78,IF(AF76=2,AE79,AE80)),AE77,AE76))</f>
        <v>0</v>
      </c>
      <c r="AE81" s="37"/>
      <c r="AF81" s="37"/>
      <c r="AG81" s="37"/>
      <c r="AH81" s="37"/>
      <c r="AJ81" s="108"/>
      <c r="AK81" s="108"/>
      <c r="AL81" s="137"/>
      <c r="AM81" s="137"/>
      <c r="AN81" s="137"/>
      <c r="AO81" s="137"/>
      <c r="AT81" s="137"/>
      <c r="AU81" s="121"/>
    </row>
    <row r="82" spans="1:47" s="118" customFormat="1" ht="15" customHeight="1" x14ac:dyDescent="0.2">
      <c r="A82" s="255"/>
      <c r="N82" s="816"/>
      <c r="O82" s="816"/>
      <c r="P82" s="816"/>
      <c r="Q82" s="816"/>
      <c r="R82" s="816"/>
      <c r="S82" s="816"/>
      <c r="T82" s="600"/>
      <c r="U82" s="227"/>
      <c r="V82" s="248"/>
      <c r="W82" s="255"/>
      <c r="X82" s="37"/>
      <c r="Y82" s="37"/>
      <c r="AA82" s="37"/>
      <c r="AC82" s="37"/>
      <c r="AD82" s="37"/>
      <c r="AE82" s="37"/>
      <c r="AF82" s="37"/>
      <c r="AG82" s="37"/>
      <c r="AH82" s="37"/>
      <c r="AJ82" s="108"/>
      <c r="AK82" s="108"/>
      <c r="AL82" s="137"/>
      <c r="AM82" s="137"/>
      <c r="AN82" s="137"/>
      <c r="AO82" s="137"/>
      <c r="AT82" s="137"/>
      <c r="AU82" s="121"/>
    </row>
    <row r="83" spans="1:47" ht="15" customHeight="1" x14ac:dyDescent="0.2">
      <c r="A83" s="255"/>
      <c r="N83" s="255"/>
      <c r="O83" s="273" t="str">
        <f>IF(T80&gt;0,IF(T79=0,$Z$95," ")," ")</f>
        <v xml:space="preserve"> </v>
      </c>
      <c r="P83" s="255"/>
      <c r="Q83" s="255"/>
      <c r="R83" s="255"/>
      <c r="S83" s="255"/>
      <c r="T83" s="255"/>
      <c r="U83" s="255"/>
      <c r="V83" s="255"/>
      <c r="W83" s="255"/>
      <c r="Z83" s="118"/>
      <c r="AB83" s="118"/>
      <c r="AI83" s="108"/>
      <c r="AJ83" s="108"/>
      <c r="AK83" s="108"/>
      <c r="AL83" s="137"/>
      <c r="AM83" s="137"/>
      <c r="AN83" s="137"/>
      <c r="AO83" s="137"/>
      <c r="AP83" s="118"/>
      <c r="AQ83" s="118"/>
      <c r="AR83" s="118"/>
      <c r="AS83" s="118"/>
      <c r="AT83" s="118"/>
      <c r="AU83" s="118"/>
    </row>
    <row r="84" spans="1:47" ht="15" customHeight="1" x14ac:dyDescent="0.2">
      <c r="A84" s="255"/>
      <c r="N84" s="255"/>
      <c r="O84" s="255"/>
      <c r="P84" s="255"/>
      <c r="Q84" s="255"/>
      <c r="R84" s="255"/>
      <c r="S84" s="255"/>
      <c r="T84" s="255"/>
      <c r="U84" s="255"/>
      <c r="V84" s="255"/>
      <c r="W84" s="255"/>
      <c r="Y84" s="118"/>
      <c r="Z84" s="118"/>
      <c r="AB84" s="118"/>
      <c r="AD84" s="118"/>
      <c r="AE84" s="118"/>
      <c r="AF84" s="118"/>
      <c r="AG84" s="118"/>
      <c r="AI84" s="108"/>
      <c r="AJ84" s="108"/>
      <c r="AK84" s="108"/>
      <c r="AL84" s="137"/>
      <c r="AM84" s="137"/>
      <c r="AN84" s="137"/>
      <c r="AO84" s="137"/>
      <c r="AP84" s="118"/>
      <c r="AQ84" s="118"/>
      <c r="AR84" s="118"/>
      <c r="AS84" s="118"/>
      <c r="AT84" s="118"/>
      <c r="AU84" s="118"/>
    </row>
    <row r="85" spans="1:47" s="118" customFormat="1" ht="15" customHeight="1" x14ac:dyDescent="0.2">
      <c r="A85" s="255"/>
      <c r="N85" s="255"/>
      <c r="O85" s="255"/>
      <c r="P85" s="255"/>
      <c r="Q85" s="255"/>
      <c r="R85" s="255"/>
      <c r="S85" s="255"/>
      <c r="T85" s="255"/>
      <c r="U85" s="255"/>
      <c r="V85" s="255"/>
      <c r="W85" s="255"/>
      <c r="X85" s="37"/>
      <c r="AA85" s="37"/>
      <c r="AC85" s="37"/>
      <c r="AH85" s="37"/>
      <c r="AJ85" s="108"/>
      <c r="AK85" s="108"/>
      <c r="AL85" s="137"/>
      <c r="AM85" s="137"/>
      <c r="AN85" s="137"/>
      <c r="AO85" s="137"/>
    </row>
    <row r="86" spans="1:47" s="118" customFormat="1" ht="15" customHeight="1" x14ac:dyDescent="0.2">
      <c r="A86" s="255"/>
      <c r="N86" s="248"/>
      <c r="O86" s="248"/>
      <c r="P86" s="248"/>
      <c r="Q86" s="255"/>
      <c r="R86" s="1148" t="str">
        <f>D20</f>
        <v xml:space="preserve"> </v>
      </c>
      <c r="S86" s="1149"/>
      <c r="T86" s="1150"/>
      <c r="U86" s="255"/>
      <c r="V86" s="255"/>
      <c r="W86" s="255"/>
      <c r="X86" s="37"/>
      <c r="AA86" s="37"/>
      <c r="AC86" s="37"/>
      <c r="AD86" s="209"/>
      <c r="AE86" s="601" t="s">
        <v>68</v>
      </c>
      <c r="AF86" s="601" t="s">
        <v>69</v>
      </c>
      <c r="AG86" s="601" t="s">
        <v>70</v>
      </c>
      <c r="AH86" s="37"/>
      <c r="AJ86" s="108"/>
      <c r="AK86" s="108"/>
      <c r="AL86" s="137"/>
      <c r="AM86" s="137"/>
      <c r="AN86" s="137"/>
      <c r="AO86" s="137"/>
    </row>
    <row r="87" spans="1:47" s="118" customFormat="1" ht="15" customHeight="1" x14ac:dyDescent="0.2">
      <c r="A87" s="255"/>
      <c r="N87" s="1138" t="str">
        <f>ListAVS!$B$74&amp;" KB [mm]       "</f>
        <v xml:space="preserve">Szerokość korpusu KB [mm]       </v>
      </c>
      <c r="O87" s="1139"/>
      <c r="P87" s="1139"/>
      <c r="Q87" s="1139"/>
      <c r="R87" s="1139"/>
      <c r="S87" s="1140"/>
      <c r="T87" s="829">
        <f>H21</f>
        <v>0</v>
      </c>
      <c r="U87" s="670"/>
      <c r="V87" s="255"/>
      <c r="W87" s="255"/>
      <c r="X87" s="37"/>
      <c r="Y87" s="37">
        <f>T87*T88*T89</f>
        <v>0</v>
      </c>
      <c r="Z87" s="37"/>
      <c r="AA87" s="37"/>
      <c r="AC87" s="37"/>
      <c r="AD87" s="325">
        <f>IF($AG$76=1,$X$95,$X$96)</f>
        <v>0.62</v>
      </c>
      <c r="AE87" s="325">
        <f>$X$97</f>
        <v>0.61</v>
      </c>
      <c r="AF87" s="333">
        <f>$AF$76</f>
        <v>1</v>
      </c>
      <c r="AG87" s="328">
        <f>$AG$76</f>
        <v>1</v>
      </c>
      <c r="AH87" s="37"/>
      <c r="AJ87" s="108"/>
      <c r="AK87" s="108"/>
      <c r="AL87" s="137"/>
      <c r="AM87" s="137"/>
      <c r="AN87" s="137"/>
      <c r="AO87" s="137"/>
    </row>
    <row r="88" spans="1:47" s="118" customFormat="1" ht="15" customHeight="1" x14ac:dyDescent="0.2">
      <c r="A88" s="255"/>
      <c r="N88" s="1138" t="str">
        <f>ListAVS!$B$75&amp;" KH [mm]       "</f>
        <v xml:space="preserve">Wysokość korpusu KH [mm]       </v>
      </c>
      <c r="O88" s="1139"/>
      <c r="P88" s="1139"/>
      <c r="Q88" s="1139"/>
      <c r="R88" s="1139"/>
      <c r="S88" s="1140"/>
      <c r="T88" s="829">
        <f>H22</f>
        <v>0</v>
      </c>
      <c r="U88" s="670"/>
      <c r="V88" s="255"/>
      <c r="W88" s="255"/>
      <c r="X88" s="37"/>
      <c r="Y88" s="37">
        <f>Y87/1000000000</f>
        <v>0</v>
      </c>
      <c r="Z88" s="182">
        <f>Z77</f>
        <v>2</v>
      </c>
      <c r="AC88" s="37"/>
      <c r="AD88" s="144" t="s">
        <v>71</v>
      </c>
      <c r="AE88" s="209">
        <f>SUM(T87*2,(T88-90)*2)*AD87/1000</f>
        <v>-0.11159999999999999</v>
      </c>
      <c r="AF88" s="601" t="s">
        <v>72</v>
      </c>
      <c r="AG88" s="601"/>
      <c r="AH88" s="37"/>
      <c r="AJ88" s="108"/>
      <c r="AK88" s="108"/>
      <c r="AL88" s="137"/>
      <c r="AM88" s="137"/>
      <c r="AN88" s="137"/>
      <c r="AO88" s="137"/>
    </row>
    <row r="89" spans="1:47" s="118" customFormat="1" ht="15" customHeight="1" x14ac:dyDescent="0.2">
      <c r="A89" s="255"/>
      <c r="N89" s="1173" t="str">
        <f>ListAVS!$B$80&amp;" TS [mm] "</f>
        <v xml:space="preserve">Grubość frontu TS [mm] </v>
      </c>
      <c r="O89" s="1174"/>
      <c r="P89" s="1174"/>
      <c r="Q89" s="1174"/>
      <c r="R89" s="1174"/>
      <c r="S89" s="1175"/>
      <c r="T89" s="829"/>
      <c r="U89" s="227"/>
      <c r="V89" s="248"/>
      <c r="W89" s="248"/>
      <c r="X89" s="37"/>
      <c r="Y89" s="319">
        <f>$Y$78</f>
        <v>760</v>
      </c>
      <c r="Z89" s="37" t="str">
        <f>$Z$78</f>
        <v>MDF (760 kg/m3)</v>
      </c>
      <c r="AC89" s="37"/>
      <c r="AD89" s="37">
        <f>AD78</f>
        <v>10</v>
      </c>
      <c r="AE89" s="330">
        <f>IF($AG$76=1,AF89*AD89,AG89*AD89)</f>
        <v>6.4000000000000001E-2</v>
      </c>
      <c r="AF89" s="209">
        <f>SUM(($T$87-80)*($T$88-80)/1000000)</f>
        <v>6.4000000000000003E-3</v>
      </c>
      <c r="AG89" s="351">
        <f>SUM(($T$87-6)*($T$88-6)/1000000)</f>
        <v>3.6000000000000001E-5</v>
      </c>
      <c r="AH89" s="208" t="s">
        <v>73</v>
      </c>
      <c r="AJ89" s="108"/>
      <c r="AK89" s="108"/>
      <c r="AL89" s="137"/>
      <c r="AM89" s="137"/>
      <c r="AN89" s="137"/>
      <c r="AO89" s="137"/>
    </row>
    <row r="90" spans="1:47" s="118" customFormat="1" ht="15" customHeight="1" x14ac:dyDescent="0.2">
      <c r="A90" s="255"/>
      <c r="N90" s="1143" t="str">
        <f>ListAVS!$B$83&amp;" [kg] "</f>
        <v xml:space="preserve">Waga uchwytu [kg] </v>
      </c>
      <c r="O90" s="1144"/>
      <c r="P90" s="1144"/>
      <c r="Q90" s="1144"/>
      <c r="R90" s="1144"/>
      <c r="S90" s="1145"/>
      <c r="T90" s="831">
        <f>H25</f>
        <v>0</v>
      </c>
      <c r="U90" s="256" t="str">
        <f>IF(SUM(T87,T88)=0," ",IF(T90=0," ● "&amp;ListAVS!$B$130," "))</f>
        <v xml:space="preserve"> </v>
      </c>
      <c r="V90" s="248"/>
      <c r="W90" s="248"/>
      <c r="X90" s="37"/>
      <c r="Y90" s="319">
        <f>$Y$79</f>
        <v>680</v>
      </c>
      <c r="Z90" s="37" t="str">
        <f>$Z$79</f>
        <v>Płyta wiórowa (680 kg/m3)</v>
      </c>
      <c r="AC90" s="37"/>
      <c r="AD90" s="37">
        <f>AD79</f>
        <v>12.5</v>
      </c>
      <c r="AE90" s="330">
        <f>IF($AG$76=1,AF90*AD90,AG90*AD90)</f>
        <v>0.08</v>
      </c>
      <c r="AF90" s="209">
        <f>SUM(($T$87-80)*($T$88-80)/1000000)</f>
        <v>6.4000000000000003E-3</v>
      </c>
      <c r="AG90" s="351">
        <f>SUM(($T$87-6)*($T$88-6)/1000000)</f>
        <v>3.6000000000000001E-5</v>
      </c>
      <c r="AH90" s="208" t="s">
        <v>74</v>
      </c>
      <c r="AJ90" s="108"/>
      <c r="AK90" s="108"/>
      <c r="AL90" s="137"/>
      <c r="AM90" s="137"/>
      <c r="AN90" s="137"/>
      <c r="AO90" s="137"/>
    </row>
    <row r="91" spans="1:47" s="118" customFormat="1" ht="15" customHeight="1" x14ac:dyDescent="0.2">
      <c r="A91" s="255"/>
      <c r="N91" s="1143" t="str">
        <f>ListAVS!$B$79&amp;" [kg] "</f>
        <v xml:space="preserve">Obliczona waga frontu [kg] </v>
      </c>
      <c r="O91" s="1144"/>
      <c r="P91" s="1144"/>
      <c r="Q91" s="1144"/>
      <c r="R91" s="1144"/>
      <c r="S91" s="1145"/>
      <c r="T91" s="533">
        <f>IF(AD92=0,0,AD92+T90)</f>
        <v>0</v>
      </c>
      <c r="U91" s="227"/>
      <c r="V91" s="248"/>
      <c r="W91" s="248"/>
      <c r="X91" s="186">
        <f>IF(T87*T88*T89=0,0,IF(Z88=1,Y88*Y89,IF(Z88=2,Y88*Y90,Y88*Y91)))</f>
        <v>0</v>
      </c>
      <c r="Y91" s="37">
        <f>$Y$80</f>
        <v>0</v>
      </c>
      <c r="Z91" s="37" t="str">
        <f>$Z$80</f>
        <v>Inne – wybrana gęstość materiału</v>
      </c>
      <c r="AC91" s="37"/>
      <c r="AD91" s="340">
        <f>AD80</f>
        <v>0</v>
      </c>
      <c r="AE91" s="330">
        <f>IF($AG$76=1,AF91*AD91,AG91*AD91)</f>
        <v>0</v>
      </c>
      <c r="AF91" s="209">
        <f>SUM(($T$87-80)*($T$88-80)/1000000)</f>
        <v>6.4000000000000003E-3</v>
      </c>
      <c r="AG91" s="351">
        <f>SUM(($T$87-6)*($T$88-6)/1000000)</f>
        <v>3.6000000000000001E-5</v>
      </c>
      <c r="AH91" s="208" t="s">
        <v>75</v>
      </c>
      <c r="AJ91" s="108"/>
      <c r="AK91" s="108"/>
      <c r="AL91" s="137"/>
      <c r="AM91" s="137"/>
      <c r="AN91" s="137"/>
      <c r="AO91" s="137"/>
    </row>
    <row r="92" spans="1:47" s="118" customFormat="1" ht="15" customHeight="1" x14ac:dyDescent="0.2">
      <c r="A92" s="255"/>
      <c r="N92" s="255"/>
      <c r="O92" s="273" t="str">
        <f>IF(T91&gt;0,IF(T90=0,$Z$95," ")," ")</f>
        <v xml:space="preserve"> </v>
      </c>
      <c r="P92" s="255"/>
      <c r="Q92" s="255"/>
      <c r="R92" s="255"/>
      <c r="S92" s="255"/>
      <c r="T92" s="255"/>
      <c r="U92" s="255"/>
      <c r="V92" s="255"/>
      <c r="W92" s="255"/>
      <c r="X92" s="37"/>
      <c r="Y92" s="37"/>
      <c r="AA92" s="37"/>
      <c r="AC92" s="37"/>
      <c r="AD92" s="332">
        <f>IF(OR(AND(AF87=3, $T$70=0), T87*T88=0), 0, SUM(IF(AF87=1,AE89,IF(AF87=2,AE90,AE91)),AE88,AE87))</f>
        <v>0</v>
      </c>
      <c r="AE92" s="37"/>
      <c r="AF92" s="37"/>
      <c r="AG92" s="37"/>
      <c r="AH92" s="37"/>
      <c r="AJ92" s="108"/>
      <c r="AK92" s="108"/>
      <c r="AL92" s="137"/>
      <c r="AM92" s="137"/>
      <c r="AN92" s="137"/>
      <c r="AO92" s="137"/>
    </row>
    <row r="93" spans="1:47" s="118" customFormat="1" ht="15" customHeight="1" x14ac:dyDescent="0.2">
      <c r="A93" s="255"/>
      <c r="N93" s="255"/>
      <c r="O93" s="255"/>
      <c r="P93" s="255"/>
      <c r="Q93" s="255"/>
      <c r="R93" s="255"/>
      <c r="S93" s="255"/>
      <c r="T93" s="255"/>
      <c r="U93" s="255"/>
      <c r="V93" s="255"/>
      <c r="W93" s="255"/>
      <c r="X93" s="37"/>
      <c r="Y93" s="37"/>
      <c r="AA93" s="37"/>
      <c r="AC93" s="37"/>
      <c r="AD93" s="37"/>
      <c r="AE93" s="37"/>
      <c r="AF93" s="37"/>
      <c r="AG93" s="37"/>
      <c r="AH93" s="37"/>
      <c r="AJ93" s="108"/>
      <c r="AK93" s="108"/>
      <c r="AL93" s="137"/>
      <c r="AM93" s="137"/>
      <c r="AN93" s="137"/>
      <c r="AO93" s="137"/>
    </row>
    <row r="94" spans="1:47" s="118" customFormat="1" ht="15" customHeight="1" x14ac:dyDescent="0.2">
      <c r="A94" s="255"/>
      <c r="N94" s="255"/>
      <c r="O94" s="255"/>
      <c r="P94" s="255"/>
      <c r="Q94" s="255"/>
      <c r="R94" s="255"/>
      <c r="S94" s="255"/>
      <c r="T94" s="255"/>
      <c r="U94" s="255"/>
      <c r="V94" s="255"/>
      <c r="W94" s="255"/>
      <c r="X94" s="37"/>
      <c r="Y94" s="37"/>
      <c r="AA94" s="37"/>
      <c r="AC94" s="37"/>
      <c r="AD94" s="37"/>
      <c r="AE94" s="37"/>
      <c r="AF94" s="37"/>
      <c r="AG94" s="37"/>
      <c r="AH94" s="37"/>
      <c r="AJ94" s="108"/>
      <c r="AK94" s="108"/>
      <c r="AL94" s="137"/>
      <c r="AM94" s="137"/>
      <c r="AN94" s="137"/>
      <c r="AO94" s="137"/>
    </row>
    <row r="95" spans="1:47" s="118" customFormat="1" ht="15" customHeight="1" x14ac:dyDescent="0.2">
      <c r="A95" s="255"/>
      <c r="N95" s="255"/>
      <c r="O95" s="255"/>
      <c r="P95" s="255"/>
      <c r="Q95" s="255"/>
      <c r="R95" s="255"/>
      <c r="S95" s="255"/>
      <c r="T95" s="255"/>
      <c r="U95" s="255"/>
      <c r="V95" s="255"/>
      <c r="W95" s="816" t="str">
        <f>ListAVS!$B$422&amp;"  "</f>
        <v xml:space="preserve">z wpuszczanym szkłem  </v>
      </c>
      <c r="X95" s="711">
        <f>MenuAVS!$I$86</f>
        <v>0.62</v>
      </c>
      <c r="Y95" s="37"/>
      <c r="Z95" s="37" t="str">
        <f>ListAVS!$B$103&amp;"!"</f>
        <v>Bez wagi uchwytu!</v>
      </c>
      <c r="AA95" s="37"/>
      <c r="AC95" s="37"/>
      <c r="AD95" s="37"/>
      <c r="AE95" s="37"/>
      <c r="AF95" s="335" t="str">
        <f>ListAVS!$B$93</f>
        <v>Ramki aluminiowe z 4mm szkłem</v>
      </c>
      <c r="AG95" s="37"/>
      <c r="AH95" s="37"/>
      <c r="AJ95" s="108"/>
      <c r="AK95" s="108"/>
      <c r="AL95" s="137"/>
      <c r="AM95" s="137"/>
      <c r="AN95" s="137"/>
      <c r="AO95" s="137"/>
    </row>
    <row r="96" spans="1:47" s="118" customFormat="1" ht="15" customHeight="1" x14ac:dyDescent="0.2">
      <c r="A96" s="255"/>
      <c r="N96" s="255"/>
      <c r="O96" s="255"/>
      <c r="P96" s="255"/>
      <c r="Q96" s="255"/>
      <c r="R96" s="255"/>
      <c r="S96" s="255"/>
      <c r="T96" s="255"/>
      <c r="U96" s="255"/>
      <c r="V96" s="255"/>
      <c r="W96" s="816" t="str">
        <f>ListAVS!$B$423&amp;"  "</f>
        <v xml:space="preserve">ze szkłem nakładanym lub przyklejanym  </v>
      </c>
      <c r="X96" s="711">
        <f>MenuAVS!$I$87</f>
        <v>0.63</v>
      </c>
      <c r="Y96" s="37"/>
      <c r="AA96" s="37"/>
      <c r="AC96" s="37"/>
      <c r="AD96" s="37"/>
      <c r="AE96" s="37"/>
      <c r="AF96" s="335" t="str">
        <f>ListAVS!$B$94</f>
        <v>Ramki aluminiowe z 5mm szkłem</v>
      </c>
      <c r="AG96" s="37"/>
      <c r="AH96" s="37"/>
      <c r="AJ96" s="108"/>
      <c r="AK96" s="108"/>
      <c r="AL96" s="137"/>
      <c r="AM96" s="137"/>
      <c r="AN96" s="137"/>
      <c r="AO96" s="137"/>
    </row>
    <row r="97" spans="1:46" s="118" customFormat="1" ht="15" customHeight="1" x14ac:dyDescent="0.2">
      <c r="A97" s="255"/>
      <c r="N97" s="255"/>
      <c r="O97" s="255"/>
      <c r="P97" s="255"/>
      <c r="Q97" s="255"/>
      <c r="R97" s="255"/>
      <c r="S97" s="255"/>
      <c r="T97" s="255"/>
      <c r="U97" s="255"/>
      <c r="V97" s="255"/>
      <c r="W97" s="816" t="str">
        <f>ListAVS!$B$405&amp;" [kg/set] *  "</f>
        <v xml:space="preserve">Waga materiału łączącego  [kg/set] *  </v>
      </c>
      <c r="X97" s="711">
        <f>MenuAVS!$I$88</f>
        <v>0.61</v>
      </c>
      <c r="Y97" s="37"/>
      <c r="AA97" s="37"/>
      <c r="AC97" s="37"/>
      <c r="AD97" s="37"/>
      <c r="AE97" s="37"/>
      <c r="AF97" s="335" t="str">
        <f>ListAVS!$B$95</f>
        <v>Ramki aluminiowe z innym szkłem</v>
      </c>
      <c r="AG97" s="37"/>
      <c r="AH97" s="37"/>
      <c r="AJ97" s="108"/>
      <c r="AK97" s="108"/>
      <c r="AL97" s="137"/>
      <c r="AM97" s="137"/>
      <c r="AN97" s="137"/>
      <c r="AO97" s="137"/>
    </row>
    <row r="98" spans="1:46" s="118" customFormat="1" ht="15" customHeight="1" x14ac:dyDescent="0.2">
      <c r="A98" s="255"/>
      <c r="N98" s="255"/>
      <c r="O98" s="255"/>
      <c r="P98" s="255"/>
      <c r="Q98" s="255"/>
      <c r="R98" s="255"/>
      <c r="S98" s="255"/>
      <c r="T98" s="255"/>
      <c r="U98" s="255"/>
      <c r="V98" s="255"/>
      <c r="W98" s="816"/>
      <c r="X98" s="37"/>
      <c r="Y98" s="37"/>
      <c r="AA98" s="37"/>
      <c r="AC98" s="37"/>
      <c r="AD98" s="37"/>
      <c r="AE98" s="37"/>
      <c r="AF98" s="335"/>
      <c r="AG98" s="37"/>
      <c r="AH98" s="37"/>
      <c r="AJ98" s="108"/>
      <c r="AK98" s="108"/>
      <c r="AL98" s="137"/>
      <c r="AM98" s="137"/>
      <c r="AN98" s="137"/>
      <c r="AO98" s="137"/>
    </row>
    <row r="99" spans="1:46" x14ac:dyDescent="0.2">
      <c r="A99" s="1045"/>
      <c r="AI99" s="108"/>
      <c r="AJ99" s="108"/>
      <c r="AK99" s="108"/>
      <c r="AL99" s="137"/>
      <c r="AM99" s="137"/>
      <c r="AN99" s="137"/>
      <c r="AO99" s="137"/>
      <c r="AP99" s="137"/>
      <c r="AQ99" s="137"/>
      <c r="AR99" s="137"/>
      <c r="AS99" s="137"/>
      <c r="AT99" s="137"/>
    </row>
    <row r="100" spans="1:46" ht="18" x14ac:dyDescent="0.2">
      <c r="A100" s="1045"/>
      <c r="B100" s="308" t="s">
        <v>16</v>
      </c>
      <c r="C100" s="321"/>
      <c r="D100" s="308"/>
      <c r="E100" s="308"/>
      <c r="F100" s="308"/>
      <c r="G100" s="308"/>
      <c r="H100" s="308"/>
      <c r="I100" s="308"/>
      <c r="J100" s="308"/>
      <c r="K100" s="308"/>
      <c r="L100" s="308"/>
      <c r="AI100" s="108"/>
      <c r="AJ100" s="108"/>
      <c r="AK100" s="108"/>
      <c r="AL100" s="137"/>
      <c r="AM100" s="137"/>
      <c r="AN100" s="137"/>
      <c r="AO100" s="137"/>
      <c r="AP100" s="137"/>
      <c r="AQ100" s="137"/>
      <c r="AR100" s="137"/>
      <c r="AS100" s="137"/>
      <c r="AT100" s="137"/>
    </row>
    <row r="101" spans="1:46" ht="15" customHeight="1" x14ac:dyDescent="0.2">
      <c r="A101" s="1045"/>
      <c r="B101" s="255"/>
      <c r="C101" s="255"/>
      <c r="D101" s="255"/>
      <c r="E101" s="255"/>
      <c r="F101" s="255"/>
      <c r="G101" s="255"/>
      <c r="H101" s="255"/>
      <c r="I101" s="255"/>
      <c r="J101" s="255"/>
      <c r="K101" s="255"/>
      <c r="L101" s="255"/>
      <c r="AI101" s="108"/>
      <c r="AJ101" s="108"/>
      <c r="AK101" s="108"/>
      <c r="AL101" s="137"/>
      <c r="AM101" s="137"/>
      <c r="AN101" s="137"/>
      <c r="AO101" s="137"/>
      <c r="AP101" s="137"/>
      <c r="AQ101" s="137"/>
      <c r="AR101" s="137"/>
      <c r="AS101" s="137"/>
      <c r="AT101" s="137"/>
    </row>
    <row r="102" spans="1:46" ht="15" customHeight="1" x14ac:dyDescent="0.2">
      <c r="A102" s="1045"/>
      <c r="B102" s="255" t="str">
        <f>ListAVS!$B$333</f>
        <v>Aby wybrać odpowiedni siłownik potrzebujesz znać wysokość korpusu i wagę frontu</v>
      </c>
      <c r="C102" s="255"/>
      <c r="D102" s="255"/>
      <c r="E102" s="255"/>
      <c r="F102" s="255"/>
      <c r="G102" s="255"/>
      <c r="H102" s="255"/>
      <c r="I102" s="255"/>
      <c r="J102" s="255"/>
      <c r="K102" s="255"/>
      <c r="L102" s="255"/>
      <c r="AI102" s="108"/>
      <c r="AJ102" s="108"/>
      <c r="AK102" s="108"/>
      <c r="AL102" s="137"/>
      <c r="AM102" s="137"/>
      <c r="AN102" s="137"/>
      <c r="AO102" s="137"/>
      <c r="AP102" s="137"/>
      <c r="AQ102" s="137"/>
      <c r="AR102" s="137"/>
      <c r="AS102" s="137"/>
      <c r="AT102" s="137"/>
    </row>
    <row r="103" spans="1:46" ht="15" customHeight="1" x14ac:dyDescent="0.2">
      <c r="A103" s="1045"/>
      <c r="B103" s="255"/>
      <c r="C103" s="255"/>
      <c r="D103" s="255"/>
      <c r="E103" s="255"/>
      <c r="F103" s="255"/>
      <c r="G103" s="255"/>
      <c r="H103" s="255"/>
      <c r="I103" s="255"/>
      <c r="J103" s="255"/>
      <c r="K103" s="255"/>
      <c r="L103" s="255"/>
      <c r="AI103" s="108"/>
      <c r="AJ103" s="108"/>
      <c r="AK103" s="108"/>
      <c r="AL103" s="137"/>
      <c r="AM103" s="137"/>
      <c r="AN103" s="137"/>
      <c r="AO103" s="137"/>
      <c r="AP103" s="137"/>
      <c r="AQ103" s="137"/>
      <c r="AR103" s="137"/>
      <c r="AS103" s="137"/>
      <c r="AT103" s="137"/>
    </row>
    <row r="104" spans="1:46" ht="15" customHeight="1" x14ac:dyDescent="0.2">
      <c r="A104" s="1045"/>
      <c r="B104" s="255" t="str">
        <f>ListAVS!$B$312</f>
        <v>Jeśli znasz wagę frontu, możesz ją wprowadzić, w przeciwnym razie skorzystaj z „Obliczenia wagi”.</v>
      </c>
      <c r="C104" s="255"/>
      <c r="D104" s="255"/>
      <c r="E104" s="255"/>
      <c r="F104" s="255"/>
      <c r="G104" s="255"/>
      <c r="H104" s="255"/>
      <c r="I104" s="255"/>
      <c r="J104" s="255"/>
      <c r="K104" s="255"/>
      <c r="L104" s="255"/>
      <c r="AI104" s="108"/>
      <c r="AJ104" s="108"/>
      <c r="AK104" s="108"/>
      <c r="AL104" s="137"/>
      <c r="AM104" s="137"/>
      <c r="AN104" s="137"/>
      <c r="AO104" s="137"/>
      <c r="AP104" s="137"/>
      <c r="AQ104" s="137"/>
      <c r="AR104" s="137"/>
      <c r="AS104" s="137"/>
      <c r="AT104" s="137"/>
    </row>
    <row r="105" spans="1:46" ht="15" customHeight="1" x14ac:dyDescent="0.2">
      <c r="A105" s="1045"/>
      <c r="B105" s="255" t="str">
        <f>ListAVS!$B$313</f>
        <v>W tabeli wprowadzona wartość ma pierwszeństwo aby skorzystać z wagi obliczeniowej, należy usunąć wprowadzoną wartość.</v>
      </c>
      <c r="C105" s="255"/>
      <c r="D105" s="255"/>
      <c r="E105" s="255"/>
      <c r="F105" s="255"/>
      <c r="G105" s="255"/>
      <c r="H105" s="255"/>
      <c r="I105" s="255"/>
      <c r="J105" s="255"/>
      <c r="K105" s="255"/>
      <c r="L105" s="255"/>
      <c r="AI105" s="108"/>
      <c r="AJ105" s="108"/>
      <c r="AK105" s="108"/>
      <c r="AL105" s="137"/>
      <c r="AM105" s="137"/>
      <c r="AN105" s="137"/>
      <c r="AO105" s="137"/>
      <c r="AP105" s="137"/>
      <c r="AQ105" s="137"/>
      <c r="AR105" s="137"/>
      <c r="AS105" s="137"/>
      <c r="AT105" s="137"/>
    </row>
    <row r="106" spans="1:46" ht="15" customHeight="1" x14ac:dyDescent="0.2">
      <c r="A106" s="1045"/>
      <c r="B106" s="255"/>
      <c r="C106" s="255"/>
      <c r="D106" s="255"/>
      <c r="E106" s="255"/>
      <c r="F106" s="255"/>
      <c r="G106" s="255"/>
      <c r="H106" s="255"/>
      <c r="I106" s="255"/>
      <c r="J106" s="255"/>
      <c r="K106" s="255"/>
      <c r="L106" s="255"/>
      <c r="AI106" s="108"/>
      <c r="AJ106" s="108"/>
      <c r="AK106" s="108"/>
      <c r="AL106" s="137"/>
      <c r="AM106" s="137"/>
      <c r="AN106" s="137"/>
      <c r="AO106" s="137"/>
      <c r="AP106" s="137"/>
      <c r="AQ106" s="137"/>
      <c r="AR106" s="137"/>
      <c r="AS106" s="137"/>
      <c r="AT106" s="137"/>
    </row>
    <row r="107" spans="1:46" ht="15" customHeight="1" x14ac:dyDescent="0.2">
      <c r="A107" s="1045"/>
      <c r="B107" s="255"/>
      <c r="C107" s="255"/>
      <c r="D107" s="255"/>
      <c r="E107" s="255"/>
      <c r="F107" s="255"/>
      <c r="G107" s="255"/>
      <c r="H107" s="255"/>
      <c r="I107" s="255"/>
      <c r="J107" s="255"/>
      <c r="K107" s="255"/>
      <c r="L107" s="255"/>
      <c r="AI107" s="108"/>
      <c r="AJ107" s="108"/>
      <c r="AK107" s="108"/>
      <c r="AL107" s="137"/>
      <c r="AM107" s="137"/>
      <c r="AN107" s="137"/>
      <c r="AO107" s="137"/>
      <c r="AP107" s="137"/>
      <c r="AQ107" s="137"/>
      <c r="AR107" s="137"/>
      <c r="AS107" s="137"/>
      <c r="AT107" s="137"/>
    </row>
    <row r="108" spans="1:46" ht="15" customHeight="1" x14ac:dyDescent="0.2">
      <c r="A108" s="1045"/>
      <c r="B108" s="255" t="str">
        <f>ListAVS!$B$306</f>
        <v>Aby zmienić kolor zaślepek przejdź do „Wprowadzenie do planowania”</v>
      </c>
      <c r="C108" s="255"/>
      <c r="D108" s="255"/>
      <c r="E108" s="255"/>
      <c r="F108" s="255"/>
      <c r="G108" s="255"/>
      <c r="H108" s="255"/>
      <c r="I108" s="255"/>
      <c r="J108" s="255"/>
      <c r="K108" s="255"/>
      <c r="L108" s="255"/>
      <c r="AI108" s="108"/>
      <c r="AJ108" s="108"/>
      <c r="AK108" s="108"/>
      <c r="AL108" s="137"/>
      <c r="AM108" s="137"/>
      <c r="AN108" s="137"/>
      <c r="AO108" s="137"/>
      <c r="AP108" s="137"/>
      <c r="AQ108" s="137"/>
      <c r="AR108" s="137"/>
      <c r="AS108" s="137"/>
      <c r="AT108" s="137"/>
    </row>
    <row r="109" spans="1:46" ht="15" customHeight="1" x14ac:dyDescent="0.2">
      <c r="A109" s="1045"/>
      <c r="B109" s="255"/>
      <c r="C109" s="255"/>
      <c r="D109" s="255"/>
      <c r="E109" s="255"/>
      <c r="F109" s="255"/>
      <c r="G109" s="255"/>
      <c r="H109" s="255"/>
      <c r="I109" s="255"/>
      <c r="J109" s="255"/>
      <c r="K109" s="255"/>
      <c r="L109" s="255"/>
      <c r="AI109" s="108"/>
      <c r="AJ109" s="108"/>
      <c r="AK109" s="108"/>
      <c r="AL109" s="137"/>
      <c r="AM109" s="137"/>
      <c r="AN109" s="137"/>
      <c r="AO109" s="137"/>
      <c r="AP109" s="137"/>
      <c r="AQ109" s="137"/>
      <c r="AR109" s="137"/>
      <c r="AS109" s="137"/>
      <c r="AT109" s="137"/>
    </row>
    <row r="110" spans="1:46" ht="15" customHeight="1" x14ac:dyDescent="0.2">
      <c r="A110" s="1045"/>
      <c r="B110" s="255" t="str">
        <f>ListAVS!$B$411</f>
        <v>Zwróć uwagę na wybór ramek aluminiowych</v>
      </c>
      <c r="C110" s="255"/>
      <c r="D110" s="255"/>
      <c r="E110" s="255"/>
      <c r="F110" s="255"/>
      <c r="G110" s="255"/>
      <c r="H110" s="255"/>
      <c r="I110" s="255"/>
      <c r="J110" s="255"/>
      <c r="K110" s="255"/>
      <c r="L110" s="255"/>
      <c r="AI110" s="108"/>
      <c r="AJ110" s="108"/>
      <c r="AK110" s="108"/>
      <c r="AL110" s="137"/>
      <c r="AM110" s="137"/>
      <c r="AN110" s="137"/>
      <c r="AO110" s="137"/>
      <c r="AP110" s="137"/>
      <c r="AQ110" s="137"/>
      <c r="AR110" s="137"/>
      <c r="AS110" s="137"/>
      <c r="AT110" s="137"/>
    </row>
    <row r="111" spans="1:46" ht="15" customHeight="1" x14ac:dyDescent="0.2">
      <c r="A111" s="1045"/>
      <c r="B111" s="255" t="str">
        <f>ListAVS!$B$412</f>
        <v>Wybierz, rodzaj, który lepiej pasuje do kształtu zastosowanej ramki aluminiowej.</v>
      </c>
      <c r="C111" s="255"/>
      <c r="D111" s="255"/>
      <c r="E111" s="255"/>
      <c r="F111" s="255"/>
      <c r="G111" s="255"/>
      <c r="H111" s="255"/>
      <c r="I111" s="255"/>
      <c r="J111" s="255"/>
      <c r="K111" s="255"/>
      <c r="L111" s="255"/>
      <c r="AI111" s="108"/>
      <c r="AJ111" s="108"/>
      <c r="AK111" s="108"/>
      <c r="AL111" s="137"/>
      <c r="AM111" s="137"/>
      <c r="AN111" s="137"/>
      <c r="AO111" s="137"/>
      <c r="AP111" s="137"/>
      <c r="AQ111" s="137"/>
      <c r="AR111" s="137"/>
      <c r="AS111" s="137"/>
      <c r="AT111" s="137"/>
    </row>
    <row r="112" spans="1:46" ht="15" customHeight="1" x14ac:dyDescent="0.2">
      <c r="A112" s="1045"/>
      <c r="B112" s="255" t="str">
        <f>ListAVS!$B$413</f>
        <v>Sposób mocowania szkła w ramkę znacząco wpływa na powierzchnię szkła, a co za tym idzie na jego wagę!</v>
      </c>
      <c r="C112" s="255"/>
      <c r="D112" s="255"/>
      <c r="E112" s="255"/>
      <c r="F112" s="255"/>
      <c r="G112" s="255"/>
      <c r="H112" s="255"/>
      <c r="I112" s="255"/>
      <c r="J112" s="255"/>
      <c r="K112" s="255"/>
      <c r="L112" s="266"/>
      <c r="AI112" s="108"/>
      <c r="AJ112" s="108"/>
      <c r="AK112" s="108"/>
      <c r="AL112" s="137"/>
      <c r="AM112" s="137"/>
      <c r="AN112" s="137"/>
      <c r="AO112" s="137"/>
      <c r="AP112" s="137"/>
      <c r="AQ112" s="137"/>
      <c r="AR112" s="137"/>
      <c r="AS112" s="137"/>
      <c r="AT112" s="137"/>
    </row>
    <row r="113" spans="1:46" ht="15" customHeight="1" x14ac:dyDescent="0.2">
      <c r="A113" s="1045"/>
      <c r="B113" s="255"/>
      <c r="C113" s="255"/>
      <c r="D113" s="255"/>
      <c r="E113" s="255"/>
      <c r="F113" s="255"/>
      <c r="G113" s="255"/>
      <c r="H113" s="255"/>
      <c r="I113" s="255"/>
      <c r="J113" s="255"/>
      <c r="K113" s="255"/>
      <c r="L113" s="255"/>
      <c r="AI113" s="108"/>
      <c r="AJ113" s="108"/>
      <c r="AK113" s="108"/>
      <c r="AL113" s="137"/>
      <c r="AM113" s="137"/>
      <c r="AN113" s="137"/>
      <c r="AO113" s="137"/>
      <c r="AP113" s="137"/>
      <c r="AQ113" s="137"/>
      <c r="AR113" s="137"/>
      <c r="AS113" s="137"/>
      <c r="AT113" s="137"/>
    </row>
    <row r="114" spans="1:46" ht="15" customHeight="1" x14ac:dyDescent="0.2">
      <c r="A114" s="1045"/>
      <c r="C114" s="796" t="str">
        <f>"  "&amp;ListAVS!$B$422&amp;"  "</f>
        <v xml:space="preserve">  z wpuszczanym szkłem  </v>
      </c>
      <c r="D114" s="255"/>
      <c r="E114" s="255"/>
      <c r="F114" s="255"/>
      <c r="G114" s="255"/>
      <c r="H114" s="255"/>
      <c r="I114" s="255"/>
      <c r="J114" s="255"/>
      <c r="K114" s="255"/>
      <c r="L114" s="255"/>
      <c r="AI114" s="108"/>
      <c r="AJ114" s="108"/>
      <c r="AK114" s="108"/>
      <c r="AL114" s="137"/>
      <c r="AM114" s="137"/>
      <c r="AN114" s="137"/>
      <c r="AO114" s="137"/>
      <c r="AP114" s="137"/>
      <c r="AQ114" s="137"/>
      <c r="AR114" s="137"/>
      <c r="AS114" s="137"/>
      <c r="AT114" s="137"/>
    </row>
    <row r="115" spans="1:46" ht="15" customHeight="1" x14ac:dyDescent="0.2">
      <c r="A115" s="1045"/>
      <c r="C115" s="266"/>
      <c r="D115" s="255"/>
      <c r="E115" s="255"/>
      <c r="F115" s="255"/>
      <c r="G115" s="255"/>
      <c r="H115" s="255"/>
      <c r="I115" s="255"/>
      <c r="J115" s="255"/>
      <c r="K115" s="255"/>
      <c r="L115" s="255"/>
      <c r="AI115" s="108"/>
      <c r="AJ115" s="108"/>
      <c r="AK115" s="108"/>
      <c r="AL115" s="137"/>
      <c r="AM115" s="137"/>
      <c r="AN115" s="137"/>
      <c r="AO115" s="137"/>
      <c r="AP115" s="137"/>
      <c r="AQ115" s="137"/>
      <c r="AR115" s="137"/>
      <c r="AS115" s="137"/>
      <c r="AT115" s="137"/>
    </row>
    <row r="116" spans="1:46" ht="15" customHeight="1" x14ac:dyDescent="0.2">
      <c r="A116" s="1045"/>
      <c r="C116" s="796" t="str">
        <f>"  "&amp;ListAVS!$B$423&amp;"  "</f>
        <v xml:space="preserve">  ze szkłem nakładanym lub przyklejanym  </v>
      </c>
      <c r="D116" s="255"/>
      <c r="E116" s="255"/>
      <c r="F116" s="255"/>
      <c r="G116" s="255"/>
      <c r="H116" s="255"/>
      <c r="I116" s="255"/>
      <c r="J116" s="255"/>
      <c r="K116" s="255"/>
      <c r="L116" s="255"/>
      <c r="AI116" s="108"/>
      <c r="AJ116" s="108"/>
      <c r="AK116" s="108"/>
      <c r="AL116" s="137"/>
      <c r="AM116" s="137"/>
      <c r="AN116" s="137"/>
      <c r="AO116" s="137"/>
      <c r="AP116" s="137"/>
      <c r="AQ116" s="137"/>
      <c r="AR116" s="137"/>
      <c r="AS116" s="137"/>
      <c r="AT116" s="137"/>
    </row>
    <row r="117" spans="1:46" ht="15" customHeight="1" x14ac:dyDescent="0.2">
      <c r="A117" s="1045"/>
      <c r="C117" s="255"/>
      <c r="D117" s="255"/>
      <c r="E117" s="255"/>
      <c r="F117" s="255"/>
      <c r="G117" s="255"/>
      <c r="H117" s="255"/>
      <c r="I117" s="255"/>
      <c r="J117" s="255"/>
      <c r="K117" s="255"/>
      <c r="L117" s="255"/>
      <c r="AI117" s="108"/>
      <c r="AJ117" s="108"/>
      <c r="AK117" s="108"/>
      <c r="AL117" s="137"/>
      <c r="AM117" s="137"/>
      <c r="AN117" s="137"/>
      <c r="AO117" s="137"/>
      <c r="AP117" s="137"/>
      <c r="AQ117" s="137"/>
      <c r="AR117" s="137"/>
      <c r="AS117" s="137"/>
      <c r="AT117" s="137"/>
    </row>
    <row r="118" spans="1:46" ht="15" customHeight="1" x14ac:dyDescent="0.2">
      <c r="A118" s="1045"/>
      <c r="C118" s="255"/>
      <c r="D118" s="255"/>
      <c r="E118" s="255"/>
      <c r="F118" s="255"/>
      <c r="G118" s="255"/>
      <c r="H118" s="255"/>
      <c r="I118" s="255"/>
      <c r="J118" s="255"/>
      <c r="K118" s="255"/>
      <c r="L118" s="738" t="str">
        <f>ListAVS!$B$168</f>
        <v>Z powrotem</v>
      </c>
      <c r="AI118" s="108"/>
      <c r="AJ118" s="108"/>
      <c r="AK118" s="108"/>
      <c r="AL118" s="137"/>
      <c r="AM118" s="137"/>
      <c r="AN118" s="137"/>
      <c r="AO118" s="137"/>
      <c r="AP118" s="137"/>
      <c r="AQ118" s="137"/>
      <c r="AR118" s="137"/>
      <c r="AS118" s="137"/>
      <c r="AT118" s="137"/>
    </row>
    <row r="119" spans="1:46" ht="15" customHeight="1" x14ac:dyDescent="0.2">
      <c r="A119" s="1045"/>
      <c r="C119" s="255"/>
      <c r="D119" s="255"/>
      <c r="E119" s="255"/>
      <c r="F119" s="255"/>
      <c r="G119" s="255"/>
      <c r="H119" s="255"/>
      <c r="I119" s="255"/>
      <c r="J119" s="255"/>
      <c r="K119" s="255"/>
      <c r="L119" s="255"/>
      <c r="AI119" s="108"/>
      <c r="AJ119" s="108"/>
      <c r="AK119" s="108"/>
      <c r="AL119" s="137"/>
      <c r="AM119" s="137"/>
      <c r="AN119" s="137"/>
      <c r="AO119" s="137"/>
      <c r="AP119" s="137"/>
      <c r="AQ119" s="137"/>
      <c r="AR119" s="137"/>
      <c r="AS119" s="137"/>
      <c r="AT119" s="137"/>
    </row>
    <row r="120" spans="1:46" x14ac:dyDescent="0.2">
      <c r="A120" s="1045"/>
      <c r="AI120" s="108"/>
      <c r="AJ120" s="108"/>
      <c r="AK120" s="108"/>
      <c r="AL120" s="137"/>
      <c r="AM120" s="137"/>
      <c r="AN120" s="137"/>
      <c r="AO120" s="137"/>
      <c r="AP120" s="137"/>
      <c r="AQ120" s="137"/>
      <c r="AR120" s="137"/>
      <c r="AS120" s="137"/>
      <c r="AT120" s="137"/>
    </row>
    <row r="121" spans="1:46" x14ac:dyDescent="0.2">
      <c r="A121" s="1045"/>
      <c r="AI121" s="108"/>
      <c r="AJ121" s="108"/>
      <c r="AK121" s="108"/>
      <c r="AL121" s="137"/>
      <c r="AM121" s="137"/>
      <c r="AN121" s="137"/>
      <c r="AO121" s="137"/>
      <c r="AP121" s="137"/>
      <c r="AQ121" s="137"/>
      <c r="AR121" s="137"/>
      <c r="AS121" s="137"/>
      <c r="AT121" s="137"/>
    </row>
    <row r="122" spans="1:46" x14ac:dyDescent="0.2">
      <c r="A122" s="1045"/>
      <c r="AI122" s="108"/>
      <c r="AJ122" s="108"/>
      <c r="AK122" s="108"/>
      <c r="AL122" s="137"/>
      <c r="AM122" s="137"/>
      <c r="AN122" s="137"/>
      <c r="AO122" s="137"/>
      <c r="AP122" s="137"/>
      <c r="AQ122" s="137"/>
      <c r="AR122" s="137"/>
      <c r="AS122" s="137"/>
      <c r="AT122" s="137"/>
    </row>
    <row r="123" spans="1:46" x14ac:dyDescent="0.2">
      <c r="A123" s="1045"/>
      <c r="AI123" s="108"/>
      <c r="AJ123" s="108"/>
      <c r="AK123" s="108"/>
      <c r="AL123" s="137"/>
      <c r="AM123" s="137"/>
      <c r="AN123" s="137"/>
      <c r="AO123" s="137"/>
      <c r="AP123" s="137"/>
      <c r="AQ123" s="137"/>
      <c r="AR123" s="137"/>
      <c r="AS123" s="137"/>
      <c r="AT123" s="137"/>
    </row>
    <row r="124" spans="1:46" x14ac:dyDescent="0.2">
      <c r="A124" s="1045"/>
      <c r="AI124" s="108"/>
      <c r="AJ124" s="108"/>
      <c r="AK124" s="108"/>
      <c r="AL124" s="137"/>
      <c r="AM124" s="137"/>
      <c r="AN124" s="137"/>
      <c r="AO124" s="137"/>
      <c r="AP124" s="137"/>
      <c r="AQ124" s="137"/>
      <c r="AR124" s="137"/>
      <c r="AS124" s="137"/>
      <c r="AT124" s="137"/>
    </row>
    <row r="125" spans="1:46" x14ac:dyDescent="0.2">
      <c r="A125" s="1045"/>
      <c r="AI125" s="108"/>
      <c r="AJ125" s="108"/>
      <c r="AK125" s="108"/>
      <c r="AL125" s="137"/>
      <c r="AM125" s="137"/>
      <c r="AN125" s="137"/>
      <c r="AO125" s="137"/>
      <c r="AP125" s="137"/>
      <c r="AQ125" s="137"/>
      <c r="AR125" s="137"/>
      <c r="AS125" s="137"/>
      <c r="AT125" s="137"/>
    </row>
    <row r="126" spans="1:46" x14ac:dyDescent="0.2">
      <c r="A126" s="1045"/>
      <c r="AI126" s="108"/>
      <c r="AJ126" s="108"/>
      <c r="AK126" s="108"/>
      <c r="AL126" s="137"/>
      <c r="AM126" s="137"/>
      <c r="AN126" s="137"/>
      <c r="AO126" s="137"/>
      <c r="AP126" s="137"/>
      <c r="AQ126" s="137"/>
      <c r="AR126" s="137"/>
      <c r="AS126" s="137"/>
      <c r="AT126" s="137"/>
    </row>
    <row r="127" spans="1:46" x14ac:dyDescent="0.2">
      <c r="A127" s="1045"/>
      <c r="AI127" s="108"/>
      <c r="AJ127" s="108"/>
      <c r="AK127" s="108"/>
      <c r="AL127" s="137"/>
      <c r="AM127" s="137"/>
      <c r="AN127" s="137"/>
      <c r="AO127" s="137"/>
      <c r="AP127" s="137"/>
      <c r="AQ127" s="137"/>
      <c r="AR127" s="137"/>
      <c r="AS127" s="137"/>
      <c r="AT127" s="137"/>
    </row>
    <row r="128" spans="1:46" x14ac:dyDescent="0.2">
      <c r="A128" s="1045"/>
      <c r="AI128" s="108"/>
      <c r="AJ128" s="108"/>
      <c r="AK128" s="108"/>
      <c r="AL128" s="137"/>
      <c r="AM128" s="137"/>
      <c r="AN128" s="137"/>
      <c r="AO128" s="137"/>
      <c r="AP128" s="137"/>
      <c r="AQ128" s="137"/>
      <c r="AR128" s="137"/>
      <c r="AS128" s="137"/>
      <c r="AT128" s="137"/>
    </row>
    <row r="129" spans="1:46" x14ac:dyDescent="0.2">
      <c r="A129" s="1045"/>
      <c r="AI129" s="108"/>
      <c r="AJ129" s="108"/>
      <c r="AK129" s="108"/>
      <c r="AL129" s="137"/>
      <c r="AM129" s="137"/>
      <c r="AN129" s="137"/>
      <c r="AO129" s="137"/>
      <c r="AP129" s="137"/>
      <c r="AQ129" s="137"/>
      <c r="AR129" s="137"/>
      <c r="AS129" s="137"/>
      <c r="AT129" s="137"/>
    </row>
    <row r="130" spans="1:46" x14ac:dyDescent="0.2">
      <c r="A130" s="1045"/>
      <c r="AI130" s="108"/>
      <c r="AJ130" s="108"/>
      <c r="AK130" s="108"/>
      <c r="AL130" s="137"/>
      <c r="AM130" s="137"/>
      <c r="AN130" s="137"/>
      <c r="AO130" s="137"/>
      <c r="AP130" s="137"/>
      <c r="AQ130" s="137"/>
      <c r="AR130" s="137"/>
      <c r="AS130" s="137"/>
      <c r="AT130" s="137"/>
    </row>
    <row r="131" spans="1:46" x14ac:dyDescent="0.2">
      <c r="A131" s="1045"/>
      <c r="AI131" s="108"/>
      <c r="AJ131" s="108"/>
      <c r="AK131" s="108"/>
      <c r="AL131" s="137"/>
      <c r="AM131" s="137"/>
      <c r="AN131" s="137"/>
      <c r="AO131" s="137"/>
      <c r="AP131" s="137"/>
      <c r="AQ131" s="137"/>
      <c r="AR131" s="137"/>
      <c r="AS131" s="137"/>
      <c r="AT131" s="137"/>
    </row>
    <row r="132" spans="1:46" x14ac:dyDescent="0.2">
      <c r="A132" s="1045"/>
      <c r="AI132" s="108"/>
      <c r="AJ132" s="108"/>
      <c r="AK132" s="108"/>
      <c r="AL132" s="137"/>
      <c r="AM132" s="137"/>
      <c r="AN132" s="137"/>
      <c r="AO132" s="137"/>
      <c r="AP132" s="137"/>
      <c r="AQ132" s="137"/>
      <c r="AR132" s="137"/>
      <c r="AS132" s="137"/>
      <c r="AT132" s="137"/>
    </row>
    <row r="133" spans="1:46" x14ac:dyDescent="0.2">
      <c r="A133" s="1045"/>
      <c r="AI133" s="108"/>
      <c r="AJ133" s="108"/>
      <c r="AK133" s="108"/>
      <c r="AL133" s="137"/>
      <c r="AM133" s="137"/>
      <c r="AN133" s="137"/>
      <c r="AO133" s="137"/>
      <c r="AP133" s="137"/>
      <c r="AQ133" s="137"/>
      <c r="AR133" s="137"/>
      <c r="AS133" s="137"/>
      <c r="AT133" s="137"/>
    </row>
    <row r="134" spans="1:46" x14ac:dyDescent="0.2">
      <c r="A134" s="1045"/>
      <c r="AI134" s="108"/>
      <c r="AJ134" s="108"/>
      <c r="AK134" s="108"/>
      <c r="AL134" s="137"/>
      <c r="AM134" s="137"/>
      <c r="AN134" s="137"/>
      <c r="AO134" s="137"/>
      <c r="AP134" s="137"/>
      <c r="AQ134" s="137"/>
      <c r="AR134" s="137"/>
      <c r="AS134" s="137"/>
      <c r="AT134" s="137"/>
    </row>
    <row r="135" spans="1:46" x14ac:dyDescent="0.2">
      <c r="A135" s="1045"/>
      <c r="AI135" s="108"/>
      <c r="AJ135" s="108"/>
      <c r="AK135" s="108"/>
      <c r="AL135" s="137"/>
      <c r="AM135" s="137"/>
      <c r="AN135" s="137"/>
      <c r="AO135" s="137"/>
      <c r="AP135" s="137"/>
      <c r="AQ135" s="137"/>
      <c r="AR135" s="137"/>
      <c r="AS135" s="137"/>
      <c r="AT135" s="137"/>
    </row>
    <row r="136" spans="1:46" x14ac:dyDescent="0.2">
      <c r="A136" s="1045"/>
      <c r="AI136" s="108"/>
      <c r="AJ136" s="108"/>
      <c r="AK136" s="108"/>
      <c r="AL136" s="137"/>
      <c r="AM136" s="137"/>
      <c r="AN136" s="137"/>
      <c r="AO136" s="137"/>
      <c r="AP136" s="137"/>
      <c r="AQ136" s="137"/>
      <c r="AR136" s="137"/>
      <c r="AS136" s="137"/>
      <c r="AT136" s="137"/>
    </row>
    <row r="137" spans="1:46" x14ac:dyDescent="0.2">
      <c r="A137" s="1045"/>
      <c r="AI137" s="108"/>
      <c r="AJ137" s="108"/>
      <c r="AK137" s="108"/>
      <c r="AL137" s="137"/>
      <c r="AM137" s="137"/>
      <c r="AN137" s="137"/>
      <c r="AO137" s="137"/>
      <c r="AP137" s="137"/>
      <c r="AQ137" s="137"/>
      <c r="AR137" s="137"/>
      <c r="AS137" s="137"/>
      <c r="AT137" s="137"/>
    </row>
    <row r="138" spans="1:46" x14ac:dyDescent="0.2">
      <c r="A138" s="1045"/>
      <c r="AI138" s="108"/>
      <c r="AJ138" s="108"/>
      <c r="AK138" s="108"/>
      <c r="AL138" s="137"/>
      <c r="AM138" s="137"/>
      <c r="AN138" s="137"/>
      <c r="AO138" s="137"/>
      <c r="AP138" s="137"/>
      <c r="AQ138" s="137"/>
      <c r="AR138" s="137"/>
      <c r="AS138" s="137"/>
      <c r="AT138" s="137"/>
    </row>
    <row r="139" spans="1:46" x14ac:dyDescent="0.2">
      <c r="A139" s="1045"/>
      <c r="AI139" s="108"/>
      <c r="AJ139" s="108"/>
      <c r="AK139" s="108"/>
      <c r="AL139" s="137"/>
      <c r="AM139" s="137"/>
      <c r="AN139" s="137"/>
      <c r="AO139" s="137"/>
      <c r="AP139" s="137"/>
      <c r="AQ139" s="137"/>
      <c r="AR139" s="137"/>
      <c r="AS139" s="137"/>
      <c r="AT139" s="137"/>
    </row>
    <row r="140" spans="1:46" x14ac:dyDescent="0.2">
      <c r="A140" s="1045"/>
      <c r="AI140" s="108"/>
      <c r="AJ140" s="108"/>
      <c r="AK140" s="108"/>
      <c r="AL140" s="137"/>
      <c r="AM140" s="137"/>
      <c r="AN140" s="137"/>
      <c r="AO140" s="137"/>
      <c r="AP140" s="137"/>
      <c r="AQ140" s="137"/>
      <c r="AR140" s="137"/>
      <c r="AS140" s="137"/>
      <c r="AT140" s="137"/>
    </row>
    <row r="141" spans="1:46" x14ac:dyDescent="0.2">
      <c r="AI141" s="108"/>
      <c r="AJ141" s="108"/>
      <c r="AK141" s="108"/>
      <c r="AL141" s="137"/>
      <c r="AM141" s="137"/>
      <c r="AN141" s="137"/>
      <c r="AO141" s="137"/>
      <c r="AP141" s="137"/>
      <c r="AQ141" s="137"/>
      <c r="AR141" s="137"/>
      <c r="AS141" s="137"/>
      <c r="AT141" s="137"/>
    </row>
    <row r="142" spans="1:46" x14ac:dyDescent="0.2">
      <c r="AI142" s="108"/>
      <c r="AJ142" s="108"/>
      <c r="AK142" s="108"/>
      <c r="AL142" s="137"/>
      <c r="AM142" s="137"/>
      <c r="AN142" s="137"/>
      <c r="AO142" s="137"/>
      <c r="AP142" s="137"/>
      <c r="AQ142" s="137"/>
      <c r="AR142" s="137"/>
      <c r="AS142" s="137"/>
      <c r="AT142" s="137"/>
    </row>
    <row r="143" spans="1:46" x14ac:dyDescent="0.2">
      <c r="AI143" s="108"/>
      <c r="AJ143" s="108"/>
      <c r="AK143" s="108"/>
      <c r="AL143" s="137"/>
      <c r="AM143" s="137"/>
      <c r="AN143" s="137"/>
      <c r="AO143" s="137"/>
      <c r="AP143" s="137"/>
      <c r="AQ143" s="137"/>
      <c r="AR143" s="137"/>
      <c r="AS143" s="137"/>
      <c r="AT143" s="137"/>
    </row>
    <row r="144" spans="1:46" x14ac:dyDescent="0.2">
      <c r="AI144" s="108"/>
      <c r="AJ144" s="108"/>
      <c r="AK144" s="108"/>
      <c r="AL144" s="137"/>
      <c r="AM144" s="137"/>
      <c r="AN144" s="137"/>
      <c r="AO144" s="137"/>
      <c r="AP144" s="137"/>
      <c r="AQ144" s="137"/>
      <c r="AR144" s="137"/>
      <c r="AS144" s="137"/>
      <c r="AT144" s="137"/>
    </row>
    <row r="145" spans="35:46" x14ac:dyDescent="0.2">
      <c r="AI145" s="108"/>
      <c r="AJ145" s="108"/>
      <c r="AK145" s="108"/>
      <c r="AL145" s="137"/>
      <c r="AM145" s="137"/>
      <c r="AN145" s="137"/>
      <c r="AO145" s="137"/>
      <c r="AP145" s="137"/>
      <c r="AQ145" s="137"/>
      <c r="AR145" s="137"/>
      <c r="AS145" s="137"/>
      <c r="AT145" s="137"/>
    </row>
    <row r="146" spans="35:46" x14ac:dyDescent="0.2">
      <c r="AI146" s="108"/>
      <c r="AJ146" s="108"/>
      <c r="AK146" s="108"/>
      <c r="AL146" s="137"/>
      <c r="AM146" s="137"/>
      <c r="AN146" s="137"/>
      <c r="AO146" s="137"/>
      <c r="AP146" s="137"/>
      <c r="AQ146" s="137"/>
      <c r="AR146" s="137"/>
      <c r="AS146" s="137"/>
      <c r="AT146" s="137"/>
    </row>
    <row r="147" spans="35:46" x14ac:dyDescent="0.2">
      <c r="AI147" s="108"/>
      <c r="AJ147" s="108"/>
      <c r="AK147" s="108"/>
      <c r="AL147" s="137"/>
      <c r="AM147" s="137"/>
      <c r="AN147" s="137"/>
      <c r="AO147" s="137"/>
      <c r="AP147" s="137"/>
      <c r="AQ147" s="137"/>
      <c r="AR147" s="137"/>
      <c r="AS147" s="137"/>
      <c r="AT147" s="137"/>
    </row>
    <row r="148" spans="35:46" x14ac:dyDescent="0.2">
      <c r="AI148" s="108"/>
      <c r="AJ148" s="108"/>
      <c r="AK148" s="108"/>
      <c r="AL148" s="137"/>
      <c r="AM148" s="137"/>
      <c r="AN148" s="137"/>
      <c r="AO148" s="137"/>
      <c r="AP148" s="137"/>
      <c r="AQ148" s="137"/>
      <c r="AR148" s="137"/>
      <c r="AS148" s="137"/>
      <c r="AT148" s="137"/>
    </row>
    <row r="149" spans="35:46" x14ac:dyDescent="0.2">
      <c r="AI149" s="108"/>
      <c r="AJ149" s="108"/>
      <c r="AK149" s="108"/>
      <c r="AL149" s="137"/>
      <c r="AM149" s="137"/>
      <c r="AN149" s="137"/>
      <c r="AO149" s="137"/>
      <c r="AP149" s="137"/>
      <c r="AQ149" s="137"/>
      <c r="AR149" s="137"/>
      <c r="AS149" s="137"/>
      <c r="AT149" s="137"/>
    </row>
    <row r="150" spans="35:46" x14ac:dyDescent="0.2">
      <c r="AI150" s="108"/>
      <c r="AJ150" s="108"/>
      <c r="AK150" s="108"/>
      <c r="AL150" s="137"/>
      <c r="AM150" s="137"/>
      <c r="AN150" s="137"/>
      <c r="AO150" s="137"/>
      <c r="AP150" s="137"/>
      <c r="AQ150" s="137"/>
      <c r="AR150" s="137"/>
      <c r="AS150" s="137"/>
      <c r="AT150" s="137"/>
    </row>
    <row r="151" spans="35:46" x14ac:dyDescent="0.2">
      <c r="AI151" s="108"/>
      <c r="AJ151" s="108"/>
      <c r="AK151" s="108"/>
      <c r="AL151" s="137"/>
      <c r="AM151" s="137"/>
      <c r="AN151" s="137"/>
      <c r="AO151" s="137"/>
      <c r="AP151" s="137"/>
      <c r="AQ151" s="137"/>
      <c r="AR151" s="137"/>
      <c r="AS151" s="137"/>
      <c r="AT151" s="137"/>
    </row>
    <row r="152" spans="35:46" x14ac:dyDescent="0.2">
      <c r="AI152" s="108"/>
      <c r="AJ152" s="108"/>
      <c r="AK152" s="108"/>
      <c r="AL152" s="137"/>
      <c r="AM152" s="137"/>
      <c r="AN152" s="137"/>
      <c r="AO152" s="137"/>
      <c r="AP152" s="137"/>
      <c r="AQ152" s="137"/>
      <c r="AR152" s="137"/>
      <c r="AS152" s="137"/>
      <c r="AT152" s="137"/>
    </row>
    <row r="153" spans="35:46" x14ac:dyDescent="0.2">
      <c r="AI153" s="108"/>
      <c r="AJ153" s="108"/>
      <c r="AK153" s="108"/>
      <c r="AL153" s="137"/>
      <c r="AM153" s="137"/>
      <c r="AN153" s="137"/>
      <c r="AO153" s="137"/>
      <c r="AP153" s="137"/>
      <c r="AQ153" s="137"/>
      <c r="AR153" s="137"/>
      <c r="AS153" s="137"/>
      <c r="AT153" s="137"/>
    </row>
  </sheetData>
  <sheetProtection algorithmName="SHA-512" hashValue="SpyWcrlJIKlgHKqGHP1K++B9qstXdIqmkEIAxz0L1H3NkPp+KZTW8c/jqJS9O7YfS7kH9uz5MBc03o2CZSv0Zg==" saltValue="pXflzR0vlll3AqslOy3Vbw==" spinCount="100000" sheet="1" objects="1" scenarios="1"/>
  <mergeCells count="59">
    <mergeCell ref="B27:G27"/>
    <mergeCell ref="B24:C26"/>
    <mergeCell ref="D24:G24"/>
    <mergeCell ref="D25:G25"/>
    <mergeCell ref="D26:G26"/>
    <mergeCell ref="A99:A140"/>
    <mergeCell ref="N89:S89"/>
    <mergeCell ref="N90:S90"/>
    <mergeCell ref="N91:S91"/>
    <mergeCell ref="B28:G28"/>
    <mergeCell ref="B31:J33"/>
    <mergeCell ref="P28:Q28"/>
    <mergeCell ref="D57:E57"/>
    <mergeCell ref="D59:E59"/>
    <mergeCell ref="D60:E60"/>
    <mergeCell ref="D62:E62"/>
    <mergeCell ref="D63:E63"/>
    <mergeCell ref="D52:E52"/>
    <mergeCell ref="D53:E53"/>
    <mergeCell ref="D54:E54"/>
    <mergeCell ref="D56:E56"/>
    <mergeCell ref="R75:T75"/>
    <mergeCell ref="N76:S76"/>
    <mergeCell ref="N77:S77"/>
    <mergeCell ref="N88:S88"/>
    <mergeCell ref="N87:S87"/>
    <mergeCell ref="N78:S78"/>
    <mergeCell ref="N79:S79"/>
    <mergeCell ref="N80:S80"/>
    <mergeCell ref="R86:T86"/>
    <mergeCell ref="B20:C20"/>
    <mergeCell ref="F20:H20"/>
    <mergeCell ref="B17:G17"/>
    <mergeCell ref="B16:G16"/>
    <mergeCell ref="B13:C15"/>
    <mergeCell ref="D13:G13"/>
    <mergeCell ref="D14:G14"/>
    <mergeCell ref="D15:G15"/>
    <mergeCell ref="D55:E55"/>
    <mergeCell ref="AQ1:AT1"/>
    <mergeCell ref="B2:C2"/>
    <mergeCell ref="B10:G10"/>
    <mergeCell ref="B12:G12"/>
    <mergeCell ref="B9:C9"/>
    <mergeCell ref="F9:H9"/>
    <mergeCell ref="B7:C7"/>
    <mergeCell ref="G7:H7"/>
    <mergeCell ref="B11:G11"/>
    <mergeCell ref="F5:J5"/>
    <mergeCell ref="P25:Q25"/>
    <mergeCell ref="P14:Q14"/>
    <mergeCell ref="B21:G21"/>
    <mergeCell ref="B22:G22"/>
    <mergeCell ref="B23:G23"/>
    <mergeCell ref="B56:C56"/>
    <mergeCell ref="B52:C52"/>
    <mergeCell ref="B53:C53"/>
    <mergeCell ref="B54:C54"/>
    <mergeCell ref="B55:C55"/>
  </mergeCells>
  <phoneticPr fontId="117" type="noConversion"/>
  <conditionalFormatting sqref="I15">
    <cfRule type="expression" dxfId="215" priority="12">
      <formula>$M$15=0</formula>
    </cfRule>
    <cfRule type="containsText" dxfId="214" priority="13" operator="containsText" text="Doplňte">
      <formula>NOT(ISERROR(SEARCH("Doplňte",I15)))</formula>
    </cfRule>
  </conditionalFormatting>
  <conditionalFormatting sqref="I26">
    <cfRule type="expression" dxfId="213" priority="10">
      <formula>$M$15=0</formula>
    </cfRule>
    <cfRule type="containsText" dxfId="212" priority="11" operator="containsText" text="Doplňte">
      <formula>NOT(ISERROR(SEARCH("Doplňte",I26)))</formula>
    </cfRule>
  </conditionalFormatting>
  <conditionalFormatting sqref="I12">
    <cfRule type="containsText" dxfId="211" priority="9" operator="containsText" text="Doplňte">
      <formula>NOT(ISERROR(SEARCH("Doplňte",I12)))</formula>
    </cfRule>
  </conditionalFormatting>
  <conditionalFormatting sqref="I12">
    <cfRule type="expression" dxfId="210" priority="8">
      <formula>$M$15=0</formula>
    </cfRule>
  </conditionalFormatting>
  <conditionalFormatting sqref="I23">
    <cfRule type="containsText" dxfId="209" priority="5" operator="containsText" text="Doplňte">
      <formula>NOT(ISERROR(SEARCH("Doplňte",I23)))</formula>
    </cfRule>
  </conditionalFormatting>
  <conditionalFormatting sqref="I23">
    <cfRule type="expression" dxfId="208" priority="4">
      <formula>$M$26=0</formula>
    </cfRule>
  </conditionalFormatting>
  <conditionalFormatting sqref="E9">
    <cfRule type="expression" dxfId="207" priority="3">
      <formula>$M$15&gt;0</formula>
    </cfRule>
  </conditionalFormatting>
  <conditionalFormatting sqref="E20">
    <cfRule type="expression" dxfId="206" priority="1">
      <formula>$M$26&gt;0</formula>
    </cfRule>
  </conditionalFormatting>
  <hyperlinks>
    <hyperlink ref="N76:S76" location="HLwa!H10" tooltip=" " display="HLwa!H10" xr:uid="{5682A81D-E4FC-4EA7-8D6F-1A672E2A7A77}"/>
    <hyperlink ref="N77:S77" location="HLwa!H11" tooltip=" " display="HLwa!H11" xr:uid="{B6109142-76A3-4E4B-8830-705432C357F6}"/>
    <hyperlink ref="N87:S87" location="HLwa!H19" tooltip=" " display="HLwa!H19" xr:uid="{0CC90206-3878-4BE3-8FAC-74F847199F2D}"/>
    <hyperlink ref="N88:S88" location="HLwa!H20" tooltip=" " display="HLwa!H20" xr:uid="{BA4FF559-DAF3-448C-A002-84597270FBCE}"/>
    <hyperlink ref="AK5" location="HLwa!A110" tooltip=" " display="HLwa!A110" xr:uid="{C1CFCC8E-F379-41CC-A4CB-A663A0F7B346}"/>
    <hyperlink ref="L118" location="HLwa!A1" tooltip=" " display="HLwa!A1" xr:uid="{9A73DD91-8263-4025-B1E9-7FBB012EB9DA}"/>
    <hyperlink ref="AK9" location="SumAVS!A1" tooltip=" " display="SumAVS!A1" xr:uid="{A355EC1D-2130-4FBF-BF9C-098B96103134}"/>
    <hyperlink ref="AK10" location="OrdAVS!A1" tooltip=" " display="OrdAVS!A1" xr:uid="{2193D371-2620-4ABC-8EB3-8C0114B80F09}"/>
    <hyperlink ref="AK7" location="AcsAVS!A1" tooltip=" " display="AcsAVS!A1" xr:uid="{1FCA4C85-B669-49A2-A46B-AE34010EAE55}"/>
    <hyperlink ref="AK4" location="MenuAVS!A1" tooltip=" " display="MenuAVS!A1" xr:uid="{C84EAA33-12C6-4DEC-8251-0C3757505CC7}"/>
    <hyperlink ref="B2:C2" location="HL!A1" tooltip=" " display="AVENTOS HL" xr:uid="{9411D7F4-F9A6-4FEF-914C-B4E1B19233EE}"/>
  </hyperlinks>
  <pageMargins left="0.62992125984251968" right="0.23622047244094488" top="0.74803149606299213" bottom="0.74803149606299213" header="0.31496062992125984" footer="0.31496062992125984"/>
  <pageSetup paperSize="9" orientation="portrait" horizontalDpi="4294967293"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66915" r:id="rId4" name="Drop Down 3">
              <controlPr defaultSize="0" autoLine="0" autoPict="0">
                <anchor moveWithCells="1">
                  <from>
                    <xdr:col>3</xdr:col>
                    <xdr:colOff>9525</xdr:colOff>
                    <xdr:row>6</xdr:row>
                    <xdr:rowOff>9525</xdr:rowOff>
                  </from>
                  <to>
                    <xdr:col>6</xdr:col>
                    <xdr:colOff>0</xdr:colOff>
                    <xdr:row>7</xdr:row>
                    <xdr:rowOff>0</xdr:rowOff>
                  </to>
                </anchor>
              </controlPr>
            </control>
          </mc:Choice>
        </mc:AlternateContent>
        <mc:AlternateContent xmlns:mc="http://schemas.openxmlformats.org/markup-compatibility/2006">
          <mc:Choice Requires="x14">
            <control shapeId="166917" r:id="rId5" name="Option Button 5">
              <controlPr defaultSize="0" autoFill="0" autoLine="0" autoPict="0">
                <anchor moveWithCells="1">
                  <from>
                    <xdr:col>1</xdr:col>
                    <xdr:colOff>371475</xdr:colOff>
                    <xdr:row>5</xdr:row>
                    <xdr:rowOff>19050</xdr:rowOff>
                  </from>
                  <to>
                    <xdr:col>2</xdr:col>
                    <xdr:colOff>57150</xdr:colOff>
                    <xdr:row>5</xdr:row>
                    <xdr:rowOff>247650</xdr:rowOff>
                  </to>
                </anchor>
              </controlPr>
            </control>
          </mc:Choice>
        </mc:AlternateContent>
        <mc:AlternateContent xmlns:mc="http://schemas.openxmlformats.org/markup-compatibility/2006">
          <mc:Choice Requires="x14">
            <control shapeId="166918" r:id="rId6" name="Option Button 6">
              <controlPr defaultSize="0" autoFill="0" autoLine="0" autoPict="0">
                <anchor moveWithCells="1">
                  <from>
                    <xdr:col>3</xdr:col>
                    <xdr:colOff>390525</xdr:colOff>
                    <xdr:row>5</xdr:row>
                    <xdr:rowOff>38100</xdr:rowOff>
                  </from>
                  <to>
                    <xdr:col>4</xdr:col>
                    <xdr:colOff>66675</xdr:colOff>
                    <xdr:row>5</xdr:row>
                    <xdr:rowOff>247650</xdr:rowOff>
                  </to>
                </anchor>
              </controlPr>
            </control>
          </mc:Choice>
        </mc:AlternateContent>
        <mc:AlternateContent xmlns:mc="http://schemas.openxmlformats.org/markup-compatibility/2006">
          <mc:Choice Requires="x14">
            <control shapeId="166919" r:id="rId7" name="Drop Down 7">
              <controlPr defaultSize="0" autoLine="0" autoPict="0">
                <anchor moveWithCells="1">
                  <from>
                    <xdr:col>1</xdr:col>
                    <xdr:colOff>0</xdr:colOff>
                    <xdr:row>9</xdr:row>
                    <xdr:rowOff>0</xdr:rowOff>
                  </from>
                  <to>
                    <xdr:col>3</xdr:col>
                    <xdr:colOff>9525</xdr:colOff>
                    <xdr:row>10</xdr:row>
                    <xdr:rowOff>0</xdr:rowOff>
                  </to>
                </anchor>
              </controlPr>
            </control>
          </mc:Choice>
        </mc:AlternateContent>
        <mc:AlternateContent xmlns:mc="http://schemas.openxmlformats.org/markup-compatibility/2006">
          <mc:Choice Requires="x14">
            <control shapeId="166920" r:id="rId8" name="Drop Down 8">
              <controlPr defaultSize="0" autoLine="0" autoPict="0">
                <anchor moveWithCells="1">
                  <from>
                    <xdr:col>1</xdr:col>
                    <xdr:colOff>0</xdr:colOff>
                    <xdr:row>20</xdr:row>
                    <xdr:rowOff>0</xdr:rowOff>
                  </from>
                  <to>
                    <xdr:col>3</xdr:col>
                    <xdr:colOff>9525</xdr:colOff>
                    <xdr:row>21</xdr:row>
                    <xdr:rowOff>0</xdr:rowOff>
                  </to>
                </anchor>
              </controlPr>
            </control>
          </mc:Choice>
        </mc:AlternateContent>
        <mc:AlternateContent xmlns:mc="http://schemas.openxmlformats.org/markup-compatibility/2006">
          <mc:Choice Requires="x14">
            <control shapeId="166922" r:id="rId9" name="Drop Down 10">
              <controlPr defaultSize="0" autoLine="0" autoPict="0">
                <anchor moveWithCells="1">
                  <from>
                    <xdr:col>6</xdr:col>
                    <xdr:colOff>9525</xdr:colOff>
                    <xdr:row>3</xdr:row>
                    <xdr:rowOff>0</xdr:rowOff>
                  </from>
                  <to>
                    <xdr:col>9</xdr:col>
                    <xdr:colOff>0</xdr:colOff>
                    <xdr:row>4</xdr:row>
                    <xdr:rowOff>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B8262-D4CC-408B-9FC0-601EB14F214A}">
  <sheetPr codeName="Sheet45">
    <tabColor indexed="17"/>
  </sheetPr>
  <dimension ref="A1:AU153"/>
  <sheetViews>
    <sheetView showGridLines="0" showRowColHeaders="0" workbookViewId="0">
      <selection activeCell="AN9" sqref="AN9"/>
    </sheetView>
  </sheetViews>
  <sheetFormatPr defaultColWidth="8.28515625" defaultRowHeight="12" x14ac:dyDescent="0.2"/>
  <cols>
    <col min="1" max="1" width="1.28515625" style="37" customWidth="1"/>
    <col min="2" max="9" width="8.5703125" style="37" customWidth="1"/>
    <col min="10" max="10" width="6.7109375" style="37" customWidth="1"/>
    <col min="11" max="11" width="10.42578125" style="37" customWidth="1"/>
    <col min="12" max="12" width="17.28515625" style="37" customWidth="1"/>
    <col min="13" max="14" width="6.42578125" style="37" hidden="1" customWidth="1"/>
    <col min="15" max="15" width="6.42578125" style="118" hidden="1" customWidth="1"/>
    <col min="16" max="16" width="6.42578125" style="37" hidden="1" customWidth="1"/>
    <col min="17" max="17" width="6" style="118" hidden="1" customWidth="1"/>
    <col min="18" max="18" width="6.42578125" style="37" hidden="1" customWidth="1"/>
    <col min="19" max="22" width="7.7109375" style="37" hidden="1" customWidth="1"/>
    <col min="23" max="24" width="6.42578125" style="37" hidden="1" customWidth="1"/>
    <col min="25" max="25" width="37.28515625" style="37" hidden="1" customWidth="1"/>
    <col min="26" max="26" width="13.5703125" style="37" hidden="1" customWidth="1"/>
    <col min="27" max="29" width="6.7109375" style="37" hidden="1" customWidth="1"/>
    <col min="30" max="30" width="9.42578125" style="37" hidden="1" customWidth="1"/>
    <col min="31" max="34" width="7.7109375" style="37" hidden="1" customWidth="1"/>
    <col min="35" max="35" width="3.28515625" style="36" hidden="1" customWidth="1"/>
    <col min="36" max="36" width="5.28515625" style="36" customWidth="1"/>
    <col min="37" max="37" width="23.42578125" style="36" customWidth="1"/>
    <col min="38" max="42" width="8.28515625" style="121"/>
    <col min="43" max="43" width="13.28515625" style="121" customWidth="1"/>
    <col min="44" max="46" width="19.7109375" style="121" customWidth="1"/>
    <col min="47" max="16384" width="8.28515625" style="121"/>
  </cols>
  <sheetData>
    <row r="1" spans="1:46" ht="4.5" customHeight="1" thickBot="1" x14ac:dyDescent="0.25">
      <c r="L1" s="137"/>
      <c r="AI1" s="108"/>
      <c r="AJ1" s="108"/>
      <c r="AK1" s="108"/>
      <c r="AL1" s="137"/>
      <c r="AM1" s="137"/>
      <c r="AN1" s="137"/>
      <c r="AO1" s="137"/>
      <c r="AP1" s="137"/>
      <c r="AQ1" s="1045"/>
      <c r="AR1" s="1045"/>
      <c r="AS1" s="1045"/>
      <c r="AT1" s="1045"/>
    </row>
    <row r="2" spans="1:46" s="36" customFormat="1" ht="19.5" customHeight="1" thickBot="1" x14ac:dyDescent="0.25">
      <c r="A2" s="108"/>
      <c r="B2" s="1048" t="s">
        <v>669</v>
      </c>
      <c r="C2" s="1048"/>
      <c r="D2" s="884"/>
      <c r="E2" s="884"/>
      <c r="F2" s="884"/>
      <c r="G2" s="884"/>
      <c r="H2" s="884"/>
      <c r="I2" s="884"/>
      <c r="J2" s="884"/>
      <c r="K2" s="884"/>
      <c r="L2" s="884"/>
      <c r="M2" s="108"/>
      <c r="N2" s="343"/>
      <c r="O2" s="108" t="s">
        <v>64</v>
      </c>
      <c r="P2" s="37"/>
      <c r="Q2" s="343"/>
      <c r="R2" s="343"/>
      <c r="S2" s="117">
        <v>3</v>
      </c>
      <c r="T2" s="342"/>
      <c r="U2" s="342"/>
      <c r="V2" s="37"/>
      <c r="W2" s="343"/>
      <c r="X2" s="343"/>
      <c r="Y2" s="343"/>
      <c r="Z2" s="343"/>
      <c r="AA2" s="343"/>
      <c r="AB2" s="343"/>
      <c r="AC2" s="343"/>
      <c r="AD2" s="343"/>
      <c r="AE2" s="343"/>
      <c r="AF2" s="343"/>
      <c r="AG2" s="343"/>
      <c r="AH2" s="343"/>
      <c r="AI2" s="108"/>
      <c r="AJ2" s="108"/>
      <c r="AK2" s="379" t="str">
        <f>ListAVS!$B$153</f>
        <v>Przejdź do</v>
      </c>
      <c r="AL2" s="108"/>
      <c r="AM2" s="108"/>
      <c r="AN2" s="108"/>
      <c r="AO2" s="108"/>
      <c r="AP2" s="108"/>
      <c r="AQ2" s="108"/>
      <c r="AR2" s="108"/>
      <c r="AS2" s="108"/>
      <c r="AT2" s="108"/>
    </row>
    <row r="3" spans="1:46" ht="3.75" customHeight="1" x14ac:dyDescent="0.2">
      <c r="B3" s="312"/>
      <c r="C3" s="306"/>
      <c r="D3" s="306"/>
      <c r="E3" s="306"/>
      <c r="F3" s="306"/>
      <c r="G3" s="306"/>
      <c r="H3" s="306"/>
      <c r="I3" s="306"/>
      <c r="J3" s="306"/>
      <c r="K3" s="306"/>
      <c r="L3" s="137"/>
      <c r="V3" s="344"/>
      <c r="AI3" s="108"/>
      <c r="AJ3" s="108"/>
      <c r="AK3" s="670"/>
      <c r="AL3" s="137"/>
      <c r="AM3" s="137"/>
      <c r="AN3" s="137"/>
      <c r="AO3" s="137"/>
      <c r="AP3" s="137"/>
      <c r="AQ3" s="37"/>
      <c r="AR3" s="37"/>
      <c r="AS3" s="137"/>
      <c r="AT3" s="137"/>
    </row>
    <row r="4" spans="1:46" ht="16.149999999999999" customHeight="1" thickBot="1" x14ac:dyDescent="0.25">
      <c r="B4" s="313" t="str">
        <f>ListAVS!$B$22&amp;" ***"</f>
        <v>Wąska ramka aluminiowa ***</v>
      </c>
      <c r="C4" s="313"/>
      <c r="D4" s="266"/>
      <c r="E4" s="313"/>
      <c r="F4" s="269" t="str">
        <f>ListAVS!$B$180&amp;"  "</f>
        <v xml:space="preserve">Wykonanie frontów  </v>
      </c>
      <c r="G4" s="255"/>
      <c r="H4" s="255"/>
      <c r="I4" s="255"/>
      <c r="J4" s="260"/>
      <c r="K4" s="593" t="str">
        <f>U70</f>
        <v xml:space="preserve"> </v>
      </c>
      <c r="L4" s="266"/>
      <c r="N4" s="317"/>
      <c r="O4" s="117">
        <v>1</v>
      </c>
      <c r="Q4" s="317"/>
      <c r="R4" s="344"/>
      <c r="S4" s="37" t="str">
        <f>" "&amp;ListAVS!$B$41&amp;" A "</f>
        <v xml:space="preserve"> Cena za korpus A </v>
      </c>
      <c r="T4" s="345"/>
      <c r="U4" s="344"/>
      <c r="V4" s="344"/>
      <c r="W4" s="342"/>
      <c r="X4" s="342"/>
      <c r="Y4" s="342"/>
      <c r="Z4" s="342"/>
      <c r="AA4" s="342"/>
      <c r="AB4" s="342"/>
      <c r="AC4" s="342"/>
      <c r="AD4" s="342"/>
      <c r="AE4" s="342"/>
      <c r="AF4" s="342"/>
      <c r="AG4" s="342"/>
      <c r="AH4" s="342"/>
      <c r="AI4" s="108"/>
      <c r="AJ4" s="108"/>
      <c r="AK4" s="383" t="s">
        <v>77</v>
      </c>
      <c r="AL4" s="137"/>
      <c r="AM4" s="137"/>
      <c r="AN4" s="137"/>
      <c r="AO4" s="137"/>
      <c r="AP4" s="137"/>
      <c r="AQ4" s="37"/>
      <c r="AR4" s="37"/>
      <c r="AS4" s="137"/>
      <c r="AT4" s="137"/>
    </row>
    <row r="5" spans="1:46" ht="16.149999999999999" customHeight="1" x14ac:dyDescent="0.2">
      <c r="B5" s="266"/>
      <c r="C5" s="313"/>
      <c r="D5" s="313"/>
      <c r="E5" s="313"/>
      <c r="F5" s="1027" t="str">
        <f>IF($AF$76&lt;&gt;3,$Y$71," ")&amp;"      "</f>
        <v xml:space="preserve"> Możesz zmienić wartości we Wstępie do planowania      </v>
      </c>
      <c r="G5" s="1027"/>
      <c r="H5" s="1027"/>
      <c r="I5" s="1027"/>
      <c r="J5" s="1027"/>
      <c r="K5" s="434"/>
      <c r="L5" s="266"/>
      <c r="N5" s="317"/>
      <c r="O5" s="118" t="s">
        <v>65</v>
      </c>
      <c r="Q5" s="317"/>
      <c r="R5" s="344"/>
      <c r="S5" s="37" t="str">
        <f>" "&amp;ListAVS!$B$41&amp;" B "</f>
        <v xml:space="preserve"> Cena za korpus B </v>
      </c>
      <c r="T5" s="346"/>
      <c r="U5" s="344"/>
      <c r="V5" s="344"/>
      <c r="W5" s="345"/>
      <c r="X5" s="345"/>
      <c r="Y5" s="345"/>
      <c r="Z5" s="345"/>
      <c r="AA5" s="345"/>
      <c r="AB5" s="345"/>
      <c r="AC5" s="345"/>
      <c r="AD5" s="345"/>
      <c r="AE5" s="345"/>
      <c r="AF5" s="345"/>
      <c r="AG5" s="345"/>
      <c r="AH5" s="345"/>
      <c r="AI5" s="108"/>
      <c r="AJ5" s="108"/>
      <c r="AK5" s="708" t="str">
        <f>" "&amp;ListAVS!$B$155</f>
        <v xml:space="preserve"> Pomoc</v>
      </c>
      <c r="AL5" s="137"/>
      <c r="AM5" s="137"/>
      <c r="AN5" s="137"/>
      <c r="AO5" s="137"/>
      <c r="AP5" s="137"/>
      <c r="AQ5" s="37"/>
      <c r="AR5" s="37"/>
      <c r="AS5" s="137"/>
      <c r="AT5" s="137"/>
    </row>
    <row r="6" spans="1:46" ht="22.5" customHeight="1" x14ac:dyDescent="0.2">
      <c r="B6" s="313"/>
      <c r="C6" s="313"/>
      <c r="D6" s="313"/>
      <c r="E6" s="313"/>
      <c r="F6" s="266"/>
      <c r="G6" s="434"/>
      <c r="H6" s="434"/>
      <c r="I6" s="434"/>
      <c r="J6" s="434"/>
      <c r="K6" s="434"/>
      <c r="L6" s="266"/>
      <c r="N6" s="317"/>
      <c r="O6" s="323" t="s">
        <v>66</v>
      </c>
      <c r="Q6" s="317"/>
      <c r="R6" s="344"/>
      <c r="S6" s="37" t="str">
        <f>" "&amp;ListAVS!$B$61</f>
        <v xml:space="preserve"> Cena całkowita bez VAT</v>
      </c>
      <c r="T6" s="346"/>
      <c r="U6" s="344"/>
      <c r="V6" s="344"/>
      <c r="W6" s="346"/>
      <c r="X6" s="346"/>
      <c r="Y6" s="346"/>
      <c r="Z6" s="346"/>
      <c r="AA6" s="346"/>
      <c r="AB6" s="346"/>
      <c r="AC6" s="346"/>
      <c r="AD6" s="346"/>
      <c r="AE6" s="346"/>
      <c r="AF6" s="346"/>
      <c r="AG6" s="346"/>
      <c r="AH6" s="346"/>
      <c r="AI6" s="108"/>
      <c r="AJ6" s="108"/>
      <c r="AK6" s="736"/>
      <c r="AL6" s="137"/>
      <c r="AM6" s="137"/>
      <c r="AN6" s="137"/>
      <c r="AO6" s="137"/>
      <c r="AP6" s="137"/>
      <c r="AQ6" s="37"/>
      <c r="AR6" s="37"/>
      <c r="AS6" s="137"/>
      <c r="AT6" s="137"/>
    </row>
    <row r="7" spans="1:46" ht="16.149999999999999" customHeight="1" x14ac:dyDescent="0.2">
      <c r="B7" s="1059" t="str">
        <f>ListAVS!$B$51&amp;":   "</f>
        <v xml:space="preserve">Cena okucia:   </v>
      </c>
      <c r="C7" s="1060"/>
      <c r="D7" s="255"/>
      <c r="E7" s="266"/>
      <c r="F7" s="266"/>
      <c r="G7" s="1061">
        <f>IF(S2=1,$AF$45,IF($S$2=2,$AH$45,IF($S$2=3,$AD$45,0)))</f>
        <v>0</v>
      </c>
      <c r="H7" s="1062"/>
      <c r="I7" s="255"/>
      <c r="J7" s="255"/>
      <c r="K7" s="255"/>
      <c r="L7" s="255"/>
      <c r="N7" s="317"/>
      <c r="O7" s="344"/>
      <c r="Q7" s="317"/>
      <c r="R7" s="344"/>
      <c r="T7" s="346"/>
      <c r="U7" s="344"/>
      <c r="V7" s="344"/>
      <c r="W7" s="346"/>
      <c r="X7" s="346"/>
      <c r="Y7" s="156" t="str">
        <f>$B$2</f>
        <v>AVENTOS HL top</v>
      </c>
      <c r="Z7" s="157">
        <f>B5</f>
        <v>0</v>
      </c>
      <c r="AA7" s="157"/>
      <c r="AB7" s="157"/>
      <c r="AC7" s="157"/>
      <c r="AD7" s="158"/>
      <c r="AG7" s="118"/>
      <c r="AI7" s="108"/>
      <c r="AJ7" s="108"/>
      <c r="AK7" s="675" t="str">
        <f>" "&amp;ListAVS!$B$160</f>
        <v xml:space="preserve"> Dodatki</v>
      </c>
      <c r="AL7" s="137"/>
      <c r="AM7" s="137"/>
      <c r="AN7" s="137"/>
      <c r="AO7" s="137"/>
      <c r="AP7" s="137"/>
      <c r="AQ7" s="956" t="str">
        <f>ListAVS!B84&amp;":"</f>
        <v>Mechanizm podnoszący:</v>
      </c>
      <c r="AR7" s="37"/>
      <c r="AS7" s="137"/>
      <c r="AT7" s="137"/>
    </row>
    <row r="8" spans="1:46" ht="25.15" customHeight="1" thickBot="1" x14ac:dyDescent="0.25">
      <c r="B8" s="255"/>
      <c r="C8" s="255"/>
      <c r="D8" s="255"/>
      <c r="E8" s="255"/>
      <c r="F8" s="255"/>
      <c r="G8" s="255"/>
      <c r="H8" s="269" t="str">
        <f>IF(AND(OR($R$14=2, $R$24=2), $AD$45&gt;0), $N$34, " ")</f>
        <v xml:space="preserve"> </v>
      </c>
      <c r="I8" s="255"/>
      <c r="J8" s="255"/>
      <c r="K8" s="255"/>
      <c r="L8" s="255"/>
      <c r="N8" s="317"/>
      <c r="O8" s="344"/>
      <c r="P8" s="317"/>
      <c r="Q8" s="317"/>
      <c r="R8" s="344"/>
      <c r="S8" s="108"/>
      <c r="T8" s="346"/>
      <c r="U8" s="344"/>
      <c r="V8" s="344"/>
      <c r="W8" s="346"/>
      <c r="X8" s="346"/>
      <c r="Y8" s="159" t="str">
        <f>ListAVS!B52</f>
        <v>Nazwa</v>
      </c>
      <c r="Z8" s="160" t="str">
        <f>ListAVS!$B$53</f>
        <v>Kod asortymentu</v>
      </c>
      <c r="AA8" s="161" t="str">
        <f>ListAVS!B54</f>
        <v>Kolor</v>
      </c>
      <c r="AB8" s="161" t="str">
        <f>ListAVS!B56</f>
        <v>Sztuka</v>
      </c>
      <c r="AC8" s="162" t="str">
        <f>ListAVS!B58</f>
        <v>Cena za sztukę</v>
      </c>
      <c r="AD8" s="161" t="str">
        <f>ListAVS!B59</f>
        <v>W sumie</v>
      </c>
      <c r="AE8" s="204" t="s">
        <v>29</v>
      </c>
      <c r="AF8" s="163" t="s">
        <v>30</v>
      </c>
      <c r="AG8" s="163" t="s">
        <v>31</v>
      </c>
      <c r="AH8" s="163" t="s">
        <v>30</v>
      </c>
      <c r="AI8" s="108"/>
      <c r="AJ8" s="108"/>
      <c r="AK8" s="671"/>
      <c r="AL8" s="137"/>
      <c r="AM8" s="137"/>
      <c r="AN8" s="137"/>
      <c r="AO8" s="137"/>
      <c r="AP8" s="137"/>
      <c r="AQ8" s="953" t="str">
        <f>ListAVS!$B$75&amp;" KH (mm)"</f>
        <v>Wysokość korpusu KH (mm)</v>
      </c>
      <c r="AR8" s="953" t="str">
        <f>ListAVS!$B$84&amp;" "&amp;ListAVS!$B$350</f>
        <v>Mechanizm podnoszący wkręty</v>
      </c>
      <c r="AS8" s="953" t="str">
        <f>ListAVS!$B$84&amp;" "&amp;ListAVS!$B$351</f>
        <v>Mechanizm podnoszący wstępnie zamontowane eurowkręty</v>
      </c>
    </row>
    <row r="9" spans="1:46" ht="16.149999999999999" customHeight="1" thickBot="1" x14ac:dyDescent="0.25">
      <c r="B9" s="1051" t="str">
        <f>"▼ "&amp;ListAVS!$B$318</f>
        <v>▼ Sposób otwierania</v>
      </c>
      <c r="C9" s="1052"/>
      <c r="D9" s="406" t="str">
        <f>IF($M$15&gt;0, ListAVS!$B$37&amp;": ", " ")</f>
        <v xml:space="preserve"> </v>
      </c>
      <c r="E9" s="688" t="str">
        <f>IF(SUM($AE$9:$AE$10)&gt;0, "22", IF(SUM($AE$11:$AE$12)&gt;0,"25", " "))</f>
        <v xml:space="preserve"> </v>
      </c>
      <c r="F9" s="1056" t="str">
        <f>ListAVS!$B$64&amp;" A"</f>
        <v>Korpus A</v>
      </c>
      <c r="G9" s="1057"/>
      <c r="H9" s="1058"/>
      <c r="I9" s="273"/>
      <c r="J9" s="255"/>
      <c r="K9" s="255"/>
      <c r="L9" s="255"/>
      <c r="R9" s="37" t="s">
        <v>727</v>
      </c>
      <c r="S9" s="923"/>
      <c r="T9" s="923"/>
      <c r="U9" s="737"/>
      <c r="V9" s="737"/>
      <c r="W9" s="737"/>
      <c r="X9" s="737"/>
      <c r="Y9" s="164" t="str">
        <f>CenAVS!A36</f>
        <v xml:space="preserve">Aventos HL Top słaby, wkręty      </v>
      </c>
      <c r="Z9" s="164" t="str">
        <f>CenAVS!B36</f>
        <v>22L2200</v>
      </c>
      <c r="AA9" s="301" t="str">
        <f>CenAVS!C36</f>
        <v>ZN</v>
      </c>
      <c r="AB9" s="165">
        <f t="shared" ref="AB9:AB17" si="0">SUM(AE9,AG9)</f>
        <v>0</v>
      </c>
      <c r="AC9" s="395">
        <f>CenAVS!F36</f>
        <v>191.41126</v>
      </c>
      <c r="AD9" s="167">
        <f>AB9*AC9</f>
        <v>0</v>
      </c>
      <c r="AE9" s="407">
        <f>IF($W$45=1, $O$10*$M$15, 0)</f>
        <v>0</v>
      </c>
      <c r="AF9" s="168">
        <f>$AC9*AE9</f>
        <v>0</v>
      </c>
      <c r="AG9" s="407">
        <f>IF($W$45=1, $O$21*$M$26, 0)</f>
        <v>0</v>
      </c>
      <c r="AH9" s="168">
        <f>$AC9*AG9</f>
        <v>0</v>
      </c>
      <c r="AI9" s="108"/>
      <c r="AJ9" s="108"/>
      <c r="AK9" s="383" t="str">
        <f>" "&amp;ListAVS!$B$157</f>
        <v xml:space="preserve"> Rodzaje korpusów</v>
      </c>
      <c r="AL9" s="137"/>
      <c r="AM9" s="137"/>
      <c r="AN9" s="137"/>
      <c r="AO9" s="137"/>
      <c r="AP9" s="137"/>
      <c r="AQ9" s="954" t="s">
        <v>773</v>
      </c>
      <c r="AR9" s="955" t="s">
        <v>712</v>
      </c>
      <c r="AS9" s="955" t="s">
        <v>722</v>
      </c>
    </row>
    <row r="10" spans="1:46" s="122" customFormat="1" ht="16.149999999999999" customHeight="1" thickBot="1" x14ac:dyDescent="0.25">
      <c r="A10" s="37"/>
      <c r="B10" s="1011" t="str">
        <f>ListAVS!$B$74&amp;" KB [mm] "</f>
        <v xml:space="preserve">Szerokość korpusu KB [mm] </v>
      </c>
      <c r="C10" s="1012"/>
      <c r="D10" s="1012"/>
      <c r="E10" s="1012"/>
      <c r="F10" s="1012"/>
      <c r="G10" s="1013"/>
      <c r="H10" s="435"/>
      <c r="I10" s="256" t="str">
        <f>IF($H10=0," ",IF($H10&lt;220," min. 220mm",IF($H10&gt;1800," max. 1 800mm"," ")))&amp;IF(AND(H17&gt;0,H10=0),"● "&amp;ListAVS!$B$129," ")</f>
        <v xml:space="preserve">  </v>
      </c>
      <c r="J10" s="255"/>
      <c r="K10" s="255"/>
      <c r="L10" s="255"/>
      <c r="M10" s="37"/>
      <c r="N10" s="929" t="s">
        <v>726</v>
      </c>
      <c r="O10" s="929">
        <f>IF(AND($H$11&gt;=$Z$44, $H$11&lt;=$AA$45), 1, 0)</f>
        <v>0</v>
      </c>
      <c r="P10" s="929" t="s">
        <v>35</v>
      </c>
      <c r="Q10" s="929">
        <f>IF(AND($H$11&gt;=$Z$44, $H$11&lt;=$AA$44, Q$15&gt;=$AB$44, $Q$15&lt;=$AC$44), 1, 0)</f>
        <v>0</v>
      </c>
      <c r="R10" s="344"/>
      <c r="S10" s="344"/>
      <c r="T10" s="344"/>
      <c r="U10" s="344"/>
      <c r="V10" s="344"/>
      <c r="W10" s="714"/>
      <c r="X10" s="714"/>
      <c r="Y10" s="164" t="str">
        <f>CenAVS!A37</f>
        <v xml:space="preserve">Aventos HL Top słaby, eurowkręty      </v>
      </c>
      <c r="Z10" s="164" t="str">
        <f>CenAVS!B37</f>
        <v>22L2210</v>
      </c>
      <c r="AA10" s="301" t="str">
        <f>CenAVS!C37</f>
        <v>ZN</v>
      </c>
      <c r="AB10" s="165">
        <f t="shared" si="0"/>
        <v>0</v>
      </c>
      <c r="AC10" s="395">
        <f>CenAVS!F37</f>
        <v>192.89991000000001</v>
      </c>
      <c r="AD10" s="167">
        <f t="shared" ref="AD10:AD17" si="1">AB10*AC10</f>
        <v>0</v>
      </c>
      <c r="AE10" s="407">
        <f>IF($W$45=2, $O$10*$M$15, 0)</f>
        <v>0</v>
      </c>
      <c r="AF10" s="168">
        <f>$AC10*AE10</f>
        <v>0</v>
      </c>
      <c r="AG10" s="407">
        <f>IF($W$45=2, $O$21*$M$26, 0)</f>
        <v>0</v>
      </c>
      <c r="AH10" s="168">
        <f>$AC10*AG10</f>
        <v>0</v>
      </c>
      <c r="AI10" s="108"/>
      <c r="AJ10" s="108"/>
      <c r="AK10" s="383" t="str">
        <f>" "&amp;ListAVS!$B$158</f>
        <v xml:space="preserve"> Zamówienie</v>
      </c>
      <c r="AL10" s="137"/>
      <c r="AM10" s="137"/>
      <c r="AN10" s="137"/>
      <c r="AO10" s="137"/>
      <c r="AP10" s="37"/>
      <c r="AQ10" s="954" t="s">
        <v>774</v>
      </c>
      <c r="AR10" s="955" t="s">
        <v>719</v>
      </c>
      <c r="AS10" s="955" t="s">
        <v>723</v>
      </c>
    </row>
    <row r="11" spans="1:46" s="122" customFormat="1" ht="16.149999999999999" customHeight="1" x14ac:dyDescent="0.2">
      <c r="A11" s="37"/>
      <c r="B11" s="1011" t="str">
        <f>ListAVS!$B$75&amp;" KH [mm]  "</f>
        <v xml:space="preserve">Wysokość korpusu KH [mm]  </v>
      </c>
      <c r="C11" s="1012"/>
      <c r="D11" s="1012"/>
      <c r="E11" s="1012"/>
      <c r="F11" s="1012"/>
      <c r="G11" s="1013"/>
      <c r="H11" s="435"/>
      <c r="I11" s="256" t="str">
        <f>IF($H11=0," ",IF($H11&lt;300," min. 300mm",IF($H11&gt;580," max. 580 mm"," ")))&amp;IF(H17&gt;0,IF(H11=0,"● "&amp;ListAVS!$B$129," ")," ")</f>
        <v xml:space="preserve">  </v>
      </c>
      <c r="J11" s="255"/>
      <c r="K11" s="255"/>
      <c r="L11" s="255"/>
      <c r="M11" s="37"/>
      <c r="N11" s="906"/>
      <c r="O11" s="906"/>
      <c r="P11" s="929" t="s">
        <v>41</v>
      </c>
      <c r="Q11" s="929">
        <f>IF(AND($H$11&gt;=$Z$45, $H$11&lt;=$AA$45, Q$15&gt;=$AB$45, $Q$15&lt;=$AC$45), 1, 0)</f>
        <v>0</v>
      </c>
      <c r="R11" s="344"/>
      <c r="S11" s="344"/>
      <c r="T11" s="344"/>
      <c r="U11" s="344"/>
      <c r="V11" s="344"/>
      <c r="W11" s="344"/>
      <c r="X11" s="344"/>
      <c r="Y11" s="164" t="str">
        <f>CenAVS!A38</f>
        <v xml:space="preserve">Aventos HL Top mocny, wkręty      </v>
      </c>
      <c r="Z11" s="164" t="str">
        <f>CenAVS!B38</f>
        <v>22L2500</v>
      </c>
      <c r="AA11" s="301" t="str">
        <f>CenAVS!C38</f>
        <v>ZN</v>
      </c>
      <c r="AB11" s="165">
        <f t="shared" si="0"/>
        <v>0</v>
      </c>
      <c r="AC11" s="395">
        <f>CenAVS!F38</f>
        <v>205.38082999999997</v>
      </c>
      <c r="AD11" s="167">
        <f t="shared" si="1"/>
        <v>0</v>
      </c>
      <c r="AE11" s="407">
        <f>IF($W$45=1, $O$12*$M$15, 0)</f>
        <v>0</v>
      </c>
      <c r="AF11" s="168">
        <f>$AC11*AE11</f>
        <v>0</v>
      </c>
      <c r="AG11" s="407">
        <f>IF($W$45=1, $O$23*$M$26, 0)</f>
        <v>0</v>
      </c>
      <c r="AH11" s="168">
        <f>$AC11*AG11</f>
        <v>0</v>
      </c>
      <c r="AI11" s="108"/>
      <c r="AJ11" s="108"/>
      <c r="AK11" s="255"/>
      <c r="AL11" s="137"/>
      <c r="AM11" s="137"/>
      <c r="AN11" s="137"/>
      <c r="AO11" s="137"/>
      <c r="AP11" s="37"/>
      <c r="AQ11" s="951"/>
      <c r="AR11" s="951"/>
      <c r="AS11" s="952"/>
      <c r="AT11" s="952"/>
    </row>
    <row r="12" spans="1:46" s="122" customFormat="1" ht="16.149999999999999" customHeight="1" x14ac:dyDescent="0.2">
      <c r="A12" s="37"/>
      <c r="B12" s="1011" t="str">
        <f>ListAVS!$B$77&amp;" [kg] ** "</f>
        <v xml:space="preserve">Waga frontu wraz z uchwytem [kg] ** </v>
      </c>
      <c r="C12" s="1012"/>
      <c r="D12" s="1012"/>
      <c r="E12" s="1012"/>
      <c r="F12" s="1012"/>
      <c r="G12" s="1013"/>
      <c r="H12" s="258"/>
      <c r="I12" s="227" t="str">
        <f>IF($H17=0," ",IF(SUM($H12,$H15)=0,$N$37," "))&amp;IF(AND(SUM($O$10:$O$14)=1,$V16="ne",H12&gt;0),$N$41,IF(AND($H17&gt;0,$H12&gt;0,V$16="ano"),$N$38," "))</f>
        <v xml:space="preserve">  </v>
      </c>
      <c r="J12" s="255"/>
      <c r="K12" s="255"/>
      <c r="L12" s="255"/>
      <c r="M12" s="37"/>
      <c r="N12" s="929" t="s">
        <v>87</v>
      </c>
      <c r="O12" s="929">
        <f>IF(AND($H$11&gt;=$Z$49, $H$11&lt;=$AA$50), 1, 0)</f>
        <v>0</v>
      </c>
      <c r="P12" s="929" t="s">
        <v>45</v>
      </c>
      <c r="Q12" s="929">
        <f>IF(AND($H$11&gt;=$Z$49, $H$11&lt;=$AA$49, Q$15&gt;=$AB$49, $Q$15&lt;=$AC$49), 1, 0)</f>
        <v>0</v>
      </c>
      <c r="R12" s="906">
        <f>IF(AND($Q$12=1, $Q$13=1, $H$11&lt;=$AD$49), 1, IF(AND($Q12=1, $Q13=0), $Q12, 0))</f>
        <v>0</v>
      </c>
      <c r="S12" s="37"/>
      <c r="T12" s="344"/>
      <c r="U12" s="344"/>
      <c r="V12" s="344"/>
      <c r="W12" s="344"/>
      <c r="X12" s="344"/>
      <c r="Y12" s="164" t="str">
        <f>CenAVS!A39</f>
        <v xml:space="preserve">Aventos HL Top mocny, eurowkręty      </v>
      </c>
      <c r="Z12" s="164" t="str">
        <f>CenAVS!B39</f>
        <v>22L2510</v>
      </c>
      <c r="AA12" s="301" t="str">
        <f>CenAVS!C39</f>
        <v>ZN</v>
      </c>
      <c r="AB12" s="165">
        <f t="shared" si="0"/>
        <v>0</v>
      </c>
      <c r="AC12" s="395">
        <f>CenAVS!F39</f>
        <v>206.97785999999999</v>
      </c>
      <c r="AD12" s="167">
        <f t="shared" si="1"/>
        <v>0</v>
      </c>
      <c r="AE12" s="407">
        <f>IF($W$45=2, $O$12*$M$15, 0)</f>
        <v>0</v>
      </c>
      <c r="AF12" s="168">
        <f>$AC12*AE12</f>
        <v>0</v>
      </c>
      <c r="AG12" s="407">
        <f>IF($W$45=2, $O$23*$M$26, 0)</f>
        <v>0</v>
      </c>
      <c r="AH12" s="168">
        <f>$AC12*AG12</f>
        <v>0</v>
      </c>
      <c r="AI12" s="108"/>
      <c r="AJ12" s="108"/>
      <c r="AK12" s="670"/>
      <c r="AL12" s="137"/>
      <c r="AM12" s="137"/>
      <c r="AN12" s="137"/>
      <c r="AO12" s="137"/>
      <c r="AP12" s="37"/>
      <c r="AQ12" s="545" t="str">
        <f>ListAVS!B350&amp;" = "&amp;ListAVS!B352</f>
        <v>wkręty = podnośniki z zintegrowanym szablonem (nie ma potrzeby mierzenia)</v>
      </c>
      <c r="AS12" s="952"/>
      <c r="AT12" s="952"/>
    </row>
    <row r="13" spans="1:46" s="122" customFormat="1" ht="16.149999999999999" customHeight="1" x14ac:dyDescent="0.2">
      <c r="A13" s="37"/>
      <c r="B13" s="1055" t="str">
        <f>ListAVS!$B$293</f>
        <v>Obliczenie wagi</v>
      </c>
      <c r="C13" s="1055"/>
      <c r="D13" s="1153" t="str">
        <f>ListAVS!$B$80&amp;" TS [mm] "</f>
        <v xml:space="preserve">Grubość frontu TS [mm] </v>
      </c>
      <c r="E13" s="1153"/>
      <c r="F13" s="1153"/>
      <c r="G13" s="1154"/>
      <c r="H13" s="259"/>
      <c r="I13" s="256"/>
      <c r="J13" s="255"/>
      <c r="K13" s="255"/>
      <c r="L13" s="255"/>
      <c r="M13" s="37"/>
      <c r="N13" s="906"/>
      <c r="O13" s="906"/>
      <c r="P13" s="929" t="s">
        <v>48</v>
      </c>
      <c r="Q13" s="929">
        <f>IF(AND($H$11&gt;=$Z$50, $H$11&lt;=$AA$50, Q$15&gt;=$AB$50, $Q$15&lt;=$AC$50), 1, 0)</f>
        <v>0</v>
      </c>
      <c r="R13" s="906">
        <f>IF(AND($Q12=1,$Q13=1,$H11&gt;$AD$49),1, IF(AND($Q12=0,$Q13=1),$Q13,0))</f>
        <v>0</v>
      </c>
      <c r="S13" s="930" t="s">
        <v>81</v>
      </c>
      <c r="T13" s="931" t="s">
        <v>82</v>
      </c>
      <c r="U13" s="344"/>
      <c r="V13" s="344"/>
      <c r="W13" s="344"/>
      <c r="X13" s="344"/>
      <c r="Y13" s="164"/>
      <c r="Z13" s="164"/>
      <c r="AA13" s="301"/>
      <c r="AB13" s="165"/>
      <c r="AC13" s="395"/>
      <c r="AD13" s="167"/>
      <c r="AE13" s="407"/>
      <c r="AF13" s="168"/>
      <c r="AG13" s="407"/>
      <c r="AH13" s="168"/>
      <c r="AI13" s="108"/>
      <c r="AJ13" s="108"/>
      <c r="AK13" s="670"/>
      <c r="AL13" s="137"/>
      <c r="AM13" s="137"/>
      <c r="AN13" s="137"/>
      <c r="AO13" s="137"/>
      <c r="AP13" s="37"/>
      <c r="AQ13" s="545" t="str">
        <f>ListAVS!B351&amp;" = "&amp;ListAVS!B353</f>
        <v>wstępnie zamontowane eurowkręty = podnośniki ze wstępnie zamontowanymi wkrętami (wymagane wstępne nawiercenie)</v>
      </c>
      <c r="AS13" s="952"/>
      <c r="AT13" s="952"/>
    </row>
    <row r="14" spans="1:46" s="122" customFormat="1" ht="16.149999999999999" customHeight="1" x14ac:dyDescent="0.2">
      <c r="A14" s="37"/>
      <c r="B14" s="1055"/>
      <c r="C14" s="1055"/>
      <c r="D14" s="1053" t="str">
        <f>ListAVS!$B$83&amp;" [kg] "</f>
        <v xml:space="preserve">Waga uchwytu [kg] </v>
      </c>
      <c r="E14" s="1053"/>
      <c r="F14" s="1053"/>
      <c r="G14" s="1054"/>
      <c r="H14" s="258"/>
      <c r="I14" s="256" t="str">
        <f>IF(H17=0, " ", IF(AND(H12=0, R14=1, H14=0), " ● "&amp;ListAVS!$B$130," "))</f>
        <v xml:space="preserve"> </v>
      </c>
      <c r="J14" s="255"/>
      <c r="K14" s="255"/>
      <c r="L14" s="255"/>
      <c r="M14" s="37"/>
      <c r="N14" s="317"/>
      <c r="O14" s="344"/>
      <c r="P14" s="1171"/>
      <c r="Q14" s="1172"/>
      <c r="R14" s="934">
        <v>1</v>
      </c>
      <c r="S14" s="932">
        <f>IF($H$10&gt;1360,2, IF($H$10&lt;610,0.5,1))</f>
        <v>0.5</v>
      </c>
      <c r="T14" s="933">
        <f>H16</f>
        <v>0</v>
      </c>
      <c r="U14" s="37"/>
      <c r="V14" s="37"/>
      <c r="W14" s="37"/>
      <c r="X14" s="37"/>
      <c r="Y14" s="164" t="str">
        <f>CenAVS!A40</f>
        <v xml:space="preserve">ramiona 300-339 HL Top       </v>
      </c>
      <c r="Z14" s="164" t="str">
        <f>CenAVS!B40</f>
        <v>22L3200</v>
      </c>
      <c r="AA14" s="164" t="str">
        <f>CenAVS!C40</f>
        <v>NI</v>
      </c>
      <c r="AB14" s="165">
        <f t="shared" si="0"/>
        <v>0</v>
      </c>
      <c r="AC14" s="395">
        <f>CenAVS!F40</f>
        <v>134.60047</v>
      </c>
      <c r="AD14" s="167">
        <f t="shared" si="1"/>
        <v>0</v>
      </c>
      <c r="AE14" s="407">
        <f>$Q10*$M$15</f>
        <v>0</v>
      </c>
      <c r="AF14" s="168">
        <f>$AC14*AE14</f>
        <v>0</v>
      </c>
      <c r="AG14" s="407">
        <f>$Q21*$M$26</f>
        <v>0</v>
      </c>
      <c r="AH14" s="168">
        <f>$AC14*AG14</f>
        <v>0</v>
      </c>
      <c r="AI14" s="108"/>
      <c r="AJ14" s="108"/>
      <c r="AK14" s="670"/>
      <c r="AL14" s="137"/>
      <c r="AM14" s="137"/>
      <c r="AN14" s="137"/>
      <c r="AO14" s="137"/>
      <c r="AP14" s="37"/>
      <c r="AQ14" s="37"/>
      <c r="AR14" s="37"/>
      <c r="AS14" s="37"/>
      <c r="AT14" s="37"/>
    </row>
    <row r="15" spans="1:46" s="122" customFormat="1" ht="16.149999999999999" customHeight="1" x14ac:dyDescent="0.2">
      <c r="A15" s="37"/>
      <c r="B15" s="1055"/>
      <c r="C15" s="1055"/>
      <c r="D15" s="1053" t="str">
        <f>ListAVS!$B$79&amp;" [kg] "</f>
        <v xml:space="preserve">Obliczona waga frontu [kg] </v>
      </c>
      <c r="E15" s="1053"/>
      <c r="F15" s="1053"/>
      <c r="G15" s="1054"/>
      <c r="H15" s="259">
        <f>$T$80</f>
        <v>0</v>
      </c>
      <c r="I15" s="227" t="str">
        <f>IF(AND($H17&gt;0,$H15&gt;0,$H12=0,$M15&gt;0), $N$38," ")&amp;IF(AND(H17&gt;0, H12=0, Z77=3, $J$4=0), $N$36, " ")</f>
        <v xml:space="preserve">  </v>
      </c>
      <c r="J15" s="255"/>
      <c r="K15" s="255"/>
      <c r="L15" s="255"/>
      <c r="M15" s="315">
        <f>IF($H10*$H11*$Q15=0, 0, IF(SUM(O10:O12)=0, 0, IF(SUM(Q10:Q13)=0, 0, IF($H10&gt;1800, 0, IF($H10&lt;220, 0, $H17)))))</f>
        <v>0</v>
      </c>
      <c r="N15" s="37"/>
      <c r="O15" s="37"/>
      <c r="P15" s="690" t="s">
        <v>51</v>
      </c>
      <c r="Q15" s="691">
        <f>IF(H12&gt;0,H12,H15)</f>
        <v>0</v>
      </c>
      <c r="R15" s="37">
        <f>IF(SUM(H12,H15)=0,0,IF(H12&gt;0,1,2))</f>
        <v>0</v>
      </c>
      <c r="S15" s="571" t="s">
        <v>52</v>
      </c>
      <c r="T15" s="37"/>
      <c r="U15" s="717" t="s">
        <v>79</v>
      </c>
      <c r="V15" s="927" t="str">
        <f>IF(AND(219&lt;H10,H10&lt;1801,299&lt;H11,H11&lt;581),"ano","ne")</f>
        <v>ne</v>
      </c>
      <c r="W15" s="345"/>
      <c r="X15" s="345"/>
      <c r="Y15" s="164" t="str">
        <f>CenAVS!A41</f>
        <v xml:space="preserve">ramiona 340-389 HL Top       </v>
      </c>
      <c r="Z15" s="164" t="str">
        <f>CenAVS!B41</f>
        <v>22L3500</v>
      </c>
      <c r="AA15" s="164" t="str">
        <f>CenAVS!C41</f>
        <v>NI</v>
      </c>
      <c r="AB15" s="165">
        <f t="shared" si="0"/>
        <v>0</v>
      </c>
      <c r="AC15" s="395">
        <f>CenAVS!F41</f>
        <v>137.39402999999999</v>
      </c>
      <c r="AD15" s="167">
        <f t="shared" si="1"/>
        <v>0</v>
      </c>
      <c r="AE15" s="407">
        <f>$Q11*$M$15</f>
        <v>0</v>
      </c>
      <c r="AF15" s="168">
        <f>$AC15*AE15</f>
        <v>0</v>
      </c>
      <c r="AG15" s="407">
        <f>$Q22*$M$26</f>
        <v>0</v>
      </c>
      <c r="AH15" s="168">
        <f>$AC15*AG15</f>
        <v>0</v>
      </c>
      <c r="AI15" s="108"/>
      <c r="AJ15" s="108"/>
      <c r="AK15" s="255"/>
      <c r="AL15" s="137"/>
      <c r="AM15" s="137"/>
      <c r="AN15" s="137"/>
      <c r="AO15" s="137"/>
      <c r="AP15" s="37"/>
      <c r="AQ15" s="37"/>
      <c r="AR15" s="37"/>
      <c r="AS15" s="137"/>
      <c r="AT15" s="137"/>
    </row>
    <row r="16" spans="1:46" s="122" customFormat="1" ht="16.149999999999999" customHeight="1" thickBot="1" x14ac:dyDescent="0.25">
      <c r="A16" s="37"/>
      <c r="B16" s="1011" t="str">
        <f>ListAVS!$B$29&amp;" * "</f>
        <v xml:space="preserve">Liczba ścianek środkowych * </v>
      </c>
      <c r="C16" s="1012"/>
      <c r="D16" s="1012"/>
      <c r="E16" s="1012"/>
      <c r="F16" s="1012"/>
      <c r="G16" s="1013"/>
      <c r="H16" s="435"/>
      <c r="I16" s="256"/>
      <c r="J16" s="255"/>
      <c r="K16" s="255"/>
      <c r="L16" s="255"/>
      <c r="M16" s="118"/>
      <c r="N16" s="119"/>
      <c r="O16" s="132"/>
      <c r="P16" s="132"/>
      <c r="Q16" s="119"/>
      <c r="R16" s="37"/>
      <c r="S16" s="37"/>
      <c r="T16" s="37"/>
      <c r="U16" s="717" t="s">
        <v>710</v>
      </c>
      <c r="V16" s="928" t="str">
        <f>IF(AND($H$11&gt;=$Z$44, $H$11&lt;=$AA$44, $Q$15&gt;=$AB$44, $Q$15&lt;=$AC$44), "ano", IF(AND($H$11&gt;=$Z$45, $H$11&lt;=$AA$45, $Q$15&gt;=$AB$45, $Q$15&lt;=$AC$45), "ano", IF(AND($H$11&gt;=$Z$49, $H$11&lt;=$AA$49, $Q$15&gt;=$AB$49, $Q$15&lt;=$AC$49), "ano", IF(AND($H$11&gt;=$Z$50, $H$11&lt;=$AA$50, $Q$15&gt;=$AB$50, $Q$15&lt;=$AC$50), "ano", "ne"))))</f>
        <v>ne</v>
      </c>
      <c r="W16" s="346"/>
      <c r="X16" s="346"/>
      <c r="Y16" s="164" t="str">
        <f>CenAVS!A42</f>
        <v xml:space="preserve">ramiona 390-540 HL Top       </v>
      </c>
      <c r="Z16" s="164" t="str">
        <f>CenAVS!B42</f>
        <v>22L3800</v>
      </c>
      <c r="AA16" s="164" t="str">
        <f>CenAVS!C42</f>
        <v>NI</v>
      </c>
      <c r="AB16" s="165">
        <f t="shared" si="0"/>
        <v>0</v>
      </c>
      <c r="AC16" s="395">
        <f>CenAVS!F42</f>
        <v>141.58481</v>
      </c>
      <c r="AD16" s="167">
        <f t="shared" si="1"/>
        <v>0</v>
      </c>
      <c r="AE16" s="407">
        <f>$R12*$M$15</f>
        <v>0</v>
      </c>
      <c r="AF16" s="168">
        <f>$AC16*AE16</f>
        <v>0</v>
      </c>
      <c r="AG16" s="407">
        <f>$R23*$M$26</f>
        <v>0</v>
      </c>
      <c r="AH16" s="168">
        <f>$AC16*AG16</f>
        <v>0</v>
      </c>
      <c r="AI16" s="108"/>
      <c r="AJ16" s="108"/>
      <c r="AK16" s="255"/>
      <c r="AL16" s="137"/>
      <c r="AM16" s="137"/>
      <c r="AN16" s="137"/>
      <c r="AO16" s="137"/>
      <c r="AP16" s="37"/>
      <c r="AQ16" s="37"/>
      <c r="AR16" s="37"/>
      <c r="AS16" s="137"/>
      <c r="AT16" s="137"/>
    </row>
    <row r="17" spans="1:47" s="122" customFormat="1" ht="16.149999999999999" customHeight="1" thickBot="1" x14ac:dyDescent="0.25">
      <c r="A17" s="37"/>
      <c r="B17" s="1011" t="str">
        <f>ListAVS!$B$71</f>
        <v>Ilość szafek</v>
      </c>
      <c r="C17" s="1012"/>
      <c r="D17" s="1012"/>
      <c r="E17" s="1012"/>
      <c r="F17" s="1012"/>
      <c r="G17" s="1012"/>
      <c r="H17" s="437"/>
      <c r="I17" s="256"/>
      <c r="J17" s="255"/>
      <c r="K17" s="255"/>
      <c r="L17" s="255"/>
      <c r="M17" s="118"/>
      <c r="N17" s="119"/>
      <c r="O17" s="132"/>
      <c r="P17" s="132"/>
      <c r="Q17" s="119"/>
      <c r="R17" s="37"/>
      <c r="S17" s="37"/>
      <c r="T17" s="37"/>
      <c r="U17" s="37"/>
      <c r="V17" s="344"/>
      <c r="W17" s="346"/>
      <c r="X17" s="346"/>
      <c r="Y17" s="164" t="str">
        <f>CenAVS!A43</f>
        <v xml:space="preserve">ramiona 480-580 HL Top       </v>
      </c>
      <c r="Z17" s="164" t="str">
        <f>CenAVS!B43</f>
        <v>22L3900</v>
      </c>
      <c r="AA17" s="164" t="str">
        <f>CenAVS!C43</f>
        <v>NI</v>
      </c>
      <c r="AB17" s="165">
        <f t="shared" si="0"/>
        <v>0</v>
      </c>
      <c r="AC17" s="395">
        <f>CenAVS!F43</f>
        <v>156.95116999999999</v>
      </c>
      <c r="AD17" s="167">
        <f t="shared" si="1"/>
        <v>0</v>
      </c>
      <c r="AE17" s="407">
        <f>$R13*$M$15</f>
        <v>0</v>
      </c>
      <c r="AF17" s="168">
        <f>$AC17*AE17</f>
        <v>0</v>
      </c>
      <c r="AG17" s="407">
        <f>$R24*$M$26</f>
        <v>0</v>
      </c>
      <c r="AH17" s="168">
        <f>$AC17*AG17</f>
        <v>0</v>
      </c>
      <c r="AI17" s="108"/>
      <c r="AJ17" s="108"/>
      <c r="AK17" s="37">
        <v>2</v>
      </c>
      <c r="AL17" s="137"/>
      <c r="AM17" s="137"/>
      <c r="AN17" s="137"/>
      <c r="AO17" s="137"/>
      <c r="AP17" s="37"/>
      <c r="AQ17" s="37"/>
      <c r="AR17" s="37"/>
      <c r="AS17" s="137"/>
      <c r="AT17" s="137"/>
    </row>
    <row r="18" spans="1:47" s="122" customFormat="1" ht="16.149999999999999" customHeight="1" x14ac:dyDescent="0.2">
      <c r="A18" s="37"/>
      <c r="B18" s="255" t="str">
        <f>IF(H17&gt;0,IF(OR(R15=0,M15=0), " ",IF(R15=1,$N$50,$N$51))," ")&amp;IF(H17&gt;0,IF(OR(R15=0, M15=0), " ",IF(R15=1,$N$52,$N$53))," ")</f>
        <v xml:space="preserve">  </v>
      </c>
      <c r="C18" s="255"/>
      <c r="D18" s="255"/>
      <c r="E18" s="255"/>
      <c r="F18" s="433"/>
      <c r="G18" s="433"/>
      <c r="H18" s="255"/>
      <c r="I18" s="255"/>
      <c r="J18" s="255"/>
      <c r="K18" s="255"/>
      <c r="L18" s="255"/>
      <c r="M18" s="118"/>
      <c r="N18" s="119"/>
      <c r="O18" s="132"/>
      <c r="P18" s="132"/>
      <c r="Q18" s="119"/>
      <c r="R18" s="37"/>
      <c r="S18" s="37"/>
      <c r="T18" s="37"/>
      <c r="U18" s="37"/>
      <c r="V18" s="344"/>
      <c r="W18" s="346"/>
      <c r="X18" s="346"/>
      <c r="Y18" s="164"/>
      <c r="Z18" s="164"/>
      <c r="AA18" s="164"/>
      <c r="AB18" s="165"/>
      <c r="AC18" s="395"/>
      <c r="AD18" s="167"/>
      <c r="AE18" s="407"/>
      <c r="AF18" s="168"/>
      <c r="AG18" s="407"/>
      <c r="AH18" s="168"/>
      <c r="AI18" s="108"/>
      <c r="AJ18" s="108"/>
      <c r="AK18" s="255"/>
      <c r="AL18" s="137"/>
      <c r="AM18" s="137"/>
      <c r="AN18" s="137"/>
      <c r="AO18" s="137"/>
      <c r="AP18" s="37"/>
      <c r="AQ18" s="956" t="str">
        <f>ListAVS!B387&amp;":"</f>
        <v>Zestaw ramion teleskopowych:</v>
      </c>
      <c r="AR18" s="37"/>
      <c r="AS18" s="137"/>
      <c r="AT18" s="137"/>
    </row>
    <row r="19" spans="1:47" s="122" customFormat="1" ht="25.15" customHeight="1" thickBot="1" x14ac:dyDescent="0.25">
      <c r="A19" s="37"/>
      <c r="B19" s="275" t="str">
        <f>IF(AND($Q$12=1, $Q$13=1, $R$12=1), ListAVS!$B$338&amp;$Y$50&amp;". "&amp;ListAVS!$B$339, IF(AND($Q$12=1, $Q$13=1, $R$13=1), ListAVS!$B$338&amp;$Y$49&amp;". "&amp;ListAVS!$B$339, " "))</f>
        <v xml:space="preserve"> </v>
      </c>
      <c r="C19" s="255"/>
      <c r="D19" s="255"/>
      <c r="E19" s="255"/>
      <c r="F19" s="433"/>
      <c r="G19" s="433"/>
      <c r="H19" s="255"/>
      <c r="I19" s="255"/>
      <c r="J19" s="255"/>
      <c r="K19" s="255"/>
      <c r="L19" s="255"/>
      <c r="M19" s="118"/>
      <c r="N19" s="119"/>
      <c r="O19" s="132"/>
      <c r="P19" s="132"/>
      <c r="Q19" s="119"/>
      <c r="R19" s="37"/>
      <c r="S19" s="37"/>
      <c r="T19" s="37"/>
      <c r="U19" s="37"/>
      <c r="V19" s="344"/>
      <c r="W19" s="346"/>
      <c r="X19" s="346"/>
      <c r="Y19" s="164" t="str">
        <f>CenAVS!A44</f>
        <v xml:space="preserve">stablizacja poprzeczna HL Top       </v>
      </c>
      <c r="Z19" s="164" t="str">
        <f>CenAVS!B44</f>
        <v>22Q1076U</v>
      </c>
      <c r="AA19" s="164" t="str">
        <f>CenAVS!C44</f>
        <v>EV</v>
      </c>
      <c r="AB19" s="165">
        <f t="shared" ref="AB19:AB27" si="2">SUM(AE19,AG19)</f>
        <v>0</v>
      </c>
      <c r="AC19" s="395">
        <f>CenAVS!F44</f>
        <v>36.874780000000001</v>
      </c>
      <c r="AD19" s="167">
        <f t="shared" ref="AD19:AD27" si="3">AB19*AC19</f>
        <v>0</v>
      </c>
      <c r="AE19" s="407">
        <f>ROUNDUP($S$14*$M$15, 0)</f>
        <v>0</v>
      </c>
      <c r="AF19" s="168">
        <f t="shared" ref="AF19:AF27" si="4">$AC19*AE19</f>
        <v>0</v>
      </c>
      <c r="AG19" s="407">
        <f>ROUNDUP($S$25*$M$26, 0)</f>
        <v>0</v>
      </c>
      <c r="AH19" s="168">
        <f t="shared" ref="AH19:AH27" si="5">$AC19*AG19</f>
        <v>0</v>
      </c>
      <c r="AI19" s="108"/>
      <c r="AJ19" s="108"/>
      <c r="AK19" s="732"/>
      <c r="AL19" s="137"/>
      <c r="AM19" s="137"/>
      <c r="AN19" s="137"/>
      <c r="AO19" s="137"/>
      <c r="AP19" s="37"/>
      <c r="AQ19" s="953" t="str">
        <f>ListAVS!B75&amp;" KH (mm)"</f>
        <v>Wysokość korpusu KH (mm)</v>
      </c>
      <c r="AR19" s="953" t="str">
        <f>ListAVS!B76&amp;" FG (kg)"</f>
        <v>Waga frontu FG (kg)</v>
      </c>
      <c r="AS19" s="953" t="str">
        <f>ListAVS!$B$387</f>
        <v>Zestaw ramion teleskopowych</v>
      </c>
      <c r="AT19" s="121"/>
    </row>
    <row r="20" spans="1:47" s="122" customFormat="1" ht="16.149999999999999" customHeight="1" thickBot="1" x14ac:dyDescent="0.25">
      <c r="A20" s="37"/>
      <c r="B20" s="1051" t="str">
        <f>"▼ "&amp;ListAVS!$B$318</f>
        <v>▼ Sposób otwierania</v>
      </c>
      <c r="C20" s="1052"/>
      <c r="D20" s="406" t="str">
        <f>IF($M$25&gt;0, ListAVS!$B$37&amp;": ", " ")</f>
        <v xml:space="preserve"> </v>
      </c>
      <c r="E20" s="688" t="str">
        <f>IF(SUM($AG$9:$AG$10)&gt;0, "22", IF(SUM($AG$11:$AG$12)&gt;0,"25", " "))</f>
        <v xml:space="preserve"> </v>
      </c>
      <c r="F20" s="1056" t="str">
        <f>ListAVS!$B$64&amp;" B"</f>
        <v>Korpus B</v>
      </c>
      <c r="G20" s="1057"/>
      <c r="H20" s="1058"/>
      <c r="I20" s="273"/>
      <c r="J20" s="255"/>
      <c r="K20" s="255"/>
      <c r="L20" s="255"/>
      <c r="M20" s="37"/>
      <c r="N20" s="37"/>
      <c r="O20" s="118"/>
      <c r="P20" s="37"/>
      <c r="Q20" s="118"/>
      <c r="R20" s="37" t="s">
        <v>727</v>
      </c>
      <c r="S20" s="923"/>
      <c r="T20" s="923"/>
      <c r="U20" s="737"/>
      <c r="V20" s="737"/>
      <c r="W20" s="737"/>
      <c r="X20" s="346"/>
      <c r="Y20" s="164" t="str">
        <f>CenAVS!A45</f>
        <v xml:space="preserve">przedłużka do stabilizacji poprzecznej Aventos HL Top    </v>
      </c>
      <c r="Z20" s="164" t="str">
        <f>CenAVS!B45</f>
        <v>22Q080Z</v>
      </c>
      <c r="AA20" s="164" t="str">
        <f>CenAVS!C45</f>
        <v>EV</v>
      </c>
      <c r="AB20" s="165">
        <f t="shared" si="2"/>
        <v>0</v>
      </c>
      <c r="AC20" s="395">
        <f>CenAVS!F45</f>
        <v>33.577959999999997</v>
      </c>
      <c r="AD20" s="167">
        <f t="shared" si="3"/>
        <v>0</v>
      </c>
      <c r="AE20" s="407">
        <f>IF($H$10&gt;=1228, $M$15, IF($T$14&gt;0, $T$14*$M$15, 0))</f>
        <v>0</v>
      </c>
      <c r="AF20" s="168">
        <f t="shared" si="4"/>
        <v>0</v>
      </c>
      <c r="AG20" s="407">
        <f>IF($H$21&gt;=1228, $M$26, IF($T$25&gt;0, $T$14*$M$26, 0))</f>
        <v>0</v>
      </c>
      <c r="AH20" s="168">
        <f t="shared" si="5"/>
        <v>0</v>
      </c>
      <c r="AI20" s="108"/>
      <c r="AJ20" s="108"/>
      <c r="AK20" s="255"/>
      <c r="AL20" s="137"/>
      <c r="AM20" s="137"/>
      <c r="AN20" s="137"/>
      <c r="AO20" s="137"/>
      <c r="AP20" s="37"/>
      <c r="AQ20" s="954" t="s">
        <v>750</v>
      </c>
      <c r="AR20" s="954" t="s">
        <v>775</v>
      </c>
      <c r="AS20" s="955" t="s">
        <v>717</v>
      </c>
      <c r="AT20" s="121"/>
    </row>
    <row r="21" spans="1:47" s="122" customFormat="1" ht="16.149999999999999" customHeight="1" x14ac:dyDescent="0.2">
      <c r="A21" s="37"/>
      <c r="B21" s="1011" t="str">
        <f>ListAVS!$B$74&amp;" KB [mm] "</f>
        <v xml:space="preserve">Szerokość korpusu KB [mm] </v>
      </c>
      <c r="C21" s="1012"/>
      <c r="D21" s="1012"/>
      <c r="E21" s="1012"/>
      <c r="F21" s="1012"/>
      <c r="G21" s="1013"/>
      <c r="H21" s="435"/>
      <c r="I21" s="256" t="str">
        <f>IF($H21=0," ",IF($H21&lt;220," min. 220mm",IF($H21&gt;1800," max. 1 800mm"," ")))&amp;IF(AND(H28&gt;0,H21=0),"● "&amp;ListAVS!$B$129," ")</f>
        <v xml:space="preserve">  </v>
      </c>
      <c r="J21" s="255"/>
      <c r="K21" s="255"/>
      <c r="L21" s="255"/>
      <c r="M21" s="37"/>
      <c r="N21" s="929" t="s">
        <v>726</v>
      </c>
      <c r="O21" s="929">
        <f>IF(AND($H$22&gt;=$Z$44, $H$22&lt;=$AA$45), 1, 0)</f>
        <v>0</v>
      </c>
      <c r="P21" s="929" t="s">
        <v>35</v>
      </c>
      <c r="Q21" s="929">
        <f>IF(AND($H$22&gt;=$Z$44, $H$22&lt;=$AA$44, Q$26&gt;=$AB$44, $Q$26&lt;=$AC$44), 1, 0)</f>
        <v>0</v>
      </c>
      <c r="R21" s="344"/>
      <c r="S21" s="344"/>
      <c r="T21" s="344"/>
      <c r="U21" s="344"/>
      <c r="V21" s="344"/>
      <c r="W21" s="714"/>
      <c r="X21" s="737"/>
      <c r="Y21" s="164"/>
      <c r="Z21" s="164"/>
      <c r="AA21" s="164"/>
      <c r="AB21" s="165"/>
      <c r="AC21" s="395"/>
      <c r="AD21" s="167"/>
      <c r="AE21" s="407"/>
      <c r="AF21" s="168">
        <f t="shared" si="4"/>
        <v>0</v>
      </c>
      <c r="AG21" s="407"/>
      <c r="AH21" s="168">
        <f t="shared" si="5"/>
        <v>0</v>
      </c>
      <c r="AI21" s="108"/>
      <c r="AJ21" s="108"/>
      <c r="AK21" s="255"/>
      <c r="AL21" s="137"/>
      <c r="AM21" s="137"/>
      <c r="AN21" s="137"/>
      <c r="AO21" s="137"/>
      <c r="AP21" s="37"/>
      <c r="AQ21" s="954" t="s">
        <v>749</v>
      </c>
      <c r="AR21" s="954" t="s">
        <v>777</v>
      </c>
      <c r="AS21" s="955" t="s">
        <v>718</v>
      </c>
      <c r="AT21" s="121"/>
    </row>
    <row r="22" spans="1:47" s="122" customFormat="1" ht="16.149999999999999" customHeight="1" x14ac:dyDescent="0.2">
      <c r="A22" s="37"/>
      <c r="B22" s="1011" t="str">
        <f>ListAVS!$B$75&amp;" KH [mm] "</f>
        <v xml:space="preserve">Wysokość korpusu KH [mm] </v>
      </c>
      <c r="C22" s="1012"/>
      <c r="D22" s="1012"/>
      <c r="E22" s="1012"/>
      <c r="F22" s="1012"/>
      <c r="G22" s="1013"/>
      <c r="H22" s="435"/>
      <c r="I22" s="256" t="str">
        <f>IF($H22=0," ",IF($H22&lt;300," min. 300mm",IF($H22&gt;580," max. 580 mm"," ")))&amp;IF(H28&gt;0,IF(H22=0,"● "&amp;ListAVS!$B$129," ")," ")</f>
        <v xml:space="preserve">  </v>
      </c>
      <c r="J22" s="255"/>
      <c r="K22" s="255"/>
      <c r="L22" s="255"/>
      <c r="M22" s="37"/>
      <c r="N22" s="906"/>
      <c r="O22" s="906"/>
      <c r="P22" s="929" t="s">
        <v>41</v>
      </c>
      <c r="Q22" s="929">
        <f>IF(AND($H$22&gt;=$Z$45, $H$22&lt;=$AA$45, Q$26&gt;=$AB$45, $Q$26&lt;=$AC$45), 1, 0)</f>
        <v>0</v>
      </c>
      <c r="R22" s="344"/>
      <c r="S22" s="344"/>
      <c r="T22" s="344"/>
      <c r="U22" s="344"/>
      <c r="V22" s="344"/>
      <c r="W22" s="344"/>
      <c r="X22" s="714"/>
      <c r="Y22" s="164" t="str">
        <f>CenAVS!A47</f>
        <v xml:space="preserve">Zaślepki HF/HL/HS - Top bez SD jasnoszare HGR   </v>
      </c>
      <c r="Z22" s="164" t="str">
        <f>CenAVS!B47</f>
        <v>22.8000</v>
      </c>
      <c r="AA22" s="164" t="str">
        <f>CenAVS!C47</f>
        <v>HGR</v>
      </c>
      <c r="AB22" s="165">
        <f t="shared" si="2"/>
        <v>0</v>
      </c>
      <c r="AC22" s="395">
        <f>CenAVS!F47</f>
        <v>27.586120000000001</v>
      </c>
      <c r="AD22" s="167">
        <f t="shared" si="3"/>
        <v>0</v>
      </c>
      <c r="AE22" s="407">
        <f>IF(AND($T$45=1, $R$14=1), SUM($AE$9:$AE$12), 0)</f>
        <v>0</v>
      </c>
      <c r="AF22" s="168">
        <f t="shared" si="4"/>
        <v>0</v>
      </c>
      <c r="AG22" s="407">
        <f>IF(AND($T$45=1, $R$25=1), SUM($AG$9:$AG$12), 0)</f>
        <v>0</v>
      </c>
      <c r="AH22" s="168">
        <f t="shared" si="5"/>
        <v>0</v>
      </c>
      <c r="AI22" s="108"/>
      <c r="AJ22" s="108"/>
      <c r="AK22" s="255"/>
      <c r="AL22" s="137"/>
      <c r="AM22" s="137"/>
      <c r="AN22" s="137"/>
      <c r="AO22" s="137"/>
      <c r="AP22" s="37"/>
      <c r="AQ22" s="954" t="s">
        <v>751</v>
      </c>
      <c r="AR22" s="954" t="s">
        <v>776</v>
      </c>
      <c r="AS22" s="955" t="s">
        <v>720</v>
      </c>
      <c r="AT22" s="37"/>
    </row>
    <row r="23" spans="1:47" s="122" customFormat="1" ht="16.149999999999999" customHeight="1" x14ac:dyDescent="0.2">
      <c r="A23" s="37"/>
      <c r="B23" s="1011" t="str">
        <f>ListAVS!$B$77&amp;" [kg] ** "</f>
        <v xml:space="preserve">Waga frontu wraz z uchwytem [kg] ** </v>
      </c>
      <c r="C23" s="1012"/>
      <c r="D23" s="1012"/>
      <c r="E23" s="1012"/>
      <c r="F23" s="1012"/>
      <c r="G23" s="1013"/>
      <c r="H23" s="258"/>
      <c r="I23" s="227" t="str">
        <f>IF($H28=0," ",IF(SUM($H23,$H26)=0,$N$37," "))&amp;IF(AND(SUM($O$21:$O$25)=1,$V27="ne",H23&gt;0),$N$41,IF(AND($H28&gt;0,$H23&gt;0,V$27="ano"),$N$38," "))</f>
        <v xml:space="preserve">  </v>
      </c>
      <c r="J23" s="255"/>
      <c r="K23" s="255"/>
      <c r="L23" s="255"/>
      <c r="M23" s="37"/>
      <c r="N23" s="929" t="s">
        <v>87</v>
      </c>
      <c r="O23" s="929">
        <f>IF(AND($H$22&gt;=$Z$49, $H$22&lt;=$AA$50), 1, 0)</f>
        <v>0</v>
      </c>
      <c r="P23" s="929" t="s">
        <v>45</v>
      </c>
      <c r="Q23" s="929">
        <f>IF(AND($H$22&gt;=$Z$49, $H$22&lt;=$AA$49, Q$26&gt;=$AB$49, $Q$26&lt;=$AC$49), 1, 0)</f>
        <v>0</v>
      </c>
      <c r="R23" s="906">
        <f>IF(AND($Q$23=1, $Q$24=1, $H$11&lt;=$AD$49), 1, IF(AND($Q23=1, $Q24=0), $Q23, 0))</f>
        <v>0</v>
      </c>
      <c r="S23" s="37"/>
      <c r="T23" s="344"/>
      <c r="U23" s="344"/>
      <c r="V23" s="344"/>
      <c r="W23" s="344"/>
      <c r="X23" s="344"/>
      <c r="Y23" s="164" t="str">
        <f>CenAVS!A48</f>
        <v xml:space="preserve">zaślepki HF/HL/HS - Top bez SD ciemnoszare TGR   </v>
      </c>
      <c r="Z23" s="164" t="str">
        <f>CenAVS!B48</f>
        <v>22.8000</v>
      </c>
      <c r="AA23" s="164" t="str">
        <f>CenAVS!C48</f>
        <v>TGR</v>
      </c>
      <c r="AB23" s="165">
        <f t="shared" si="2"/>
        <v>0</v>
      </c>
      <c r="AC23" s="395">
        <f>CenAVS!F48</f>
        <v>30.106369999999998</v>
      </c>
      <c r="AD23" s="167">
        <f t="shared" si="3"/>
        <v>0</v>
      </c>
      <c r="AE23" s="407">
        <f>IF(AND($T$45=2, $R$14=1), SUM($AE$9:$AE$12), 0)</f>
        <v>0</v>
      </c>
      <c r="AF23" s="168">
        <f t="shared" si="4"/>
        <v>0</v>
      </c>
      <c r="AG23" s="407">
        <f>IF(AND($T$45=2, $R$25=1), SUM($AG$9:$AG$12), 0)</f>
        <v>0</v>
      </c>
      <c r="AH23" s="168">
        <f t="shared" si="5"/>
        <v>0</v>
      </c>
      <c r="AI23" s="108"/>
      <c r="AJ23" s="108"/>
      <c r="AK23" s="255"/>
      <c r="AL23" s="137"/>
      <c r="AM23" s="37"/>
      <c r="AN23" s="37"/>
      <c r="AO23" s="37"/>
      <c r="AP23" s="37"/>
      <c r="AQ23" s="954" t="s">
        <v>752</v>
      </c>
      <c r="AR23" s="954" t="s">
        <v>778</v>
      </c>
      <c r="AS23" s="955" t="s">
        <v>721</v>
      </c>
      <c r="AT23" s="37"/>
    </row>
    <row r="24" spans="1:47" s="122" customFormat="1" ht="16.149999999999999" customHeight="1" x14ac:dyDescent="0.2">
      <c r="A24" s="37"/>
      <c r="B24" s="1055" t="str">
        <f>ListAVS!$B$293</f>
        <v>Obliczenie wagi</v>
      </c>
      <c r="C24" s="1055"/>
      <c r="D24" s="1153" t="str">
        <f>ListAVS!$B$80&amp;" TS [mm] "</f>
        <v xml:space="preserve">Grubość frontu TS [mm] </v>
      </c>
      <c r="E24" s="1153"/>
      <c r="F24" s="1153"/>
      <c r="G24" s="1154"/>
      <c r="H24" s="259"/>
      <c r="I24" s="256"/>
      <c r="J24" s="255"/>
      <c r="K24" s="255"/>
      <c r="L24" s="255"/>
      <c r="M24" s="37"/>
      <c r="N24" s="906"/>
      <c r="O24" s="906"/>
      <c r="P24" s="929" t="s">
        <v>48</v>
      </c>
      <c r="Q24" s="929">
        <f>IF(AND($H$22&gt;=$Z$50, $H$22&lt;=$AA$50, Q$26&gt;=$AB$50, $Q$26&lt;=$AC$50), 1, 0)</f>
        <v>0</v>
      </c>
      <c r="R24" s="906">
        <v>1</v>
      </c>
      <c r="S24" s="930" t="s">
        <v>81</v>
      </c>
      <c r="T24" s="931" t="s">
        <v>82</v>
      </c>
      <c r="U24" s="344"/>
      <c r="V24" s="344"/>
      <c r="W24" s="344"/>
      <c r="X24" s="344"/>
      <c r="Y24" s="164" t="str">
        <f>CenAVS!A49</f>
        <v xml:space="preserve">Zaślepki HF/HL/HS - Top bez SD białe SW   </v>
      </c>
      <c r="Z24" s="164" t="str">
        <f>CenAVS!B49</f>
        <v>22.8000</v>
      </c>
      <c r="AA24" s="164" t="str">
        <f>CenAVS!C49</f>
        <v>SW</v>
      </c>
      <c r="AB24" s="165">
        <f t="shared" si="2"/>
        <v>0</v>
      </c>
      <c r="AC24" s="395">
        <f>CenAVS!F49</f>
        <v>30.106369999999998</v>
      </c>
      <c r="AD24" s="167">
        <f t="shared" si="3"/>
        <v>0</v>
      </c>
      <c r="AE24" s="407">
        <f>IF(AND($T$45=3, $R$14=1), SUM($AE$9:$AE$12), 0)</f>
        <v>0</v>
      </c>
      <c r="AF24" s="168">
        <f t="shared" si="4"/>
        <v>0</v>
      </c>
      <c r="AG24" s="407">
        <f>IF(AND($T$45=3, $R$25=1), SUM($AG$9:$AG$12), 0)</f>
        <v>0</v>
      </c>
      <c r="AH24" s="168">
        <f t="shared" si="5"/>
        <v>0</v>
      </c>
      <c r="AI24" s="108"/>
      <c r="AJ24" s="108"/>
      <c r="AK24" s="137"/>
      <c r="AL24" s="37"/>
      <c r="AM24" s="137"/>
      <c r="AN24" s="137"/>
      <c r="AO24" s="137"/>
      <c r="AP24" s="137"/>
      <c r="AQ24" s="137"/>
      <c r="AR24" s="137"/>
      <c r="AS24" s="137"/>
      <c r="AT24" s="37"/>
    </row>
    <row r="25" spans="1:47" s="122" customFormat="1" ht="16.149999999999999" customHeight="1" x14ac:dyDescent="0.2">
      <c r="A25" s="37"/>
      <c r="B25" s="1055"/>
      <c r="C25" s="1055"/>
      <c r="D25" s="1053" t="str">
        <f>ListAVS!$B$83&amp;" [kg] "</f>
        <v xml:space="preserve">Waga uchwytu [kg] </v>
      </c>
      <c r="E25" s="1053"/>
      <c r="F25" s="1053"/>
      <c r="G25" s="1054"/>
      <c r="H25" s="258"/>
      <c r="I25" s="256" t="str">
        <f>IF(H28=0, " ", IF(AND(H23=0, R25=1, H25=0), " ● "&amp;ListAVS!$B$130," "))</f>
        <v xml:space="preserve"> </v>
      </c>
      <c r="J25" s="255"/>
      <c r="K25" s="255"/>
      <c r="L25" s="255"/>
      <c r="M25" s="118"/>
      <c r="N25" s="317"/>
      <c r="O25" s="344"/>
      <c r="P25" s="1171"/>
      <c r="Q25" s="1172"/>
      <c r="R25" s="934">
        <v>2</v>
      </c>
      <c r="S25" s="932">
        <f>IF($H$21&gt;1360,2, IF($H$10&lt;610,0.5,1))</f>
        <v>0.5</v>
      </c>
      <c r="T25" s="933">
        <f>H27</f>
        <v>0</v>
      </c>
      <c r="U25" s="37"/>
      <c r="V25" s="37"/>
      <c r="W25" s="37"/>
      <c r="X25" s="344"/>
      <c r="Y25" s="164" t="str">
        <f>CenAVS!A50</f>
        <v xml:space="preserve">zaślepki HF/HL/HS - Top do SD jasnoszare HGR   </v>
      </c>
      <c r="Z25" s="164" t="str">
        <f>CenAVS!B50</f>
        <v>23.8000</v>
      </c>
      <c r="AA25" s="164" t="str">
        <f>CenAVS!C50</f>
        <v>HGR</v>
      </c>
      <c r="AB25" s="165">
        <f t="shared" si="2"/>
        <v>0</v>
      </c>
      <c r="AC25" s="395">
        <f>CenAVS!F50</f>
        <v>284.41748999999999</v>
      </c>
      <c r="AD25" s="167">
        <f t="shared" si="3"/>
        <v>0</v>
      </c>
      <c r="AE25" s="407">
        <f>IF(AND($T$45=1, $R$14=2), SUM($AE$9:$AE$12), 0)</f>
        <v>0</v>
      </c>
      <c r="AF25" s="168">
        <f t="shared" si="4"/>
        <v>0</v>
      </c>
      <c r="AG25" s="407">
        <f>IF(AND($T$45=1, $R$25=2), SUM($AG$9:$AG$12), 0)</f>
        <v>0</v>
      </c>
      <c r="AH25" s="168">
        <f t="shared" si="5"/>
        <v>0</v>
      </c>
      <c r="AI25" s="108"/>
      <c r="AJ25" s="108"/>
      <c r="AK25" s="137"/>
      <c r="AL25" s="137"/>
      <c r="AM25" s="137"/>
      <c r="AN25" s="137"/>
      <c r="AO25" s="137"/>
      <c r="AP25" s="137"/>
      <c r="AQ25" s="137"/>
      <c r="AR25" s="137"/>
      <c r="AS25" s="137"/>
      <c r="AT25" s="37"/>
    </row>
    <row r="26" spans="1:47" s="122" customFormat="1" ht="16.149999999999999" customHeight="1" x14ac:dyDescent="0.2">
      <c r="A26" s="37"/>
      <c r="B26" s="1055"/>
      <c r="C26" s="1055"/>
      <c r="D26" s="1053" t="str">
        <f>ListAVS!$B$79&amp;" [kg] "</f>
        <v xml:space="preserve">Obliczona waga frontu [kg] </v>
      </c>
      <c r="E26" s="1053"/>
      <c r="F26" s="1053"/>
      <c r="G26" s="1054"/>
      <c r="H26" s="259">
        <f>$T$91</f>
        <v>0</v>
      </c>
      <c r="I26" s="227" t="str">
        <f>IF(AND($H28&gt;0,$H26&gt;0,$H23=0,$M26&gt;0), $N$38," ")&amp;IF(AND(H28&gt;0, H23=0, Z88=3, $J$4=0), $N$36, " ")</f>
        <v xml:space="preserve">  </v>
      </c>
      <c r="J26" s="255"/>
      <c r="K26" s="255"/>
      <c r="L26" s="255"/>
      <c r="M26" s="315">
        <f>IF($H21*$H22*$Q26=0,0,IF(SUM(O21:O23)=0,0,IF(SUM(Q21:Q24)=0,0,IF($H21&gt;1800,0,IF($H21&lt;220,0,$H28)))))</f>
        <v>0</v>
      </c>
      <c r="N26" s="37"/>
      <c r="O26" s="118"/>
      <c r="P26" s="690" t="s">
        <v>51</v>
      </c>
      <c r="Q26" s="691">
        <f>IF(H23&gt;0,H23,H26)</f>
        <v>0</v>
      </c>
      <c r="R26" s="37">
        <f>IF(SUM(H23,H26)=0,0,IF(H23&gt;0,1,2))</f>
        <v>0</v>
      </c>
      <c r="S26" s="571" t="s">
        <v>52</v>
      </c>
      <c r="T26" s="37"/>
      <c r="U26" s="717" t="s">
        <v>79</v>
      </c>
      <c r="V26" s="927" t="str">
        <f>IF(AND(219&lt;H21,H21&lt;1801,299&lt;H22,H22&lt;581),"ano","ne")</f>
        <v>ne</v>
      </c>
      <c r="W26" s="346"/>
      <c r="X26" s="37"/>
      <c r="Y26" s="164" t="str">
        <f>CenAVS!A51</f>
        <v xml:space="preserve">Zaślepki HF/HL/HS - Top do SD ciemnoszare TGR   </v>
      </c>
      <c r="Z26" s="164" t="str">
        <f>CenAVS!B51</f>
        <v>23.8000</v>
      </c>
      <c r="AA26" s="164" t="str">
        <f>CenAVS!C51</f>
        <v>TGR</v>
      </c>
      <c r="AB26" s="165">
        <f t="shared" si="2"/>
        <v>0</v>
      </c>
      <c r="AC26" s="395">
        <f>CenAVS!F51</f>
        <v>295.60313000000002</v>
      </c>
      <c r="AD26" s="167">
        <f t="shared" si="3"/>
        <v>0</v>
      </c>
      <c r="AE26" s="407">
        <f>IF(AND($T$45=2, $R$14=2), SUM($AE$9:$AE$12), 0)</f>
        <v>0</v>
      </c>
      <c r="AF26" s="168">
        <f t="shared" si="4"/>
        <v>0</v>
      </c>
      <c r="AG26" s="407">
        <f>IF(AND($T$45=2, $R$25=2), SUM($AG$9:$AG$12), 0)</f>
        <v>0</v>
      </c>
      <c r="AH26" s="168">
        <f t="shared" si="5"/>
        <v>0</v>
      </c>
      <c r="AI26" s="108"/>
      <c r="AJ26" s="108"/>
      <c r="AK26" s="108"/>
      <c r="AL26" s="137"/>
      <c r="AM26" s="137"/>
      <c r="AN26" s="137"/>
      <c r="AO26" s="137"/>
      <c r="AP26" s="137"/>
      <c r="AQ26" s="137"/>
      <c r="AR26" s="137"/>
      <c r="AS26" s="137"/>
      <c r="AT26" s="137"/>
      <c r="AU26" s="121"/>
    </row>
    <row r="27" spans="1:47" s="122" customFormat="1" ht="16.149999999999999" customHeight="1" thickBot="1" x14ac:dyDescent="0.25">
      <c r="A27" s="37"/>
      <c r="B27" s="1011" t="str">
        <f>ListAVS!$B$29&amp;" * "</f>
        <v xml:space="preserve">Liczba ścianek środkowych * </v>
      </c>
      <c r="C27" s="1012"/>
      <c r="D27" s="1012"/>
      <c r="E27" s="1012"/>
      <c r="F27" s="1012"/>
      <c r="G27" s="1013"/>
      <c r="H27" s="435"/>
      <c r="I27" s="256"/>
      <c r="J27" s="255"/>
      <c r="K27" s="248"/>
      <c r="L27" s="255"/>
      <c r="M27" s="37"/>
      <c r="N27" s="137"/>
      <c r="O27" s="137"/>
      <c r="P27" s="137"/>
      <c r="Q27" s="137"/>
      <c r="R27" s="37"/>
      <c r="S27" s="37"/>
      <c r="T27" s="346"/>
      <c r="U27" s="717" t="s">
        <v>710</v>
      </c>
      <c r="V27" s="928" t="str">
        <f>IF(AND($H$22&gt;=$Z$44, $H$22&lt;=$AA$44, $Q$26&gt;=$AB$44, $Q$26&lt;=$AC$44), "ano", IF(AND($H$22&gt;=$Z$45, $H$22&lt;=$AA$45, $Q$26&gt;=$AB$45, $Q$26&lt;=$AC$45), "ano", IF(AND($H$22&gt;=$Z$49, $H$22&lt;=$AA$49, $Q$26&gt;=$AB$49, $Q$26&lt;=$AC$49), "ano", IF(AND($H$22&gt;=$Z$50, $H$22&lt;=$AA$50, $Q$26&gt;=$AB$50, $Q$26&lt;=$AC$50), "ano", "ne"))))</f>
        <v>ne</v>
      </c>
      <c r="W27" s="345"/>
      <c r="X27" s="346"/>
      <c r="Y27" s="164" t="str">
        <f>CenAVS!A52</f>
        <v xml:space="preserve">Zaślepki HF/HL/HS - Top do SD białe SW   </v>
      </c>
      <c r="Z27" s="164" t="str">
        <f>CenAVS!B52</f>
        <v>23.8000</v>
      </c>
      <c r="AA27" s="164" t="str">
        <f>CenAVS!C52</f>
        <v>SW</v>
      </c>
      <c r="AB27" s="165">
        <f t="shared" si="2"/>
        <v>0</v>
      </c>
      <c r="AC27" s="395">
        <f>CenAVS!F52</f>
        <v>295.60313000000002</v>
      </c>
      <c r="AD27" s="167">
        <f t="shared" si="3"/>
        <v>0</v>
      </c>
      <c r="AE27" s="407">
        <f>IF(AND($T$45=3, $R$14=2), SUM($AE$9:$AE$12), 0)</f>
        <v>0</v>
      </c>
      <c r="AF27" s="168">
        <f t="shared" si="4"/>
        <v>0</v>
      </c>
      <c r="AG27" s="407">
        <f>IF(AND($T$45=3, $R$25=2), SUM($AG$9:$AG$12), 0)</f>
        <v>0</v>
      </c>
      <c r="AH27" s="168">
        <f t="shared" si="5"/>
        <v>0</v>
      </c>
      <c r="AI27" s="108"/>
      <c r="AJ27" s="108"/>
      <c r="AK27" s="693"/>
      <c r="AL27" s="137"/>
      <c r="AM27" s="137"/>
      <c r="AN27" s="137"/>
      <c r="AO27" s="137"/>
      <c r="AP27" s="137"/>
      <c r="AQ27" s="137"/>
      <c r="AR27" s="137"/>
      <c r="AS27" s="137"/>
      <c r="AT27" s="137"/>
      <c r="AU27" s="121"/>
    </row>
    <row r="28" spans="1:47" ht="16.149999999999999" customHeight="1" thickBot="1" x14ac:dyDescent="0.25">
      <c r="B28" s="1011" t="str">
        <f>ListAVS!$B$71</f>
        <v>Ilość szafek</v>
      </c>
      <c r="C28" s="1012"/>
      <c r="D28" s="1012"/>
      <c r="E28" s="1012"/>
      <c r="F28" s="1012"/>
      <c r="G28" s="1012"/>
      <c r="H28" s="437"/>
      <c r="I28" s="256"/>
      <c r="J28" s="264"/>
      <c r="K28" s="396"/>
      <c r="L28" s="265"/>
      <c r="O28" s="138">
        <f>IF($P$28=FALSE,2,1)</f>
        <v>2</v>
      </c>
      <c r="P28" s="1063" t="b">
        <v>0</v>
      </c>
      <c r="Q28" s="1064"/>
      <c r="R28" s="139" t="s">
        <v>56</v>
      </c>
      <c r="S28" s="140"/>
      <c r="T28" s="346"/>
      <c r="U28" s="317"/>
      <c r="V28" s="347"/>
      <c r="X28" s="345"/>
      <c r="Y28" s="164"/>
      <c r="Z28" s="164"/>
      <c r="AA28" s="301"/>
      <c r="AB28" s="165"/>
      <c r="AC28" s="395"/>
      <c r="AD28" s="167"/>
      <c r="AE28" s="408"/>
      <c r="AF28" s="168"/>
      <c r="AG28" s="408"/>
      <c r="AH28" s="168"/>
      <c r="AI28" s="108"/>
      <c r="AJ28" s="108"/>
      <c r="AK28" s="693"/>
      <c r="AL28" s="137"/>
      <c r="AM28" s="137"/>
      <c r="AN28" s="137"/>
      <c r="AO28" s="137"/>
      <c r="AP28" s="137"/>
      <c r="AQ28" s="137"/>
      <c r="AR28" s="137"/>
      <c r="AS28" s="137"/>
      <c r="AT28" s="137"/>
    </row>
    <row r="29" spans="1:47" ht="16.149999999999999" customHeight="1" x14ac:dyDescent="0.2">
      <c r="A29" s="137"/>
      <c r="B29" s="255" t="str">
        <f>IF(H28&gt;0,IF(OR(R24=0,M25=0), " ",IF(R24=1,$N$50,$N$51))," ")&amp;IF(H28&gt;0,IF(OR(R24=0, M25=0), " ",IF(R24=1,$N$52,$N$53))," ")</f>
        <v xml:space="preserve">  </v>
      </c>
      <c r="C29" s="255"/>
      <c r="D29" s="255"/>
      <c r="E29" s="255"/>
      <c r="F29" s="255"/>
      <c r="G29" s="255"/>
      <c r="H29" s="273"/>
      <c r="I29" s="273"/>
      <c r="J29" s="266"/>
      <c r="K29" s="266"/>
      <c r="L29" s="266"/>
      <c r="T29" s="346"/>
      <c r="U29" s="119"/>
      <c r="V29" s="134"/>
      <c r="Y29" s="164"/>
      <c r="Z29" s="164"/>
      <c r="AA29" s="301"/>
      <c r="AB29" s="165"/>
      <c r="AC29" s="395"/>
      <c r="AD29" s="167"/>
      <c r="AE29" s="408"/>
      <c r="AF29" s="168"/>
      <c r="AG29" s="408"/>
      <c r="AH29" s="168"/>
      <c r="AI29" s="108"/>
      <c r="AJ29" s="108"/>
      <c r="AK29" s="693"/>
      <c r="AL29" s="137"/>
      <c r="AM29" s="137"/>
      <c r="AN29" s="137"/>
      <c r="AO29" s="137"/>
      <c r="AP29" s="137"/>
      <c r="AQ29" s="137"/>
      <c r="AR29" s="137"/>
      <c r="AS29" s="137"/>
      <c r="AT29" s="137"/>
    </row>
    <row r="30" spans="1:47" ht="16.149999999999999" customHeight="1" x14ac:dyDescent="0.2">
      <c r="B30" s="275" t="str">
        <f>IF(AND($Q$23=1, $Q$24=1, $R$23=1), ListAVS!$B$338&amp;$Y$50&amp;". "&amp;ListAVS!$B$339, IF(AND($Q$23=1, $Q$24=1, $R$24=1), ListAVS!$B$338&amp;$Y$49&amp;". "&amp;ListAVS!$B$339, " "))</f>
        <v xml:space="preserve"> </v>
      </c>
      <c r="C30" s="248"/>
      <c r="D30" s="396"/>
      <c r="E30" s="396"/>
      <c r="F30" s="274"/>
      <c r="G30" s="274"/>
      <c r="H30" s="396"/>
      <c r="I30" s="264"/>
      <c r="J30" s="264"/>
      <c r="K30" s="396"/>
      <c r="L30" s="265"/>
      <c r="T30" s="346"/>
      <c r="U30" s="344"/>
      <c r="V30" s="344"/>
      <c r="W30" s="346"/>
      <c r="Y30" s="164"/>
      <c r="Z30" s="164"/>
      <c r="AA30" s="301"/>
      <c r="AB30" s="165"/>
      <c r="AC30" s="395"/>
      <c r="AD30" s="167"/>
      <c r="AE30" s="407"/>
      <c r="AF30" s="168"/>
      <c r="AG30" s="407"/>
      <c r="AH30" s="168"/>
      <c r="AI30" s="108"/>
      <c r="AJ30" s="108"/>
      <c r="AK30" s="108"/>
      <c r="AL30" s="137"/>
      <c r="AM30" s="137"/>
      <c r="AN30" s="137"/>
      <c r="AO30" s="137"/>
      <c r="AP30" s="137"/>
      <c r="AQ30" s="137"/>
      <c r="AR30" s="137"/>
      <c r="AS30" s="137"/>
      <c r="AT30" s="137"/>
    </row>
    <row r="31" spans="1:47" ht="16.149999999999999" customHeight="1" x14ac:dyDescent="0.2">
      <c r="B31" s="1109" t="str">
        <f>IF(OR(AND($R$14=2, $M$15&gt;0), AND($R$24=2, $M$25&gt;0)), ListAVS!$B$176, " ")</f>
        <v xml:space="preserve"> </v>
      </c>
      <c r="C31" s="1109"/>
      <c r="D31" s="1109"/>
      <c r="E31" s="1109"/>
      <c r="F31" s="1109"/>
      <c r="G31" s="1109"/>
      <c r="H31" s="1109"/>
      <c r="I31" s="1109"/>
      <c r="J31" s="1109"/>
      <c r="K31" s="397"/>
      <c r="L31" s="397"/>
      <c r="W31" s="346"/>
      <c r="X31" s="346"/>
      <c r="Y31" s="164"/>
      <c r="Z31" s="164"/>
      <c r="AA31" s="301"/>
      <c r="AB31" s="165"/>
      <c r="AC31" s="395"/>
      <c r="AD31" s="167"/>
      <c r="AE31" s="407"/>
      <c r="AF31" s="168"/>
      <c r="AG31" s="407"/>
      <c r="AH31" s="168"/>
      <c r="AI31" s="108"/>
      <c r="AJ31" s="108"/>
      <c r="AK31" s="710"/>
      <c r="AL31" s="137"/>
      <c r="AM31" s="137"/>
      <c r="AN31" s="137"/>
      <c r="AO31" s="137"/>
      <c r="AP31" s="137"/>
      <c r="AQ31" s="137"/>
      <c r="AR31" s="137"/>
      <c r="AS31" s="137"/>
      <c r="AT31" s="137"/>
    </row>
    <row r="32" spans="1:47" ht="16.149999999999999" customHeight="1" x14ac:dyDescent="0.2">
      <c r="B32" s="1109"/>
      <c r="C32" s="1109"/>
      <c r="D32" s="1109"/>
      <c r="E32" s="1109"/>
      <c r="F32" s="1109"/>
      <c r="G32" s="1109"/>
      <c r="H32" s="1109"/>
      <c r="I32" s="1109"/>
      <c r="J32" s="1109"/>
      <c r="K32" s="397"/>
      <c r="L32" s="397"/>
      <c r="W32" s="346"/>
      <c r="X32" s="346"/>
      <c r="Y32" s="164" t="str">
        <f>CenAVS!A78</f>
        <v xml:space="preserve">mocowanie frontu do HK Top, HS/Top, HL/Top    </v>
      </c>
      <c r="Z32" s="164" t="str">
        <f>CenAVS!B78</f>
        <v>20S4200</v>
      </c>
      <c r="AA32" s="301" t="str">
        <f>CenAVS!C78</f>
        <v>NI</v>
      </c>
      <c r="AB32" s="165">
        <f>SUM(AE32,AG32)</f>
        <v>0</v>
      </c>
      <c r="AC32" s="395">
        <f>CenAVS!F78</f>
        <v>9.9925899999999999</v>
      </c>
      <c r="AD32" s="167">
        <f>AB32*AC32</f>
        <v>0</v>
      </c>
      <c r="AE32" s="407"/>
      <c r="AF32" s="168">
        <f>$AC32*AE32</f>
        <v>0</v>
      </c>
      <c r="AG32" s="407"/>
      <c r="AH32" s="168">
        <f>$AC32*AG32</f>
        <v>0</v>
      </c>
      <c r="AI32" s="108"/>
      <c r="AJ32" s="108"/>
      <c r="AK32" s="108"/>
      <c r="AL32" s="137"/>
      <c r="AM32" s="137"/>
      <c r="AN32" s="137"/>
      <c r="AO32" s="137"/>
      <c r="AP32" s="137"/>
      <c r="AQ32" s="137"/>
      <c r="AR32" s="137"/>
      <c r="AS32" s="137"/>
      <c r="AT32" s="137"/>
    </row>
    <row r="33" spans="2:47" ht="16.149999999999999" customHeight="1" x14ac:dyDescent="0.2">
      <c r="B33" s="1109"/>
      <c r="C33" s="1109"/>
      <c r="D33" s="1109"/>
      <c r="E33" s="1109"/>
      <c r="F33" s="1109"/>
      <c r="G33" s="1109"/>
      <c r="H33" s="1109"/>
      <c r="I33" s="1109"/>
      <c r="J33" s="1109"/>
      <c r="K33" s="266"/>
      <c r="L33" s="255"/>
      <c r="W33" s="344"/>
      <c r="X33" s="344"/>
      <c r="Y33" s="164" t="str">
        <f>CenAVS!A79</f>
        <v xml:space="preserve">mocowanie frontu HS, HK top, HL Expando    </v>
      </c>
      <c r="Z33" s="164" t="str">
        <f>CenAVS!B79</f>
        <v>20S42E1</v>
      </c>
      <c r="AA33" s="301" t="str">
        <f>CenAVS!C79</f>
        <v>NI</v>
      </c>
      <c r="AB33" s="165">
        <f>SUM(AE33,AG33)</f>
        <v>0</v>
      </c>
      <c r="AC33" s="395">
        <f>CenAVS!F79</f>
        <v>6.2138699999999991</v>
      </c>
      <c r="AD33" s="167">
        <f>AB33*AC33</f>
        <v>0</v>
      </c>
      <c r="AE33" s="407"/>
      <c r="AF33" s="168">
        <f>$AC33*AE33</f>
        <v>0</v>
      </c>
      <c r="AG33" s="407"/>
      <c r="AH33" s="168">
        <f>$AC33*AG33</f>
        <v>0</v>
      </c>
      <c r="AI33" s="108"/>
      <c r="AJ33" s="108"/>
      <c r="AK33" s="108"/>
      <c r="AL33" s="137"/>
      <c r="AM33" s="137"/>
      <c r="AN33" s="137"/>
      <c r="AO33" s="137"/>
      <c r="AP33" s="137"/>
      <c r="AQ33" s="137"/>
      <c r="AR33" s="137"/>
      <c r="AS33" s="137"/>
      <c r="AT33" s="137"/>
    </row>
    <row r="34" spans="2:47" ht="16.149999999999999" customHeight="1" x14ac:dyDescent="0.2">
      <c r="B34" s="272"/>
      <c r="C34" s="255"/>
      <c r="D34" s="266"/>
      <c r="E34" s="266"/>
      <c r="F34" s="266"/>
      <c r="G34" s="266"/>
      <c r="H34" s="266"/>
      <c r="I34" s="255"/>
      <c r="J34" s="266"/>
      <c r="K34" s="266"/>
      <c r="L34" s="255"/>
      <c r="W34" s="344"/>
      <c r="X34" s="344"/>
      <c r="Y34" s="164" t="str">
        <f>CenAVS!A80</f>
        <v>mocow. frontu do cienkich materiałów Aventos HK, HL, HS, Expando T</v>
      </c>
      <c r="Z34" s="164" t="str">
        <f>CenAVS!B80</f>
        <v>20S42T1</v>
      </c>
      <c r="AA34" s="301" t="str">
        <f>CenAVS!C80</f>
        <v>NI</v>
      </c>
      <c r="AB34" s="165">
        <f>SUM(AE34,AG34)</f>
        <v>0</v>
      </c>
      <c r="AC34" s="395">
        <f>CenAVS!F80</f>
        <v>31.992830000000005</v>
      </c>
      <c r="AD34" s="167">
        <f>AB34*AC34</f>
        <v>0</v>
      </c>
      <c r="AE34" s="407"/>
      <c r="AF34" s="168">
        <f>$AC34*AE34</f>
        <v>0</v>
      </c>
      <c r="AG34" s="407"/>
      <c r="AH34" s="168">
        <f>$AC34*AG34</f>
        <v>0</v>
      </c>
      <c r="AI34" s="108"/>
      <c r="AJ34" s="108"/>
      <c r="AK34" s="108"/>
      <c r="AL34" s="137"/>
      <c r="AM34" s="137"/>
      <c r="AN34" s="137"/>
      <c r="AO34" s="137"/>
      <c r="AP34" s="137"/>
      <c r="AQ34" s="137"/>
      <c r="AR34" s="137"/>
      <c r="AS34" s="137"/>
      <c r="AT34" s="137"/>
    </row>
    <row r="35" spans="2:47" ht="16.149999999999999" customHeight="1" x14ac:dyDescent="0.2">
      <c r="B35" s="272"/>
      <c r="C35" s="273"/>
      <c r="D35" s="266"/>
      <c r="E35" s="266"/>
      <c r="F35" s="266"/>
      <c r="G35" s="266"/>
      <c r="H35" s="266"/>
      <c r="I35" s="255"/>
      <c r="J35" s="266"/>
      <c r="K35" s="266"/>
      <c r="L35" s="255"/>
      <c r="N35" s="37" t="str">
        <f>ListAVS!B177</f>
        <v>Cena bez zasilacza!</v>
      </c>
      <c r="T35" s="344"/>
      <c r="U35" s="344"/>
      <c r="V35" s="344"/>
      <c r="W35" s="344"/>
      <c r="X35" s="344"/>
      <c r="Y35" s="164" t="str">
        <f>CenAVS!A81</f>
        <v xml:space="preserve">mocowanie frontu alu HK Top, HS/Top, HL/Top    </v>
      </c>
      <c r="Z35" s="164" t="str">
        <f>CenAVS!B81</f>
        <v>20S4200A</v>
      </c>
      <c r="AA35" s="301" t="str">
        <f>CenAVS!C81</f>
        <v>NI</v>
      </c>
      <c r="AB35" s="165">
        <f>SUM(AE35,AG35)</f>
        <v>0</v>
      </c>
      <c r="AC35" s="395">
        <f>CenAVS!F81</f>
        <v>43.392219999999995</v>
      </c>
      <c r="AD35" s="167">
        <f>AB35*AC35</f>
        <v>0</v>
      </c>
      <c r="AE35" s="407">
        <f>SUM(AE$9:AE$12)</f>
        <v>0</v>
      </c>
      <c r="AF35" s="168">
        <f>$AC35*AE35</f>
        <v>0</v>
      </c>
      <c r="AG35" s="407">
        <f>SUM(AG$9:AG$12)</f>
        <v>0</v>
      </c>
      <c r="AH35" s="168">
        <f>$AC35*AG35</f>
        <v>0</v>
      </c>
      <c r="AI35" s="108"/>
      <c r="AJ35" s="108"/>
      <c r="AK35" s="108"/>
      <c r="AL35" s="137"/>
      <c r="AM35" s="137"/>
      <c r="AN35" s="137"/>
      <c r="AO35" s="137"/>
      <c r="AP35" s="137"/>
      <c r="AQ35" s="137"/>
      <c r="AR35" s="137"/>
      <c r="AS35" s="137"/>
      <c r="AT35" s="137"/>
    </row>
    <row r="36" spans="2:47" ht="16.149999999999999" customHeight="1" x14ac:dyDescent="0.2">
      <c r="B36" s="272"/>
      <c r="C36" s="255"/>
      <c r="D36" s="266"/>
      <c r="E36" s="266"/>
      <c r="F36" s="266"/>
      <c r="G36" s="266"/>
      <c r="H36" s="266"/>
      <c r="I36" s="255"/>
      <c r="J36" s="266"/>
      <c r="K36" s="266"/>
      <c r="L36" s="255"/>
      <c r="N36" s="37" t="str">
        <f>" "&amp;ListAVS!$B$118</f>
        <v xml:space="preserve"> Wprowadź na górze masę objętościową </v>
      </c>
      <c r="T36" s="317"/>
      <c r="U36" s="317"/>
      <c r="V36" s="344"/>
      <c r="W36" s="344"/>
      <c r="X36" s="344"/>
      <c r="Y36" s="164"/>
      <c r="Z36" s="164"/>
      <c r="AA36" s="301"/>
      <c r="AB36" s="165"/>
      <c r="AC36" s="395"/>
      <c r="AD36" s="167"/>
      <c r="AE36" s="407"/>
      <c r="AF36" s="168"/>
      <c r="AG36" s="407"/>
      <c r="AH36" s="168"/>
      <c r="AI36" s="108"/>
      <c r="AJ36" s="108"/>
      <c r="AK36" s="108"/>
      <c r="AL36" s="137"/>
      <c r="AM36" s="137"/>
      <c r="AN36" s="137"/>
      <c r="AO36" s="137"/>
      <c r="AP36" s="137"/>
      <c r="AQ36" s="137"/>
      <c r="AR36" s="137"/>
      <c r="AS36" s="137"/>
      <c r="AT36" s="137"/>
    </row>
    <row r="37" spans="2:47" ht="16.149999999999999" customHeight="1" x14ac:dyDescent="0.2">
      <c r="B37" s="274"/>
      <c r="C37" s="275" t="str">
        <f>"* "&amp;ListAVS!$B$234</f>
        <v>* Podaj liczbę ścianek środkowych w korpusie.</v>
      </c>
      <c r="D37" s="275"/>
      <c r="E37" s="275"/>
      <c r="F37" s="275"/>
      <c r="G37" s="275"/>
      <c r="H37" s="275"/>
      <c r="I37" s="275"/>
      <c r="J37" s="275"/>
      <c r="K37" s="275"/>
      <c r="L37" s="275"/>
      <c r="N37" s="37" t="str">
        <f>" "&amp;ListAVS!$B$116</f>
        <v xml:space="preserve"> Wprowadź wagę lub wypełnij wszystkie komórki</v>
      </c>
      <c r="T37" s="344"/>
      <c r="U37" s="344"/>
      <c r="V37" s="344"/>
      <c r="W37" s="317"/>
      <c r="X37" s="317"/>
      <c r="Y37" s="164" t="str">
        <f>CenAVS!A171</f>
        <v xml:space="preserve">Aventos HF/HL/HS - Top Servo-Drive      </v>
      </c>
      <c r="Z37" s="164" t="str">
        <f>CenAVS!B171</f>
        <v>23.A000</v>
      </c>
      <c r="AA37" s="301" t="str">
        <f>CenAVS!C171</f>
        <v>R7037</v>
      </c>
      <c r="AB37" s="165">
        <f>SUM(AE37,AG37)</f>
        <v>0</v>
      </c>
      <c r="AC37" s="395">
        <f>CenAVS!F171</f>
        <v>905.30219999999997</v>
      </c>
      <c r="AD37" s="167">
        <f>AB37*AC37</f>
        <v>0</v>
      </c>
      <c r="AE37" s="407">
        <f>IF($R$14=2, $M$15, 0)</f>
        <v>0</v>
      </c>
      <c r="AF37" s="168">
        <f>$AC37*AE37</f>
        <v>0</v>
      </c>
      <c r="AG37" s="407">
        <f>IF($R$25=2, $M$26, 0)</f>
        <v>0</v>
      </c>
      <c r="AH37" s="168">
        <f>$AC37*AG37</f>
        <v>0</v>
      </c>
      <c r="AI37" s="108"/>
      <c r="AJ37" s="108"/>
      <c r="AK37" s="108"/>
      <c r="AL37" s="137"/>
      <c r="AM37" s="137"/>
      <c r="AN37" s="137"/>
      <c r="AO37" s="137"/>
      <c r="AP37" s="137"/>
      <c r="AQ37" s="137"/>
      <c r="AR37" s="137"/>
      <c r="AS37" s="137"/>
      <c r="AT37" s="137"/>
    </row>
    <row r="38" spans="2:47" ht="16.149999999999999" customHeight="1" x14ac:dyDescent="0.2">
      <c r="B38" s="255"/>
      <c r="C38" s="255" t="str">
        <f>"** "&amp;ListAVS!$B$187</f>
        <v>** Jeżeli znasz wagę i nie chcesz skorzystać z "obliczenie wagi"</v>
      </c>
      <c r="D38" s="275"/>
      <c r="E38" s="275"/>
      <c r="F38" s="275"/>
      <c r="G38" s="275"/>
      <c r="H38" s="275"/>
      <c r="I38" s="275"/>
      <c r="J38" s="275"/>
      <c r="K38" s="275"/>
      <c r="L38" s="275"/>
      <c r="N38" s="37" t="str">
        <f>"◄ "&amp;ListAVS!$B$113</f>
        <v>◄ wartość będzie wykorzystana w celu wyboru siłownika</v>
      </c>
      <c r="T38" s="344"/>
      <c r="U38" s="344"/>
      <c r="V38" s="344"/>
      <c r="W38" s="344"/>
      <c r="X38" s="344"/>
      <c r="Y38" s="164"/>
      <c r="Z38" s="164"/>
      <c r="AA38" s="301"/>
      <c r="AB38" s="165"/>
      <c r="AC38" s="395"/>
      <c r="AD38" s="167"/>
      <c r="AE38" s="408"/>
      <c r="AF38" s="168">
        <f>$AC38*AE38</f>
        <v>0</v>
      </c>
      <c r="AG38" s="408"/>
      <c r="AH38" s="168">
        <f>$AC38*AG38</f>
        <v>0</v>
      </c>
      <c r="AI38" s="37"/>
      <c r="AJ38" s="108"/>
      <c r="AK38" s="108"/>
      <c r="AL38" s="137"/>
      <c r="AM38" s="37"/>
      <c r="AN38" s="37"/>
      <c r="AO38" s="37"/>
      <c r="AP38" s="37"/>
      <c r="AQ38" s="37"/>
      <c r="AR38" s="37"/>
      <c r="AS38" s="37"/>
      <c r="AT38" s="137"/>
    </row>
    <row r="39" spans="2:47" ht="16.149999999999999" customHeight="1" x14ac:dyDescent="0.2">
      <c r="B39" s="255"/>
      <c r="C39" s="273" t="str">
        <f>"*** "&amp;ListAVS!$B$403</f>
        <v>*** Wybierz rodzaj ramki aluminiowej!</v>
      </c>
      <c r="D39" s="266"/>
      <c r="E39" s="266"/>
      <c r="F39" s="266"/>
      <c r="G39" s="266"/>
      <c r="H39" s="276"/>
      <c r="I39" s="276"/>
      <c r="J39" s="276"/>
      <c r="K39" s="276"/>
      <c r="L39" s="255"/>
      <c r="N39" s="37" t="str">
        <f>" * "&amp;ListAVS!$B$128</f>
        <v xml:space="preserve"> * Wypełnij wartości</v>
      </c>
      <c r="T39" s="344"/>
      <c r="U39" s="344"/>
      <c r="V39" s="344"/>
      <c r="W39" s="344"/>
      <c r="X39" s="344"/>
      <c r="AA39" s="118"/>
      <c r="AB39" s="118"/>
      <c r="AC39" s="918"/>
      <c r="AD39" s="919"/>
      <c r="AE39" s="118"/>
      <c r="AF39" s="170"/>
      <c r="AG39" s="118"/>
      <c r="AH39" s="170"/>
      <c r="AI39" s="37"/>
      <c r="AJ39" s="108"/>
      <c r="AK39" s="108"/>
      <c r="AL39" s="37"/>
      <c r="AM39" s="37"/>
      <c r="AN39" s="37"/>
      <c r="AO39" s="37"/>
      <c r="AP39" s="37"/>
      <c r="AQ39" s="37"/>
      <c r="AR39" s="37"/>
      <c r="AS39" s="37"/>
      <c r="AT39" s="137"/>
    </row>
    <row r="40" spans="2:47" ht="16.149999999999999" customHeight="1" x14ac:dyDescent="0.2">
      <c r="B40" s="274"/>
      <c r="C40" s="670" t="str">
        <f>"      "&amp;ListAVS!$B$404</f>
        <v xml:space="preserve">      Więcej informacji o wyborze ramki aluminiowej w Pomocy</v>
      </c>
      <c r="D40" s="255"/>
      <c r="E40" s="255"/>
      <c r="F40" s="255"/>
      <c r="G40" s="255"/>
      <c r="H40" s="276"/>
      <c r="I40" s="276"/>
      <c r="J40" s="276"/>
      <c r="K40" s="276"/>
      <c r="L40" s="255"/>
      <c r="O40" s="37"/>
      <c r="Q40" s="37"/>
      <c r="T40" s="348"/>
      <c r="U40" s="344"/>
      <c r="V40" s="344"/>
      <c r="W40" s="344"/>
      <c r="X40" s="344"/>
      <c r="AC40" s="144" t="str">
        <f>ListAVS!$B$61&amp;" "</f>
        <v xml:space="preserve">Cena całkowita bez VAT </v>
      </c>
      <c r="AD40" s="171">
        <f>SUM(AD9:AD38)</f>
        <v>0</v>
      </c>
      <c r="AF40" s="201">
        <f>SUM(AF9:AF38)</f>
        <v>0</v>
      </c>
      <c r="AH40" s="201">
        <f>SUM(AH9:AH38)</f>
        <v>0</v>
      </c>
      <c r="AI40" s="37"/>
      <c r="AJ40" s="108"/>
      <c r="AK40" s="108"/>
      <c r="AL40" s="37"/>
      <c r="AM40" s="37"/>
      <c r="AN40" s="37"/>
      <c r="AO40" s="37"/>
      <c r="AP40" s="37"/>
      <c r="AQ40" s="37"/>
      <c r="AR40" s="37"/>
      <c r="AS40" s="37"/>
      <c r="AT40" s="37"/>
      <c r="AU40" s="37"/>
    </row>
    <row r="41" spans="2:47" ht="16.149999999999999" customHeight="1" x14ac:dyDescent="0.2">
      <c r="B41" s="255"/>
      <c r="C41" s="255"/>
      <c r="D41" s="399"/>
      <c r="E41" s="399"/>
      <c r="F41" s="399"/>
      <c r="G41" s="399"/>
      <c r="H41" s="255"/>
      <c r="I41" s="255"/>
      <c r="J41" s="255"/>
      <c r="K41" s="255"/>
      <c r="L41" s="255"/>
      <c r="N41" s="37" t="str">
        <f>" "&amp;ListAVS!$B$125&amp;"!"</f>
        <v xml:space="preserve"> Waga poza dozwolonym zakresem!</v>
      </c>
      <c r="O41" s="37"/>
      <c r="T41" s="344"/>
      <c r="U41" s="344"/>
      <c r="V41" s="344"/>
      <c r="W41" s="348"/>
      <c r="X41" s="348"/>
      <c r="Y41" s="144" t="str">
        <f>Param!M30</f>
        <v>Parametry HL</v>
      </c>
      <c r="AA41" s="118"/>
      <c r="AB41" s="118"/>
      <c r="AC41" s="918"/>
      <c r="AD41" s="919"/>
      <c r="AE41" s="118"/>
      <c r="AF41" s="170"/>
      <c r="AG41" s="118"/>
      <c r="AH41" s="170"/>
      <c r="AI41" s="108"/>
      <c r="AJ41" s="108"/>
      <c r="AK41" s="108"/>
      <c r="AL41" s="37"/>
      <c r="AM41" s="137"/>
      <c r="AN41" s="137"/>
      <c r="AO41" s="137"/>
      <c r="AP41" s="137"/>
      <c r="AQ41" s="137"/>
      <c r="AR41" s="137"/>
      <c r="AS41" s="137"/>
      <c r="AT41" s="37"/>
      <c r="AU41" s="37"/>
    </row>
    <row r="42" spans="2:47" s="37" customFormat="1" ht="16.149999999999999" customHeight="1" x14ac:dyDescent="0.2">
      <c r="J42" s="145"/>
      <c r="K42" s="145"/>
      <c r="N42" s="37" t="str">
        <f>" max. 9 000! "&amp;ListAVS!$B$122</f>
        <v xml:space="preserve"> max. 9 000! Popraw wagę albo wysokość</v>
      </c>
      <c r="O42" s="118"/>
      <c r="Q42" s="118"/>
      <c r="T42" s="344"/>
      <c r="U42" s="344"/>
      <c r="V42" s="344"/>
      <c r="W42" s="344"/>
      <c r="X42" s="344"/>
      <c r="Y42" s="132"/>
      <c r="Z42" s="883"/>
      <c r="AA42" s="910" t="str">
        <f>Param!O31</f>
        <v>22L2200</v>
      </c>
      <c r="AB42" s="910"/>
      <c r="AC42" s="911"/>
      <c r="AI42" s="108"/>
      <c r="AJ42" s="108"/>
      <c r="AK42" s="108"/>
      <c r="AL42" s="137"/>
      <c r="AM42" s="137"/>
      <c r="AN42" s="137"/>
      <c r="AO42" s="137"/>
      <c r="AP42" s="137"/>
      <c r="AQ42" s="137"/>
      <c r="AR42" s="137"/>
      <c r="AS42" s="137"/>
    </row>
    <row r="43" spans="2:47" s="37" customFormat="1" ht="16.149999999999999" customHeight="1" x14ac:dyDescent="0.2">
      <c r="B43" s="147"/>
      <c r="C43" s="148"/>
      <c r="D43" s="148"/>
      <c r="E43" s="148"/>
      <c r="F43" s="148"/>
      <c r="G43" s="148"/>
      <c r="H43" s="148"/>
      <c r="I43" s="148"/>
      <c r="J43" s="148"/>
      <c r="K43" s="148"/>
      <c r="N43" s="149" t="str">
        <f>" "&amp;ListAVS!$B$235</f>
        <v xml:space="preserve"> Konieczna ścianka środkowa</v>
      </c>
      <c r="O43" s="118"/>
      <c r="Q43" s="118"/>
      <c r="T43" s="342"/>
      <c r="U43" s="342"/>
      <c r="V43" s="344"/>
      <c r="W43" s="344"/>
      <c r="X43" s="344"/>
      <c r="Y43" s="132"/>
      <c r="Z43" s="132" t="str">
        <f>Param!N32</f>
        <v>min KH</v>
      </c>
      <c r="AA43" s="132" t="str">
        <f>Param!O32</f>
        <v>max KH</v>
      </c>
      <c r="AB43" s="132" t="str">
        <f>Param!P32</f>
        <v>min FG</v>
      </c>
      <c r="AC43" s="132" t="str">
        <f>Param!Q32</f>
        <v>max FG</v>
      </c>
      <c r="AI43" s="108"/>
      <c r="AJ43" s="108"/>
      <c r="AK43" s="108"/>
      <c r="AL43" s="137"/>
      <c r="AM43" s="137"/>
      <c r="AN43" s="137"/>
      <c r="AO43" s="137"/>
      <c r="AP43" s="137"/>
      <c r="AQ43" s="137"/>
      <c r="AR43" s="137"/>
      <c r="AS43" s="137"/>
      <c r="AT43" s="137"/>
      <c r="AU43" s="121"/>
    </row>
    <row r="44" spans="2:47" s="37" customFormat="1" ht="16.149999999999999" customHeight="1" x14ac:dyDescent="0.2">
      <c r="B44" s="142"/>
      <c r="C44" s="148"/>
      <c r="D44" s="148"/>
      <c r="E44" s="148"/>
      <c r="F44" s="148"/>
      <c r="G44" s="148"/>
      <c r="H44" s="148"/>
      <c r="I44" s="148"/>
      <c r="J44" s="148"/>
      <c r="K44" s="148"/>
      <c r="O44" s="118"/>
      <c r="Q44" s="118"/>
      <c r="T44" s="342"/>
      <c r="U44" s="342"/>
      <c r="V44" s="344"/>
      <c r="W44" s="344"/>
      <c r="X44" s="344"/>
      <c r="Y44" s="174" t="str">
        <f>Param!M33</f>
        <v>22L3200</v>
      </c>
      <c r="Z44" s="132">
        <f>Param!N33</f>
        <v>300</v>
      </c>
      <c r="AA44" s="132">
        <f>Param!O33</f>
        <v>339</v>
      </c>
      <c r="AB44" s="920">
        <f>Param!P33</f>
        <v>1.5</v>
      </c>
      <c r="AC44" s="920">
        <f>Param!Q33</f>
        <v>9</v>
      </c>
      <c r="AI44" s="108"/>
      <c r="AJ44" s="108"/>
      <c r="AK44" s="108"/>
      <c r="AL44" s="137"/>
      <c r="AM44" s="137"/>
      <c r="AN44" s="137"/>
      <c r="AO44" s="137"/>
      <c r="AP44" s="137"/>
      <c r="AQ44" s="137"/>
      <c r="AR44" s="137"/>
      <c r="AS44" s="137"/>
      <c r="AT44" s="137"/>
      <c r="AU44" s="121"/>
    </row>
    <row r="45" spans="2:47" ht="16.149999999999999" customHeight="1" x14ac:dyDescent="0.2">
      <c r="B45" s="349"/>
      <c r="C45" s="148"/>
      <c r="D45" s="148"/>
      <c r="E45" s="148"/>
      <c r="F45" s="148"/>
      <c r="G45" s="148"/>
      <c r="H45" s="148"/>
      <c r="I45" s="148"/>
      <c r="J45" s="148"/>
      <c r="K45" s="148"/>
      <c r="N45" s="151"/>
      <c r="O45" s="117">
        <f>HL!$N$26</f>
        <v>2</v>
      </c>
      <c r="P45" s="151"/>
      <c r="T45" s="117">
        <f>MenuAVS!$P$28</f>
        <v>1</v>
      </c>
      <c r="U45" s="344"/>
      <c r="V45" s="344"/>
      <c r="W45" s="926">
        <f>HL!P26</f>
        <v>1</v>
      </c>
      <c r="X45" s="342"/>
      <c r="Y45" s="174" t="str">
        <f>Param!M34</f>
        <v>22L3500</v>
      </c>
      <c r="Z45" s="132">
        <f>Param!N34</f>
        <v>340</v>
      </c>
      <c r="AA45" s="132">
        <f>Param!O34</f>
        <v>389</v>
      </c>
      <c r="AB45" s="920">
        <f>Param!P34</f>
        <v>1.75</v>
      </c>
      <c r="AC45" s="920">
        <f>Param!Q34</f>
        <v>10</v>
      </c>
      <c r="AI45" s="108"/>
      <c r="AJ45" s="108"/>
      <c r="AK45" s="108"/>
      <c r="AL45" s="137"/>
      <c r="AM45" s="137"/>
      <c r="AN45" s="137"/>
      <c r="AO45" s="137"/>
      <c r="AP45" s="137"/>
      <c r="AQ45" s="137"/>
      <c r="AR45" s="137"/>
      <c r="AS45" s="137"/>
      <c r="AT45" s="137"/>
    </row>
    <row r="46" spans="2:47" ht="16.149999999999999" customHeight="1" x14ac:dyDescent="0.2">
      <c r="B46" s="350"/>
      <c r="C46" s="148"/>
      <c r="D46" s="148"/>
      <c r="E46" s="148"/>
      <c r="F46" s="148"/>
      <c r="G46" s="148"/>
      <c r="H46" s="148"/>
      <c r="I46" s="148"/>
      <c r="J46" s="148"/>
      <c r="K46" s="148"/>
      <c r="N46" s="153"/>
      <c r="O46" s="153" t="s">
        <v>84</v>
      </c>
      <c r="P46" s="153"/>
      <c r="Q46" s="154" t="s">
        <v>57</v>
      </c>
      <c r="T46" s="154" t="s">
        <v>6</v>
      </c>
      <c r="U46" s="344"/>
      <c r="V46" s="344"/>
      <c r="W46" s="922" t="str">
        <f>HL!P27</f>
        <v>mont.</v>
      </c>
      <c r="X46" s="345"/>
      <c r="Y46" s="174"/>
      <c r="Z46" s="132"/>
      <c r="AA46" s="132"/>
      <c r="AB46" s="132"/>
      <c r="AC46" s="132"/>
      <c r="AI46" s="108"/>
      <c r="AJ46" s="108"/>
      <c r="AK46" s="108"/>
      <c r="AL46" s="137"/>
      <c r="AM46" s="137"/>
      <c r="AN46" s="137"/>
      <c r="AO46" s="137"/>
      <c r="AP46" s="137"/>
      <c r="AQ46" s="137"/>
      <c r="AR46" s="137"/>
      <c r="AS46" s="137"/>
      <c r="AT46" s="137"/>
    </row>
    <row r="47" spans="2:47" ht="16.149999999999999" customHeight="1" x14ac:dyDescent="0.2">
      <c r="B47" s="316"/>
      <c r="C47" s="317"/>
      <c r="D47" s="317"/>
      <c r="E47" s="317"/>
      <c r="F47" s="317"/>
      <c r="G47" s="317"/>
      <c r="I47" s="317"/>
      <c r="J47" s="317"/>
      <c r="O47" s="118" t="str">
        <f>ListAVS!$B$143</f>
        <v>Expando</v>
      </c>
      <c r="Q47" s="149" t="s">
        <v>58</v>
      </c>
      <c r="T47" s="37" t="str">
        <f>ListAVS!$B$146</f>
        <v>Jasnoszary (HGR)</v>
      </c>
      <c r="U47" s="344"/>
      <c r="V47" s="344"/>
      <c r="W47" s="921" t="str">
        <f>HL!P28</f>
        <v>wkręty</v>
      </c>
      <c r="X47" s="346"/>
      <c r="Y47" s="174"/>
      <c r="Z47" s="883"/>
      <c r="AA47" s="910" t="str">
        <f>Param!O36</f>
        <v>22L2500</v>
      </c>
      <c r="AB47" s="910"/>
      <c r="AC47" s="911"/>
      <c r="AI47" s="108"/>
      <c r="AJ47" s="108"/>
      <c r="AK47" s="108"/>
      <c r="AL47" s="137"/>
      <c r="AM47" s="137"/>
      <c r="AN47" s="137"/>
      <c r="AO47" s="137"/>
      <c r="AP47" s="137"/>
      <c r="AQ47" s="137"/>
      <c r="AR47" s="137"/>
      <c r="AS47" s="137"/>
      <c r="AT47" s="137"/>
    </row>
    <row r="48" spans="2:47" ht="16.149999999999999" customHeight="1" x14ac:dyDescent="0.2">
      <c r="B48" s="317"/>
      <c r="C48" s="317"/>
      <c r="D48" s="317"/>
      <c r="E48" s="317"/>
      <c r="F48" s="317"/>
      <c r="G48" s="317"/>
      <c r="I48" s="317"/>
      <c r="J48" s="317"/>
      <c r="O48" s="118" t="str">
        <f>ListAVS!$B$144</f>
        <v>na wkręty</v>
      </c>
      <c r="Q48" s="149" t="s">
        <v>59</v>
      </c>
      <c r="T48" s="37" t="str">
        <f>ListAVS!$B$147</f>
        <v>Ciemnoszary (TGR)</v>
      </c>
      <c r="U48" s="344"/>
      <c r="V48" s="344"/>
      <c r="W48" s="921" t="str">
        <f>HL!P29</f>
        <v>wstępnie zamontowane eurowkręty</v>
      </c>
      <c r="X48" s="346"/>
      <c r="Y48" s="174">
        <f>Param!M37</f>
        <v>0</v>
      </c>
      <c r="Z48" s="132" t="str">
        <f>Param!N37</f>
        <v>min KH</v>
      </c>
      <c r="AA48" s="132" t="str">
        <f>Param!O37</f>
        <v>max KH</v>
      </c>
      <c r="AB48" s="132" t="str">
        <f>Param!P37</f>
        <v>min FG</v>
      </c>
      <c r="AC48" s="132" t="str">
        <f>Param!Q37</f>
        <v>max FG</v>
      </c>
      <c r="AD48" s="132" t="str">
        <f>Param!R37</f>
        <v>hranice</v>
      </c>
      <c r="AI48" s="108"/>
      <c r="AJ48" s="108"/>
      <c r="AK48" s="108"/>
      <c r="AL48" s="137"/>
      <c r="AM48" s="137"/>
      <c r="AN48" s="137"/>
      <c r="AO48" s="137"/>
      <c r="AP48" s="137"/>
      <c r="AQ48" s="137"/>
      <c r="AR48" s="137"/>
      <c r="AS48" s="137"/>
      <c r="AT48" s="137"/>
    </row>
    <row r="49" spans="2:47" ht="16.149999999999999" customHeight="1" x14ac:dyDescent="0.2">
      <c r="B49" s="316"/>
      <c r="C49" s="317"/>
      <c r="D49" s="317"/>
      <c r="E49" s="317"/>
      <c r="F49" s="317"/>
      <c r="G49" s="317"/>
      <c r="I49" s="317"/>
      <c r="J49" s="317"/>
      <c r="T49" s="37" t="str">
        <f>ListAVS!$B$148</f>
        <v>Jedwabiście biały (SW)</v>
      </c>
      <c r="U49" s="344"/>
      <c r="V49" s="344"/>
      <c r="W49" s="346"/>
      <c r="X49" s="346"/>
      <c r="Y49" s="174" t="str">
        <f>Param!M38</f>
        <v>22L3800</v>
      </c>
      <c r="Z49" s="132">
        <f>Param!N38</f>
        <v>390</v>
      </c>
      <c r="AA49" s="132">
        <f>Param!O38</f>
        <v>540</v>
      </c>
      <c r="AB49" s="920">
        <f>Param!P38</f>
        <v>2</v>
      </c>
      <c r="AC49" s="920">
        <f>Param!Q38</f>
        <v>12.25</v>
      </c>
      <c r="AD49" s="920">
        <f>Param!R38</f>
        <v>500</v>
      </c>
      <c r="AI49" s="108"/>
      <c r="AJ49" s="108"/>
      <c r="AK49" s="108"/>
      <c r="AL49" s="137"/>
      <c r="AM49" s="137"/>
      <c r="AN49" s="137"/>
      <c r="AO49" s="137"/>
      <c r="AP49" s="137"/>
      <c r="AQ49" s="137"/>
      <c r="AR49" s="137"/>
      <c r="AS49" s="137"/>
      <c r="AT49" s="137"/>
    </row>
    <row r="50" spans="2:47" x14ac:dyDescent="0.2">
      <c r="B50" s="144"/>
      <c r="C50" s="317"/>
      <c r="N50" s="37" t="str">
        <f>ListAVS!B188&amp;". "</f>
        <v xml:space="preserve">W celu określenia rodzaju siłownika będzie wykorzystana podana waga. </v>
      </c>
      <c r="T50" s="346"/>
      <c r="U50" s="344"/>
      <c r="V50" s="344"/>
      <c r="W50" s="346"/>
      <c r="X50" s="346"/>
      <c r="Y50" s="174" t="str">
        <f>Param!M39</f>
        <v>22L3900</v>
      </c>
      <c r="Z50" s="132">
        <f>Param!N39</f>
        <v>480</v>
      </c>
      <c r="AA50" s="132">
        <f>Param!O39</f>
        <v>580</v>
      </c>
      <c r="AB50" s="920">
        <f>Param!P39</f>
        <v>1.5</v>
      </c>
      <c r="AC50" s="920">
        <f>Param!Q39</f>
        <v>14</v>
      </c>
      <c r="AI50" s="108"/>
      <c r="AJ50" s="108"/>
      <c r="AK50" s="108"/>
      <c r="AL50" s="137"/>
      <c r="AM50" s="137"/>
      <c r="AN50" s="137"/>
      <c r="AO50" s="137"/>
      <c r="AP50" s="137"/>
      <c r="AQ50" s="137"/>
      <c r="AR50" s="137"/>
      <c r="AS50" s="137"/>
      <c r="AT50" s="137"/>
    </row>
    <row r="51" spans="2:47" ht="20.100000000000001" customHeight="1" x14ac:dyDescent="0.2">
      <c r="B51" s="606" t="str">
        <f>" "&amp;ListAVS!$B$395</f>
        <v xml:space="preserve"> Odległość frontu od korpusu</v>
      </c>
      <c r="N51" s="37" t="str">
        <f>ListAVS!B189&amp;". "</f>
        <v xml:space="preserve">W celu określenia rodzaju siłownika będzie wykorzystana obliczona waga. </v>
      </c>
      <c r="T51" s="346"/>
      <c r="U51" s="344"/>
      <c r="V51" s="344"/>
      <c r="W51" s="346"/>
      <c r="X51" s="346"/>
      <c r="Y51" s="346"/>
      <c r="Z51" s="346"/>
      <c r="AA51" s="346"/>
      <c r="AB51" s="346"/>
      <c r="AC51" s="346"/>
      <c r="AD51" s="346"/>
      <c r="AE51" s="346"/>
      <c r="AF51" s="346"/>
      <c r="AG51" s="346"/>
      <c r="AH51" s="346"/>
      <c r="AI51" s="108"/>
      <c r="AJ51" s="108"/>
      <c r="AK51" s="108"/>
      <c r="AL51" s="137"/>
      <c r="AM51" s="137"/>
      <c r="AN51" s="137"/>
      <c r="AO51" s="137"/>
      <c r="AP51" s="137"/>
      <c r="AQ51" s="137"/>
      <c r="AR51" s="137"/>
      <c r="AS51" s="137"/>
      <c r="AT51" s="137"/>
    </row>
    <row r="52" spans="2:47" ht="16.149999999999999" customHeight="1" x14ac:dyDescent="0.2">
      <c r="B52" s="1170" t="s">
        <v>78</v>
      </c>
      <c r="C52" s="1170"/>
      <c r="D52" s="1170" t="str">
        <f>ListAVS!$B$387</f>
        <v>Zestaw ramion teleskopowych</v>
      </c>
      <c r="E52" s="1170"/>
      <c r="F52" s="770" t="s">
        <v>745</v>
      </c>
      <c r="G52" s="770" t="s">
        <v>746</v>
      </c>
      <c r="H52" s="770" t="s">
        <v>748</v>
      </c>
      <c r="I52" s="770" t="s">
        <v>747</v>
      </c>
      <c r="J52" s="155"/>
      <c r="N52" s="37" t="str">
        <f>ListAVS!B190</f>
        <v>Jeżeli chcesz wykorzystać obliczoną wagę, zmaż podaną wartość</v>
      </c>
      <c r="T52" s="346"/>
      <c r="U52" s="344"/>
      <c r="V52" s="344"/>
      <c r="W52" s="346"/>
      <c r="X52" s="346"/>
      <c r="Y52" s="346"/>
      <c r="Z52" s="346"/>
      <c r="AA52" s="346"/>
      <c r="AB52" s="346"/>
      <c r="AC52" s="346"/>
      <c r="AD52" s="346"/>
      <c r="AE52" s="346"/>
      <c r="AF52" s="346"/>
      <c r="AG52" s="346"/>
      <c r="AH52" s="346"/>
      <c r="AI52" s="108"/>
      <c r="AJ52" s="108"/>
      <c r="AK52" s="108"/>
      <c r="AL52" s="137"/>
      <c r="AM52" s="137"/>
      <c r="AN52" s="137"/>
      <c r="AO52" s="137"/>
      <c r="AP52" s="137"/>
      <c r="AQ52" s="137"/>
      <c r="AR52" s="137"/>
      <c r="AS52" s="137"/>
      <c r="AT52" s="137"/>
    </row>
    <row r="53" spans="2:47" ht="16.149999999999999" customHeight="1" x14ac:dyDescent="0.2">
      <c r="B53" s="1169" t="s">
        <v>750</v>
      </c>
      <c r="C53" s="1169"/>
      <c r="D53" s="1169" t="s">
        <v>717</v>
      </c>
      <c r="E53" s="1169"/>
      <c r="F53" s="731">
        <v>112</v>
      </c>
      <c r="G53" s="948">
        <v>272.5</v>
      </c>
      <c r="H53" s="948">
        <v>155.5</v>
      </c>
      <c r="I53" s="948">
        <v>272.5</v>
      </c>
      <c r="N53" s="37" t="str">
        <f>ListAVS!B191</f>
        <v>Jeżeli chcesz wykorzystać podaną wagą, wpisz ją w pole</v>
      </c>
      <c r="T53" s="346"/>
      <c r="U53" s="344"/>
      <c r="V53" s="344"/>
      <c r="W53" s="346"/>
      <c r="X53" s="346"/>
      <c r="Y53" s="345"/>
      <c r="Z53" s="345"/>
      <c r="AA53" s="345"/>
      <c r="AB53" s="345"/>
      <c r="AC53" s="345"/>
      <c r="AD53" s="345"/>
      <c r="AE53" s="345"/>
      <c r="AF53" s="345"/>
      <c r="AG53" s="345"/>
      <c r="AH53" s="345"/>
      <c r="AI53" s="108"/>
      <c r="AJ53" s="108"/>
      <c r="AK53" s="108"/>
      <c r="AL53" s="137"/>
      <c r="AM53" s="137"/>
      <c r="AN53" s="137"/>
      <c r="AO53" s="137"/>
      <c r="AP53" s="137"/>
      <c r="AQ53" s="137"/>
      <c r="AR53" s="137"/>
      <c r="AS53" s="137"/>
      <c r="AT53" s="137"/>
    </row>
    <row r="54" spans="2:47" ht="16.149999999999999" customHeight="1" x14ac:dyDescent="0.2">
      <c r="B54" s="1169" t="s">
        <v>749</v>
      </c>
      <c r="C54" s="1169"/>
      <c r="D54" s="1169" t="s">
        <v>718</v>
      </c>
      <c r="E54" s="1169"/>
      <c r="F54" s="731">
        <v>140.5</v>
      </c>
      <c r="G54" s="948">
        <v>340</v>
      </c>
      <c r="H54" s="948">
        <v>195</v>
      </c>
      <c r="I54" s="948">
        <v>340</v>
      </c>
      <c r="T54" s="346"/>
      <c r="U54" s="344"/>
      <c r="V54" s="344"/>
      <c r="W54" s="346"/>
      <c r="X54" s="346"/>
      <c r="Y54" s="346"/>
      <c r="Z54" s="346"/>
      <c r="AA54" s="346"/>
      <c r="AB54" s="346"/>
      <c r="AC54" s="346"/>
      <c r="AD54" s="346"/>
      <c r="AE54" s="346"/>
      <c r="AF54" s="346"/>
      <c r="AG54" s="346"/>
      <c r="AH54" s="346"/>
      <c r="AI54" s="108"/>
      <c r="AJ54" s="108"/>
      <c r="AK54" s="108"/>
      <c r="AL54" s="137"/>
      <c r="AM54" s="137"/>
      <c r="AN54" s="137"/>
      <c r="AO54" s="137"/>
      <c r="AP54" s="137"/>
      <c r="AQ54" s="137"/>
      <c r="AR54" s="137"/>
      <c r="AS54" s="137"/>
      <c r="AT54" s="137"/>
    </row>
    <row r="55" spans="2:47" ht="16.149999999999999" customHeight="1" x14ac:dyDescent="0.2">
      <c r="B55" s="1169" t="s">
        <v>751</v>
      </c>
      <c r="C55" s="1169"/>
      <c r="D55" s="1169" t="s">
        <v>720</v>
      </c>
      <c r="E55" s="1169"/>
      <c r="F55" s="731">
        <v>176</v>
      </c>
      <c r="G55" s="948">
        <v>425</v>
      </c>
      <c r="H55" s="948">
        <v>245</v>
      </c>
      <c r="I55" s="948">
        <v>425</v>
      </c>
      <c r="N55" s="37" t="str">
        <f>" "&amp;ListAVS!$B$109</f>
        <v xml:space="preserve"> w połączeniu z SERVO-DRIVE</v>
      </c>
      <c r="T55" s="345"/>
      <c r="U55" s="344"/>
      <c r="V55" s="344"/>
      <c r="W55" s="346"/>
      <c r="X55" s="346"/>
      <c r="Y55" s="346"/>
      <c r="Z55" s="346"/>
      <c r="AA55" s="346"/>
      <c r="AB55" s="346"/>
      <c r="AC55" s="346"/>
      <c r="AD55" s="346"/>
      <c r="AE55" s="346"/>
      <c r="AF55" s="346"/>
      <c r="AG55" s="346"/>
      <c r="AH55" s="346"/>
      <c r="AI55" s="108"/>
      <c r="AJ55" s="108"/>
      <c r="AK55" s="108"/>
      <c r="AL55" s="137"/>
      <c r="AM55" s="137"/>
      <c r="AN55" s="137"/>
      <c r="AO55" s="137"/>
      <c r="AP55" s="37"/>
      <c r="AQ55" s="37"/>
      <c r="AR55" s="37"/>
      <c r="AS55" s="37"/>
      <c r="AT55" s="137"/>
    </row>
    <row r="56" spans="2:47" ht="16.149999999999999" customHeight="1" x14ac:dyDescent="0.2">
      <c r="B56" s="1169" t="s">
        <v>752</v>
      </c>
      <c r="C56" s="1169"/>
      <c r="D56" s="1169" t="s">
        <v>721</v>
      </c>
      <c r="E56" s="1169"/>
      <c r="F56" s="731">
        <v>214.5</v>
      </c>
      <c r="G56" s="948">
        <v>517</v>
      </c>
      <c r="H56" s="948">
        <v>297.5</v>
      </c>
      <c r="I56" s="948">
        <v>517</v>
      </c>
      <c r="N56" s="37" t="str">
        <f>" "&amp;ListAVS!$B$110</f>
        <v xml:space="preserve"> niemożliwe w połączeniu z SERVO-DRIVE</v>
      </c>
      <c r="T56" s="346"/>
      <c r="U56" s="344"/>
      <c r="V56" s="344"/>
      <c r="W56" s="345"/>
      <c r="X56" s="345"/>
      <c r="Y56" s="346"/>
      <c r="Z56" s="346"/>
      <c r="AA56" s="346"/>
      <c r="AB56" s="346"/>
      <c r="AC56" s="346"/>
      <c r="AD56" s="346"/>
      <c r="AE56" s="346"/>
      <c r="AF56" s="346"/>
      <c r="AG56" s="346"/>
      <c r="AH56" s="346"/>
      <c r="AI56" s="108"/>
      <c r="AJ56" s="108"/>
      <c r="AK56" s="108"/>
      <c r="AL56" s="137"/>
      <c r="AM56" s="137"/>
      <c r="AN56" s="137"/>
      <c r="AO56" s="137"/>
      <c r="AP56" s="37"/>
      <c r="AQ56" s="37"/>
      <c r="AR56" s="37"/>
      <c r="AS56" s="37"/>
      <c r="AT56" s="137"/>
    </row>
    <row r="57" spans="2:47" ht="16.149999999999999" customHeight="1" x14ac:dyDescent="0.2">
      <c r="C57" s="268"/>
      <c r="D57" s="1177"/>
      <c r="E57" s="1177"/>
      <c r="F57" s="268"/>
      <c r="G57" s="268"/>
      <c r="T57" s="346"/>
      <c r="U57" s="344"/>
      <c r="V57" s="344"/>
      <c r="W57" s="346"/>
      <c r="X57" s="346"/>
      <c r="Y57" s="346"/>
      <c r="Z57" s="346"/>
      <c r="AA57" s="346"/>
      <c r="AB57" s="346"/>
      <c r="AC57" s="346"/>
      <c r="AD57" s="346"/>
      <c r="AE57" s="346"/>
      <c r="AF57" s="346"/>
      <c r="AG57" s="346"/>
      <c r="AH57" s="346"/>
      <c r="AI57" s="108"/>
      <c r="AJ57" s="108"/>
      <c r="AK57" s="108"/>
      <c r="AL57" s="137"/>
      <c r="AM57" s="137"/>
      <c r="AN57" s="137"/>
      <c r="AO57" s="137"/>
      <c r="AP57" s="137"/>
      <c r="AQ57" s="137"/>
      <c r="AR57" s="137"/>
      <c r="AS57" s="137"/>
      <c r="AT57" s="37"/>
      <c r="AU57" s="37"/>
    </row>
    <row r="58" spans="2:47" ht="16.149999999999999" customHeight="1" x14ac:dyDescent="0.2">
      <c r="C58" s="227"/>
      <c r="D58" s="227"/>
      <c r="E58" s="227"/>
      <c r="F58" s="227"/>
      <c r="G58" s="227"/>
      <c r="O58" s="37"/>
      <c r="Q58" s="37"/>
      <c r="T58" s="346"/>
      <c r="U58" s="344"/>
      <c r="V58" s="344"/>
      <c r="W58" s="346"/>
      <c r="X58" s="346"/>
      <c r="Y58" s="346"/>
      <c r="Z58" s="346"/>
      <c r="AA58" s="346"/>
      <c r="AB58" s="346"/>
      <c r="AC58" s="346"/>
      <c r="AD58" s="346"/>
      <c r="AE58" s="346"/>
      <c r="AF58" s="346"/>
      <c r="AG58" s="346"/>
      <c r="AH58" s="346"/>
      <c r="AI58" s="108"/>
      <c r="AJ58" s="108"/>
      <c r="AK58" s="108"/>
      <c r="AL58" s="137"/>
      <c r="AM58" s="137"/>
      <c r="AN58" s="137"/>
      <c r="AO58" s="137"/>
      <c r="AP58" s="137"/>
      <c r="AQ58" s="137"/>
      <c r="AR58" s="137"/>
      <c r="AS58" s="137"/>
      <c r="AT58" s="37"/>
      <c r="AU58" s="37"/>
    </row>
    <row r="59" spans="2:47" s="37" customFormat="1" ht="16.149999999999999" customHeight="1" x14ac:dyDescent="0.2">
      <c r="C59" s="268"/>
      <c r="D59" s="1177"/>
      <c r="E59" s="1177"/>
      <c r="F59" s="788"/>
      <c r="G59" s="788"/>
      <c r="O59" s="118"/>
      <c r="Q59" s="118"/>
      <c r="T59" s="346"/>
      <c r="U59" s="344"/>
      <c r="V59" s="344"/>
      <c r="W59" s="346"/>
      <c r="X59" s="346"/>
      <c r="Y59" s="346"/>
      <c r="Z59" s="346"/>
      <c r="AA59" s="346"/>
      <c r="AB59" s="346"/>
      <c r="AC59" s="346"/>
      <c r="AD59" s="346"/>
      <c r="AE59" s="346"/>
      <c r="AF59" s="346"/>
      <c r="AG59" s="346"/>
      <c r="AH59" s="346"/>
      <c r="AI59" s="108"/>
      <c r="AJ59" s="108"/>
      <c r="AK59" s="108"/>
      <c r="AL59" s="137"/>
      <c r="AM59" s="137"/>
      <c r="AN59" s="137"/>
      <c r="AO59" s="137"/>
      <c r="AP59" s="137"/>
      <c r="AQ59" s="137"/>
      <c r="AR59" s="137"/>
      <c r="AS59" s="137"/>
      <c r="AT59" s="137"/>
      <c r="AU59" s="121"/>
    </row>
    <row r="60" spans="2:47" s="37" customFormat="1" ht="16.149999999999999" customHeight="1" x14ac:dyDescent="0.2">
      <c r="C60" s="268"/>
      <c r="D60" s="1177"/>
      <c r="E60" s="1177"/>
      <c r="F60" s="268"/>
      <c r="G60" s="268"/>
      <c r="O60" s="118"/>
      <c r="Q60" s="118"/>
      <c r="T60" s="346"/>
      <c r="U60" s="344"/>
      <c r="V60" s="344"/>
      <c r="W60" s="346"/>
      <c r="X60" s="346"/>
      <c r="Y60" s="346"/>
      <c r="Z60" s="346"/>
      <c r="AA60" s="346"/>
      <c r="AB60" s="346"/>
      <c r="AC60" s="346"/>
      <c r="AD60" s="346"/>
      <c r="AE60" s="346"/>
      <c r="AF60" s="346"/>
      <c r="AG60" s="346"/>
      <c r="AH60" s="346"/>
      <c r="AI60" s="108"/>
      <c r="AJ60" s="108"/>
      <c r="AK60" s="108"/>
      <c r="AL60" s="137"/>
      <c r="AM60" s="137"/>
      <c r="AN60" s="137"/>
      <c r="AO60" s="137"/>
      <c r="AP60" s="137"/>
      <c r="AQ60" s="137"/>
      <c r="AR60" s="137"/>
      <c r="AS60" s="137"/>
      <c r="AT60" s="137"/>
      <c r="AU60" s="121"/>
    </row>
    <row r="61" spans="2:47" ht="16.149999999999999" customHeight="1" x14ac:dyDescent="0.2">
      <c r="C61" s="227"/>
      <c r="D61" s="227"/>
      <c r="E61" s="227"/>
      <c r="F61" s="227"/>
      <c r="G61" s="227"/>
      <c r="T61" s="346"/>
      <c r="U61" s="344"/>
      <c r="V61" s="344"/>
      <c r="W61" s="346"/>
      <c r="X61" s="346"/>
      <c r="Y61" s="346"/>
      <c r="Z61" s="346"/>
      <c r="AA61" s="346"/>
      <c r="AB61" s="346"/>
      <c r="AC61" s="346"/>
      <c r="AD61" s="346"/>
      <c r="AE61" s="346"/>
      <c r="AF61" s="346"/>
      <c r="AG61" s="346"/>
      <c r="AH61" s="346"/>
      <c r="AI61" s="108"/>
      <c r="AJ61" s="108"/>
      <c r="AK61" s="108"/>
      <c r="AL61" s="137"/>
      <c r="AM61" s="137"/>
      <c r="AN61" s="137"/>
      <c r="AO61" s="137"/>
      <c r="AP61" s="137"/>
      <c r="AQ61" s="137"/>
      <c r="AR61" s="137"/>
      <c r="AS61" s="137"/>
      <c r="AT61" s="137"/>
    </row>
    <row r="62" spans="2:47" ht="16.149999999999999" customHeight="1" x14ac:dyDescent="0.2">
      <c r="C62" s="268"/>
      <c r="D62" s="1177"/>
      <c r="E62" s="1177"/>
      <c r="F62" s="788"/>
      <c r="G62" s="788"/>
      <c r="T62" s="346"/>
      <c r="U62" s="344"/>
      <c r="V62" s="344"/>
      <c r="W62" s="346"/>
      <c r="X62" s="346"/>
      <c r="Y62" s="346"/>
      <c r="Z62" s="346"/>
      <c r="AA62" s="346"/>
      <c r="AB62" s="346"/>
      <c r="AC62" s="346"/>
      <c r="AD62" s="346"/>
      <c r="AE62" s="346"/>
      <c r="AF62" s="346"/>
      <c r="AG62" s="346"/>
      <c r="AH62" s="346"/>
      <c r="AI62" s="108"/>
      <c r="AJ62" s="108"/>
      <c r="AK62" s="108"/>
      <c r="AL62" s="137"/>
      <c r="AM62" s="137"/>
      <c r="AN62" s="137"/>
      <c r="AO62" s="137"/>
      <c r="AP62" s="137"/>
      <c r="AQ62" s="137"/>
      <c r="AR62" s="137"/>
      <c r="AS62" s="137"/>
      <c r="AT62" s="137"/>
    </row>
    <row r="63" spans="2:47" ht="16.149999999999999" customHeight="1" x14ac:dyDescent="0.2">
      <c r="C63" s="268"/>
      <c r="D63" s="1177"/>
      <c r="E63" s="1177"/>
      <c r="F63" s="268"/>
      <c r="G63" s="268"/>
      <c r="T63" s="346"/>
      <c r="U63" s="344"/>
      <c r="V63" s="344"/>
      <c r="W63" s="346"/>
      <c r="X63" s="346"/>
      <c r="Y63" s="345"/>
      <c r="Z63" s="345"/>
      <c r="AA63" s="345"/>
      <c r="AB63" s="345"/>
      <c r="AC63" s="345"/>
      <c r="AD63" s="345"/>
      <c r="AE63" s="345"/>
      <c r="AF63" s="345"/>
      <c r="AG63" s="345"/>
      <c r="AH63" s="345"/>
      <c r="AI63" s="108"/>
      <c r="AJ63" s="108"/>
      <c r="AK63" s="108"/>
      <c r="AL63" s="137"/>
      <c r="AM63" s="137"/>
      <c r="AN63" s="137"/>
      <c r="AO63" s="137"/>
      <c r="AP63" s="137"/>
      <c r="AQ63" s="137"/>
      <c r="AR63" s="137"/>
      <c r="AS63" s="137"/>
      <c r="AT63" s="137"/>
    </row>
    <row r="64" spans="2:47" x14ac:dyDescent="0.2">
      <c r="T64" s="345"/>
      <c r="U64" s="344"/>
      <c r="V64" s="344"/>
      <c r="W64" s="346"/>
      <c r="X64" s="346"/>
      <c r="Y64" s="346"/>
      <c r="Z64" s="346"/>
      <c r="AA64" s="346"/>
      <c r="AB64" s="346"/>
      <c r="AC64" s="346"/>
      <c r="AD64" s="346"/>
      <c r="AE64" s="346"/>
      <c r="AF64" s="346"/>
      <c r="AG64" s="346"/>
      <c r="AH64" s="346"/>
      <c r="AI64" s="108"/>
      <c r="AJ64" s="108"/>
      <c r="AK64" s="108"/>
      <c r="AL64" s="137"/>
      <c r="AM64" s="137"/>
      <c r="AN64" s="137"/>
      <c r="AO64" s="137"/>
      <c r="AP64" s="137"/>
      <c r="AQ64" s="137"/>
      <c r="AR64" s="137"/>
      <c r="AS64" s="137"/>
      <c r="AT64" s="137"/>
    </row>
    <row r="65" spans="1:47" x14ac:dyDescent="0.2">
      <c r="T65" s="346"/>
      <c r="U65" s="344"/>
      <c r="V65" s="344"/>
      <c r="W65" s="345"/>
      <c r="X65" s="345"/>
      <c r="Y65" s="346"/>
      <c r="Z65" s="346"/>
      <c r="AA65" s="346"/>
      <c r="AB65" s="346"/>
      <c r="AC65" s="346"/>
      <c r="AD65" s="346"/>
      <c r="AE65" s="346"/>
      <c r="AF65" s="346"/>
      <c r="AG65" s="346"/>
      <c r="AH65" s="346"/>
      <c r="AI65" s="108"/>
      <c r="AJ65" s="108"/>
      <c r="AK65" s="108"/>
      <c r="AL65" s="137"/>
      <c r="AM65" s="137"/>
      <c r="AN65" s="137"/>
      <c r="AO65" s="137"/>
      <c r="AP65" s="137"/>
      <c r="AQ65" s="137"/>
      <c r="AR65" s="137"/>
      <c r="AS65" s="137"/>
      <c r="AT65" s="137"/>
    </row>
    <row r="66" spans="1:47" x14ac:dyDescent="0.2">
      <c r="T66" s="346"/>
      <c r="U66" s="344"/>
      <c r="V66" s="344"/>
      <c r="W66" s="346"/>
      <c r="X66" s="346"/>
      <c r="Y66" s="346"/>
      <c r="Z66" s="346"/>
      <c r="AA66" s="346"/>
      <c r="AB66" s="346"/>
      <c r="AC66" s="346"/>
      <c r="AD66" s="346"/>
      <c r="AE66" s="346"/>
      <c r="AF66" s="346"/>
      <c r="AG66" s="346"/>
      <c r="AH66" s="346"/>
      <c r="AI66" s="108"/>
      <c r="AJ66" s="108"/>
      <c r="AK66" s="108"/>
      <c r="AL66" s="137"/>
      <c r="AM66" s="137"/>
      <c r="AN66" s="137"/>
      <c r="AO66" s="137"/>
      <c r="AP66" s="137"/>
      <c r="AQ66" s="137"/>
      <c r="AR66" s="137"/>
      <c r="AS66" s="137"/>
      <c r="AT66" s="137"/>
    </row>
    <row r="67" spans="1:47" x14ac:dyDescent="0.2">
      <c r="T67" s="344"/>
      <c r="U67" s="344"/>
      <c r="V67" s="344"/>
      <c r="W67" s="344"/>
      <c r="X67" s="344"/>
      <c r="AI67" s="108"/>
      <c r="AJ67" s="108"/>
      <c r="AK67" s="108"/>
      <c r="AL67" s="137"/>
      <c r="AM67" s="137"/>
      <c r="AN67" s="137"/>
      <c r="AO67" s="137"/>
      <c r="AP67" s="137"/>
      <c r="AQ67" s="137"/>
      <c r="AR67" s="137"/>
      <c r="AS67" s="137"/>
      <c r="AT67" s="137"/>
    </row>
    <row r="68" spans="1:47" ht="12.75" x14ac:dyDescent="0.2">
      <c r="A68" s="255"/>
      <c r="N68" s="255"/>
      <c r="O68" s="255"/>
      <c r="P68" s="255"/>
      <c r="Q68" s="255"/>
      <c r="R68" s="255"/>
      <c r="S68" s="255"/>
      <c r="T68" s="255"/>
      <c r="U68" s="255"/>
      <c r="V68" s="255"/>
      <c r="W68" s="255"/>
      <c r="AI68" s="108"/>
      <c r="AJ68" s="108"/>
      <c r="AK68" s="108"/>
      <c r="AL68" s="137"/>
      <c r="AM68" s="137"/>
      <c r="AN68" s="137"/>
      <c r="AO68" s="137"/>
      <c r="AP68" s="137"/>
      <c r="AQ68" s="137"/>
      <c r="AR68" s="137"/>
      <c r="AS68" s="137"/>
      <c r="AT68" s="137"/>
    </row>
    <row r="69" spans="1:47" ht="12.75" x14ac:dyDescent="0.2">
      <c r="A69" s="255"/>
      <c r="N69" s="517" t="str">
        <f>ListAVS!$B$73</f>
        <v>Obliczanie wagi frontów</v>
      </c>
      <c r="O69" s="518"/>
      <c r="P69" s="518"/>
      <c r="Q69" s="518"/>
      <c r="R69" s="518"/>
      <c r="S69" s="255"/>
      <c r="T69" s="255"/>
      <c r="U69" s="255"/>
      <c r="V69" s="255"/>
      <c r="W69" s="255"/>
      <c r="AI69" s="108"/>
      <c r="AJ69" s="108"/>
      <c r="AK69" s="108"/>
      <c r="AL69" s="137"/>
      <c r="AM69" s="137"/>
      <c r="AN69" s="137"/>
      <c r="AO69" s="137"/>
      <c r="AP69" s="137"/>
      <c r="AQ69" s="137"/>
      <c r="AR69" s="137"/>
      <c r="AS69" s="137"/>
      <c r="AT69" s="137"/>
    </row>
    <row r="70" spans="1:47" ht="15.75" customHeight="1" x14ac:dyDescent="0.2">
      <c r="A70" s="255"/>
      <c r="N70" s="255"/>
      <c r="O70" s="137"/>
      <c r="P70" s="269" t="str">
        <f>ListAVS!$B$180&amp;"  "</f>
        <v xml:space="preserve">Wykonanie frontów  </v>
      </c>
      <c r="Q70" s="255"/>
      <c r="R70" s="255"/>
      <c r="S70" s="255"/>
      <c r="T70" s="829">
        <f>J4</f>
        <v>0</v>
      </c>
      <c r="U70" s="262" t="str">
        <f>IF(AF76=3,IF(T70=0,Y72," "),IF(T70&gt;0,Y73," "))</f>
        <v xml:space="preserve"> </v>
      </c>
      <c r="V70" s="255"/>
      <c r="W70" s="255"/>
      <c r="Y70" s="335" t="str">
        <f>IF($AF$76=1,$AF$95,IF($AF$76=2,$AF$96,#REF!&amp;" - "&amp;$Y$80&amp;"mm"))</f>
        <v>Ramki aluminiowe z 4mm szkłem</v>
      </c>
      <c r="Z70" s="118"/>
      <c r="AB70" s="118"/>
      <c r="AD70" s="598">
        <f>MenuAVS!$Q$81</f>
        <v>2500</v>
      </c>
      <c r="AI70" s="108"/>
      <c r="AJ70" s="108"/>
      <c r="AK70" s="108"/>
      <c r="AL70" s="137"/>
      <c r="AM70" s="137"/>
      <c r="AN70" s="137"/>
      <c r="AO70" s="137"/>
      <c r="AP70" s="137"/>
      <c r="AQ70" s="137"/>
      <c r="AR70" s="137"/>
      <c r="AS70" s="137"/>
      <c r="AT70" s="137"/>
    </row>
    <row r="71" spans="1:47" ht="15.75" customHeight="1" x14ac:dyDescent="0.2">
      <c r="A71" s="255"/>
      <c r="N71" s="255"/>
      <c r="O71" s="255"/>
      <c r="P71" s="255"/>
      <c r="Q71" s="255"/>
      <c r="R71" s="255"/>
      <c r="S71" s="255"/>
      <c r="T71" s="255"/>
      <c r="U71" s="255"/>
      <c r="V71" s="255"/>
      <c r="W71" s="255"/>
      <c r="Y71" s="37" t="str">
        <f>" "&amp;ListAVS!$B$410</f>
        <v xml:space="preserve"> Możesz zmienić wartości we Wstępie do planowania</v>
      </c>
      <c r="Z71" s="118"/>
      <c r="AB71" s="118"/>
      <c r="AI71" s="108"/>
      <c r="AJ71" s="108"/>
      <c r="AK71" s="108"/>
      <c r="AL71" s="137"/>
      <c r="AM71" s="137"/>
      <c r="AN71" s="137"/>
      <c r="AO71" s="137"/>
      <c r="AP71" s="137"/>
      <c r="AQ71" s="137"/>
      <c r="AR71" s="137"/>
      <c r="AS71" s="137"/>
      <c r="AT71" s="137"/>
    </row>
    <row r="72" spans="1:47" ht="15" customHeight="1" x14ac:dyDescent="0.2">
      <c r="A72" s="255"/>
      <c r="N72" s="266"/>
      <c r="O72" s="255"/>
      <c r="P72" s="255"/>
      <c r="Q72" s="255"/>
      <c r="R72" s="255"/>
      <c r="S72" s="255"/>
      <c r="T72" s="255"/>
      <c r="U72" s="255"/>
      <c r="V72" s="255"/>
      <c r="W72" s="255"/>
      <c r="Y72" s="37" t="str">
        <f>" "&amp;ListAVS!$B$246&amp;" [mm]"</f>
        <v xml:space="preserve"> Podaj grubość szkła [mm]</v>
      </c>
      <c r="Z72" s="118"/>
      <c r="AB72" s="118"/>
      <c r="AI72" s="108"/>
      <c r="AJ72" s="108"/>
      <c r="AK72" s="108"/>
      <c r="AL72" s="137"/>
      <c r="AM72" s="137"/>
      <c r="AN72" s="137"/>
      <c r="AO72" s="137"/>
      <c r="AP72" s="118"/>
      <c r="AQ72" s="118"/>
      <c r="AR72" s="118"/>
      <c r="AS72" s="118"/>
      <c r="AT72" s="137"/>
    </row>
    <row r="73" spans="1:47" ht="15" customHeight="1" x14ac:dyDescent="0.2">
      <c r="A73" s="255"/>
      <c r="N73" s="266"/>
      <c r="O73" s="255"/>
      <c r="P73" s="255"/>
      <c r="Q73" s="255"/>
      <c r="R73" s="255"/>
      <c r="S73" s="255"/>
      <c r="T73" s="255"/>
      <c r="U73" s="255"/>
      <c r="V73" s="255"/>
      <c r="W73" s="255"/>
      <c r="Y73" s="37" t="str">
        <f>" "&amp;ListAVS!$B$241&amp;" '"&amp;ListAVS!$B$95&amp;"'"</f>
        <v xml:space="preserve"> Wartość obowiązuje tylko dla opcji 'Ramki aluminiowe z innym szkłem'</v>
      </c>
      <c r="Z73" s="118"/>
      <c r="AB73" s="118"/>
      <c r="AI73" s="108"/>
      <c r="AJ73" s="108"/>
      <c r="AK73" s="108"/>
      <c r="AL73" s="137"/>
      <c r="AM73" s="137"/>
      <c r="AN73" s="137"/>
      <c r="AO73" s="137"/>
      <c r="AP73" s="118"/>
      <c r="AQ73" s="118"/>
      <c r="AR73" s="118"/>
      <c r="AS73" s="118"/>
      <c r="AT73" s="137"/>
    </row>
    <row r="74" spans="1:47" ht="15" customHeight="1" x14ac:dyDescent="0.2">
      <c r="A74" s="255"/>
      <c r="N74" s="255"/>
      <c r="O74" s="255"/>
      <c r="P74" s="255"/>
      <c r="Q74" s="255"/>
      <c r="R74" s="255"/>
      <c r="S74" s="255"/>
      <c r="T74" s="255"/>
      <c r="U74" s="255"/>
      <c r="V74" s="255"/>
      <c r="W74" s="255"/>
      <c r="Y74" s="137"/>
      <c r="Z74" s="118"/>
      <c r="AB74" s="118"/>
      <c r="AI74" s="108"/>
      <c r="AJ74" s="108"/>
      <c r="AK74" s="108"/>
      <c r="AL74" s="137"/>
      <c r="AM74" s="137"/>
      <c r="AN74" s="137"/>
      <c r="AO74" s="137"/>
      <c r="AP74" s="118"/>
      <c r="AQ74" s="118"/>
      <c r="AR74" s="118"/>
      <c r="AS74" s="118"/>
      <c r="AT74" s="118"/>
      <c r="AU74" s="118"/>
    </row>
    <row r="75" spans="1:47" ht="15" customHeight="1" x14ac:dyDescent="0.2">
      <c r="A75" s="255"/>
      <c r="N75" s="266"/>
      <c r="O75" s="266"/>
      <c r="P75" s="266"/>
      <c r="Q75" s="255"/>
      <c r="R75" s="1148" t="str">
        <f>D9</f>
        <v xml:space="preserve"> </v>
      </c>
      <c r="S75" s="1149"/>
      <c r="T75" s="1150"/>
      <c r="U75" s="255"/>
      <c r="V75" s="255"/>
      <c r="W75" s="255"/>
      <c r="Z75" s="118"/>
      <c r="AB75" s="118"/>
      <c r="AD75" s="209"/>
      <c r="AE75" s="601" t="s">
        <v>68</v>
      </c>
      <c r="AF75" s="601" t="s">
        <v>69</v>
      </c>
      <c r="AG75" s="601" t="s">
        <v>70</v>
      </c>
      <c r="AI75" s="108"/>
      <c r="AJ75" s="108"/>
      <c r="AK75" s="108"/>
      <c r="AL75" s="137"/>
      <c r="AM75" s="137"/>
      <c r="AN75" s="137"/>
      <c r="AO75" s="137"/>
      <c r="AP75" s="118"/>
      <c r="AQ75" s="118"/>
      <c r="AR75" s="118"/>
      <c r="AS75" s="118"/>
      <c r="AT75" s="118"/>
      <c r="AU75" s="118"/>
    </row>
    <row r="76" spans="1:47" s="118" customFormat="1" ht="15" customHeight="1" x14ac:dyDescent="0.2">
      <c r="A76" s="255"/>
      <c r="N76" s="1138" t="str">
        <f>ListAVS!$B$74&amp;" KB [mm]       "</f>
        <v xml:space="preserve">Szerokość korpusu KB [mm]       </v>
      </c>
      <c r="O76" s="1139"/>
      <c r="P76" s="1139"/>
      <c r="Q76" s="1139"/>
      <c r="R76" s="1139"/>
      <c r="S76" s="1140"/>
      <c r="T76" s="829">
        <f>H10</f>
        <v>0</v>
      </c>
      <c r="U76" s="670"/>
      <c r="V76" s="248"/>
      <c r="W76" s="255"/>
      <c r="X76" s="37"/>
      <c r="Y76" s="37">
        <f>T76*T77*T78</f>
        <v>0</v>
      </c>
      <c r="Z76" s="37"/>
      <c r="AA76" s="37"/>
      <c r="AC76" s="37"/>
      <c r="AD76" s="325">
        <f>IF($AG$76=1,$X$95,$X$96)</f>
        <v>0.31</v>
      </c>
      <c r="AE76" s="325">
        <f>$X$97</f>
        <v>0.46</v>
      </c>
      <c r="AF76" s="327">
        <v>1</v>
      </c>
      <c r="AG76" s="328">
        <f>$O$4</f>
        <v>1</v>
      </c>
      <c r="AH76" s="37"/>
      <c r="AJ76" s="108"/>
      <c r="AK76" s="108"/>
      <c r="AL76" s="137"/>
      <c r="AM76" s="137"/>
      <c r="AN76" s="137"/>
      <c r="AO76" s="137"/>
    </row>
    <row r="77" spans="1:47" s="118" customFormat="1" ht="15" customHeight="1" x14ac:dyDescent="0.2">
      <c r="A77" s="255"/>
      <c r="N77" s="1138" t="str">
        <f>ListAVS!$B$75&amp;" KH [mm]       "</f>
        <v xml:space="preserve">Wysokość korpusu KH [mm]       </v>
      </c>
      <c r="O77" s="1139"/>
      <c r="P77" s="1139"/>
      <c r="Q77" s="1139"/>
      <c r="R77" s="1139"/>
      <c r="S77" s="1140"/>
      <c r="T77" s="829">
        <f>H11</f>
        <v>0</v>
      </c>
      <c r="U77" s="670"/>
      <c r="V77" s="248"/>
      <c r="W77" s="255"/>
      <c r="X77" s="37"/>
      <c r="Y77" s="37">
        <f>Y76/1000000000</f>
        <v>0</v>
      </c>
      <c r="Z77" s="117">
        <v>2</v>
      </c>
      <c r="AC77" s="37"/>
      <c r="AD77" s="153" t="s">
        <v>71</v>
      </c>
      <c r="AE77" s="209">
        <f>SUM(T76*2,(T77-40)*2)*AD76/1000</f>
        <v>-2.4799999999999999E-2</v>
      </c>
      <c r="AF77" s="601" t="s">
        <v>72</v>
      </c>
      <c r="AG77" s="601"/>
      <c r="AH77" s="37"/>
      <c r="AJ77" s="108"/>
      <c r="AK77" s="108"/>
      <c r="AL77" s="137"/>
      <c r="AM77" s="137"/>
      <c r="AN77" s="137"/>
      <c r="AO77" s="137"/>
      <c r="AP77" s="137"/>
      <c r="AQ77" s="137"/>
      <c r="AR77" s="137"/>
      <c r="AS77" s="137"/>
    </row>
    <row r="78" spans="1:47" s="118" customFormat="1" ht="15" customHeight="1" x14ac:dyDescent="0.2">
      <c r="A78" s="255"/>
      <c r="N78" s="1173" t="str">
        <f>ListAVS!$B$80&amp;" TS [mm] "</f>
        <v xml:space="preserve">Grubość frontu TS [mm] </v>
      </c>
      <c r="O78" s="1174"/>
      <c r="P78" s="1174"/>
      <c r="Q78" s="1174"/>
      <c r="R78" s="1174"/>
      <c r="S78" s="1175"/>
      <c r="T78" s="829"/>
      <c r="U78" s="227"/>
      <c r="V78" s="248"/>
      <c r="W78" s="255"/>
      <c r="X78" s="37"/>
      <c r="Y78" s="319">
        <f>MenuAVS!$C$31</f>
        <v>760</v>
      </c>
      <c r="Z78" s="175" t="str">
        <f>ListAVS!$B$90&amp;" ("&amp;Y78&amp;" kg/m3)"</f>
        <v>MDF (760 kg/m3)</v>
      </c>
      <c r="AC78" s="37"/>
      <c r="AD78" s="209">
        <f>$AD$70*4/1000</f>
        <v>10</v>
      </c>
      <c r="AE78" s="330">
        <f>IF($AG$76=1,AF78*AD78,AG78*AD78)</f>
        <v>8.9999999999999993E-3</v>
      </c>
      <c r="AF78" s="209">
        <f>SUM(($T$76-30)*($T$77-30)/1000000)</f>
        <v>8.9999999999999998E-4</v>
      </c>
      <c r="AG78" s="351">
        <f>SUM(($T$76-6)*($T$77-6)/1000000)</f>
        <v>3.6000000000000001E-5</v>
      </c>
      <c r="AH78" s="208" t="s">
        <v>73</v>
      </c>
      <c r="AJ78" s="108"/>
      <c r="AK78" s="108"/>
      <c r="AL78" s="137"/>
      <c r="AM78" s="137"/>
      <c r="AN78" s="137"/>
      <c r="AO78" s="137"/>
      <c r="AP78" s="137"/>
      <c r="AQ78" s="137"/>
      <c r="AR78" s="137"/>
      <c r="AS78" s="137"/>
    </row>
    <row r="79" spans="1:47" s="118" customFormat="1" ht="15" customHeight="1" x14ac:dyDescent="0.2">
      <c r="A79" s="255"/>
      <c r="N79" s="1143" t="str">
        <f>ListAVS!$B$83&amp;" [kg] "</f>
        <v xml:space="preserve">Waga uchwytu [kg] </v>
      </c>
      <c r="O79" s="1144"/>
      <c r="P79" s="1144"/>
      <c r="Q79" s="1144"/>
      <c r="R79" s="1144"/>
      <c r="S79" s="1145"/>
      <c r="T79" s="831">
        <f>H14</f>
        <v>0</v>
      </c>
      <c r="U79" s="256" t="str">
        <f>IF(SUM(T76,T77)=0," ",IF(T79=0," ● "&amp;ListAVS!$B$130," "))</f>
        <v xml:space="preserve"> </v>
      </c>
      <c r="V79" s="248"/>
      <c r="W79" s="255"/>
      <c r="X79" s="37"/>
      <c r="Y79" s="319">
        <f>MenuAVS!$C$32</f>
        <v>680</v>
      </c>
      <c r="Z79" s="175" t="str">
        <f>ListAVS!$B$91&amp;" ("&amp;Y79&amp;" kg/m3)"</f>
        <v>Płyta wiórowa (680 kg/m3)</v>
      </c>
      <c r="AC79" s="37"/>
      <c r="AD79" s="209">
        <f>$AD$70*5/1000</f>
        <v>12.5</v>
      </c>
      <c r="AE79" s="330">
        <f>IF($AG$76=1,AF79*AD79,AG79*AD79)</f>
        <v>1.125E-2</v>
      </c>
      <c r="AF79" s="209">
        <f>SUM(($T$76-30)*($T$77-30)/1000000)</f>
        <v>8.9999999999999998E-4</v>
      </c>
      <c r="AG79" s="351">
        <f>SUM(($T$76-6)*($T$77-6)/1000000)</f>
        <v>3.6000000000000001E-5</v>
      </c>
      <c r="AH79" s="208" t="s">
        <v>74</v>
      </c>
      <c r="AJ79" s="108"/>
      <c r="AK79" s="108"/>
      <c r="AL79" s="137"/>
      <c r="AM79" s="137"/>
      <c r="AN79" s="137"/>
      <c r="AO79" s="137"/>
      <c r="AT79" s="137"/>
      <c r="AU79" s="121"/>
    </row>
    <row r="80" spans="1:47" s="118" customFormat="1" ht="15" customHeight="1" x14ac:dyDescent="0.2">
      <c r="A80" s="255"/>
      <c r="N80" s="1143" t="str">
        <f>ListAVS!$B$79&amp;" [kg] "</f>
        <v xml:space="preserve">Obliczona waga frontu [kg] </v>
      </c>
      <c r="O80" s="1144"/>
      <c r="P80" s="1144"/>
      <c r="Q80" s="1144"/>
      <c r="R80" s="1144"/>
      <c r="S80" s="1145"/>
      <c r="T80" s="533">
        <f>IF(AD81=0,0,AD81+T79)</f>
        <v>0</v>
      </c>
      <c r="U80" s="227"/>
      <c r="V80" s="248"/>
      <c r="W80" s="255"/>
      <c r="X80" s="186">
        <f>IF(T76*T77*T78=0,0,IF(Z77=1,Y77*Y78,IF(Z77=2,Y77*Y79,Y77*Y80)))</f>
        <v>0</v>
      </c>
      <c r="Y80" s="37">
        <f>$T$70</f>
        <v>0</v>
      </c>
      <c r="Z80" s="175" t="str">
        <f>ListAVS!$B$92</f>
        <v>Inne – wybrana gęstość materiału</v>
      </c>
      <c r="AC80" s="37"/>
      <c r="AD80" s="209">
        <f>$AD$70*$T$70/1000</f>
        <v>0</v>
      </c>
      <c r="AE80" s="330">
        <f>IF($AG$76=1,AF80*AD80,AG80*AD80)</f>
        <v>0</v>
      </c>
      <c r="AF80" s="209">
        <f>SUM(($T$76-30)*($T$77-30)/1000000)</f>
        <v>8.9999999999999998E-4</v>
      </c>
      <c r="AG80" s="351">
        <f>SUM(($T$76-6)*($T$77-6)/1000000)</f>
        <v>3.6000000000000001E-5</v>
      </c>
      <c r="AH80" s="208" t="s">
        <v>75</v>
      </c>
      <c r="AJ80" s="108"/>
      <c r="AK80" s="108"/>
      <c r="AL80" s="137"/>
      <c r="AM80" s="137"/>
      <c r="AN80" s="137"/>
      <c r="AO80" s="137"/>
      <c r="AT80" s="137"/>
      <c r="AU80" s="121"/>
    </row>
    <row r="81" spans="1:47" s="118" customFormat="1" ht="15" customHeight="1" x14ac:dyDescent="0.2">
      <c r="A81" s="255"/>
      <c r="N81" s="816"/>
      <c r="O81" s="816"/>
      <c r="P81" s="816"/>
      <c r="Q81" s="816"/>
      <c r="R81" s="816"/>
      <c r="S81" s="816"/>
      <c r="T81" s="600"/>
      <c r="U81" s="227"/>
      <c r="V81" s="248"/>
      <c r="W81" s="255"/>
      <c r="X81" s="37"/>
      <c r="Y81" s="37"/>
      <c r="AA81" s="37"/>
      <c r="AC81" s="37"/>
      <c r="AD81" s="332">
        <f>IF(OR(AND(AF76=3, $T$70=0), T76*T77=0), 0, SUM(IF(AF76=1,AE78,IF(AF76=2,AE79,AE80)),AE77,AE76))</f>
        <v>0</v>
      </c>
      <c r="AE81" s="37"/>
      <c r="AF81" s="37"/>
      <c r="AG81" s="37"/>
      <c r="AH81" s="37"/>
      <c r="AJ81" s="108"/>
      <c r="AK81" s="108"/>
      <c r="AL81" s="137"/>
      <c r="AM81" s="137"/>
      <c r="AN81" s="137"/>
      <c r="AO81" s="137"/>
      <c r="AT81" s="137"/>
      <c r="AU81" s="121"/>
    </row>
    <row r="82" spans="1:47" s="118" customFormat="1" ht="15" customHeight="1" x14ac:dyDescent="0.2">
      <c r="A82" s="255"/>
      <c r="N82" s="816"/>
      <c r="O82" s="816"/>
      <c r="P82" s="816"/>
      <c r="Q82" s="816"/>
      <c r="R82" s="816"/>
      <c r="S82" s="816"/>
      <c r="T82" s="600"/>
      <c r="U82" s="227"/>
      <c r="V82" s="248"/>
      <c r="W82" s="255"/>
      <c r="X82" s="37"/>
      <c r="Y82" s="37"/>
      <c r="AA82" s="37"/>
      <c r="AC82" s="37"/>
      <c r="AD82" s="37"/>
      <c r="AE82" s="37"/>
      <c r="AF82" s="37"/>
      <c r="AG82" s="37"/>
      <c r="AH82" s="37"/>
      <c r="AJ82" s="108"/>
      <c r="AK82" s="108"/>
      <c r="AL82" s="137"/>
      <c r="AM82" s="137"/>
      <c r="AN82" s="137"/>
      <c r="AO82" s="137"/>
      <c r="AT82" s="137"/>
      <c r="AU82" s="121"/>
    </row>
    <row r="83" spans="1:47" ht="15" customHeight="1" x14ac:dyDescent="0.2">
      <c r="A83" s="255"/>
      <c r="N83" s="255"/>
      <c r="O83" s="273" t="str">
        <f>IF(T80&gt;0,IF(T79=0,$Z$95," ")," ")</f>
        <v xml:space="preserve"> </v>
      </c>
      <c r="P83" s="255"/>
      <c r="Q83" s="255"/>
      <c r="R83" s="255"/>
      <c r="S83" s="255"/>
      <c r="T83" s="255"/>
      <c r="U83" s="255"/>
      <c r="V83" s="255"/>
      <c r="W83" s="255"/>
      <c r="Z83" s="118"/>
      <c r="AB83" s="118"/>
      <c r="AI83" s="108"/>
      <c r="AJ83" s="108"/>
      <c r="AK83" s="108"/>
      <c r="AL83" s="137"/>
      <c r="AM83" s="137"/>
      <c r="AN83" s="137"/>
      <c r="AO83" s="137"/>
      <c r="AP83" s="118"/>
      <c r="AQ83" s="118"/>
      <c r="AR83" s="118"/>
      <c r="AS83" s="118"/>
      <c r="AT83" s="118"/>
      <c r="AU83" s="118"/>
    </row>
    <row r="84" spans="1:47" ht="15" customHeight="1" x14ac:dyDescent="0.2">
      <c r="A84" s="255"/>
      <c r="N84" s="255"/>
      <c r="O84" s="255"/>
      <c r="P84" s="255"/>
      <c r="Q84" s="255"/>
      <c r="R84" s="255"/>
      <c r="S84" s="255"/>
      <c r="T84" s="255"/>
      <c r="U84" s="255"/>
      <c r="V84" s="255"/>
      <c r="W84" s="255"/>
      <c r="Y84" s="118"/>
      <c r="Z84" s="118"/>
      <c r="AB84" s="118"/>
      <c r="AI84" s="108"/>
      <c r="AJ84" s="108"/>
      <c r="AK84" s="108"/>
      <c r="AL84" s="137"/>
      <c r="AM84" s="137"/>
      <c r="AN84" s="137"/>
      <c r="AO84" s="137"/>
      <c r="AP84" s="118"/>
      <c r="AQ84" s="118"/>
      <c r="AR84" s="118"/>
      <c r="AS84" s="118"/>
      <c r="AT84" s="118"/>
      <c r="AU84" s="118"/>
    </row>
    <row r="85" spans="1:47" s="118" customFormat="1" ht="15" customHeight="1" x14ac:dyDescent="0.2">
      <c r="A85" s="255"/>
      <c r="N85" s="255"/>
      <c r="O85" s="255"/>
      <c r="P85" s="255"/>
      <c r="Q85" s="255"/>
      <c r="R85" s="255"/>
      <c r="S85" s="255"/>
      <c r="T85" s="255"/>
      <c r="U85" s="255"/>
      <c r="V85" s="255"/>
      <c r="W85" s="255"/>
      <c r="X85" s="37"/>
      <c r="AA85" s="37"/>
      <c r="AC85" s="37"/>
      <c r="AD85" s="37"/>
      <c r="AE85" s="37"/>
      <c r="AF85" s="37"/>
      <c r="AG85" s="37"/>
      <c r="AH85" s="37"/>
      <c r="AJ85" s="108"/>
      <c r="AK85" s="108"/>
      <c r="AL85" s="137"/>
      <c r="AM85" s="137"/>
      <c r="AN85" s="137"/>
      <c r="AO85" s="137"/>
    </row>
    <row r="86" spans="1:47" s="118" customFormat="1" ht="15" customHeight="1" x14ac:dyDescent="0.2">
      <c r="A86" s="255"/>
      <c r="N86" s="248"/>
      <c r="O86" s="248"/>
      <c r="P86" s="248"/>
      <c r="Q86" s="255"/>
      <c r="R86" s="1148" t="str">
        <f>D20</f>
        <v xml:space="preserve"> </v>
      </c>
      <c r="S86" s="1149"/>
      <c r="T86" s="1150"/>
      <c r="U86" s="255"/>
      <c r="V86" s="255"/>
      <c r="W86" s="255"/>
      <c r="X86" s="37"/>
      <c r="AA86" s="37"/>
      <c r="AC86" s="37"/>
      <c r="AD86" s="209"/>
      <c r="AE86" s="601" t="s">
        <v>68</v>
      </c>
      <c r="AF86" s="601" t="s">
        <v>69</v>
      </c>
      <c r="AG86" s="601" t="s">
        <v>70</v>
      </c>
      <c r="AH86" s="37"/>
      <c r="AJ86" s="108"/>
      <c r="AK86" s="108"/>
      <c r="AL86" s="137"/>
      <c r="AM86" s="137"/>
      <c r="AN86" s="137"/>
      <c r="AO86" s="137"/>
    </row>
    <row r="87" spans="1:47" s="118" customFormat="1" ht="15" customHeight="1" x14ac:dyDescent="0.2">
      <c r="A87" s="255"/>
      <c r="N87" s="1138" t="str">
        <f>ListAVS!$B$74&amp;" KB [mm]       "</f>
        <v xml:space="preserve">Szerokość korpusu KB [mm]       </v>
      </c>
      <c r="O87" s="1139"/>
      <c r="P87" s="1139"/>
      <c r="Q87" s="1139"/>
      <c r="R87" s="1139"/>
      <c r="S87" s="1140"/>
      <c r="T87" s="829">
        <f>H21</f>
        <v>0</v>
      </c>
      <c r="U87" s="670"/>
      <c r="V87" s="255"/>
      <c r="W87" s="255"/>
      <c r="X87" s="37"/>
      <c r="Y87" s="37">
        <f>T87*T88*T89</f>
        <v>0</v>
      </c>
      <c r="Z87" s="37"/>
      <c r="AA87" s="37"/>
      <c r="AC87" s="37"/>
      <c r="AD87" s="325">
        <f>IF($AG$76=1,$X$95,$X$96)</f>
        <v>0.31</v>
      </c>
      <c r="AE87" s="325">
        <f>$X$97</f>
        <v>0.46</v>
      </c>
      <c r="AF87" s="333">
        <f>$AF$76</f>
        <v>1</v>
      </c>
      <c r="AG87" s="328">
        <f>$AG$76</f>
        <v>1</v>
      </c>
      <c r="AH87" s="37"/>
      <c r="AJ87" s="108"/>
      <c r="AK87" s="108"/>
      <c r="AL87" s="137"/>
      <c r="AM87" s="137"/>
      <c r="AN87" s="137"/>
      <c r="AO87" s="137"/>
    </row>
    <row r="88" spans="1:47" s="118" customFormat="1" ht="15" customHeight="1" x14ac:dyDescent="0.2">
      <c r="A88" s="255"/>
      <c r="N88" s="1138" t="str">
        <f>ListAVS!$B$75&amp;" KH [mm]       "</f>
        <v xml:space="preserve">Wysokość korpusu KH [mm]       </v>
      </c>
      <c r="O88" s="1139"/>
      <c r="P88" s="1139"/>
      <c r="Q88" s="1139"/>
      <c r="R88" s="1139"/>
      <c r="S88" s="1140"/>
      <c r="T88" s="829">
        <f>H22</f>
        <v>0</v>
      </c>
      <c r="U88" s="670"/>
      <c r="V88" s="255"/>
      <c r="W88" s="255"/>
      <c r="X88" s="37"/>
      <c r="Y88" s="37">
        <f>Y87/1000000000</f>
        <v>0</v>
      </c>
      <c r="Z88" s="182">
        <f>Z77</f>
        <v>2</v>
      </c>
      <c r="AC88" s="37"/>
      <c r="AD88" s="144" t="s">
        <v>71</v>
      </c>
      <c r="AE88" s="209">
        <f>SUM(T87*2,(T88-40)*2)*AD87/1000</f>
        <v>-2.4799999999999999E-2</v>
      </c>
      <c r="AF88" s="601" t="s">
        <v>72</v>
      </c>
      <c r="AG88" s="601"/>
      <c r="AH88" s="37"/>
      <c r="AJ88" s="108"/>
      <c r="AK88" s="108"/>
      <c r="AL88" s="137"/>
      <c r="AM88" s="137"/>
      <c r="AN88" s="137"/>
      <c r="AO88" s="137"/>
    </row>
    <row r="89" spans="1:47" s="118" customFormat="1" ht="15" customHeight="1" x14ac:dyDescent="0.2">
      <c r="A89" s="255"/>
      <c r="N89" s="1173" t="str">
        <f>ListAVS!$B$80&amp;" TS [mm] "</f>
        <v xml:space="preserve">Grubość frontu TS [mm] </v>
      </c>
      <c r="O89" s="1174"/>
      <c r="P89" s="1174"/>
      <c r="Q89" s="1174"/>
      <c r="R89" s="1174"/>
      <c r="S89" s="1175"/>
      <c r="T89" s="829"/>
      <c r="U89" s="227"/>
      <c r="V89" s="248"/>
      <c r="W89" s="248"/>
      <c r="X89" s="37"/>
      <c r="Y89" s="319">
        <f>$Y$78</f>
        <v>760</v>
      </c>
      <c r="Z89" s="37" t="str">
        <f>$Z$78</f>
        <v>MDF (760 kg/m3)</v>
      </c>
      <c r="AC89" s="37"/>
      <c r="AD89" s="37">
        <f>AD78</f>
        <v>10</v>
      </c>
      <c r="AE89" s="330">
        <f>IF($AG$76=1,AF89*AD89,AG89*AD89)</f>
        <v>8.9999999999999993E-3</v>
      </c>
      <c r="AF89" s="209">
        <f>SUM(($T$87-30)*($T$88-30)/1000000)</f>
        <v>8.9999999999999998E-4</v>
      </c>
      <c r="AG89" s="351">
        <f>SUM(($T$87-6)*($T$88-6)/1000000)</f>
        <v>3.6000000000000001E-5</v>
      </c>
      <c r="AH89" s="208" t="s">
        <v>73</v>
      </c>
      <c r="AJ89" s="108"/>
      <c r="AK89" s="108"/>
      <c r="AL89" s="137"/>
      <c r="AM89" s="137"/>
      <c r="AN89" s="137"/>
      <c r="AO89" s="137"/>
    </row>
    <row r="90" spans="1:47" s="118" customFormat="1" ht="15" customHeight="1" x14ac:dyDescent="0.2">
      <c r="A90" s="255"/>
      <c r="N90" s="1143" t="str">
        <f>ListAVS!$B$83&amp;" [kg] "</f>
        <v xml:space="preserve">Waga uchwytu [kg] </v>
      </c>
      <c r="O90" s="1144"/>
      <c r="P90" s="1144"/>
      <c r="Q90" s="1144"/>
      <c r="R90" s="1144"/>
      <c r="S90" s="1145"/>
      <c r="T90" s="831">
        <f>H25</f>
        <v>0</v>
      </c>
      <c r="U90" s="256" t="str">
        <f>IF(SUM(T87,T88)=0," ",IF(T90=0," ● "&amp;ListAVS!$B$130," "))</f>
        <v xml:space="preserve"> </v>
      </c>
      <c r="V90" s="248"/>
      <c r="W90" s="248"/>
      <c r="X90" s="37"/>
      <c r="Y90" s="319">
        <f>$Y$79</f>
        <v>680</v>
      </c>
      <c r="Z90" s="37" t="str">
        <f>$Z$79</f>
        <v>Płyta wiórowa (680 kg/m3)</v>
      </c>
      <c r="AC90" s="37"/>
      <c r="AD90" s="37">
        <f>AD79</f>
        <v>12.5</v>
      </c>
      <c r="AE90" s="330">
        <f>IF($AG$76=1,AF90*AD90,AG90*AD90)</f>
        <v>1.125E-2</v>
      </c>
      <c r="AF90" s="209">
        <f>SUM(($T$87-30)*($T$88-30)/1000000)</f>
        <v>8.9999999999999998E-4</v>
      </c>
      <c r="AG90" s="351">
        <f>SUM(($T$87-6)*($T$88-6)/1000000)</f>
        <v>3.6000000000000001E-5</v>
      </c>
      <c r="AH90" s="208" t="s">
        <v>74</v>
      </c>
      <c r="AJ90" s="108"/>
      <c r="AK90" s="108"/>
      <c r="AL90" s="137"/>
      <c r="AM90" s="137"/>
      <c r="AN90" s="137"/>
      <c r="AO90" s="137"/>
    </row>
    <row r="91" spans="1:47" s="118" customFormat="1" ht="15" customHeight="1" x14ac:dyDescent="0.2">
      <c r="A91" s="255"/>
      <c r="N91" s="1143" t="str">
        <f>ListAVS!$B$79&amp;" [kg] "</f>
        <v xml:space="preserve">Obliczona waga frontu [kg] </v>
      </c>
      <c r="O91" s="1144"/>
      <c r="P91" s="1144"/>
      <c r="Q91" s="1144"/>
      <c r="R91" s="1144"/>
      <c r="S91" s="1145"/>
      <c r="T91" s="533">
        <f>IF(AD92=0,0,AD92+T90)</f>
        <v>0</v>
      </c>
      <c r="U91" s="227"/>
      <c r="V91" s="248"/>
      <c r="W91" s="248"/>
      <c r="X91" s="186">
        <f>IF(T87*T88*T89=0,0,IF(Z88=1,Y88*Y89,IF(Z88=2,Y88*Y90,Y88*Y91)))</f>
        <v>0</v>
      </c>
      <c r="Y91" s="37">
        <f>$Y$80</f>
        <v>0</v>
      </c>
      <c r="Z91" s="37" t="str">
        <f>$Z$80</f>
        <v>Inne – wybrana gęstość materiału</v>
      </c>
      <c r="AC91" s="37"/>
      <c r="AD91" s="340">
        <f>AD80</f>
        <v>0</v>
      </c>
      <c r="AE91" s="330">
        <f>IF($AG$76=1,AF91*AD91,AG91*AD91)</f>
        <v>0</v>
      </c>
      <c r="AF91" s="209">
        <f>SUM(($T$87-30)*($T$88-30)/1000000)</f>
        <v>8.9999999999999998E-4</v>
      </c>
      <c r="AG91" s="351">
        <f>SUM(($T$87-6)*($T$88-6)/1000000)</f>
        <v>3.6000000000000001E-5</v>
      </c>
      <c r="AH91" s="208" t="s">
        <v>75</v>
      </c>
      <c r="AJ91" s="108"/>
      <c r="AK91" s="108"/>
      <c r="AL91" s="137"/>
      <c r="AM91" s="137"/>
      <c r="AN91" s="137"/>
      <c r="AO91" s="137"/>
    </row>
    <row r="92" spans="1:47" s="118" customFormat="1" ht="15" customHeight="1" x14ac:dyDescent="0.2">
      <c r="A92" s="255"/>
      <c r="N92" s="255"/>
      <c r="O92" s="273" t="str">
        <f>IF(T91&gt;0,IF(T90=0,$Z$95," ")," ")</f>
        <v xml:space="preserve"> </v>
      </c>
      <c r="P92" s="255"/>
      <c r="Q92" s="255"/>
      <c r="R92" s="255"/>
      <c r="S92" s="255"/>
      <c r="T92" s="255"/>
      <c r="U92" s="255"/>
      <c r="V92" s="255"/>
      <c r="W92" s="255"/>
      <c r="X92" s="37"/>
      <c r="Y92" s="37"/>
      <c r="AA92" s="37"/>
      <c r="AC92" s="37"/>
      <c r="AD92" s="332">
        <f>IF(OR(AND(AF87=3, $T$70=0), T87*T88=0), 0, SUM(IF(AF87=1,AE89,IF(AF87=2,AE90,AE91)),AE88,AE87))</f>
        <v>0</v>
      </c>
      <c r="AE92" s="37"/>
      <c r="AF92" s="37"/>
      <c r="AG92" s="37"/>
      <c r="AH92" s="37"/>
      <c r="AJ92" s="108"/>
      <c r="AK92" s="108"/>
      <c r="AL92" s="137"/>
      <c r="AM92" s="137"/>
      <c r="AN92" s="137"/>
      <c r="AO92" s="137"/>
    </row>
    <row r="93" spans="1:47" s="118" customFormat="1" ht="15" customHeight="1" x14ac:dyDescent="0.2">
      <c r="A93" s="255"/>
      <c r="N93" s="255"/>
      <c r="O93" s="255"/>
      <c r="P93" s="255"/>
      <c r="Q93" s="255"/>
      <c r="R93" s="255"/>
      <c r="S93" s="255"/>
      <c r="T93" s="255"/>
      <c r="U93" s="255"/>
      <c r="V93" s="255"/>
      <c r="W93" s="255"/>
      <c r="X93" s="37"/>
      <c r="Y93" s="37"/>
      <c r="AA93" s="37"/>
      <c r="AC93" s="37"/>
      <c r="AD93" s="37"/>
      <c r="AE93" s="37"/>
      <c r="AF93" s="37"/>
      <c r="AG93" s="37"/>
      <c r="AH93" s="37"/>
      <c r="AJ93" s="108"/>
      <c r="AK93" s="108"/>
      <c r="AL93" s="137"/>
      <c r="AM93" s="137"/>
      <c r="AN93" s="137"/>
      <c r="AO93" s="137"/>
    </row>
    <row r="94" spans="1:47" s="118" customFormat="1" ht="15" customHeight="1" x14ac:dyDescent="0.2">
      <c r="A94" s="255"/>
      <c r="N94" s="255"/>
      <c r="O94" s="255"/>
      <c r="P94" s="255"/>
      <c r="Q94" s="255"/>
      <c r="R94" s="255"/>
      <c r="S94" s="255"/>
      <c r="T94" s="255"/>
      <c r="U94" s="255"/>
      <c r="V94" s="255"/>
      <c r="W94" s="255"/>
      <c r="X94" s="37"/>
      <c r="Y94" s="37"/>
      <c r="AA94" s="37"/>
      <c r="AC94" s="37"/>
      <c r="AD94" s="37"/>
      <c r="AE94" s="37"/>
      <c r="AF94" s="37"/>
      <c r="AG94" s="37"/>
      <c r="AH94" s="37"/>
      <c r="AJ94" s="108"/>
      <c r="AK94" s="108"/>
      <c r="AL94" s="137"/>
      <c r="AM94" s="137"/>
      <c r="AN94" s="137"/>
      <c r="AO94" s="137"/>
    </row>
    <row r="95" spans="1:47" s="118" customFormat="1" ht="15" customHeight="1" x14ac:dyDescent="0.2">
      <c r="A95" s="255"/>
      <c r="N95" s="255"/>
      <c r="O95" s="255"/>
      <c r="P95" s="255"/>
      <c r="Q95" s="255"/>
      <c r="R95" s="255"/>
      <c r="S95" s="255"/>
      <c r="T95" s="255"/>
      <c r="U95" s="255"/>
      <c r="V95" s="255"/>
      <c r="W95" s="816" t="str">
        <f>ListAVS!$B$424&amp;"  "</f>
        <v xml:space="preserve">z wpuszczanym szkłem  </v>
      </c>
      <c r="X95" s="711">
        <f>MenuAVS!$I$91</f>
        <v>0.31</v>
      </c>
      <c r="Y95" s="37"/>
      <c r="Z95" s="37" t="str">
        <f>ListAVS!$B$103&amp;"!"</f>
        <v>Bez wagi uchwytu!</v>
      </c>
      <c r="AA95" s="37"/>
      <c r="AC95" s="37"/>
      <c r="AD95" s="37"/>
      <c r="AE95" s="37"/>
      <c r="AF95" s="335" t="str">
        <f>ListAVS!$B$93</f>
        <v>Ramki aluminiowe z 4mm szkłem</v>
      </c>
      <c r="AG95" s="37"/>
      <c r="AH95" s="37"/>
      <c r="AJ95" s="108"/>
      <c r="AK95" s="108"/>
      <c r="AL95" s="137"/>
      <c r="AM95" s="137"/>
      <c r="AN95" s="137"/>
      <c r="AO95" s="137"/>
    </row>
    <row r="96" spans="1:47" s="118" customFormat="1" ht="15" customHeight="1" x14ac:dyDescent="0.2">
      <c r="A96" s="255"/>
      <c r="N96" s="255"/>
      <c r="O96" s="255"/>
      <c r="P96" s="255"/>
      <c r="Q96" s="255"/>
      <c r="R96" s="255"/>
      <c r="S96" s="255"/>
      <c r="T96" s="255"/>
      <c r="U96" s="255"/>
      <c r="V96" s="255"/>
      <c r="W96" s="816" t="str">
        <f>ListAVS!$B$425&amp;"  "</f>
        <v xml:space="preserve">ze szkłem nakładanym lub przyklejanym  </v>
      </c>
      <c r="X96" s="711">
        <f>MenuAVS!$I$92</f>
        <v>0.32</v>
      </c>
      <c r="Y96" s="37"/>
      <c r="AA96" s="37"/>
      <c r="AC96" s="37"/>
      <c r="AD96" s="37"/>
      <c r="AE96" s="37"/>
      <c r="AF96" s="335" t="str">
        <f>ListAVS!$B$94</f>
        <v>Ramki aluminiowe z 5mm szkłem</v>
      </c>
      <c r="AG96" s="37"/>
      <c r="AH96" s="37"/>
      <c r="AJ96" s="108"/>
      <c r="AK96" s="108"/>
      <c r="AL96" s="137"/>
      <c r="AM96" s="137"/>
      <c r="AN96" s="137"/>
      <c r="AO96" s="137"/>
    </row>
    <row r="97" spans="1:46" s="118" customFormat="1" ht="15" customHeight="1" x14ac:dyDescent="0.2">
      <c r="A97" s="255"/>
      <c r="N97" s="255"/>
      <c r="O97" s="255"/>
      <c r="P97" s="255"/>
      <c r="Q97" s="255"/>
      <c r="R97" s="255"/>
      <c r="S97" s="255"/>
      <c r="T97" s="255"/>
      <c r="U97" s="255"/>
      <c r="V97" s="255"/>
      <c r="W97" s="816" t="str">
        <f>ListAVS!$B$405&amp;" [kg/set] *  "</f>
        <v xml:space="preserve">Waga materiału łączącego  [kg/set] *  </v>
      </c>
      <c r="X97" s="711">
        <f>MenuAVS!$I$93</f>
        <v>0.46</v>
      </c>
      <c r="Y97" s="37"/>
      <c r="AA97" s="37"/>
      <c r="AC97" s="37"/>
      <c r="AD97" s="37"/>
      <c r="AE97" s="37"/>
      <c r="AF97" s="335" t="str">
        <f>ListAVS!$B$95</f>
        <v>Ramki aluminiowe z innym szkłem</v>
      </c>
      <c r="AG97" s="37"/>
      <c r="AH97" s="37"/>
      <c r="AJ97" s="108"/>
      <c r="AK97" s="108"/>
      <c r="AL97" s="137"/>
      <c r="AM97" s="137"/>
      <c r="AN97" s="137"/>
      <c r="AO97" s="137"/>
    </row>
    <row r="98" spans="1:46" s="118" customFormat="1" ht="15" customHeight="1" x14ac:dyDescent="0.2">
      <c r="A98" s="255"/>
      <c r="N98" s="255"/>
      <c r="O98" s="255"/>
      <c r="P98" s="255"/>
      <c r="Q98" s="255"/>
      <c r="R98" s="255"/>
      <c r="S98" s="255"/>
      <c r="T98" s="255"/>
      <c r="U98" s="255"/>
      <c r="V98" s="255"/>
      <c r="W98" s="816"/>
      <c r="X98" s="37"/>
      <c r="Y98" s="37"/>
      <c r="AA98" s="37"/>
      <c r="AC98" s="37"/>
      <c r="AD98" s="37"/>
      <c r="AE98" s="37"/>
      <c r="AF98" s="335"/>
      <c r="AG98" s="37"/>
      <c r="AH98" s="37"/>
      <c r="AJ98" s="108"/>
      <c r="AK98" s="108"/>
      <c r="AL98" s="137"/>
      <c r="AM98" s="137"/>
      <c r="AN98" s="137"/>
      <c r="AO98" s="137"/>
    </row>
    <row r="99" spans="1:46" x14ac:dyDescent="0.2">
      <c r="A99" s="1045"/>
      <c r="AI99" s="108"/>
      <c r="AJ99" s="108"/>
      <c r="AK99" s="108"/>
      <c r="AL99" s="137"/>
      <c r="AM99" s="137"/>
      <c r="AN99" s="137"/>
      <c r="AO99" s="137"/>
      <c r="AP99" s="137"/>
      <c r="AQ99" s="137"/>
      <c r="AR99" s="137"/>
      <c r="AS99" s="137"/>
      <c r="AT99" s="137"/>
    </row>
    <row r="100" spans="1:46" ht="18" x14ac:dyDescent="0.2">
      <c r="A100" s="1045"/>
      <c r="B100" s="308" t="s">
        <v>16</v>
      </c>
      <c r="C100" s="321"/>
      <c r="D100" s="308"/>
      <c r="E100" s="308"/>
      <c r="F100" s="308"/>
      <c r="G100" s="308"/>
      <c r="H100" s="308"/>
      <c r="I100" s="308"/>
      <c r="J100" s="308"/>
      <c r="K100" s="308"/>
      <c r="L100" s="308"/>
      <c r="AI100" s="108"/>
      <c r="AJ100" s="108"/>
      <c r="AK100" s="108"/>
      <c r="AL100" s="137"/>
      <c r="AM100" s="137"/>
      <c r="AN100" s="137"/>
      <c r="AO100" s="137"/>
      <c r="AP100" s="137"/>
      <c r="AQ100" s="137"/>
      <c r="AR100" s="137"/>
      <c r="AS100" s="137"/>
      <c r="AT100" s="137"/>
    </row>
    <row r="101" spans="1:46" ht="15" customHeight="1" x14ac:dyDescent="0.2">
      <c r="A101" s="1045"/>
      <c r="B101" s="255"/>
      <c r="C101" s="255"/>
      <c r="D101" s="255"/>
      <c r="E101" s="255"/>
      <c r="F101" s="255"/>
      <c r="G101" s="255"/>
      <c r="H101" s="255"/>
      <c r="I101" s="255"/>
      <c r="J101" s="255"/>
      <c r="K101" s="255"/>
      <c r="L101" s="255"/>
      <c r="AI101" s="108"/>
      <c r="AJ101" s="108"/>
      <c r="AK101" s="108"/>
      <c r="AL101" s="137"/>
      <c r="AM101" s="137"/>
      <c r="AN101" s="137"/>
      <c r="AO101" s="137"/>
      <c r="AP101" s="137"/>
      <c r="AQ101" s="137"/>
      <c r="AR101" s="137"/>
      <c r="AS101" s="137"/>
      <c r="AT101" s="137"/>
    </row>
    <row r="102" spans="1:46" ht="15" customHeight="1" x14ac:dyDescent="0.2">
      <c r="A102" s="1045"/>
      <c r="B102" s="255" t="str">
        <f>ListAVS!$B$333</f>
        <v>Aby wybrać odpowiedni siłownik potrzebujesz znać wysokość korpusu i wagę frontu</v>
      </c>
      <c r="C102" s="255"/>
      <c r="D102" s="255"/>
      <c r="E102" s="255"/>
      <c r="F102" s="255"/>
      <c r="G102" s="255"/>
      <c r="H102" s="255"/>
      <c r="I102" s="255"/>
      <c r="J102" s="255"/>
      <c r="K102" s="255"/>
      <c r="L102" s="255"/>
      <c r="AI102" s="108"/>
      <c r="AJ102" s="108"/>
      <c r="AK102" s="108"/>
      <c r="AL102" s="137"/>
      <c r="AM102" s="137"/>
      <c r="AN102" s="137"/>
      <c r="AO102" s="137"/>
      <c r="AP102" s="137"/>
      <c r="AQ102" s="137"/>
      <c r="AR102" s="137"/>
      <c r="AS102" s="137"/>
      <c r="AT102" s="137"/>
    </row>
    <row r="103" spans="1:46" ht="15" customHeight="1" x14ac:dyDescent="0.2">
      <c r="A103" s="1045"/>
      <c r="B103" s="255"/>
      <c r="C103" s="255"/>
      <c r="D103" s="255"/>
      <c r="E103" s="255"/>
      <c r="F103" s="255"/>
      <c r="G103" s="255"/>
      <c r="H103" s="255"/>
      <c r="I103" s="255"/>
      <c r="J103" s="255"/>
      <c r="K103" s="255"/>
      <c r="L103" s="255"/>
      <c r="AI103" s="108"/>
      <c r="AJ103" s="108"/>
      <c r="AK103" s="108"/>
      <c r="AL103" s="137"/>
      <c r="AM103" s="137"/>
      <c r="AN103" s="137"/>
      <c r="AO103" s="137"/>
      <c r="AP103" s="137"/>
      <c r="AQ103" s="137"/>
      <c r="AR103" s="137"/>
      <c r="AS103" s="137"/>
      <c r="AT103" s="137"/>
    </row>
    <row r="104" spans="1:46" ht="15" customHeight="1" x14ac:dyDescent="0.2">
      <c r="A104" s="1045"/>
      <c r="B104" s="255" t="str">
        <f>ListAVS!$B$312</f>
        <v>Jeśli znasz wagę frontu, możesz ją wprowadzić, w przeciwnym razie skorzystaj z „Obliczenia wagi”.</v>
      </c>
      <c r="C104" s="255"/>
      <c r="D104" s="255"/>
      <c r="E104" s="255"/>
      <c r="F104" s="255"/>
      <c r="G104" s="255"/>
      <c r="H104" s="255"/>
      <c r="I104" s="255"/>
      <c r="J104" s="255"/>
      <c r="K104" s="255"/>
      <c r="L104" s="255"/>
      <c r="AI104" s="108"/>
      <c r="AJ104" s="108"/>
      <c r="AK104" s="108"/>
      <c r="AL104" s="137"/>
      <c r="AM104" s="137"/>
      <c r="AN104" s="137"/>
      <c r="AO104" s="137"/>
      <c r="AP104" s="137"/>
      <c r="AQ104" s="137"/>
      <c r="AR104" s="137"/>
      <c r="AS104" s="137"/>
      <c r="AT104" s="137"/>
    </row>
    <row r="105" spans="1:46" ht="15" customHeight="1" x14ac:dyDescent="0.2">
      <c r="A105" s="1045"/>
      <c r="B105" s="255" t="str">
        <f>ListAVS!$B$313</f>
        <v>W tabeli wprowadzona wartość ma pierwszeństwo aby skorzystać z wagi obliczeniowej, należy usunąć wprowadzoną wartość.</v>
      </c>
      <c r="C105" s="255"/>
      <c r="D105" s="255"/>
      <c r="E105" s="255"/>
      <c r="F105" s="255"/>
      <c r="G105" s="255"/>
      <c r="H105" s="255"/>
      <c r="I105" s="255"/>
      <c r="J105" s="255"/>
      <c r="K105" s="255"/>
      <c r="L105" s="255"/>
      <c r="AI105" s="108"/>
      <c r="AJ105" s="108"/>
      <c r="AK105" s="108"/>
      <c r="AL105" s="137"/>
      <c r="AM105" s="137"/>
      <c r="AN105" s="137"/>
      <c r="AO105" s="137"/>
      <c r="AP105" s="137"/>
      <c r="AQ105" s="137"/>
      <c r="AR105" s="137"/>
      <c r="AS105" s="137"/>
      <c r="AT105" s="137"/>
    </row>
    <row r="106" spans="1:46" ht="15" customHeight="1" x14ac:dyDescent="0.2">
      <c r="A106" s="1045"/>
      <c r="B106" s="255"/>
      <c r="C106" s="255"/>
      <c r="D106" s="255"/>
      <c r="E106" s="255"/>
      <c r="F106" s="255"/>
      <c r="G106" s="255"/>
      <c r="H106" s="255"/>
      <c r="I106" s="255"/>
      <c r="J106" s="255"/>
      <c r="K106" s="255"/>
      <c r="L106" s="255"/>
      <c r="AI106" s="108"/>
      <c r="AJ106" s="108"/>
      <c r="AK106" s="108"/>
      <c r="AL106" s="137"/>
      <c r="AM106" s="137"/>
      <c r="AN106" s="137"/>
      <c r="AO106" s="137"/>
      <c r="AP106" s="137"/>
      <c r="AQ106" s="137"/>
      <c r="AR106" s="137"/>
      <c r="AS106" s="137"/>
      <c r="AT106" s="137"/>
    </row>
    <row r="107" spans="1:46" ht="15" customHeight="1" x14ac:dyDescent="0.2">
      <c r="A107" s="1045"/>
      <c r="B107" s="255"/>
      <c r="C107" s="255"/>
      <c r="D107" s="255"/>
      <c r="E107" s="255"/>
      <c r="F107" s="255"/>
      <c r="G107" s="255"/>
      <c r="H107" s="255"/>
      <c r="I107" s="255"/>
      <c r="J107" s="255"/>
      <c r="K107" s="255"/>
      <c r="L107" s="255"/>
      <c r="AI107" s="108"/>
      <c r="AJ107" s="108"/>
      <c r="AK107" s="108"/>
      <c r="AL107" s="137"/>
      <c r="AM107" s="137"/>
      <c r="AN107" s="137"/>
      <c r="AO107" s="137"/>
      <c r="AP107" s="137"/>
      <c r="AQ107" s="137"/>
      <c r="AR107" s="137"/>
      <c r="AS107" s="137"/>
      <c r="AT107" s="137"/>
    </row>
    <row r="108" spans="1:46" ht="15" customHeight="1" x14ac:dyDescent="0.2">
      <c r="A108" s="1045"/>
      <c r="B108" s="255" t="str">
        <f>ListAVS!$B$306</f>
        <v>Aby zmienić kolor zaślepek przejdź do „Wprowadzenie do planowania”</v>
      </c>
      <c r="C108" s="255"/>
      <c r="D108" s="255"/>
      <c r="E108" s="255"/>
      <c r="F108" s="255"/>
      <c r="G108" s="255"/>
      <c r="H108" s="255"/>
      <c r="I108" s="255"/>
      <c r="J108" s="255"/>
      <c r="K108" s="255"/>
      <c r="L108" s="255"/>
      <c r="AI108" s="108"/>
      <c r="AJ108" s="108"/>
      <c r="AK108" s="108"/>
      <c r="AL108" s="137"/>
      <c r="AM108" s="137"/>
      <c r="AN108" s="137"/>
      <c r="AO108" s="137"/>
      <c r="AP108" s="137"/>
      <c r="AQ108" s="137"/>
      <c r="AR108" s="137"/>
      <c r="AS108" s="137"/>
      <c r="AT108" s="137"/>
    </row>
    <row r="109" spans="1:46" ht="15" customHeight="1" x14ac:dyDescent="0.2">
      <c r="A109" s="1045"/>
      <c r="B109" s="255"/>
      <c r="C109" s="255"/>
      <c r="D109" s="255"/>
      <c r="E109" s="255"/>
      <c r="F109" s="255"/>
      <c r="G109" s="255"/>
      <c r="H109" s="255"/>
      <c r="I109" s="255"/>
      <c r="J109" s="255"/>
      <c r="K109" s="255"/>
      <c r="L109" s="255"/>
      <c r="AI109" s="108"/>
      <c r="AJ109" s="108"/>
      <c r="AK109" s="108"/>
      <c r="AL109" s="137"/>
      <c r="AM109" s="137"/>
      <c r="AN109" s="137"/>
      <c r="AO109" s="137"/>
      <c r="AP109" s="137"/>
      <c r="AQ109" s="137"/>
      <c r="AR109" s="137"/>
      <c r="AS109" s="137"/>
      <c r="AT109" s="137"/>
    </row>
    <row r="110" spans="1:46" ht="15" customHeight="1" x14ac:dyDescent="0.2">
      <c r="A110" s="1045"/>
      <c r="B110" s="255" t="str">
        <f>ListAVS!$B$411</f>
        <v>Zwróć uwagę na wybór ramek aluminiowych</v>
      </c>
      <c r="C110" s="255"/>
      <c r="D110" s="255"/>
      <c r="E110" s="255"/>
      <c r="F110" s="255"/>
      <c r="G110" s="255"/>
      <c r="H110" s="255"/>
      <c r="I110" s="255"/>
      <c r="J110" s="255"/>
      <c r="K110" s="255"/>
      <c r="L110" s="255"/>
      <c r="AI110" s="108"/>
      <c r="AJ110" s="108"/>
      <c r="AK110" s="108"/>
      <c r="AL110" s="137"/>
      <c r="AM110" s="137"/>
      <c r="AN110" s="137"/>
      <c r="AO110" s="137"/>
      <c r="AP110" s="137"/>
      <c r="AQ110" s="137"/>
      <c r="AR110" s="137"/>
      <c r="AS110" s="137"/>
      <c r="AT110" s="137"/>
    </row>
    <row r="111" spans="1:46" ht="15" customHeight="1" x14ac:dyDescent="0.2">
      <c r="A111" s="1045"/>
      <c r="B111" s="255" t="str">
        <f>ListAVS!$B$412</f>
        <v>Wybierz, rodzaj, który lepiej pasuje do kształtu zastosowanej ramki aluminiowej.</v>
      </c>
      <c r="C111" s="255"/>
      <c r="D111" s="255"/>
      <c r="E111" s="255"/>
      <c r="F111" s="255"/>
      <c r="G111" s="255"/>
      <c r="H111" s="255"/>
      <c r="I111" s="255"/>
      <c r="J111" s="255"/>
      <c r="K111" s="255"/>
      <c r="L111" s="255"/>
      <c r="AI111" s="108"/>
      <c r="AJ111" s="108"/>
      <c r="AK111" s="108"/>
      <c r="AL111" s="137"/>
      <c r="AM111" s="137"/>
      <c r="AN111" s="137"/>
      <c r="AO111" s="137"/>
      <c r="AP111" s="137"/>
      <c r="AQ111" s="137"/>
      <c r="AR111" s="137"/>
      <c r="AS111" s="137"/>
      <c r="AT111" s="137"/>
    </row>
    <row r="112" spans="1:46" ht="15" customHeight="1" x14ac:dyDescent="0.2">
      <c r="A112" s="1045"/>
      <c r="B112" s="255" t="str">
        <f>ListAVS!$B$413</f>
        <v>Sposób mocowania szkła w ramkę znacząco wpływa na powierzchnię szkła, a co za tym idzie na jego wagę!</v>
      </c>
      <c r="C112" s="255"/>
      <c r="D112" s="255"/>
      <c r="E112" s="255"/>
      <c r="F112" s="255"/>
      <c r="G112" s="255"/>
      <c r="H112" s="255"/>
      <c r="I112" s="255"/>
      <c r="J112" s="255"/>
      <c r="K112" s="255"/>
      <c r="L112" s="266"/>
      <c r="AI112" s="108"/>
      <c r="AJ112" s="108"/>
      <c r="AK112" s="108"/>
      <c r="AL112" s="137"/>
      <c r="AM112" s="137"/>
      <c r="AN112" s="137"/>
      <c r="AO112" s="137"/>
      <c r="AP112" s="137"/>
      <c r="AQ112" s="137"/>
      <c r="AR112" s="137"/>
      <c r="AS112" s="137"/>
      <c r="AT112" s="137"/>
    </row>
    <row r="113" spans="1:46" ht="15" customHeight="1" x14ac:dyDescent="0.2">
      <c r="A113" s="1045"/>
      <c r="B113" s="255"/>
      <c r="C113" s="255"/>
      <c r="D113" s="255"/>
      <c r="E113" s="255"/>
      <c r="F113" s="255"/>
      <c r="G113" s="255"/>
      <c r="H113" s="255"/>
      <c r="I113" s="255"/>
      <c r="J113" s="255"/>
      <c r="K113" s="255"/>
      <c r="L113" s="255"/>
      <c r="AI113" s="108"/>
      <c r="AJ113" s="108"/>
      <c r="AK113" s="108"/>
      <c r="AL113" s="137"/>
      <c r="AM113" s="137"/>
      <c r="AN113" s="137"/>
      <c r="AO113" s="137"/>
      <c r="AP113" s="137"/>
      <c r="AQ113" s="137"/>
      <c r="AR113" s="137"/>
      <c r="AS113" s="137"/>
      <c r="AT113" s="137"/>
    </row>
    <row r="114" spans="1:46" ht="15" customHeight="1" x14ac:dyDescent="0.2">
      <c r="A114" s="1045"/>
      <c r="C114" s="796" t="str">
        <f>"  "&amp;ListAVS!$B$424&amp;"  "</f>
        <v xml:space="preserve">  z wpuszczanym szkłem  </v>
      </c>
      <c r="D114" s="255"/>
      <c r="E114" s="255"/>
      <c r="F114" s="255"/>
      <c r="G114" s="255"/>
      <c r="H114" s="255"/>
      <c r="I114" s="255"/>
      <c r="J114" s="255"/>
      <c r="K114" s="255"/>
      <c r="L114" s="255"/>
      <c r="AI114" s="108"/>
      <c r="AJ114" s="108"/>
      <c r="AK114" s="108"/>
      <c r="AL114" s="137"/>
      <c r="AM114" s="137"/>
      <c r="AN114" s="137"/>
      <c r="AO114" s="137"/>
      <c r="AP114" s="137"/>
      <c r="AQ114" s="137"/>
      <c r="AR114" s="137"/>
      <c r="AS114" s="137"/>
      <c r="AT114" s="137"/>
    </row>
    <row r="115" spans="1:46" ht="15" customHeight="1" x14ac:dyDescent="0.2">
      <c r="A115" s="1045"/>
      <c r="C115" s="266"/>
      <c r="D115" s="255"/>
      <c r="E115" s="255"/>
      <c r="F115" s="255"/>
      <c r="G115" s="255"/>
      <c r="H115" s="255"/>
      <c r="I115" s="255"/>
      <c r="J115" s="255"/>
      <c r="K115" s="255"/>
      <c r="L115" s="255"/>
      <c r="AI115" s="108"/>
      <c r="AJ115" s="108"/>
      <c r="AK115" s="108"/>
      <c r="AL115" s="137"/>
      <c r="AM115" s="137"/>
      <c r="AN115" s="137"/>
      <c r="AO115" s="137"/>
      <c r="AP115" s="137"/>
      <c r="AQ115" s="137"/>
      <c r="AR115" s="137"/>
      <c r="AS115" s="137"/>
      <c r="AT115" s="137"/>
    </row>
    <row r="116" spans="1:46" ht="15" customHeight="1" x14ac:dyDescent="0.2">
      <c r="A116" s="1045"/>
      <c r="C116" s="796" t="str">
        <f>"  "&amp;ListAVS!$B$425&amp;"  "</f>
        <v xml:space="preserve">  ze szkłem nakładanym lub przyklejanym  </v>
      </c>
      <c r="D116" s="255"/>
      <c r="E116" s="255"/>
      <c r="F116" s="255"/>
      <c r="G116" s="255"/>
      <c r="H116" s="255"/>
      <c r="I116" s="255"/>
      <c r="J116" s="255"/>
      <c r="K116" s="255"/>
      <c r="L116" s="255"/>
      <c r="AI116" s="108"/>
      <c r="AJ116" s="108"/>
      <c r="AK116" s="108"/>
      <c r="AL116" s="137"/>
      <c r="AM116" s="137"/>
      <c r="AN116" s="137"/>
      <c r="AO116" s="137"/>
      <c r="AP116" s="137"/>
      <c r="AQ116" s="137"/>
      <c r="AR116" s="137"/>
      <c r="AS116" s="137"/>
      <c r="AT116" s="137"/>
    </row>
    <row r="117" spans="1:46" ht="15" customHeight="1" x14ac:dyDescent="0.2">
      <c r="A117" s="1045"/>
      <c r="C117" s="255"/>
      <c r="D117" s="255"/>
      <c r="E117" s="255"/>
      <c r="F117" s="255"/>
      <c r="G117" s="255"/>
      <c r="H117" s="255"/>
      <c r="I117" s="255"/>
      <c r="J117" s="255"/>
      <c r="K117" s="255"/>
      <c r="L117" s="255"/>
      <c r="AI117" s="108"/>
      <c r="AJ117" s="108"/>
      <c r="AK117" s="108"/>
      <c r="AL117" s="137"/>
      <c r="AM117" s="137"/>
      <c r="AN117" s="137"/>
      <c r="AO117" s="137"/>
      <c r="AP117" s="137"/>
      <c r="AQ117" s="137"/>
      <c r="AR117" s="137"/>
      <c r="AS117" s="137"/>
      <c r="AT117" s="137"/>
    </row>
    <row r="118" spans="1:46" ht="15" customHeight="1" x14ac:dyDescent="0.2">
      <c r="A118" s="1045"/>
      <c r="C118" s="255"/>
      <c r="D118" s="255"/>
      <c r="E118" s="255"/>
      <c r="F118" s="255"/>
      <c r="G118" s="255"/>
      <c r="H118" s="255"/>
      <c r="I118" s="255"/>
      <c r="J118" s="255"/>
      <c r="K118" s="255"/>
      <c r="L118" s="738" t="str">
        <f>ListAVS!$B$168</f>
        <v>Z powrotem</v>
      </c>
      <c r="AI118" s="108"/>
      <c r="AJ118" s="108"/>
      <c r="AK118" s="108"/>
      <c r="AL118" s="137"/>
      <c r="AM118" s="137"/>
      <c r="AN118" s="137"/>
      <c r="AO118" s="137"/>
      <c r="AP118" s="137"/>
      <c r="AQ118" s="137"/>
      <c r="AR118" s="137"/>
      <c r="AS118" s="137"/>
      <c r="AT118" s="137"/>
    </row>
    <row r="119" spans="1:46" ht="15" customHeight="1" x14ac:dyDescent="0.2">
      <c r="A119" s="1045"/>
      <c r="C119" s="255"/>
      <c r="D119" s="255"/>
      <c r="E119" s="255"/>
      <c r="F119" s="255"/>
      <c r="G119" s="255"/>
      <c r="H119" s="255"/>
      <c r="I119" s="255"/>
      <c r="J119" s="255"/>
      <c r="K119" s="255"/>
      <c r="L119" s="255"/>
      <c r="AI119" s="108"/>
      <c r="AJ119" s="108"/>
      <c r="AK119" s="108"/>
      <c r="AL119" s="137"/>
      <c r="AM119" s="137"/>
      <c r="AN119" s="137"/>
      <c r="AO119" s="137"/>
      <c r="AP119" s="137"/>
      <c r="AQ119" s="137"/>
      <c r="AR119" s="137"/>
      <c r="AS119" s="137"/>
      <c r="AT119" s="137"/>
    </row>
    <row r="120" spans="1:46" x14ac:dyDescent="0.2">
      <c r="A120" s="1045"/>
      <c r="AI120" s="108"/>
      <c r="AJ120" s="108"/>
      <c r="AK120" s="108"/>
      <c r="AL120" s="137"/>
      <c r="AM120" s="137"/>
      <c r="AN120" s="137"/>
      <c r="AO120" s="137"/>
      <c r="AP120" s="137"/>
      <c r="AQ120" s="137"/>
      <c r="AR120" s="137"/>
      <c r="AS120" s="137"/>
      <c r="AT120" s="137"/>
    </row>
    <row r="121" spans="1:46" x14ac:dyDescent="0.2">
      <c r="A121" s="1045"/>
      <c r="AI121" s="108"/>
      <c r="AJ121" s="108"/>
      <c r="AK121" s="108"/>
      <c r="AL121" s="137"/>
      <c r="AM121" s="137"/>
      <c r="AN121" s="137"/>
      <c r="AO121" s="137"/>
      <c r="AP121" s="137"/>
      <c r="AQ121" s="137"/>
      <c r="AR121" s="137"/>
      <c r="AS121" s="137"/>
      <c r="AT121" s="137"/>
    </row>
    <row r="122" spans="1:46" x14ac:dyDescent="0.2">
      <c r="A122" s="1045"/>
      <c r="AI122" s="108"/>
      <c r="AJ122" s="108"/>
      <c r="AK122" s="108"/>
      <c r="AL122" s="137"/>
      <c r="AM122" s="137"/>
      <c r="AN122" s="137"/>
      <c r="AO122" s="137"/>
      <c r="AP122" s="137"/>
      <c r="AQ122" s="137"/>
      <c r="AR122" s="137"/>
      <c r="AS122" s="137"/>
      <c r="AT122" s="137"/>
    </row>
    <row r="123" spans="1:46" x14ac:dyDescent="0.2">
      <c r="A123" s="1045"/>
      <c r="AI123" s="108"/>
      <c r="AJ123" s="108"/>
      <c r="AK123" s="108"/>
      <c r="AL123" s="137"/>
      <c r="AM123" s="137"/>
      <c r="AN123" s="137"/>
      <c r="AO123" s="137"/>
      <c r="AP123" s="137"/>
      <c r="AQ123" s="137"/>
      <c r="AR123" s="137"/>
      <c r="AS123" s="137"/>
      <c r="AT123" s="137"/>
    </row>
    <row r="124" spans="1:46" x14ac:dyDescent="0.2">
      <c r="A124" s="1045"/>
      <c r="AI124" s="108"/>
      <c r="AJ124" s="108"/>
      <c r="AK124" s="108"/>
      <c r="AL124" s="137"/>
      <c r="AM124" s="137"/>
      <c r="AN124" s="137"/>
      <c r="AO124" s="137"/>
      <c r="AP124" s="137"/>
      <c r="AQ124" s="137"/>
      <c r="AR124" s="137"/>
      <c r="AS124" s="137"/>
      <c r="AT124" s="137"/>
    </row>
    <row r="125" spans="1:46" x14ac:dyDescent="0.2">
      <c r="A125" s="1045"/>
      <c r="AI125" s="108"/>
      <c r="AJ125" s="108"/>
      <c r="AK125" s="108"/>
      <c r="AL125" s="137"/>
      <c r="AM125" s="137"/>
      <c r="AN125" s="137"/>
      <c r="AO125" s="137"/>
      <c r="AP125" s="137"/>
      <c r="AQ125" s="137"/>
      <c r="AR125" s="137"/>
      <c r="AS125" s="137"/>
      <c r="AT125" s="137"/>
    </row>
    <row r="126" spans="1:46" x14ac:dyDescent="0.2">
      <c r="A126" s="1045"/>
      <c r="AI126" s="108"/>
      <c r="AJ126" s="108"/>
      <c r="AK126" s="108"/>
      <c r="AL126" s="137"/>
      <c r="AM126" s="137"/>
      <c r="AN126" s="137"/>
      <c r="AO126" s="137"/>
      <c r="AP126" s="137"/>
      <c r="AQ126" s="137"/>
      <c r="AR126" s="137"/>
      <c r="AS126" s="137"/>
      <c r="AT126" s="137"/>
    </row>
    <row r="127" spans="1:46" x14ac:dyDescent="0.2">
      <c r="A127" s="1045"/>
      <c r="AI127" s="108"/>
      <c r="AJ127" s="108"/>
      <c r="AK127" s="108"/>
      <c r="AL127" s="137"/>
      <c r="AM127" s="137"/>
      <c r="AN127" s="137"/>
      <c r="AO127" s="137"/>
      <c r="AP127" s="137"/>
      <c r="AQ127" s="137"/>
      <c r="AR127" s="137"/>
      <c r="AS127" s="137"/>
      <c r="AT127" s="137"/>
    </row>
    <row r="128" spans="1:46" x14ac:dyDescent="0.2">
      <c r="A128" s="1045"/>
      <c r="AI128" s="108"/>
      <c r="AJ128" s="108"/>
      <c r="AK128" s="108"/>
      <c r="AL128" s="137"/>
      <c r="AM128" s="137"/>
      <c r="AN128" s="137"/>
      <c r="AO128" s="137"/>
      <c r="AP128" s="137"/>
      <c r="AQ128" s="137"/>
      <c r="AR128" s="137"/>
      <c r="AS128" s="137"/>
      <c r="AT128" s="137"/>
    </row>
    <row r="129" spans="1:46" x14ac:dyDescent="0.2">
      <c r="A129" s="1045"/>
      <c r="AI129" s="108"/>
      <c r="AJ129" s="108"/>
      <c r="AK129" s="108"/>
      <c r="AL129" s="137"/>
      <c r="AM129" s="137"/>
      <c r="AN129" s="137"/>
      <c r="AO129" s="137"/>
      <c r="AP129" s="137"/>
      <c r="AQ129" s="137"/>
      <c r="AR129" s="137"/>
      <c r="AS129" s="137"/>
      <c r="AT129" s="137"/>
    </row>
    <row r="130" spans="1:46" x14ac:dyDescent="0.2">
      <c r="A130" s="1045"/>
      <c r="AI130" s="108"/>
      <c r="AJ130" s="108"/>
      <c r="AK130" s="108"/>
      <c r="AL130" s="137"/>
      <c r="AM130" s="137"/>
      <c r="AN130" s="137"/>
      <c r="AO130" s="137"/>
      <c r="AP130" s="137"/>
      <c r="AQ130" s="137"/>
      <c r="AR130" s="137"/>
      <c r="AS130" s="137"/>
      <c r="AT130" s="137"/>
    </row>
    <row r="131" spans="1:46" x14ac:dyDescent="0.2">
      <c r="A131" s="1045"/>
      <c r="AI131" s="108"/>
      <c r="AJ131" s="108"/>
      <c r="AK131" s="108"/>
      <c r="AL131" s="137"/>
      <c r="AM131" s="137"/>
      <c r="AN131" s="137"/>
      <c r="AO131" s="137"/>
      <c r="AP131" s="137"/>
      <c r="AQ131" s="137"/>
      <c r="AR131" s="137"/>
      <c r="AS131" s="137"/>
      <c r="AT131" s="137"/>
    </row>
    <row r="132" spans="1:46" x14ac:dyDescent="0.2">
      <c r="A132" s="1045"/>
      <c r="AI132" s="108"/>
      <c r="AJ132" s="108"/>
      <c r="AK132" s="108"/>
      <c r="AL132" s="137"/>
      <c r="AM132" s="137"/>
      <c r="AN132" s="137"/>
      <c r="AO132" s="137"/>
      <c r="AP132" s="137"/>
      <c r="AQ132" s="137"/>
      <c r="AR132" s="137"/>
      <c r="AS132" s="137"/>
      <c r="AT132" s="137"/>
    </row>
    <row r="133" spans="1:46" x14ac:dyDescent="0.2">
      <c r="A133" s="1045"/>
      <c r="AI133" s="108"/>
      <c r="AJ133" s="108"/>
      <c r="AK133" s="108"/>
      <c r="AL133" s="137"/>
      <c r="AM133" s="137"/>
      <c r="AN133" s="137"/>
      <c r="AO133" s="137"/>
      <c r="AP133" s="137"/>
      <c r="AQ133" s="137"/>
      <c r="AR133" s="137"/>
      <c r="AS133" s="137"/>
      <c r="AT133" s="137"/>
    </row>
    <row r="134" spans="1:46" x14ac:dyDescent="0.2">
      <c r="A134" s="1045"/>
      <c r="AI134" s="108"/>
      <c r="AJ134" s="108"/>
      <c r="AK134" s="108"/>
      <c r="AL134" s="137"/>
      <c r="AM134" s="137"/>
      <c r="AN134" s="137"/>
      <c r="AO134" s="137"/>
      <c r="AP134" s="137"/>
      <c r="AQ134" s="137"/>
      <c r="AR134" s="137"/>
      <c r="AS134" s="137"/>
      <c r="AT134" s="137"/>
    </row>
    <row r="135" spans="1:46" x14ac:dyDescent="0.2">
      <c r="A135" s="1045"/>
      <c r="AI135" s="108"/>
      <c r="AJ135" s="108"/>
      <c r="AK135" s="108"/>
      <c r="AL135" s="137"/>
      <c r="AM135" s="137"/>
      <c r="AN135" s="137"/>
      <c r="AO135" s="137"/>
      <c r="AP135" s="137"/>
      <c r="AQ135" s="137"/>
      <c r="AR135" s="137"/>
      <c r="AS135" s="137"/>
      <c r="AT135" s="137"/>
    </row>
    <row r="136" spans="1:46" x14ac:dyDescent="0.2">
      <c r="A136" s="1045"/>
      <c r="AI136" s="108"/>
      <c r="AJ136" s="108"/>
      <c r="AK136" s="108"/>
      <c r="AL136" s="137"/>
      <c r="AM136" s="137"/>
      <c r="AN136" s="137"/>
      <c r="AO136" s="137"/>
      <c r="AP136" s="137"/>
      <c r="AQ136" s="137"/>
      <c r="AR136" s="137"/>
      <c r="AS136" s="137"/>
      <c r="AT136" s="137"/>
    </row>
    <row r="137" spans="1:46" x14ac:dyDescent="0.2">
      <c r="A137" s="1045"/>
      <c r="AI137" s="108"/>
      <c r="AJ137" s="108"/>
      <c r="AK137" s="108"/>
      <c r="AL137" s="137"/>
      <c r="AM137" s="137"/>
      <c r="AN137" s="137"/>
      <c r="AO137" s="137"/>
      <c r="AP137" s="137"/>
      <c r="AQ137" s="137"/>
      <c r="AR137" s="137"/>
      <c r="AS137" s="137"/>
      <c r="AT137" s="137"/>
    </row>
    <row r="138" spans="1:46" x14ac:dyDescent="0.2">
      <c r="A138" s="1045"/>
      <c r="AI138" s="108"/>
      <c r="AJ138" s="108"/>
      <c r="AK138" s="108"/>
      <c r="AL138" s="137"/>
      <c r="AM138" s="137"/>
      <c r="AN138" s="137"/>
      <c r="AO138" s="137"/>
      <c r="AP138" s="137"/>
      <c r="AQ138" s="137"/>
      <c r="AR138" s="137"/>
      <c r="AS138" s="137"/>
      <c r="AT138" s="137"/>
    </row>
    <row r="139" spans="1:46" x14ac:dyDescent="0.2">
      <c r="A139" s="1045"/>
      <c r="AI139" s="108"/>
      <c r="AJ139" s="108"/>
      <c r="AK139" s="108"/>
      <c r="AL139" s="137"/>
      <c r="AM139" s="137"/>
      <c r="AN139" s="137"/>
      <c r="AO139" s="137"/>
      <c r="AP139" s="137"/>
      <c r="AQ139" s="137"/>
      <c r="AR139" s="137"/>
      <c r="AS139" s="137"/>
      <c r="AT139" s="137"/>
    </row>
    <row r="140" spans="1:46" x14ac:dyDescent="0.2">
      <c r="A140" s="1045"/>
      <c r="AI140" s="108"/>
      <c r="AJ140" s="108"/>
      <c r="AK140" s="108"/>
      <c r="AL140" s="137"/>
      <c r="AM140" s="137"/>
      <c r="AN140" s="137"/>
      <c r="AO140" s="137"/>
      <c r="AP140" s="137"/>
      <c r="AQ140" s="137"/>
      <c r="AR140" s="137"/>
      <c r="AS140" s="137"/>
      <c r="AT140" s="137"/>
    </row>
    <row r="141" spans="1:46" x14ac:dyDescent="0.2">
      <c r="AI141" s="108"/>
      <c r="AJ141" s="108"/>
      <c r="AK141" s="108"/>
      <c r="AL141" s="137"/>
      <c r="AM141" s="137"/>
      <c r="AN141" s="137"/>
      <c r="AO141" s="137"/>
      <c r="AP141" s="137"/>
      <c r="AQ141" s="137"/>
      <c r="AR141" s="137"/>
      <c r="AS141" s="137"/>
      <c r="AT141" s="137"/>
    </row>
    <row r="142" spans="1:46" x14ac:dyDescent="0.2">
      <c r="AI142" s="108"/>
      <c r="AJ142" s="108"/>
      <c r="AK142" s="108"/>
      <c r="AL142" s="137"/>
      <c r="AM142" s="137"/>
      <c r="AN142" s="137"/>
      <c r="AO142" s="137"/>
      <c r="AP142" s="137"/>
      <c r="AQ142" s="137"/>
      <c r="AR142" s="137"/>
      <c r="AS142" s="137"/>
      <c r="AT142" s="137"/>
    </row>
    <row r="143" spans="1:46" x14ac:dyDescent="0.2">
      <c r="AI143" s="108"/>
      <c r="AJ143" s="108"/>
      <c r="AK143" s="108"/>
      <c r="AL143" s="137"/>
      <c r="AM143" s="137"/>
      <c r="AN143" s="137"/>
      <c r="AO143" s="137"/>
      <c r="AP143" s="137"/>
      <c r="AQ143" s="137"/>
      <c r="AR143" s="137"/>
      <c r="AS143" s="137"/>
      <c r="AT143" s="137"/>
    </row>
    <row r="144" spans="1:46" x14ac:dyDescent="0.2">
      <c r="AI144" s="108"/>
      <c r="AJ144" s="108"/>
      <c r="AK144" s="108"/>
      <c r="AL144" s="137"/>
      <c r="AM144" s="137"/>
      <c r="AN144" s="137"/>
      <c r="AO144" s="137"/>
      <c r="AP144" s="137"/>
      <c r="AQ144" s="137"/>
      <c r="AR144" s="137"/>
      <c r="AS144" s="137"/>
      <c r="AT144" s="137"/>
    </row>
    <row r="145" spans="35:46" x14ac:dyDescent="0.2">
      <c r="AI145" s="108"/>
      <c r="AJ145" s="108"/>
      <c r="AK145" s="108"/>
      <c r="AL145" s="137"/>
      <c r="AM145" s="137"/>
      <c r="AN145" s="137"/>
      <c r="AO145" s="137"/>
      <c r="AP145" s="137"/>
      <c r="AQ145" s="137"/>
      <c r="AR145" s="137"/>
      <c r="AS145" s="137"/>
      <c r="AT145" s="137"/>
    </row>
    <row r="146" spans="35:46" x14ac:dyDescent="0.2">
      <c r="AI146" s="108"/>
      <c r="AJ146" s="108"/>
      <c r="AK146" s="108"/>
      <c r="AL146" s="137"/>
      <c r="AM146" s="137"/>
      <c r="AN146" s="137"/>
      <c r="AO146" s="137"/>
      <c r="AP146" s="137"/>
      <c r="AQ146" s="137"/>
      <c r="AR146" s="137"/>
      <c r="AS146" s="137"/>
      <c r="AT146" s="137"/>
    </row>
    <row r="147" spans="35:46" x14ac:dyDescent="0.2">
      <c r="AI147" s="108"/>
      <c r="AJ147" s="108"/>
      <c r="AK147" s="108"/>
      <c r="AL147" s="137"/>
      <c r="AM147" s="137"/>
      <c r="AN147" s="137"/>
      <c r="AO147" s="137"/>
      <c r="AP147" s="137"/>
      <c r="AQ147" s="137"/>
      <c r="AR147" s="137"/>
      <c r="AS147" s="137"/>
      <c r="AT147" s="137"/>
    </row>
    <row r="148" spans="35:46" x14ac:dyDescent="0.2">
      <c r="AI148" s="108"/>
      <c r="AJ148" s="108"/>
      <c r="AK148" s="108"/>
      <c r="AL148" s="137"/>
      <c r="AM148" s="137"/>
      <c r="AN148" s="137"/>
      <c r="AO148" s="137"/>
      <c r="AP148" s="137"/>
      <c r="AQ148" s="137"/>
      <c r="AR148" s="137"/>
      <c r="AS148" s="137"/>
      <c r="AT148" s="137"/>
    </row>
    <row r="149" spans="35:46" x14ac:dyDescent="0.2">
      <c r="AI149" s="108"/>
      <c r="AJ149" s="108"/>
      <c r="AK149" s="108"/>
      <c r="AL149" s="137"/>
      <c r="AM149" s="137"/>
      <c r="AN149" s="137"/>
      <c r="AO149" s="137"/>
      <c r="AP149" s="137"/>
      <c r="AQ149" s="137"/>
      <c r="AR149" s="137"/>
      <c r="AS149" s="137"/>
      <c r="AT149" s="137"/>
    </row>
    <row r="150" spans="35:46" x14ac:dyDescent="0.2">
      <c r="AI150" s="108"/>
      <c r="AJ150" s="108"/>
      <c r="AK150" s="108"/>
      <c r="AL150" s="137"/>
      <c r="AM150" s="137"/>
      <c r="AN150" s="137"/>
      <c r="AO150" s="137"/>
      <c r="AP150" s="137"/>
      <c r="AQ150" s="137"/>
      <c r="AR150" s="137"/>
      <c r="AS150" s="137"/>
      <c r="AT150" s="137"/>
    </row>
    <row r="151" spans="35:46" x14ac:dyDescent="0.2">
      <c r="AI151" s="108"/>
      <c r="AJ151" s="108"/>
      <c r="AK151" s="108"/>
      <c r="AL151" s="137"/>
      <c r="AM151" s="137"/>
      <c r="AN151" s="137"/>
      <c r="AO151" s="137"/>
      <c r="AP151" s="137"/>
      <c r="AQ151" s="137"/>
      <c r="AR151" s="137"/>
      <c r="AS151" s="137"/>
      <c r="AT151" s="137"/>
    </row>
    <row r="152" spans="35:46" x14ac:dyDescent="0.2">
      <c r="AI152" s="108"/>
      <c r="AJ152" s="108"/>
      <c r="AK152" s="108"/>
      <c r="AL152" s="137"/>
      <c r="AM152" s="137"/>
      <c r="AN152" s="137"/>
      <c r="AO152" s="137"/>
      <c r="AP152" s="137"/>
      <c r="AQ152" s="137"/>
      <c r="AR152" s="137"/>
      <c r="AS152" s="137"/>
      <c r="AT152" s="137"/>
    </row>
    <row r="153" spans="35:46" x14ac:dyDescent="0.2">
      <c r="AI153" s="108"/>
      <c r="AJ153" s="108"/>
      <c r="AK153" s="108"/>
      <c r="AL153" s="137"/>
      <c r="AM153" s="137"/>
      <c r="AN153" s="137"/>
      <c r="AO153" s="137"/>
      <c r="AP153" s="137"/>
      <c r="AQ153" s="137"/>
      <c r="AR153" s="137"/>
      <c r="AS153" s="137"/>
      <c r="AT153" s="137"/>
    </row>
  </sheetData>
  <sheetProtection algorithmName="SHA-512" hashValue="Xequc9bp9IVZGCk56H0Ima/2NJYUj+YFEGly6Umh8VMlq5aCNQaTYwgqousXJqeGDNBWDvP8mO0dEZEEbecFOA==" saltValue="6OASh1rilvp0z8L/UD2oZQ==" spinCount="100000" sheet="1" objects="1" scenarios="1"/>
  <mergeCells count="59">
    <mergeCell ref="D56:E56"/>
    <mergeCell ref="B27:G27"/>
    <mergeCell ref="B24:C26"/>
    <mergeCell ref="D24:G24"/>
    <mergeCell ref="D25:G25"/>
    <mergeCell ref="D26:G26"/>
    <mergeCell ref="B52:C52"/>
    <mergeCell ref="B53:C53"/>
    <mergeCell ref="B54:C54"/>
    <mergeCell ref="B55:C55"/>
    <mergeCell ref="D55:E55"/>
    <mergeCell ref="B56:C56"/>
    <mergeCell ref="P25:Q25"/>
    <mergeCell ref="A99:A140"/>
    <mergeCell ref="N89:S89"/>
    <mergeCell ref="N90:S90"/>
    <mergeCell ref="N91:S91"/>
    <mergeCell ref="B28:G28"/>
    <mergeCell ref="B31:J33"/>
    <mergeCell ref="P28:Q28"/>
    <mergeCell ref="D57:E57"/>
    <mergeCell ref="D59:E59"/>
    <mergeCell ref="D60:E60"/>
    <mergeCell ref="D62:E62"/>
    <mergeCell ref="D63:E63"/>
    <mergeCell ref="D52:E52"/>
    <mergeCell ref="D53:E53"/>
    <mergeCell ref="D54:E54"/>
    <mergeCell ref="R75:T75"/>
    <mergeCell ref="N76:S76"/>
    <mergeCell ref="N77:S77"/>
    <mergeCell ref="N88:S88"/>
    <mergeCell ref="N87:S87"/>
    <mergeCell ref="N78:S78"/>
    <mergeCell ref="N79:S79"/>
    <mergeCell ref="N80:S80"/>
    <mergeCell ref="R86:T86"/>
    <mergeCell ref="P14:Q14"/>
    <mergeCell ref="B21:G21"/>
    <mergeCell ref="B22:G22"/>
    <mergeCell ref="B23:G23"/>
    <mergeCell ref="B20:C20"/>
    <mergeCell ref="F20:H20"/>
    <mergeCell ref="B17:G17"/>
    <mergeCell ref="B16:G16"/>
    <mergeCell ref="B13:C15"/>
    <mergeCell ref="D13:G13"/>
    <mergeCell ref="D14:G14"/>
    <mergeCell ref="D15:G15"/>
    <mergeCell ref="AQ1:AT1"/>
    <mergeCell ref="B2:C2"/>
    <mergeCell ref="B10:G10"/>
    <mergeCell ref="B12:G12"/>
    <mergeCell ref="B9:C9"/>
    <mergeCell ref="F9:H9"/>
    <mergeCell ref="B7:C7"/>
    <mergeCell ref="G7:H7"/>
    <mergeCell ref="B11:G11"/>
    <mergeCell ref="F5:J5"/>
  </mergeCells>
  <phoneticPr fontId="117" type="noConversion"/>
  <conditionalFormatting sqref="I15">
    <cfRule type="expression" dxfId="205" priority="10">
      <formula>$M$15=0</formula>
    </cfRule>
    <cfRule type="containsText" dxfId="204" priority="11" operator="containsText" text="Doplňte">
      <formula>NOT(ISERROR(SEARCH("Doplňte",I15)))</formula>
    </cfRule>
  </conditionalFormatting>
  <conditionalFormatting sqref="I26">
    <cfRule type="expression" dxfId="203" priority="8">
      <formula>$M$15=0</formula>
    </cfRule>
    <cfRule type="containsText" dxfId="202" priority="9" operator="containsText" text="Doplňte">
      <formula>NOT(ISERROR(SEARCH("Doplňte",I26)))</formula>
    </cfRule>
  </conditionalFormatting>
  <conditionalFormatting sqref="I12">
    <cfRule type="containsText" dxfId="201" priority="7" operator="containsText" text="Doplňte">
      <formula>NOT(ISERROR(SEARCH("Doplňte",I12)))</formula>
    </cfRule>
  </conditionalFormatting>
  <conditionalFormatting sqref="I12">
    <cfRule type="expression" dxfId="200" priority="6">
      <formula>$M$15=0</formula>
    </cfRule>
  </conditionalFormatting>
  <conditionalFormatting sqref="I23">
    <cfRule type="containsText" dxfId="199" priority="5" operator="containsText" text="Doplňte">
      <formula>NOT(ISERROR(SEARCH("Doplňte",I23)))</formula>
    </cfRule>
  </conditionalFormatting>
  <conditionalFormatting sqref="I23">
    <cfRule type="expression" dxfId="198" priority="4">
      <formula>$M$26=0</formula>
    </cfRule>
  </conditionalFormatting>
  <conditionalFormatting sqref="E9">
    <cfRule type="expression" dxfId="197" priority="3">
      <formula>$M$15&gt;0</formula>
    </cfRule>
  </conditionalFormatting>
  <conditionalFormatting sqref="E20">
    <cfRule type="expression" dxfId="196" priority="1">
      <formula>$M$26&gt;0</formula>
    </cfRule>
  </conditionalFormatting>
  <hyperlinks>
    <hyperlink ref="N76:S76" location="HLna!H10" tooltip=" " display="HLna!H10" xr:uid="{031CFFEF-5F31-48B0-9E86-119E833C026D}"/>
    <hyperlink ref="N77:S77" location="HLna!H11" tooltip=" " display="HLna!H11" xr:uid="{8E9BDDB1-7200-4EFB-8DFF-3E0E96AC496C}"/>
    <hyperlink ref="N87:S87" location="HLna!H19" tooltip=" " display="HLna!H19" xr:uid="{C1B6B856-A5F6-40FE-8945-BC9953585D90}"/>
    <hyperlink ref="N88:S88" location="HLna!H20" tooltip=" " display="HLna!H20" xr:uid="{4E0443FB-A425-44F9-A9F2-CB52792846EC}"/>
    <hyperlink ref="AK5" location="HLna!A110" tooltip=" " display="HLna!A110" xr:uid="{6032FEBE-C2D4-4623-89BB-1DA671566FE6}"/>
    <hyperlink ref="L118" location="HLna!A1" tooltip=" " display="HLna!A1" xr:uid="{E224188A-6836-4BD2-8CDA-77033BB574E7}"/>
    <hyperlink ref="AK9" location="SumAVS!A1" tooltip=" " display="SumAVS!A1" xr:uid="{DD63EA9B-EB07-4CB3-8FE0-BE2334D02762}"/>
    <hyperlink ref="AK10" location="OrdAVS!A1" tooltip=" " display="OrdAVS!A1" xr:uid="{F342EB88-43E8-4E41-9D71-FD2B1022807B}"/>
    <hyperlink ref="AK7" location="AcsAVS!A1" tooltip=" " display="AcsAVS!A1" xr:uid="{BB91A8C1-6BF4-4CC6-B80C-07DFCDF56C14}"/>
    <hyperlink ref="AK4" location="MenuAVS!A1" tooltip=" " display="MenuAVS!A1" xr:uid="{E1697D3C-A694-47EC-A939-970024C108DF}"/>
    <hyperlink ref="B2:C2" location="HL!A1" tooltip=" " display="AVENTOS HL" xr:uid="{0E921376-3317-4AC5-8D12-5E64883FFCB6}"/>
  </hyperlinks>
  <pageMargins left="0.62992125984251968" right="0.23622047244094488" top="0.74803149606299213" bottom="0.74803149606299213" header="0.31496062992125984" footer="0.31496062992125984"/>
  <pageSetup paperSize="9" orientation="portrait" horizontalDpi="4294967293"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67939" r:id="rId4" name="Drop Down 3">
              <controlPr defaultSize="0" autoLine="0" autoPict="0">
                <anchor moveWithCells="1">
                  <from>
                    <xdr:col>3</xdr:col>
                    <xdr:colOff>19050</xdr:colOff>
                    <xdr:row>6</xdr:row>
                    <xdr:rowOff>9525</xdr:rowOff>
                  </from>
                  <to>
                    <xdr:col>6</xdr:col>
                    <xdr:colOff>0</xdr:colOff>
                    <xdr:row>7</xdr:row>
                    <xdr:rowOff>0</xdr:rowOff>
                  </to>
                </anchor>
              </controlPr>
            </control>
          </mc:Choice>
        </mc:AlternateContent>
        <mc:AlternateContent xmlns:mc="http://schemas.openxmlformats.org/markup-compatibility/2006">
          <mc:Choice Requires="x14">
            <control shapeId="167941" r:id="rId5" name="Option Button 5">
              <controlPr defaultSize="0" autoFill="0" autoLine="0" autoPict="0">
                <anchor moveWithCells="1">
                  <from>
                    <xdr:col>1</xdr:col>
                    <xdr:colOff>400050</xdr:colOff>
                    <xdr:row>5</xdr:row>
                    <xdr:rowOff>28575</xdr:rowOff>
                  </from>
                  <to>
                    <xdr:col>2</xdr:col>
                    <xdr:colOff>95250</xdr:colOff>
                    <xdr:row>5</xdr:row>
                    <xdr:rowOff>247650</xdr:rowOff>
                  </to>
                </anchor>
              </controlPr>
            </control>
          </mc:Choice>
        </mc:AlternateContent>
        <mc:AlternateContent xmlns:mc="http://schemas.openxmlformats.org/markup-compatibility/2006">
          <mc:Choice Requires="x14">
            <control shapeId="167942" r:id="rId6" name="Option Button 6">
              <controlPr defaultSize="0" autoFill="0" autoLine="0" autoPict="0">
                <anchor moveWithCells="1">
                  <from>
                    <xdr:col>3</xdr:col>
                    <xdr:colOff>361950</xdr:colOff>
                    <xdr:row>5</xdr:row>
                    <xdr:rowOff>38100</xdr:rowOff>
                  </from>
                  <to>
                    <xdr:col>4</xdr:col>
                    <xdr:colOff>57150</xdr:colOff>
                    <xdr:row>5</xdr:row>
                    <xdr:rowOff>247650</xdr:rowOff>
                  </to>
                </anchor>
              </controlPr>
            </control>
          </mc:Choice>
        </mc:AlternateContent>
        <mc:AlternateContent xmlns:mc="http://schemas.openxmlformats.org/markup-compatibility/2006">
          <mc:Choice Requires="x14">
            <control shapeId="167943" r:id="rId7" name="Drop Down 7">
              <controlPr defaultSize="0" autoLine="0" autoPict="0">
                <anchor moveWithCells="1">
                  <from>
                    <xdr:col>1</xdr:col>
                    <xdr:colOff>0</xdr:colOff>
                    <xdr:row>9</xdr:row>
                    <xdr:rowOff>0</xdr:rowOff>
                  </from>
                  <to>
                    <xdr:col>3</xdr:col>
                    <xdr:colOff>9525</xdr:colOff>
                    <xdr:row>10</xdr:row>
                    <xdr:rowOff>0</xdr:rowOff>
                  </to>
                </anchor>
              </controlPr>
            </control>
          </mc:Choice>
        </mc:AlternateContent>
        <mc:AlternateContent xmlns:mc="http://schemas.openxmlformats.org/markup-compatibility/2006">
          <mc:Choice Requires="x14">
            <control shapeId="167944" r:id="rId8" name="Drop Down 8">
              <controlPr defaultSize="0" autoLine="0" autoPict="0">
                <anchor moveWithCells="1">
                  <from>
                    <xdr:col>1</xdr:col>
                    <xdr:colOff>0</xdr:colOff>
                    <xdr:row>20</xdr:row>
                    <xdr:rowOff>0</xdr:rowOff>
                  </from>
                  <to>
                    <xdr:col>3</xdr:col>
                    <xdr:colOff>9525</xdr:colOff>
                    <xdr:row>21</xdr:row>
                    <xdr:rowOff>0</xdr:rowOff>
                  </to>
                </anchor>
              </controlPr>
            </control>
          </mc:Choice>
        </mc:AlternateContent>
        <mc:AlternateContent xmlns:mc="http://schemas.openxmlformats.org/markup-compatibility/2006">
          <mc:Choice Requires="x14">
            <control shapeId="167946" r:id="rId9" name="Drop Down 10">
              <controlPr defaultSize="0" autoLine="0" autoPict="0">
                <anchor moveWithCells="1">
                  <from>
                    <xdr:col>6</xdr:col>
                    <xdr:colOff>9525</xdr:colOff>
                    <xdr:row>3</xdr:row>
                    <xdr:rowOff>0</xdr:rowOff>
                  </from>
                  <to>
                    <xdr:col>8</xdr:col>
                    <xdr:colOff>571500</xdr:colOff>
                    <xdr:row>4</xdr:row>
                    <xdr:rowOff>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C3F58-2AFD-410B-BDD8-A42410377666}">
  <sheetPr codeName="Sheet18">
    <tabColor indexed="17"/>
  </sheetPr>
  <dimension ref="A1:AZ163"/>
  <sheetViews>
    <sheetView showGridLines="0" showRowColHeaders="0" workbookViewId="0">
      <selection activeCell="K28" sqref="K28"/>
    </sheetView>
  </sheetViews>
  <sheetFormatPr defaultColWidth="8.28515625" defaultRowHeight="12" x14ac:dyDescent="0.2"/>
  <cols>
    <col min="1" max="1" width="1.28515625" style="37" customWidth="1"/>
    <col min="2" max="9" width="8.5703125" style="37" customWidth="1"/>
    <col min="10" max="10" width="6.7109375" style="37" customWidth="1"/>
    <col min="11" max="11" width="10.42578125" style="37" customWidth="1"/>
    <col min="12" max="12" width="17.28515625" style="37" customWidth="1"/>
    <col min="13" max="14" width="6.42578125" style="37" hidden="1" customWidth="1"/>
    <col min="15" max="15" width="6.42578125" style="118" hidden="1" customWidth="1"/>
    <col min="16" max="16" width="6.42578125" style="37" hidden="1" customWidth="1"/>
    <col min="17" max="17" width="6" style="118" hidden="1" customWidth="1"/>
    <col min="18" max="18" width="6.42578125" style="37" hidden="1" customWidth="1"/>
    <col min="19" max="22" width="7.7109375" style="37" hidden="1" customWidth="1"/>
    <col min="23" max="24" width="6.42578125" style="37" hidden="1" customWidth="1"/>
    <col min="25" max="25" width="37.28515625" style="37" hidden="1" customWidth="1"/>
    <col min="26" max="26" width="13.5703125" style="37" hidden="1" customWidth="1"/>
    <col min="27" max="29" width="6.7109375" style="37" hidden="1" customWidth="1"/>
    <col min="30" max="30" width="9.42578125" style="37" hidden="1" customWidth="1"/>
    <col min="31" max="34" width="7.7109375" style="37" hidden="1" customWidth="1"/>
    <col min="35" max="35" width="3.28515625" style="36" hidden="1" customWidth="1"/>
    <col min="36" max="36" width="5.28515625" style="36" customWidth="1"/>
    <col min="37" max="37" width="23.42578125" style="36" customWidth="1"/>
    <col min="38" max="42" width="8.28515625" style="121"/>
    <col min="43" max="43" width="13.28515625" style="122" customWidth="1"/>
    <col min="44" max="44" width="19.7109375" style="122" customWidth="1"/>
    <col min="45" max="46" width="19.7109375" style="121" customWidth="1"/>
    <col min="47" max="246" width="8.28515625" style="121"/>
    <col min="247" max="247" width="1.28515625" style="121" customWidth="1"/>
    <col min="248" max="255" width="7.7109375" style="121" customWidth="1"/>
    <col min="256" max="256" width="6.42578125" style="121" customWidth="1"/>
    <col min="257" max="257" width="9.28515625" style="121" customWidth="1"/>
    <col min="258" max="258" width="15.42578125" style="121" customWidth="1"/>
    <col min="259" max="262" width="6.42578125" style="121" customWidth="1"/>
    <col min="263" max="263" width="6" style="121" customWidth="1"/>
    <col min="264" max="264" width="6.42578125" style="121" customWidth="1"/>
    <col min="265" max="268" width="7.7109375" style="121" customWidth="1"/>
    <col min="269" max="273" width="6.42578125" style="121" customWidth="1"/>
    <col min="274" max="274" width="3.28515625" style="121" customWidth="1"/>
    <col min="275" max="275" width="5.28515625" style="121" customWidth="1"/>
    <col min="276" max="276" width="23.42578125" style="121" customWidth="1"/>
    <col min="277" max="293" width="8.28515625" style="121"/>
    <col min="294" max="298" width="12.42578125" style="121" customWidth="1"/>
    <col min="299" max="502" width="8.28515625" style="121"/>
    <col min="503" max="503" width="1.28515625" style="121" customWidth="1"/>
    <col min="504" max="511" width="7.7109375" style="121" customWidth="1"/>
    <col min="512" max="512" width="6.42578125" style="121" customWidth="1"/>
    <col min="513" max="513" width="9.28515625" style="121" customWidth="1"/>
    <col min="514" max="514" width="15.42578125" style="121" customWidth="1"/>
    <col min="515" max="518" width="6.42578125" style="121" customWidth="1"/>
    <col min="519" max="519" width="6" style="121" customWidth="1"/>
    <col min="520" max="520" width="6.42578125" style="121" customWidth="1"/>
    <col min="521" max="524" width="7.7109375" style="121" customWidth="1"/>
    <col min="525" max="529" width="6.42578125" style="121" customWidth="1"/>
    <col min="530" max="530" width="3.28515625" style="121" customWidth="1"/>
    <col min="531" max="531" width="5.28515625" style="121" customWidth="1"/>
    <col min="532" max="532" width="23.42578125" style="121" customWidth="1"/>
    <col min="533" max="549" width="8.28515625" style="121"/>
    <col min="550" max="554" width="12.42578125" style="121" customWidth="1"/>
    <col min="555" max="758" width="8.28515625" style="121"/>
    <col min="759" max="759" width="1.28515625" style="121" customWidth="1"/>
    <col min="760" max="767" width="7.7109375" style="121" customWidth="1"/>
    <col min="768" max="768" width="6.42578125" style="121" customWidth="1"/>
    <col min="769" max="769" width="9.28515625" style="121" customWidth="1"/>
    <col min="770" max="770" width="15.42578125" style="121" customWidth="1"/>
    <col min="771" max="774" width="6.42578125" style="121" customWidth="1"/>
    <col min="775" max="775" width="6" style="121" customWidth="1"/>
    <col min="776" max="776" width="6.42578125" style="121" customWidth="1"/>
    <col min="777" max="780" width="7.7109375" style="121" customWidth="1"/>
    <col min="781" max="785" width="6.42578125" style="121" customWidth="1"/>
    <col min="786" max="786" width="3.28515625" style="121" customWidth="1"/>
    <col min="787" max="787" width="5.28515625" style="121" customWidth="1"/>
    <col min="788" max="788" width="23.42578125" style="121" customWidth="1"/>
    <col min="789" max="805" width="8.28515625" style="121"/>
    <col min="806" max="810" width="12.42578125" style="121" customWidth="1"/>
    <col min="811" max="1014" width="8.28515625" style="121"/>
    <col min="1015" max="1015" width="1.28515625" style="121" customWidth="1"/>
    <col min="1016" max="1023" width="7.7109375" style="121" customWidth="1"/>
    <col min="1024" max="1024" width="6.42578125" style="121" customWidth="1"/>
    <col min="1025" max="1025" width="9.28515625" style="121" customWidth="1"/>
    <col min="1026" max="1026" width="15.42578125" style="121" customWidth="1"/>
    <col min="1027" max="1030" width="6.42578125" style="121" customWidth="1"/>
    <col min="1031" max="1031" width="6" style="121" customWidth="1"/>
    <col min="1032" max="1032" width="6.42578125" style="121" customWidth="1"/>
    <col min="1033" max="1036" width="7.7109375" style="121" customWidth="1"/>
    <col min="1037" max="1041" width="6.42578125" style="121" customWidth="1"/>
    <col min="1042" max="1042" width="3.28515625" style="121" customWidth="1"/>
    <col min="1043" max="1043" width="5.28515625" style="121" customWidth="1"/>
    <col min="1044" max="1044" width="23.42578125" style="121" customWidth="1"/>
    <col min="1045" max="1061" width="8.28515625" style="121"/>
    <col min="1062" max="1066" width="12.42578125" style="121" customWidth="1"/>
    <col min="1067" max="1270" width="8.28515625" style="121"/>
    <col min="1271" max="1271" width="1.28515625" style="121" customWidth="1"/>
    <col min="1272" max="1279" width="7.7109375" style="121" customWidth="1"/>
    <col min="1280" max="1280" width="6.42578125" style="121" customWidth="1"/>
    <col min="1281" max="1281" width="9.28515625" style="121" customWidth="1"/>
    <col min="1282" max="1282" width="15.42578125" style="121" customWidth="1"/>
    <col min="1283" max="1286" width="6.42578125" style="121" customWidth="1"/>
    <col min="1287" max="1287" width="6" style="121" customWidth="1"/>
    <col min="1288" max="1288" width="6.42578125" style="121" customWidth="1"/>
    <col min="1289" max="1292" width="7.7109375" style="121" customWidth="1"/>
    <col min="1293" max="1297" width="6.42578125" style="121" customWidth="1"/>
    <col min="1298" max="1298" width="3.28515625" style="121" customWidth="1"/>
    <col min="1299" max="1299" width="5.28515625" style="121" customWidth="1"/>
    <col min="1300" max="1300" width="23.42578125" style="121" customWidth="1"/>
    <col min="1301" max="1317" width="8.28515625" style="121"/>
    <col min="1318" max="1322" width="12.42578125" style="121" customWidth="1"/>
    <col min="1323" max="1526" width="8.28515625" style="121"/>
    <col min="1527" max="1527" width="1.28515625" style="121" customWidth="1"/>
    <col min="1528" max="1535" width="7.7109375" style="121" customWidth="1"/>
    <col min="1536" max="1536" width="6.42578125" style="121" customWidth="1"/>
    <col min="1537" max="1537" width="9.28515625" style="121" customWidth="1"/>
    <col min="1538" max="1538" width="15.42578125" style="121" customWidth="1"/>
    <col min="1539" max="1542" width="6.42578125" style="121" customWidth="1"/>
    <col min="1543" max="1543" width="6" style="121" customWidth="1"/>
    <col min="1544" max="1544" width="6.42578125" style="121" customWidth="1"/>
    <col min="1545" max="1548" width="7.7109375" style="121" customWidth="1"/>
    <col min="1549" max="1553" width="6.42578125" style="121" customWidth="1"/>
    <col min="1554" max="1554" width="3.28515625" style="121" customWidth="1"/>
    <col min="1555" max="1555" width="5.28515625" style="121" customWidth="1"/>
    <col min="1556" max="1556" width="23.42578125" style="121" customWidth="1"/>
    <col min="1557" max="1573" width="8.28515625" style="121"/>
    <col min="1574" max="1578" width="12.42578125" style="121" customWidth="1"/>
    <col min="1579" max="1782" width="8.28515625" style="121"/>
    <col min="1783" max="1783" width="1.28515625" style="121" customWidth="1"/>
    <col min="1784" max="1791" width="7.7109375" style="121" customWidth="1"/>
    <col min="1792" max="1792" width="6.42578125" style="121" customWidth="1"/>
    <col min="1793" max="1793" width="9.28515625" style="121" customWidth="1"/>
    <col min="1794" max="1794" width="15.42578125" style="121" customWidth="1"/>
    <col min="1795" max="1798" width="6.42578125" style="121" customWidth="1"/>
    <col min="1799" max="1799" width="6" style="121" customWidth="1"/>
    <col min="1800" max="1800" width="6.42578125" style="121" customWidth="1"/>
    <col min="1801" max="1804" width="7.7109375" style="121" customWidth="1"/>
    <col min="1805" max="1809" width="6.42578125" style="121" customWidth="1"/>
    <col min="1810" max="1810" width="3.28515625" style="121" customWidth="1"/>
    <col min="1811" max="1811" width="5.28515625" style="121" customWidth="1"/>
    <col min="1812" max="1812" width="23.42578125" style="121" customWidth="1"/>
    <col min="1813" max="1829" width="8.28515625" style="121"/>
    <col min="1830" max="1834" width="12.42578125" style="121" customWidth="1"/>
    <col min="1835" max="2038" width="8.28515625" style="121"/>
    <col min="2039" max="2039" width="1.28515625" style="121" customWidth="1"/>
    <col min="2040" max="2047" width="7.7109375" style="121" customWidth="1"/>
    <col min="2048" max="2048" width="6.42578125" style="121" customWidth="1"/>
    <col min="2049" max="2049" width="9.28515625" style="121" customWidth="1"/>
    <col min="2050" max="2050" width="15.42578125" style="121" customWidth="1"/>
    <col min="2051" max="2054" width="6.42578125" style="121" customWidth="1"/>
    <col min="2055" max="2055" width="6" style="121" customWidth="1"/>
    <col min="2056" max="2056" width="6.42578125" style="121" customWidth="1"/>
    <col min="2057" max="2060" width="7.7109375" style="121" customWidth="1"/>
    <col min="2061" max="2065" width="6.42578125" style="121" customWidth="1"/>
    <col min="2066" max="2066" width="3.28515625" style="121" customWidth="1"/>
    <col min="2067" max="2067" width="5.28515625" style="121" customWidth="1"/>
    <col min="2068" max="2068" width="23.42578125" style="121" customWidth="1"/>
    <col min="2069" max="2085" width="8.28515625" style="121"/>
    <col min="2086" max="2090" width="12.42578125" style="121" customWidth="1"/>
    <col min="2091" max="2294" width="8.28515625" style="121"/>
    <col min="2295" max="2295" width="1.28515625" style="121" customWidth="1"/>
    <col min="2296" max="2303" width="7.7109375" style="121" customWidth="1"/>
    <col min="2304" max="2304" width="6.42578125" style="121" customWidth="1"/>
    <col min="2305" max="2305" width="9.28515625" style="121" customWidth="1"/>
    <col min="2306" max="2306" width="15.42578125" style="121" customWidth="1"/>
    <col min="2307" max="2310" width="6.42578125" style="121" customWidth="1"/>
    <col min="2311" max="2311" width="6" style="121" customWidth="1"/>
    <col min="2312" max="2312" width="6.42578125" style="121" customWidth="1"/>
    <col min="2313" max="2316" width="7.7109375" style="121" customWidth="1"/>
    <col min="2317" max="2321" width="6.42578125" style="121" customWidth="1"/>
    <col min="2322" max="2322" width="3.28515625" style="121" customWidth="1"/>
    <col min="2323" max="2323" width="5.28515625" style="121" customWidth="1"/>
    <col min="2324" max="2324" width="23.42578125" style="121" customWidth="1"/>
    <col min="2325" max="2341" width="8.28515625" style="121"/>
    <col min="2342" max="2346" width="12.42578125" style="121" customWidth="1"/>
    <col min="2347" max="2550" width="8.28515625" style="121"/>
    <col min="2551" max="2551" width="1.28515625" style="121" customWidth="1"/>
    <col min="2552" max="2559" width="7.7109375" style="121" customWidth="1"/>
    <col min="2560" max="2560" width="6.42578125" style="121" customWidth="1"/>
    <col min="2561" max="2561" width="9.28515625" style="121" customWidth="1"/>
    <col min="2562" max="2562" width="15.42578125" style="121" customWidth="1"/>
    <col min="2563" max="2566" width="6.42578125" style="121" customWidth="1"/>
    <col min="2567" max="2567" width="6" style="121" customWidth="1"/>
    <col min="2568" max="2568" width="6.42578125" style="121" customWidth="1"/>
    <col min="2569" max="2572" width="7.7109375" style="121" customWidth="1"/>
    <col min="2573" max="2577" width="6.42578125" style="121" customWidth="1"/>
    <col min="2578" max="2578" width="3.28515625" style="121" customWidth="1"/>
    <col min="2579" max="2579" width="5.28515625" style="121" customWidth="1"/>
    <col min="2580" max="2580" width="23.42578125" style="121" customWidth="1"/>
    <col min="2581" max="2597" width="8.28515625" style="121"/>
    <col min="2598" max="2602" width="12.42578125" style="121" customWidth="1"/>
    <col min="2603" max="2806" width="8.28515625" style="121"/>
    <col min="2807" max="2807" width="1.28515625" style="121" customWidth="1"/>
    <col min="2808" max="2815" width="7.7109375" style="121" customWidth="1"/>
    <col min="2816" max="2816" width="6.42578125" style="121" customWidth="1"/>
    <col min="2817" max="2817" width="9.28515625" style="121" customWidth="1"/>
    <col min="2818" max="2818" width="15.42578125" style="121" customWidth="1"/>
    <col min="2819" max="2822" width="6.42578125" style="121" customWidth="1"/>
    <col min="2823" max="2823" width="6" style="121" customWidth="1"/>
    <col min="2824" max="2824" width="6.42578125" style="121" customWidth="1"/>
    <col min="2825" max="2828" width="7.7109375" style="121" customWidth="1"/>
    <col min="2829" max="2833" width="6.42578125" style="121" customWidth="1"/>
    <col min="2834" max="2834" width="3.28515625" style="121" customWidth="1"/>
    <col min="2835" max="2835" width="5.28515625" style="121" customWidth="1"/>
    <col min="2836" max="2836" width="23.42578125" style="121" customWidth="1"/>
    <col min="2837" max="2853" width="8.28515625" style="121"/>
    <col min="2854" max="2858" width="12.42578125" style="121" customWidth="1"/>
    <col min="2859" max="3062" width="8.28515625" style="121"/>
    <col min="3063" max="3063" width="1.28515625" style="121" customWidth="1"/>
    <col min="3064" max="3071" width="7.7109375" style="121" customWidth="1"/>
    <col min="3072" max="3072" width="6.42578125" style="121" customWidth="1"/>
    <col min="3073" max="3073" width="9.28515625" style="121" customWidth="1"/>
    <col min="3074" max="3074" width="15.42578125" style="121" customWidth="1"/>
    <col min="3075" max="3078" width="6.42578125" style="121" customWidth="1"/>
    <col min="3079" max="3079" width="6" style="121" customWidth="1"/>
    <col min="3080" max="3080" width="6.42578125" style="121" customWidth="1"/>
    <col min="3081" max="3084" width="7.7109375" style="121" customWidth="1"/>
    <col min="3085" max="3089" width="6.42578125" style="121" customWidth="1"/>
    <col min="3090" max="3090" width="3.28515625" style="121" customWidth="1"/>
    <col min="3091" max="3091" width="5.28515625" style="121" customWidth="1"/>
    <col min="3092" max="3092" width="23.42578125" style="121" customWidth="1"/>
    <col min="3093" max="3109" width="8.28515625" style="121"/>
    <col min="3110" max="3114" width="12.42578125" style="121" customWidth="1"/>
    <col min="3115" max="3318" width="8.28515625" style="121"/>
    <col min="3319" max="3319" width="1.28515625" style="121" customWidth="1"/>
    <col min="3320" max="3327" width="7.7109375" style="121" customWidth="1"/>
    <col min="3328" max="3328" width="6.42578125" style="121" customWidth="1"/>
    <col min="3329" max="3329" width="9.28515625" style="121" customWidth="1"/>
    <col min="3330" max="3330" width="15.42578125" style="121" customWidth="1"/>
    <col min="3331" max="3334" width="6.42578125" style="121" customWidth="1"/>
    <col min="3335" max="3335" width="6" style="121" customWidth="1"/>
    <col min="3336" max="3336" width="6.42578125" style="121" customWidth="1"/>
    <col min="3337" max="3340" width="7.7109375" style="121" customWidth="1"/>
    <col min="3341" max="3345" width="6.42578125" style="121" customWidth="1"/>
    <col min="3346" max="3346" width="3.28515625" style="121" customWidth="1"/>
    <col min="3347" max="3347" width="5.28515625" style="121" customWidth="1"/>
    <col min="3348" max="3348" width="23.42578125" style="121" customWidth="1"/>
    <col min="3349" max="3365" width="8.28515625" style="121"/>
    <col min="3366" max="3370" width="12.42578125" style="121" customWidth="1"/>
    <col min="3371" max="3574" width="8.28515625" style="121"/>
    <col min="3575" max="3575" width="1.28515625" style="121" customWidth="1"/>
    <col min="3576" max="3583" width="7.7109375" style="121" customWidth="1"/>
    <col min="3584" max="3584" width="6.42578125" style="121" customWidth="1"/>
    <col min="3585" max="3585" width="9.28515625" style="121" customWidth="1"/>
    <col min="3586" max="3586" width="15.42578125" style="121" customWidth="1"/>
    <col min="3587" max="3590" width="6.42578125" style="121" customWidth="1"/>
    <col min="3591" max="3591" width="6" style="121" customWidth="1"/>
    <col min="3592" max="3592" width="6.42578125" style="121" customWidth="1"/>
    <col min="3593" max="3596" width="7.7109375" style="121" customWidth="1"/>
    <col min="3597" max="3601" width="6.42578125" style="121" customWidth="1"/>
    <col min="3602" max="3602" width="3.28515625" style="121" customWidth="1"/>
    <col min="3603" max="3603" width="5.28515625" style="121" customWidth="1"/>
    <col min="3604" max="3604" width="23.42578125" style="121" customWidth="1"/>
    <col min="3605" max="3621" width="8.28515625" style="121"/>
    <col min="3622" max="3626" width="12.42578125" style="121" customWidth="1"/>
    <col min="3627" max="3830" width="8.28515625" style="121"/>
    <col min="3831" max="3831" width="1.28515625" style="121" customWidth="1"/>
    <col min="3832" max="3839" width="7.7109375" style="121" customWidth="1"/>
    <col min="3840" max="3840" width="6.42578125" style="121" customWidth="1"/>
    <col min="3841" max="3841" width="9.28515625" style="121" customWidth="1"/>
    <col min="3842" max="3842" width="15.42578125" style="121" customWidth="1"/>
    <col min="3843" max="3846" width="6.42578125" style="121" customWidth="1"/>
    <col min="3847" max="3847" width="6" style="121" customWidth="1"/>
    <col min="3848" max="3848" width="6.42578125" style="121" customWidth="1"/>
    <col min="3849" max="3852" width="7.7109375" style="121" customWidth="1"/>
    <col min="3853" max="3857" width="6.42578125" style="121" customWidth="1"/>
    <col min="3858" max="3858" width="3.28515625" style="121" customWidth="1"/>
    <col min="3859" max="3859" width="5.28515625" style="121" customWidth="1"/>
    <col min="3860" max="3860" width="23.42578125" style="121" customWidth="1"/>
    <col min="3861" max="3877" width="8.28515625" style="121"/>
    <col min="3878" max="3882" width="12.42578125" style="121" customWidth="1"/>
    <col min="3883" max="4086" width="8.28515625" style="121"/>
    <col min="4087" max="4087" width="1.28515625" style="121" customWidth="1"/>
    <col min="4088" max="4095" width="7.7109375" style="121" customWidth="1"/>
    <col min="4096" max="4096" width="6.42578125" style="121" customWidth="1"/>
    <col min="4097" max="4097" width="9.28515625" style="121" customWidth="1"/>
    <col min="4098" max="4098" width="15.42578125" style="121" customWidth="1"/>
    <col min="4099" max="4102" width="6.42578125" style="121" customWidth="1"/>
    <col min="4103" max="4103" width="6" style="121" customWidth="1"/>
    <col min="4104" max="4104" width="6.42578125" style="121" customWidth="1"/>
    <col min="4105" max="4108" width="7.7109375" style="121" customWidth="1"/>
    <col min="4109" max="4113" width="6.42578125" style="121" customWidth="1"/>
    <col min="4114" max="4114" width="3.28515625" style="121" customWidth="1"/>
    <col min="4115" max="4115" width="5.28515625" style="121" customWidth="1"/>
    <col min="4116" max="4116" width="23.42578125" style="121" customWidth="1"/>
    <col min="4117" max="4133" width="8.28515625" style="121"/>
    <col min="4134" max="4138" width="12.42578125" style="121" customWidth="1"/>
    <col min="4139" max="4342" width="8.28515625" style="121"/>
    <col min="4343" max="4343" width="1.28515625" style="121" customWidth="1"/>
    <col min="4344" max="4351" width="7.7109375" style="121" customWidth="1"/>
    <col min="4352" max="4352" width="6.42578125" style="121" customWidth="1"/>
    <col min="4353" max="4353" width="9.28515625" style="121" customWidth="1"/>
    <col min="4354" max="4354" width="15.42578125" style="121" customWidth="1"/>
    <col min="4355" max="4358" width="6.42578125" style="121" customWidth="1"/>
    <col min="4359" max="4359" width="6" style="121" customWidth="1"/>
    <col min="4360" max="4360" width="6.42578125" style="121" customWidth="1"/>
    <col min="4361" max="4364" width="7.7109375" style="121" customWidth="1"/>
    <col min="4365" max="4369" width="6.42578125" style="121" customWidth="1"/>
    <col min="4370" max="4370" width="3.28515625" style="121" customWidth="1"/>
    <col min="4371" max="4371" width="5.28515625" style="121" customWidth="1"/>
    <col min="4372" max="4372" width="23.42578125" style="121" customWidth="1"/>
    <col min="4373" max="4389" width="8.28515625" style="121"/>
    <col min="4390" max="4394" width="12.42578125" style="121" customWidth="1"/>
    <col min="4395" max="4598" width="8.28515625" style="121"/>
    <col min="4599" max="4599" width="1.28515625" style="121" customWidth="1"/>
    <col min="4600" max="4607" width="7.7109375" style="121" customWidth="1"/>
    <col min="4608" max="4608" width="6.42578125" style="121" customWidth="1"/>
    <col min="4609" max="4609" width="9.28515625" style="121" customWidth="1"/>
    <col min="4610" max="4610" width="15.42578125" style="121" customWidth="1"/>
    <col min="4611" max="4614" width="6.42578125" style="121" customWidth="1"/>
    <col min="4615" max="4615" width="6" style="121" customWidth="1"/>
    <col min="4616" max="4616" width="6.42578125" style="121" customWidth="1"/>
    <col min="4617" max="4620" width="7.7109375" style="121" customWidth="1"/>
    <col min="4621" max="4625" width="6.42578125" style="121" customWidth="1"/>
    <col min="4626" max="4626" width="3.28515625" style="121" customWidth="1"/>
    <col min="4627" max="4627" width="5.28515625" style="121" customWidth="1"/>
    <col min="4628" max="4628" width="23.42578125" style="121" customWidth="1"/>
    <col min="4629" max="4645" width="8.28515625" style="121"/>
    <col min="4646" max="4650" width="12.42578125" style="121" customWidth="1"/>
    <col min="4651" max="4854" width="8.28515625" style="121"/>
    <col min="4855" max="4855" width="1.28515625" style="121" customWidth="1"/>
    <col min="4856" max="4863" width="7.7109375" style="121" customWidth="1"/>
    <col min="4864" max="4864" width="6.42578125" style="121" customWidth="1"/>
    <col min="4865" max="4865" width="9.28515625" style="121" customWidth="1"/>
    <col min="4866" max="4866" width="15.42578125" style="121" customWidth="1"/>
    <col min="4867" max="4870" width="6.42578125" style="121" customWidth="1"/>
    <col min="4871" max="4871" width="6" style="121" customWidth="1"/>
    <col min="4872" max="4872" width="6.42578125" style="121" customWidth="1"/>
    <col min="4873" max="4876" width="7.7109375" style="121" customWidth="1"/>
    <col min="4877" max="4881" width="6.42578125" style="121" customWidth="1"/>
    <col min="4882" max="4882" width="3.28515625" style="121" customWidth="1"/>
    <col min="4883" max="4883" width="5.28515625" style="121" customWidth="1"/>
    <col min="4884" max="4884" width="23.42578125" style="121" customWidth="1"/>
    <col min="4885" max="4901" width="8.28515625" style="121"/>
    <col min="4902" max="4906" width="12.42578125" style="121" customWidth="1"/>
    <col min="4907" max="5110" width="8.28515625" style="121"/>
    <col min="5111" max="5111" width="1.28515625" style="121" customWidth="1"/>
    <col min="5112" max="5119" width="7.7109375" style="121" customWidth="1"/>
    <col min="5120" max="5120" width="6.42578125" style="121" customWidth="1"/>
    <col min="5121" max="5121" width="9.28515625" style="121" customWidth="1"/>
    <col min="5122" max="5122" width="15.42578125" style="121" customWidth="1"/>
    <col min="5123" max="5126" width="6.42578125" style="121" customWidth="1"/>
    <col min="5127" max="5127" width="6" style="121" customWidth="1"/>
    <col min="5128" max="5128" width="6.42578125" style="121" customWidth="1"/>
    <col min="5129" max="5132" width="7.7109375" style="121" customWidth="1"/>
    <col min="5133" max="5137" width="6.42578125" style="121" customWidth="1"/>
    <col min="5138" max="5138" width="3.28515625" style="121" customWidth="1"/>
    <col min="5139" max="5139" width="5.28515625" style="121" customWidth="1"/>
    <col min="5140" max="5140" width="23.42578125" style="121" customWidth="1"/>
    <col min="5141" max="5157" width="8.28515625" style="121"/>
    <col min="5158" max="5162" width="12.42578125" style="121" customWidth="1"/>
    <col min="5163" max="5366" width="8.28515625" style="121"/>
    <col min="5367" max="5367" width="1.28515625" style="121" customWidth="1"/>
    <col min="5368" max="5375" width="7.7109375" style="121" customWidth="1"/>
    <col min="5376" max="5376" width="6.42578125" style="121" customWidth="1"/>
    <col min="5377" max="5377" width="9.28515625" style="121" customWidth="1"/>
    <col min="5378" max="5378" width="15.42578125" style="121" customWidth="1"/>
    <col min="5379" max="5382" width="6.42578125" style="121" customWidth="1"/>
    <col min="5383" max="5383" width="6" style="121" customWidth="1"/>
    <col min="5384" max="5384" width="6.42578125" style="121" customWidth="1"/>
    <col min="5385" max="5388" width="7.7109375" style="121" customWidth="1"/>
    <col min="5389" max="5393" width="6.42578125" style="121" customWidth="1"/>
    <col min="5394" max="5394" width="3.28515625" style="121" customWidth="1"/>
    <col min="5395" max="5395" width="5.28515625" style="121" customWidth="1"/>
    <col min="5396" max="5396" width="23.42578125" style="121" customWidth="1"/>
    <col min="5397" max="5413" width="8.28515625" style="121"/>
    <col min="5414" max="5418" width="12.42578125" style="121" customWidth="1"/>
    <col min="5419" max="5622" width="8.28515625" style="121"/>
    <col min="5623" max="5623" width="1.28515625" style="121" customWidth="1"/>
    <col min="5624" max="5631" width="7.7109375" style="121" customWidth="1"/>
    <col min="5632" max="5632" width="6.42578125" style="121" customWidth="1"/>
    <col min="5633" max="5633" width="9.28515625" style="121" customWidth="1"/>
    <col min="5634" max="5634" width="15.42578125" style="121" customWidth="1"/>
    <col min="5635" max="5638" width="6.42578125" style="121" customWidth="1"/>
    <col min="5639" max="5639" width="6" style="121" customWidth="1"/>
    <col min="5640" max="5640" width="6.42578125" style="121" customWidth="1"/>
    <col min="5641" max="5644" width="7.7109375" style="121" customWidth="1"/>
    <col min="5645" max="5649" width="6.42578125" style="121" customWidth="1"/>
    <col min="5650" max="5650" width="3.28515625" style="121" customWidth="1"/>
    <col min="5651" max="5651" width="5.28515625" style="121" customWidth="1"/>
    <col min="5652" max="5652" width="23.42578125" style="121" customWidth="1"/>
    <col min="5653" max="5669" width="8.28515625" style="121"/>
    <col min="5670" max="5674" width="12.42578125" style="121" customWidth="1"/>
    <col min="5675" max="5878" width="8.28515625" style="121"/>
    <col min="5879" max="5879" width="1.28515625" style="121" customWidth="1"/>
    <col min="5880" max="5887" width="7.7109375" style="121" customWidth="1"/>
    <col min="5888" max="5888" width="6.42578125" style="121" customWidth="1"/>
    <col min="5889" max="5889" width="9.28515625" style="121" customWidth="1"/>
    <col min="5890" max="5890" width="15.42578125" style="121" customWidth="1"/>
    <col min="5891" max="5894" width="6.42578125" style="121" customWidth="1"/>
    <col min="5895" max="5895" width="6" style="121" customWidth="1"/>
    <col min="5896" max="5896" width="6.42578125" style="121" customWidth="1"/>
    <col min="5897" max="5900" width="7.7109375" style="121" customWidth="1"/>
    <col min="5901" max="5905" width="6.42578125" style="121" customWidth="1"/>
    <col min="5906" max="5906" width="3.28515625" style="121" customWidth="1"/>
    <col min="5907" max="5907" width="5.28515625" style="121" customWidth="1"/>
    <col min="5908" max="5908" width="23.42578125" style="121" customWidth="1"/>
    <col min="5909" max="5925" width="8.28515625" style="121"/>
    <col min="5926" max="5930" width="12.42578125" style="121" customWidth="1"/>
    <col min="5931" max="6134" width="8.28515625" style="121"/>
    <col min="6135" max="6135" width="1.28515625" style="121" customWidth="1"/>
    <col min="6136" max="6143" width="7.7109375" style="121" customWidth="1"/>
    <col min="6144" max="6144" width="6.42578125" style="121" customWidth="1"/>
    <col min="6145" max="6145" width="9.28515625" style="121" customWidth="1"/>
    <col min="6146" max="6146" width="15.42578125" style="121" customWidth="1"/>
    <col min="6147" max="6150" width="6.42578125" style="121" customWidth="1"/>
    <col min="6151" max="6151" width="6" style="121" customWidth="1"/>
    <col min="6152" max="6152" width="6.42578125" style="121" customWidth="1"/>
    <col min="6153" max="6156" width="7.7109375" style="121" customWidth="1"/>
    <col min="6157" max="6161" width="6.42578125" style="121" customWidth="1"/>
    <col min="6162" max="6162" width="3.28515625" style="121" customWidth="1"/>
    <col min="6163" max="6163" width="5.28515625" style="121" customWidth="1"/>
    <col min="6164" max="6164" width="23.42578125" style="121" customWidth="1"/>
    <col min="6165" max="6181" width="8.28515625" style="121"/>
    <col min="6182" max="6186" width="12.42578125" style="121" customWidth="1"/>
    <col min="6187" max="6390" width="8.28515625" style="121"/>
    <col min="6391" max="6391" width="1.28515625" style="121" customWidth="1"/>
    <col min="6392" max="6399" width="7.7109375" style="121" customWidth="1"/>
    <col min="6400" max="6400" width="6.42578125" style="121" customWidth="1"/>
    <col min="6401" max="6401" width="9.28515625" style="121" customWidth="1"/>
    <col min="6402" max="6402" width="15.42578125" style="121" customWidth="1"/>
    <col min="6403" max="6406" width="6.42578125" style="121" customWidth="1"/>
    <col min="6407" max="6407" width="6" style="121" customWidth="1"/>
    <col min="6408" max="6408" width="6.42578125" style="121" customWidth="1"/>
    <col min="6409" max="6412" width="7.7109375" style="121" customWidth="1"/>
    <col min="6413" max="6417" width="6.42578125" style="121" customWidth="1"/>
    <col min="6418" max="6418" width="3.28515625" style="121" customWidth="1"/>
    <col min="6419" max="6419" width="5.28515625" style="121" customWidth="1"/>
    <col min="6420" max="6420" width="23.42578125" style="121" customWidth="1"/>
    <col min="6421" max="6437" width="8.28515625" style="121"/>
    <col min="6438" max="6442" width="12.42578125" style="121" customWidth="1"/>
    <col min="6443" max="6646" width="8.28515625" style="121"/>
    <col min="6647" max="6647" width="1.28515625" style="121" customWidth="1"/>
    <col min="6648" max="6655" width="7.7109375" style="121" customWidth="1"/>
    <col min="6656" max="6656" width="6.42578125" style="121" customWidth="1"/>
    <col min="6657" max="6657" width="9.28515625" style="121" customWidth="1"/>
    <col min="6658" max="6658" width="15.42578125" style="121" customWidth="1"/>
    <col min="6659" max="6662" width="6.42578125" style="121" customWidth="1"/>
    <col min="6663" max="6663" width="6" style="121" customWidth="1"/>
    <col min="6664" max="6664" width="6.42578125" style="121" customWidth="1"/>
    <col min="6665" max="6668" width="7.7109375" style="121" customWidth="1"/>
    <col min="6669" max="6673" width="6.42578125" style="121" customWidth="1"/>
    <col min="6674" max="6674" width="3.28515625" style="121" customWidth="1"/>
    <col min="6675" max="6675" width="5.28515625" style="121" customWidth="1"/>
    <col min="6676" max="6676" width="23.42578125" style="121" customWidth="1"/>
    <col min="6677" max="6693" width="8.28515625" style="121"/>
    <col min="6694" max="6698" width="12.42578125" style="121" customWidth="1"/>
    <col min="6699" max="6902" width="8.28515625" style="121"/>
    <col min="6903" max="6903" width="1.28515625" style="121" customWidth="1"/>
    <col min="6904" max="6911" width="7.7109375" style="121" customWidth="1"/>
    <col min="6912" max="6912" width="6.42578125" style="121" customWidth="1"/>
    <col min="6913" max="6913" width="9.28515625" style="121" customWidth="1"/>
    <col min="6914" max="6914" width="15.42578125" style="121" customWidth="1"/>
    <col min="6915" max="6918" width="6.42578125" style="121" customWidth="1"/>
    <col min="6919" max="6919" width="6" style="121" customWidth="1"/>
    <col min="6920" max="6920" width="6.42578125" style="121" customWidth="1"/>
    <col min="6921" max="6924" width="7.7109375" style="121" customWidth="1"/>
    <col min="6925" max="6929" width="6.42578125" style="121" customWidth="1"/>
    <col min="6930" max="6930" width="3.28515625" style="121" customWidth="1"/>
    <col min="6931" max="6931" width="5.28515625" style="121" customWidth="1"/>
    <col min="6932" max="6932" width="23.42578125" style="121" customWidth="1"/>
    <col min="6933" max="6949" width="8.28515625" style="121"/>
    <col min="6950" max="6954" width="12.42578125" style="121" customWidth="1"/>
    <col min="6955" max="7158" width="8.28515625" style="121"/>
    <col min="7159" max="7159" width="1.28515625" style="121" customWidth="1"/>
    <col min="7160" max="7167" width="7.7109375" style="121" customWidth="1"/>
    <col min="7168" max="7168" width="6.42578125" style="121" customWidth="1"/>
    <col min="7169" max="7169" width="9.28515625" style="121" customWidth="1"/>
    <col min="7170" max="7170" width="15.42578125" style="121" customWidth="1"/>
    <col min="7171" max="7174" width="6.42578125" style="121" customWidth="1"/>
    <col min="7175" max="7175" width="6" style="121" customWidth="1"/>
    <col min="7176" max="7176" width="6.42578125" style="121" customWidth="1"/>
    <col min="7177" max="7180" width="7.7109375" style="121" customWidth="1"/>
    <col min="7181" max="7185" width="6.42578125" style="121" customWidth="1"/>
    <col min="7186" max="7186" width="3.28515625" style="121" customWidth="1"/>
    <col min="7187" max="7187" width="5.28515625" style="121" customWidth="1"/>
    <col min="7188" max="7188" width="23.42578125" style="121" customWidth="1"/>
    <col min="7189" max="7205" width="8.28515625" style="121"/>
    <col min="7206" max="7210" width="12.42578125" style="121" customWidth="1"/>
    <col min="7211" max="7414" width="8.28515625" style="121"/>
    <col min="7415" max="7415" width="1.28515625" style="121" customWidth="1"/>
    <col min="7416" max="7423" width="7.7109375" style="121" customWidth="1"/>
    <col min="7424" max="7424" width="6.42578125" style="121" customWidth="1"/>
    <col min="7425" max="7425" width="9.28515625" style="121" customWidth="1"/>
    <col min="7426" max="7426" width="15.42578125" style="121" customWidth="1"/>
    <col min="7427" max="7430" width="6.42578125" style="121" customWidth="1"/>
    <col min="7431" max="7431" width="6" style="121" customWidth="1"/>
    <col min="7432" max="7432" width="6.42578125" style="121" customWidth="1"/>
    <col min="7433" max="7436" width="7.7109375" style="121" customWidth="1"/>
    <col min="7437" max="7441" width="6.42578125" style="121" customWidth="1"/>
    <col min="7442" max="7442" width="3.28515625" style="121" customWidth="1"/>
    <col min="7443" max="7443" width="5.28515625" style="121" customWidth="1"/>
    <col min="7444" max="7444" width="23.42578125" style="121" customWidth="1"/>
    <col min="7445" max="7461" width="8.28515625" style="121"/>
    <col min="7462" max="7466" width="12.42578125" style="121" customWidth="1"/>
    <col min="7467" max="7670" width="8.28515625" style="121"/>
    <col min="7671" max="7671" width="1.28515625" style="121" customWidth="1"/>
    <col min="7672" max="7679" width="7.7109375" style="121" customWidth="1"/>
    <col min="7680" max="7680" width="6.42578125" style="121" customWidth="1"/>
    <col min="7681" max="7681" width="9.28515625" style="121" customWidth="1"/>
    <col min="7682" max="7682" width="15.42578125" style="121" customWidth="1"/>
    <col min="7683" max="7686" width="6.42578125" style="121" customWidth="1"/>
    <col min="7687" max="7687" width="6" style="121" customWidth="1"/>
    <col min="7688" max="7688" width="6.42578125" style="121" customWidth="1"/>
    <col min="7689" max="7692" width="7.7109375" style="121" customWidth="1"/>
    <col min="7693" max="7697" width="6.42578125" style="121" customWidth="1"/>
    <col min="7698" max="7698" width="3.28515625" style="121" customWidth="1"/>
    <col min="7699" max="7699" width="5.28515625" style="121" customWidth="1"/>
    <col min="7700" max="7700" width="23.42578125" style="121" customWidth="1"/>
    <col min="7701" max="7717" width="8.28515625" style="121"/>
    <col min="7718" max="7722" width="12.42578125" style="121" customWidth="1"/>
    <col min="7723" max="7926" width="8.28515625" style="121"/>
    <col min="7927" max="7927" width="1.28515625" style="121" customWidth="1"/>
    <col min="7928" max="7935" width="7.7109375" style="121" customWidth="1"/>
    <col min="7936" max="7936" width="6.42578125" style="121" customWidth="1"/>
    <col min="7937" max="7937" width="9.28515625" style="121" customWidth="1"/>
    <col min="7938" max="7938" width="15.42578125" style="121" customWidth="1"/>
    <col min="7939" max="7942" width="6.42578125" style="121" customWidth="1"/>
    <col min="7943" max="7943" width="6" style="121" customWidth="1"/>
    <col min="7944" max="7944" width="6.42578125" style="121" customWidth="1"/>
    <col min="7945" max="7948" width="7.7109375" style="121" customWidth="1"/>
    <col min="7949" max="7953" width="6.42578125" style="121" customWidth="1"/>
    <col min="7954" max="7954" width="3.28515625" style="121" customWidth="1"/>
    <col min="7955" max="7955" width="5.28515625" style="121" customWidth="1"/>
    <col min="7956" max="7956" width="23.42578125" style="121" customWidth="1"/>
    <col min="7957" max="7973" width="8.28515625" style="121"/>
    <col min="7974" max="7978" width="12.42578125" style="121" customWidth="1"/>
    <col min="7979" max="8182" width="8.28515625" style="121"/>
    <col min="8183" max="8183" width="1.28515625" style="121" customWidth="1"/>
    <col min="8184" max="8191" width="7.7109375" style="121" customWidth="1"/>
    <col min="8192" max="8192" width="6.42578125" style="121" customWidth="1"/>
    <col min="8193" max="8193" width="9.28515625" style="121" customWidth="1"/>
    <col min="8194" max="8194" width="15.42578125" style="121" customWidth="1"/>
    <col min="8195" max="8198" width="6.42578125" style="121" customWidth="1"/>
    <col min="8199" max="8199" width="6" style="121" customWidth="1"/>
    <col min="8200" max="8200" width="6.42578125" style="121" customWidth="1"/>
    <col min="8201" max="8204" width="7.7109375" style="121" customWidth="1"/>
    <col min="8205" max="8209" width="6.42578125" style="121" customWidth="1"/>
    <col min="8210" max="8210" width="3.28515625" style="121" customWidth="1"/>
    <col min="8211" max="8211" width="5.28515625" style="121" customWidth="1"/>
    <col min="8212" max="8212" width="23.42578125" style="121" customWidth="1"/>
    <col min="8213" max="8229" width="8.28515625" style="121"/>
    <col min="8230" max="8234" width="12.42578125" style="121" customWidth="1"/>
    <col min="8235" max="8438" width="8.28515625" style="121"/>
    <col min="8439" max="8439" width="1.28515625" style="121" customWidth="1"/>
    <col min="8440" max="8447" width="7.7109375" style="121" customWidth="1"/>
    <col min="8448" max="8448" width="6.42578125" style="121" customWidth="1"/>
    <col min="8449" max="8449" width="9.28515625" style="121" customWidth="1"/>
    <col min="8450" max="8450" width="15.42578125" style="121" customWidth="1"/>
    <col min="8451" max="8454" width="6.42578125" style="121" customWidth="1"/>
    <col min="8455" max="8455" width="6" style="121" customWidth="1"/>
    <col min="8456" max="8456" width="6.42578125" style="121" customWidth="1"/>
    <col min="8457" max="8460" width="7.7109375" style="121" customWidth="1"/>
    <col min="8461" max="8465" width="6.42578125" style="121" customWidth="1"/>
    <col min="8466" max="8466" width="3.28515625" style="121" customWidth="1"/>
    <col min="8467" max="8467" width="5.28515625" style="121" customWidth="1"/>
    <col min="8468" max="8468" width="23.42578125" style="121" customWidth="1"/>
    <col min="8469" max="8485" width="8.28515625" style="121"/>
    <col min="8486" max="8490" width="12.42578125" style="121" customWidth="1"/>
    <col min="8491" max="8694" width="8.28515625" style="121"/>
    <col min="8695" max="8695" width="1.28515625" style="121" customWidth="1"/>
    <col min="8696" max="8703" width="7.7109375" style="121" customWidth="1"/>
    <col min="8704" max="8704" width="6.42578125" style="121" customWidth="1"/>
    <col min="8705" max="8705" width="9.28515625" style="121" customWidth="1"/>
    <col min="8706" max="8706" width="15.42578125" style="121" customWidth="1"/>
    <col min="8707" max="8710" width="6.42578125" style="121" customWidth="1"/>
    <col min="8711" max="8711" width="6" style="121" customWidth="1"/>
    <col min="8712" max="8712" width="6.42578125" style="121" customWidth="1"/>
    <col min="8713" max="8716" width="7.7109375" style="121" customWidth="1"/>
    <col min="8717" max="8721" width="6.42578125" style="121" customWidth="1"/>
    <col min="8722" max="8722" width="3.28515625" style="121" customWidth="1"/>
    <col min="8723" max="8723" width="5.28515625" style="121" customWidth="1"/>
    <col min="8724" max="8724" width="23.42578125" style="121" customWidth="1"/>
    <col min="8725" max="8741" width="8.28515625" style="121"/>
    <col min="8742" max="8746" width="12.42578125" style="121" customWidth="1"/>
    <col min="8747" max="8950" width="8.28515625" style="121"/>
    <col min="8951" max="8951" width="1.28515625" style="121" customWidth="1"/>
    <col min="8952" max="8959" width="7.7109375" style="121" customWidth="1"/>
    <col min="8960" max="8960" width="6.42578125" style="121" customWidth="1"/>
    <col min="8961" max="8961" width="9.28515625" style="121" customWidth="1"/>
    <col min="8962" max="8962" width="15.42578125" style="121" customWidth="1"/>
    <col min="8963" max="8966" width="6.42578125" style="121" customWidth="1"/>
    <col min="8967" max="8967" width="6" style="121" customWidth="1"/>
    <col min="8968" max="8968" width="6.42578125" style="121" customWidth="1"/>
    <col min="8969" max="8972" width="7.7109375" style="121" customWidth="1"/>
    <col min="8973" max="8977" width="6.42578125" style="121" customWidth="1"/>
    <col min="8978" max="8978" width="3.28515625" style="121" customWidth="1"/>
    <col min="8979" max="8979" width="5.28515625" style="121" customWidth="1"/>
    <col min="8980" max="8980" width="23.42578125" style="121" customWidth="1"/>
    <col min="8981" max="8997" width="8.28515625" style="121"/>
    <col min="8998" max="9002" width="12.42578125" style="121" customWidth="1"/>
    <col min="9003" max="9206" width="8.28515625" style="121"/>
    <col min="9207" max="9207" width="1.28515625" style="121" customWidth="1"/>
    <col min="9208" max="9215" width="7.7109375" style="121" customWidth="1"/>
    <col min="9216" max="9216" width="6.42578125" style="121" customWidth="1"/>
    <col min="9217" max="9217" width="9.28515625" style="121" customWidth="1"/>
    <col min="9218" max="9218" width="15.42578125" style="121" customWidth="1"/>
    <col min="9219" max="9222" width="6.42578125" style="121" customWidth="1"/>
    <col min="9223" max="9223" width="6" style="121" customWidth="1"/>
    <col min="9224" max="9224" width="6.42578125" style="121" customWidth="1"/>
    <col min="9225" max="9228" width="7.7109375" style="121" customWidth="1"/>
    <col min="9229" max="9233" width="6.42578125" style="121" customWidth="1"/>
    <col min="9234" max="9234" width="3.28515625" style="121" customWidth="1"/>
    <col min="9235" max="9235" width="5.28515625" style="121" customWidth="1"/>
    <col min="9236" max="9236" width="23.42578125" style="121" customWidth="1"/>
    <col min="9237" max="9253" width="8.28515625" style="121"/>
    <col min="9254" max="9258" width="12.42578125" style="121" customWidth="1"/>
    <col min="9259" max="9462" width="8.28515625" style="121"/>
    <col min="9463" max="9463" width="1.28515625" style="121" customWidth="1"/>
    <col min="9464" max="9471" width="7.7109375" style="121" customWidth="1"/>
    <col min="9472" max="9472" width="6.42578125" style="121" customWidth="1"/>
    <col min="9473" max="9473" width="9.28515625" style="121" customWidth="1"/>
    <col min="9474" max="9474" width="15.42578125" style="121" customWidth="1"/>
    <col min="9475" max="9478" width="6.42578125" style="121" customWidth="1"/>
    <col min="9479" max="9479" width="6" style="121" customWidth="1"/>
    <col min="9480" max="9480" width="6.42578125" style="121" customWidth="1"/>
    <col min="9481" max="9484" width="7.7109375" style="121" customWidth="1"/>
    <col min="9485" max="9489" width="6.42578125" style="121" customWidth="1"/>
    <col min="9490" max="9490" width="3.28515625" style="121" customWidth="1"/>
    <col min="9491" max="9491" width="5.28515625" style="121" customWidth="1"/>
    <col min="9492" max="9492" width="23.42578125" style="121" customWidth="1"/>
    <col min="9493" max="9509" width="8.28515625" style="121"/>
    <col min="9510" max="9514" width="12.42578125" style="121" customWidth="1"/>
    <col min="9515" max="9718" width="8.28515625" style="121"/>
    <col min="9719" max="9719" width="1.28515625" style="121" customWidth="1"/>
    <col min="9720" max="9727" width="7.7109375" style="121" customWidth="1"/>
    <col min="9728" max="9728" width="6.42578125" style="121" customWidth="1"/>
    <col min="9729" max="9729" width="9.28515625" style="121" customWidth="1"/>
    <col min="9730" max="9730" width="15.42578125" style="121" customWidth="1"/>
    <col min="9731" max="9734" width="6.42578125" style="121" customWidth="1"/>
    <col min="9735" max="9735" width="6" style="121" customWidth="1"/>
    <col min="9736" max="9736" width="6.42578125" style="121" customWidth="1"/>
    <col min="9737" max="9740" width="7.7109375" style="121" customWidth="1"/>
    <col min="9741" max="9745" width="6.42578125" style="121" customWidth="1"/>
    <col min="9746" max="9746" width="3.28515625" style="121" customWidth="1"/>
    <col min="9747" max="9747" width="5.28515625" style="121" customWidth="1"/>
    <col min="9748" max="9748" width="23.42578125" style="121" customWidth="1"/>
    <col min="9749" max="9765" width="8.28515625" style="121"/>
    <col min="9766" max="9770" width="12.42578125" style="121" customWidth="1"/>
    <col min="9771" max="9974" width="8.28515625" style="121"/>
    <col min="9975" max="9975" width="1.28515625" style="121" customWidth="1"/>
    <col min="9976" max="9983" width="7.7109375" style="121" customWidth="1"/>
    <col min="9984" max="9984" width="6.42578125" style="121" customWidth="1"/>
    <col min="9985" max="9985" width="9.28515625" style="121" customWidth="1"/>
    <col min="9986" max="9986" width="15.42578125" style="121" customWidth="1"/>
    <col min="9987" max="9990" width="6.42578125" style="121" customWidth="1"/>
    <col min="9991" max="9991" width="6" style="121" customWidth="1"/>
    <col min="9992" max="9992" width="6.42578125" style="121" customWidth="1"/>
    <col min="9993" max="9996" width="7.7109375" style="121" customWidth="1"/>
    <col min="9997" max="10001" width="6.42578125" style="121" customWidth="1"/>
    <col min="10002" max="10002" width="3.28515625" style="121" customWidth="1"/>
    <col min="10003" max="10003" width="5.28515625" style="121" customWidth="1"/>
    <col min="10004" max="10004" width="23.42578125" style="121" customWidth="1"/>
    <col min="10005" max="10021" width="8.28515625" style="121"/>
    <col min="10022" max="10026" width="12.42578125" style="121" customWidth="1"/>
    <col min="10027" max="10230" width="8.28515625" style="121"/>
    <col min="10231" max="10231" width="1.28515625" style="121" customWidth="1"/>
    <col min="10232" max="10239" width="7.7109375" style="121" customWidth="1"/>
    <col min="10240" max="10240" width="6.42578125" style="121" customWidth="1"/>
    <col min="10241" max="10241" width="9.28515625" style="121" customWidth="1"/>
    <col min="10242" max="10242" width="15.42578125" style="121" customWidth="1"/>
    <col min="10243" max="10246" width="6.42578125" style="121" customWidth="1"/>
    <col min="10247" max="10247" width="6" style="121" customWidth="1"/>
    <col min="10248" max="10248" width="6.42578125" style="121" customWidth="1"/>
    <col min="10249" max="10252" width="7.7109375" style="121" customWidth="1"/>
    <col min="10253" max="10257" width="6.42578125" style="121" customWidth="1"/>
    <col min="10258" max="10258" width="3.28515625" style="121" customWidth="1"/>
    <col min="10259" max="10259" width="5.28515625" style="121" customWidth="1"/>
    <col min="10260" max="10260" width="23.42578125" style="121" customWidth="1"/>
    <col min="10261" max="10277" width="8.28515625" style="121"/>
    <col min="10278" max="10282" width="12.42578125" style="121" customWidth="1"/>
    <col min="10283" max="10486" width="8.28515625" style="121"/>
    <col min="10487" max="10487" width="1.28515625" style="121" customWidth="1"/>
    <col min="10488" max="10495" width="7.7109375" style="121" customWidth="1"/>
    <col min="10496" max="10496" width="6.42578125" style="121" customWidth="1"/>
    <col min="10497" max="10497" width="9.28515625" style="121" customWidth="1"/>
    <col min="10498" max="10498" width="15.42578125" style="121" customWidth="1"/>
    <col min="10499" max="10502" width="6.42578125" style="121" customWidth="1"/>
    <col min="10503" max="10503" width="6" style="121" customWidth="1"/>
    <col min="10504" max="10504" width="6.42578125" style="121" customWidth="1"/>
    <col min="10505" max="10508" width="7.7109375" style="121" customWidth="1"/>
    <col min="10509" max="10513" width="6.42578125" style="121" customWidth="1"/>
    <col min="10514" max="10514" width="3.28515625" style="121" customWidth="1"/>
    <col min="10515" max="10515" width="5.28515625" style="121" customWidth="1"/>
    <col min="10516" max="10516" width="23.42578125" style="121" customWidth="1"/>
    <col min="10517" max="10533" width="8.28515625" style="121"/>
    <col min="10534" max="10538" width="12.42578125" style="121" customWidth="1"/>
    <col min="10539" max="10742" width="8.28515625" style="121"/>
    <col min="10743" max="10743" width="1.28515625" style="121" customWidth="1"/>
    <col min="10744" max="10751" width="7.7109375" style="121" customWidth="1"/>
    <col min="10752" max="10752" width="6.42578125" style="121" customWidth="1"/>
    <col min="10753" max="10753" width="9.28515625" style="121" customWidth="1"/>
    <col min="10754" max="10754" width="15.42578125" style="121" customWidth="1"/>
    <col min="10755" max="10758" width="6.42578125" style="121" customWidth="1"/>
    <col min="10759" max="10759" width="6" style="121" customWidth="1"/>
    <col min="10760" max="10760" width="6.42578125" style="121" customWidth="1"/>
    <col min="10761" max="10764" width="7.7109375" style="121" customWidth="1"/>
    <col min="10765" max="10769" width="6.42578125" style="121" customWidth="1"/>
    <col min="10770" max="10770" width="3.28515625" style="121" customWidth="1"/>
    <col min="10771" max="10771" width="5.28515625" style="121" customWidth="1"/>
    <col min="10772" max="10772" width="23.42578125" style="121" customWidth="1"/>
    <col min="10773" max="10789" width="8.28515625" style="121"/>
    <col min="10790" max="10794" width="12.42578125" style="121" customWidth="1"/>
    <col min="10795" max="10998" width="8.28515625" style="121"/>
    <col min="10999" max="10999" width="1.28515625" style="121" customWidth="1"/>
    <col min="11000" max="11007" width="7.7109375" style="121" customWidth="1"/>
    <col min="11008" max="11008" width="6.42578125" style="121" customWidth="1"/>
    <col min="11009" max="11009" width="9.28515625" style="121" customWidth="1"/>
    <col min="11010" max="11010" width="15.42578125" style="121" customWidth="1"/>
    <col min="11011" max="11014" width="6.42578125" style="121" customWidth="1"/>
    <col min="11015" max="11015" width="6" style="121" customWidth="1"/>
    <col min="11016" max="11016" width="6.42578125" style="121" customWidth="1"/>
    <col min="11017" max="11020" width="7.7109375" style="121" customWidth="1"/>
    <col min="11021" max="11025" width="6.42578125" style="121" customWidth="1"/>
    <col min="11026" max="11026" width="3.28515625" style="121" customWidth="1"/>
    <col min="11027" max="11027" width="5.28515625" style="121" customWidth="1"/>
    <col min="11028" max="11028" width="23.42578125" style="121" customWidth="1"/>
    <col min="11029" max="11045" width="8.28515625" style="121"/>
    <col min="11046" max="11050" width="12.42578125" style="121" customWidth="1"/>
    <col min="11051" max="11254" width="8.28515625" style="121"/>
    <col min="11255" max="11255" width="1.28515625" style="121" customWidth="1"/>
    <col min="11256" max="11263" width="7.7109375" style="121" customWidth="1"/>
    <col min="11264" max="11264" width="6.42578125" style="121" customWidth="1"/>
    <col min="11265" max="11265" width="9.28515625" style="121" customWidth="1"/>
    <col min="11266" max="11266" width="15.42578125" style="121" customWidth="1"/>
    <col min="11267" max="11270" width="6.42578125" style="121" customWidth="1"/>
    <col min="11271" max="11271" width="6" style="121" customWidth="1"/>
    <col min="11272" max="11272" width="6.42578125" style="121" customWidth="1"/>
    <col min="11273" max="11276" width="7.7109375" style="121" customWidth="1"/>
    <col min="11277" max="11281" width="6.42578125" style="121" customWidth="1"/>
    <col min="11282" max="11282" width="3.28515625" style="121" customWidth="1"/>
    <col min="11283" max="11283" width="5.28515625" style="121" customWidth="1"/>
    <col min="11284" max="11284" width="23.42578125" style="121" customWidth="1"/>
    <col min="11285" max="11301" width="8.28515625" style="121"/>
    <col min="11302" max="11306" width="12.42578125" style="121" customWidth="1"/>
    <col min="11307" max="11510" width="8.28515625" style="121"/>
    <col min="11511" max="11511" width="1.28515625" style="121" customWidth="1"/>
    <col min="11512" max="11519" width="7.7109375" style="121" customWidth="1"/>
    <col min="11520" max="11520" width="6.42578125" style="121" customWidth="1"/>
    <col min="11521" max="11521" width="9.28515625" style="121" customWidth="1"/>
    <col min="11522" max="11522" width="15.42578125" style="121" customWidth="1"/>
    <col min="11523" max="11526" width="6.42578125" style="121" customWidth="1"/>
    <col min="11527" max="11527" width="6" style="121" customWidth="1"/>
    <col min="11528" max="11528" width="6.42578125" style="121" customWidth="1"/>
    <col min="11529" max="11532" width="7.7109375" style="121" customWidth="1"/>
    <col min="11533" max="11537" width="6.42578125" style="121" customWidth="1"/>
    <col min="11538" max="11538" width="3.28515625" style="121" customWidth="1"/>
    <col min="11539" max="11539" width="5.28515625" style="121" customWidth="1"/>
    <col min="11540" max="11540" width="23.42578125" style="121" customWidth="1"/>
    <col min="11541" max="11557" width="8.28515625" style="121"/>
    <col min="11558" max="11562" width="12.42578125" style="121" customWidth="1"/>
    <col min="11563" max="11766" width="8.28515625" style="121"/>
    <col min="11767" max="11767" width="1.28515625" style="121" customWidth="1"/>
    <col min="11768" max="11775" width="7.7109375" style="121" customWidth="1"/>
    <col min="11776" max="11776" width="6.42578125" style="121" customWidth="1"/>
    <col min="11777" max="11777" width="9.28515625" style="121" customWidth="1"/>
    <col min="11778" max="11778" width="15.42578125" style="121" customWidth="1"/>
    <col min="11779" max="11782" width="6.42578125" style="121" customWidth="1"/>
    <col min="11783" max="11783" width="6" style="121" customWidth="1"/>
    <col min="11784" max="11784" width="6.42578125" style="121" customWidth="1"/>
    <col min="11785" max="11788" width="7.7109375" style="121" customWidth="1"/>
    <col min="11789" max="11793" width="6.42578125" style="121" customWidth="1"/>
    <col min="11794" max="11794" width="3.28515625" style="121" customWidth="1"/>
    <col min="11795" max="11795" width="5.28515625" style="121" customWidth="1"/>
    <col min="11796" max="11796" width="23.42578125" style="121" customWidth="1"/>
    <col min="11797" max="11813" width="8.28515625" style="121"/>
    <col min="11814" max="11818" width="12.42578125" style="121" customWidth="1"/>
    <col min="11819" max="12022" width="8.28515625" style="121"/>
    <col min="12023" max="12023" width="1.28515625" style="121" customWidth="1"/>
    <col min="12024" max="12031" width="7.7109375" style="121" customWidth="1"/>
    <col min="12032" max="12032" width="6.42578125" style="121" customWidth="1"/>
    <col min="12033" max="12033" width="9.28515625" style="121" customWidth="1"/>
    <col min="12034" max="12034" width="15.42578125" style="121" customWidth="1"/>
    <col min="12035" max="12038" width="6.42578125" style="121" customWidth="1"/>
    <col min="12039" max="12039" width="6" style="121" customWidth="1"/>
    <col min="12040" max="12040" width="6.42578125" style="121" customWidth="1"/>
    <col min="12041" max="12044" width="7.7109375" style="121" customWidth="1"/>
    <col min="12045" max="12049" width="6.42578125" style="121" customWidth="1"/>
    <col min="12050" max="12050" width="3.28515625" style="121" customWidth="1"/>
    <col min="12051" max="12051" width="5.28515625" style="121" customWidth="1"/>
    <col min="12052" max="12052" width="23.42578125" style="121" customWidth="1"/>
    <col min="12053" max="12069" width="8.28515625" style="121"/>
    <col min="12070" max="12074" width="12.42578125" style="121" customWidth="1"/>
    <col min="12075" max="12278" width="8.28515625" style="121"/>
    <col min="12279" max="12279" width="1.28515625" style="121" customWidth="1"/>
    <col min="12280" max="12287" width="7.7109375" style="121" customWidth="1"/>
    <col min="12288" max="12288" width="6.42578125" style="121" customWidth="1"/>
    <col min="12289" max="12289" width="9.28515625" style="121" customWidth="1"/>
    <col min="12290" max="12290" width="15.42578125" style="121" customWidth="1"/>
    <col min="12291" max="12294" width="6.42578125" style="121" customWidth="1"/>
    <col min="12295" max="12295" width="6" style="121" customWidth="1"/>
    <col min="12296" max="12296" width="6.42578125" style="121" customWidth="1"/>
    <col min="12297" max="12300" width="7.7109375" style="121" customWidth="1"/>
    <col min="12301" max="12305" width="6.42578125" style="121" customWidth="1"/>
    <col min="12306" max="12306" width="3.28515625" style="121" customWidth="1"/>
    <col min="12307" max="12307" width="5.28515625" style="121" customWidth="1"/>
    <col min="12308" max="12308" width="23.42578125" style="121" customWidth="1"/>
    <col min="12309" max="12325" width="8.28515625" style="121"/>
    <col min="12326" max="12330" width="12.42578125" style="121" customWidth="1"/>
    <col min="12331" max="12534" width="8.28515625" style="121"/>
    <col min="12535" max="12535" width="1.28515625" style="121" customWidth="1"/>
    <col min="12536" max="12543" width="7.7109375" style="121" customWidth="1"/>
    <col min="12544" max="12544" width="6.42578125" style="121" customWidth="1"/>
    <col min="12545" max="12545" width="9.28515625" style="121" customWidth="1"/>
    <col min="12546" max="12546" width="15.42578125" style="121" customWidth="1"/>
    <col min="12547" max="12550" width="6.42578125" style="121" customWidth="1"/>
    <col min="12551" max="12551" width="6" style="121" customWidth="1"/>
    <col min="12552" max="12552" width="6.42578125" style="121" customWidth="1"/>
    <col min="12553" max="12556" width="7.7109375" style="121" customWidth="1"/>
    <col min="12557" max="12561" width="6.42578125" style="121" customWidth="1"/>
    <col min="12562" max="12562" width="3.28515625" style="121" customWidth="1"/>
    <col min="12563" max="12563" width="5.28515625" style="121" customWidth="1"/>
    <col min="12564" max="12564" width="23.42578125" style="121" customWidth="1"/>
    <col min="12565" max="12581" width="8.28515625" style="121"/>
    <col min="12582" max="12586" width="12.42578125" style="121" customWidth="1"/>
    <col min="12587" max="12790" width="8.28515625" style="121"/>
    <col min="12791" max="12791" width="1.28515625" style="121" customWidth="1"/>
    <col min="12792" max="12799" width="7.7109375" style="121" customWidth="1"/>
    <col min="12800" max="12800" width="6.42578125" style="121" customWidth="1"/>
    <col min="12801" max="12801" width="9.28515625" style="121" customWidth="1"/>
    <col min="12802" max="12802" width="15.42578125" style="121" customWidth="1"/>
    <col min="12803" max="12806" width="6.42578125" style="121" customWidth="1"/>
    <col min="12807" max="12807" width="6" style="121" customWidth="1"/>
    <col min="12808" max="12808" width="6.42578125" style="121" customWidth="1"/>
    <col min="12809" max="12812" width="7.7109375" style="121" customWidth="1"/>
    <col min="12813" max="12817" width="6.42578125" style="121" customWidth="1"/>
    <col min="12818" max="12818" width="3.28515625" style="121" customWidth="1"/>
    <col min="12819" max="12819" width="5.28515625" style="121" customWidth="1"/>
    <col min="12820" max="12820" width="23.42578125" style="121" customWidth="1"/>
    <col min="12821" max="12837" width="8.28515625" style="121"/>
    <col min="12838" max="12842" width="12.42578125" style="121" customWidth="1"/>
    <col min="12843" max="13046" width="8.28515625" style="121"/>
    <col min="13047" max="13047" width="1.28515625" style="121" customWidth="1"/>
    <col min="13048" max="13055" width="7.7109375" style="121" customWidth="1"/>
    <col min="13056" max="13056" width="6.42578125" style="121" customWidth="1"/>
    <col min="13057" max="13057" width="9.28515625" style="121" customWidth="1"/>
    <col min="13058" max="13058" width="15.42578125" style="121" customWidth="1"/>
    <col min="13059" max="13062" width="6.42578125" style="121" customWidth="1"/>
    <col min="13063" max="13063" width="6" style="121" customWidth="1"/>
    <col min="13064" max="13064" width="6.42578125" style="121" customWidth="1"/>
    <col min="13065" max="13068" width="7.7109375" style="121" customWidth="1"/>
    <col min="13069" max="13073" width="6.42578125" style="121" customWidth="1"/>
    <col min="13074" max="13074" width="3.28515625" style="121" customWidth="1"/>
    <col min="13075" max="13075" width="5.28515625" style="121" customWidth="1"/>
    <col min="13076" max="13076" width="23.42578125" style="121" customWidth="1"/>
    <col min="13077" max="13093" width="8.28515625" style="121"/>
    <col min="13094" max="13098" width="12.42578125" style="121" customWidth="1"/>
    <col min="13099" max="13302" width="8.28515625" style="121"/>
    <col min="13303" max="13303" width="1.28515625" style="121" customWidth="1"/>
    <col min="13304" max="13311" width="7.7109375" style="121" customWidth="1"/>
    <col min="13312" max="13312" width="6.42578125" style="121" customWidth="1"/>
    <col min="13313" max="13313" width="9.28515625" style="121" customWidth="1"/>
    <col min="13314" max="13314" width="15.42578125" style="121" customWidth="1"/>
    <col min="13315" max="13318" width="6.42578125" style="121" customWidth="1"/>
    <col min="13319" max="13319" width="6" style="121" customWidth="1"/>
    <col min="13320" max="13320" width="6.42578125" style="121" customWidth="1"/>
    <col min="13321" max="13324" width="7.7109375" style="121" customWidth="1"/>
    <col min="13325" max="13329" width="6.42578125" style="121" customWidth="1"/>
    <col min="13330" max="13330" width="3.28515625" style="121" customWidth="1"/>
    <col min="13331" max="13331" width="5.28515625" style="121" customWidth="1"/>
    <col min="13332" max="13332" width="23.42578125" style="121" customWidth="1"/>
    <col min="13333" max="13349" width="8.28515625" style="121"/>
    <col min="13350" max="13354" width="12.42578125" style="121" customWidth="1"/>
    <col min="13355" max="13558" width="8.28515625" style="121"/>
    <col min="13559" max="13559" width="1.28515625" style="121" customWidth="1"/>
    <col min="13560" max="13567" width="7.7109375" style="121" customWidth="1"/>
    <col min="13568" max="13568" width="6.42578125" style="121" customWidth="1"/>
    <col min="13569" max="13569" width="9.28515625" style="121" customWidth="1"/>
    <col min="13570" max="13570" width="15.42578125" style="121" customWidth="1"/>
    <col min="13571" max="13574" width="6.42578125" style="121" customWidth="1"/>
    <col min="13575" max="13575" width="6" style="121" customWidth="1"/>
    <col min="13576" max="13576" width="6.42578125" style="121" customWidth="1"/>
    <col min="13577" max="13580" width="7.7109375" style="121" customWidth="1"/>
    <col min="13581" max="13585" width="6.42578125" style="121" customWidth="1"/>
    <col min="13586" max="13586" width="3.28515625" style="121" customWidth="1"/>
    <col min="13587" max="13587" width="5.28515625" style="121" customWidth="1"/>
    <col min="13588" max="13588" width="23.42578125" style="121" customWidth="1"/>
    <col min="13589" max="13605" width="8.28515625" style="121"/>
    <col min="13606" max="13610" width="12.42578125" style="121" customWidth="1"/>
    <col min="13611" max="13814" width="8.28515625" style="121"/>
    <col min="13815" max="13815" width="1.28515625" style="121" customWidth="1"/>
    <col min="13816" max="13823" width="7.7109375" style="121" customWidth="1"/>
    <col min="13824" max="13824" width="6.42578125" style="121" customWidth="1"/>
    <col min="13825" max="13825" width="9.28515625" style="121" customWidth="1"/>
    <col min="13826" max="13826" width="15.42578125" style="121" customWidth="1"/>
    <col min="13827" max="13830" width="6.42578125" style="121" customWidth="1"/>
    <col min="13831" max="13831" width="6" style="121" customWidth="1"/>
    <col min="13832" max="13832" width="6.42578125" style="121" customWidth="1"/>
    <col min="13833" max="13836" width="7.7109375" style="121" customWidth="1"/>
    <col min="13837" max="13841" width="6.42578125" style="121" customWidth="1"/>
    <col min="13842" max="13842" width="3.28515625" style="121" customWidth="1"/>
    <col min="13843" max="13843" width="5.28515625" style="121" customWidth="1"/>
    <col min="13844" max="13844" width="23.42578125" style="121" customWidth="1"/>
    <col min="13845" max="13861" width="8.28515625" style="121"/>
    <col min="13862" max="13866" width="12.42578125" style="121" customWidth="1"/>
    <col min="13867" max="14070" width="8.28515625" style="121"/>
    <col min="14071" max="14071" width="1.28515625" style="121" customWidth="1"/>
    <col min="14072" max="14079" width="7.7109375" style="121" customWidth="1"/>
    <col min="14080" max="14080" width="6.42578125" style="121" customWidth="1"/>
    <col min="14081" max="14081" width="9.28515625" style="121" customWidth="1"/>
    <col min="14082" max="14082" width="15.42578125" style="121" customWidth="1"/>
    <col min="14083" max="14086" width="6.42578125" style="121" customWidth="1"/>
    <col min="14087" max="14087" width="6" style="121" customWidth="1"/>
    <col min="14088" max="14088" width="6.42578125" style="121" customWidth="1"/>
    <col min="14089" max="14092" width="7.7109375" style="121" customWidth="1"/>
    <col min="14093" max="14097" width="6.42578125" style="121" customWidth="1"/>
    <col min="14098" max="14098" width="3.28515625" style="121" customWidth="1"/>
    <col min="14099" max="14099" width="5.28515625" style="121" customWidth="1"/>
    <col min="14100" max="14100" width="23.42578125" style="121" customWidth="1"/>
    <col min="14101" max="14117" width="8.28515625" style="121"/>
    <col min="14118" max="14122" width="12.42578125" style="121" customWidth="1"/>
    <col min="14123" max="14326" width="8.28515625" style="121"/>
    <col min="14327" max="14327" width="1.28515625" style="121" customWidth="1"/>
    <col min="14328" max="14335" width="7.7109375" style="121" customWidth="1"/>
    <col min="14336" max="14336" width="6.42578125" style="121" customWidth="1"/>
    <col min="14337" max="14337" width="9.28515625" style="121" customWidth="1"/>
    <col min="14338" max="14338" width="15.42578125" style="121" customWidth="1"/>
    <col min="14339" max="14342" width="6.42578125" style="121" customWidth="1"/>
    <col min="14343" max="14343" width="6" style="121" customWidth="1"/>
    <col min="14344" max="14344" width="6.42578125" style="121" customWidth="1"/>
    <col min="14345" max="14348" width="7.7109375" style="121" customWidth="1"/>
    <col min="14349" max="14353" width="6.42578125" style="121" customWidth="1"/>
    <col min="14354" max="14354" width="3.28515625" style="121" customWidth="1"/>
    <col min="14355" max="14355" width="5.28515625" style="121" customWidth="1"/>
    <col min="14356" max="14356" width="23.42578125" style="121" customWidth="1"/>
    <col min="14357" max="14373" width="8.28515625" style="121"/>
    <col min="14374" max="14378" width="12.42578125" style="121" customWidth="1"/>
    <col min="14379" max="14582" width="8.28515625" style="121"/>
    <col min="14583" max="14583" width="1.28515625" style="121" customWidth="1"/>
    <col min="14584" max="14591" width="7.7109375" style="121" customWidth="1"/>
    <col min="14592" max="14592" width="6.42578125" style="121" customWidth="1"/>
    <col min="14593" max="14593" width="9.28515625" style="121" customWidth="1"/>
    <col min="14594" max="14594" width="15.42578125" style="121" customWidth="1"/>
    <col min="14595" max="14598" width="6.42578125" style="121" customWidth="1"/>
    <col min="14599" max="14599" width="6" style="121" customWidth="1"/>
    <col min="14600" max="14600" width="6.42578125" style="121" customWidth="1"/>
    <col min="14601" max="14604" width="7.7109375" style="121" customWidth="1"/>
    <col min="14605" max="14609" width="6.42578125" style="121" customWidth="1"/>
    <col min="14610" max="14610" width="3.28515625" style="121" customWidth="1"/>
    <col min="14611" max="14611" width="5.28515625" style="121" customWidth="1"/>
    <col min="14612" max="14612" width="23.42578125" style="121" customWidth="1"/>
    <col min="14613" max="14629" width="8.28515625" style="121"/>
    <col min="14630" max="14634" width="12.42578125" style="121" customWidth="1"/>
    <col min="14635" max="14838" width="8.28515625" style="121"/>
    <col min="14839" max="14839" width="1.28515625" style="121" customWidth="1"/>
    <col min="14840" max="14847" width="7.7109375" style="121" customWidth="1"/>
    <col min="14848" max="14848" width="6.42578125" style="121" customWidth="1"/>
    <col min="14849" max="14849" width="9.28515625" style="121" customWidth="1"/>
    <col min="14850" max="14850" width="15.42578125" style="121" customWidth="1"/>
    <col min="14851" max="14854" width="6.42578125" style="121" customWidth="1"/>
    <col min="14855" max="14855" width="6" style="121" customWidth="1"/>
    <col min="14856" max="14856" width="6.42578125" style="121" customWidth="1"/>
    <col min="14857" max="14860" width="7.7109375" style="121" customWidth="1"/>
    <col min="14861" max="14865" width="6.42578125" style="121" customWidth="1"/>
    <col min="14866" max="14866" width="3.28515625" style="121" customWidth="1"/>
    <col min="14867" max="14867" width="5.28515625" style="121" customWidth="1"/>
    <col min="14868" max="14868" width="23.42578125" style="121" customWidth="1"/>
    <col min="14869" max="14885" width="8.28515625" style="121"/>
    <col min="14886" max="14890" width="12.42578125" style="121" customWidth="1"/>
    <col min="14891" max="15094" width="8.28515625" style="121"/>
    <col min="15095" max="15095" width="1.28515625" style="121" customWidth="1"/>
    <col min="15096" max="15103" width="7.7109375" style="121" customWidth="1"/>
    <col min="15104" max="15104" width="6.42578125" style="121" customWidth="1"/>
    <col min="15105" max="15105" width="9.28515625" style="121" customWidth="1"/>
    <col min="15106" max="15106" width="15.42578125" style="121" customWidth="1"/>
    <col min="15107" max="15110" width="6.42578125" style="121" customWidth="1"/>
    <col min="15111" max="15111" width="6" style="121" customWidth="1"/>
    <col min="15112" max="15112" width="6.42578125" style="121" customWidth="1"/>
    <col min="15113" max="15116" width="7.7109375" style="121" customWidth="1"/>
    <col min="15117" max="15121" width="6.42578125" style="121" customWidth="1"/>
    <col min="15122" max="15122" width="3.28515625" style="121" customWidth="1"/>
    <col min="15123" max="15123" width="5.28515625" style="121" customWidth="1"/>
    <col min="15124" max="15124" width="23.42578125" style="121" customWidth="1"/>
    <col min="15125" max="15141" width="8.28515625" style="121"/>
    <col min="15142" max="15146" width="12.42578125" style="121" customWidth="1"/>
    <col min="15147" max="15350" width="8.28515625" style="121"/>
    <col min="15351" max="15351" width="1.28515625" style="121" customWidth="1"/>
    <col min="15352" max="15359" width="7.7109375" style="121" customWidth="1"/>
    <col min="15360" max="15360" width="6.42578125" style="121" customWidth="1"/>
    <col min="15361" max="15361" width="9.28515625" style="121" customWidth="1"/>
    <col min="15362" max="15362" width="15.42578125" style="121" customWidth="1"/>
    <col min="15363" max="15366" width="6.42578125" style="121" customWidth="1"/>
    <col min="15367" max="15367" width="6" style="121" customWidth="1"/>
    <col min="15368" max="15368" width="6.42578125" style="121" customWidth="1"/>
    <col min="15369" max="15372" width="7.7109375" style="121" customWidth="1"/>
    <col min="15373" max="15377" width="6.42578125" style="121" customWidth="1"/>
    <col min="15378" max="15378" width="3.28515625" style="121" customWidth="1"/>
    <col min="15379" max="15379" width="5.28515625" style="121" customWidth="1"/>
    <col min="15380" max="15380" width="23.42578125" style="121" customWidth="1"/>
    <col min="15381" max="15397" width="8.28515625" style="121"/>
    <col min="15398" max="15402" width="12.42578125" style="121" customWidth="1"/>
    <col min="15403" max="15606" width="8.28515625" style="121"/>
    <col min="15607" max="15607" width="1.28515625" style="121" customWidth="1"/>
    <col min="15608" max="15615" width="7.7109375" style="121" customWidth="1"/>
    <col min="15616" max="15616" width="6.42578125" style="121" customWidth="1"/>
    <col min="15617" max="15617" width="9.28515625" style="121" customWidth="1"/>
    <col min="15618" max="15618" width="15.42578125" style="121" customWidth="1"/>
    <col min="15619" max="15622" width="6.42578125" style="121" customWidth="1"/>
    <col min="15623" max="15623" width="6" style="121" customWidth="1"/>
    <col min="15624" max="15624" width="6.42578125" style="121" customWidth="1"/>
    <col min="15625" max="15628" width="7.7109375" style="121" customWidth="1"/>
    <col min="15629" max="15633" width="6.42578125" style="121" customWidth="1"/>
    <col min="15634" max="15634" width="3.28515625" style="121" customWidth="1"/>
    <col min="15635" max="15635" width="5.28515625" style="121" customWidth="1"/>
    <col min="15636" max="15636" width="23.42578125" style="121" customWidth="1"/>
    <col min="15637" max="15653" width="8.28515625" style="121"/>
    <col min="15654" max="15658" width="12.42578125" style="121" customWidth="1"/>
    <col min="15659" max="15862" width="8.28515625" style="121"/>
    <col min="15863" max="15863" width="1.28515625" style="121" customWidth="1"/>
    <col min="15864" max="15871" width="7.7109375" style="121" customWidth="1"/>
    <col min="15872" max="15872" width="6.42578125" style="121" customWidth="1"/>
    <col min="15873" max="15873" width="9.28515625" style="121" customWidth="1"/>
    <col min="15874" max="15874" width="15.42578125" style="121" customWidth="1"/>
    <col min="15875" max="15878" width="6.42578125" style="121" customWidth="1"/>
    <col min="15879" max="15879" width="6" style="121" customWidth="1"/>
    <col min="15880" max="15880" width="6.42578125" style="121" customWidth="1"/>
    <col min="15881" max="15884" width="7.7109375" style="121" customWidth="1"/>
    <col min="15885" max="15889" width="6.42578125" style="121" customWidth="1"/>
    <col min="15890" max="15890" width="3.28515625" style="121" customWidth="1"/>
    <col min="15891" max="15891" width="5.28515625" style="121" customWidth="1"/>
    <col min="15892" max="15892" width="23.42578125" style="121" customWidth="1"/>
    <col min="15893" max="15909" width="8.28515625" style="121"/>
    <col min="15910" max="15914" width="12.42578125" style="121" customWidth="1"/>
    <col min="15915" max="16118" width="8.28515625" style="121"/>
    <col min="16119" max="16119" width="1.28515625" style="121" customWidth="1"/>
    <col min="16120" max="16127" width="7.7109375" style="121" customWidth="1"/>
    <col min="16128" max="16128" width="6.42578125" style="121" customWidth="1"/>
    <col min="16129" max="16129" width="9.28515625" style="121" customWidth="1"/>
    <col min="16130" max="16130" width="15.42578125" style="121" customWidth="1"/>
    <col min="16131" max="16134" width="6.42578125" style="121" customWidth="1"/>
    <col min="16135" max="16135" width="6" style="121" customWidth="1"/>
    <col min="16136" max="16136" width="6.42578125" style="121" customWidth="1"/>
    <col min="16137" max="16140" width="7.7109375" style="121" customWidth="1"/>
    <col min="16141" max="16145" width="6.42578125" style="121" customWidth="1"/>
    <col min="16146" max="16146" width="3.28515625" style="121" customWidth="1"/>
    <col min="16147" max="16147" width="5.28515625" style="121" customWidth="1"/>
    <col min="16148" max="16148" width="23.42578125" style="121" customWidth="1"/>
    <col min="16149" max="16165" width="8.28515625" style="121"/>
    <col min="16166" max="16170" width="12.42578125" style="121" customWidth="1"/>
    <col min="16171" max="16384" width="8.28515625" style="121"/>
  </cols>
  <sheetData>
    <row r="1" spans="1:46" ht="4.5" customHeight="1" thickBot="1" x14ac:dyDescent="0.25">
      <c r="L1" s="137"/>
      <c r="AI1" s="108"/>
      <c r="AJ1" s="108"/>
      <c r="AK1" s="108"/>
      <c r="AL1" s="137"/>
      <c r="AM1" s="137"/>
      <c r="AN1" s="137"/>
      <c r="AO1" s="137"/>
      <c r="AP1" s="137"/>
      <c r="AQ1" s="1045"/>
      <c r="AR1" s="1045"/>
      <c r="AS1" s="1045"/>
      <c r="AT1" s="1045"/>
    </row>
    <row r="2" spans="1:46" s="36" customFormat="1" ht="19.5" customHeight="1" thickBot="1" x14ac:dyDescent="0.25">
      <c r="A2" s="108"/>
      <c r="B2" s="1048" t="s">
        <v>669</v>
      </c>
      <c r="C2" s="1048"/>
      <c r="D2" s="884"/>
      <c r="E2" s="884"/>
      <c r="F2" s="884"/>
      <c r="G2" s="884"/>
      <c r="H2" s="884"/>
      <c r="I2" s="884"/>
      <c r="J2" s="884"/>
      <c r="K2" s="884"/>
      <c r="L2" s="884"/>
      <c r="M2" s="108"/>
      <c r="N2" s="124"/>
      <c r="O2" s="124"/>
      <c r="P2" s="37"/>
      <c r="Q2" s="124"/>
      <c r="R2" s="124"/>
      <c r="S2" s="117">
        <v>3</v>
      </c>
      <c r="T2" s="123"/>
      <c r="U2" s="123"/>
      <c r="V2" s="37"/>
      <c r="W2" s="124"/>
      <c r="X2" s="124"/>
      <c r="Y2" s="124"/>
      <c r="Z2" s="124"/>
      <c r="AA2" s="124"/>
      <c r="AB2" s="124"/>
      <c r="AC2" s="124"/>
      <c r="AD2" s="124"/>
      <c r="AE2" s="124"/>
      <c r="AF2" s="124"/>
      <c r="AG2" s="124"/>
      <c r="AH2" s="124"/>
      <c r="AI2" s="108"/>
      <c r="AJ2" s="108"/>
      <c r="AK2" s="729" t="str">
        <f>ListAVS!$B$153</f>
        <v>Przejdź do</v>
      </c>
      <c r="AL2" s="108"/>
      <c r="AM2" s="108"/>
      <c r="AN2" s="108"/>
      <c r="AO2" s="108"/>
      <c r="AP2" s="108"/>
      <c r="AQ2" s="108"/>
      <c r="AR2" s="108"/>
      <c r="AS2" s="108"/>
      <c r="AT2" s="108"/>
    </row>
    <row r="3" spans="1:46" ht="3.75" customHeight="1" x14ac:dyDescent="0.2">
      <c r="B3" s="252"/>
      <c r="C3" s="192"/>
      <c r="D3" s="192"/>
      <c r="E3" s="192"/>
      <c r="F3" s="192"/>
      <c r="G3" s="192"/>
      <c r="H3" s="192"/>
      <c r="I3" s="192"/>
      <c r="J3" s="192"/>
      <c r="K3" s="192"/>
      <c r="L3" s="266"/>
      <c r="V3" s="585"/>
      <c r="AI3" s="108"/>
      <c r="AJ3" s="108"/>
      <c r="AK3" s="832"/>
      <c r="AL3" s="137"/>
      <c r="AM3" s="137"/>
      <c r="AN3" s="137"/>
      <c r="AO3" s="137"/>
      <c r="AP3" s="137"/>
      <c r="AQ3" s="37"/>
      <c r="AR3" s="37"/>
      <c r="AS3" s="137"/>
      <c r="AT3" s="137"/>
    </row>
    <row r="4" spans="1:46" ht="16.149999999999999" customHeight="1" thickBot="1" x14ac:dyDescent="0.25">
      <c r="B4" s="313" t="str">
        <f>ListAVS!$B$23&amp;" ***"</f>
        <v>Cienkie materiały ***</v>
      </c>
      <c r="C4" s="192"/>
      <c r="D4" s="266"/>
      <c r="E4" s="192"/>
      <c r="F4" s="174" t="str">
        <f>ListAVS!$B$26&amp;":   "</f>
        <v xml:space="preserve">Materiał :   </v>
      </c>
      <c r="J4" s="251"/>
      <c r="K4" s="1047" t="str">
        <f>IF($Z$71=8,IF(J4=0,$Y$67," "),IF(J4&gt;0,$Y$68," "))</f>
        <v xml:space="preserve"> </v>
      </c>
      <c r="L4" s="1047"/>
      <c r="N4" s="127"/>
      <c r="O4" s="585"/>
      <c r="Q4" s="127"/>
      <c r="R4" s="585"/>
      <c r="S4" s="37" t="str">
        <f>" "&amp;ListAVS!$B$41&amp;" A "</f>
        <v xml:space="preserve"> Cena za korpus A </v>
      </c>
      <c r="T4" s="128"/>
      <c r="U4" s="585"/>
      <c r="V4" s="585"/>
      <c r="W4" s="123"/>
      <c r="X4" s="123"/>
      <c r="Y4" s="123"/>
      <c r="Z4" s="123"/>
      <c r="AA4" s="123"/>
      <c r="AB4" s="123"/>
      <c r="AC4" s="123"/>
      <c r="AD4" s="123"/>
      <c r="AE4" s="123"/>
      <c r="AF4" s="123"/>
      <c r="AG4" s="123"/>
      <c r="AH4" s="123"/>
      <c r="AI4" s="108"/>
      <c r="AJ4" s="108"/>
      <c r="AK4" s="383" t="s">
        <v>77</v>
      </c>
      <c r="AL4" s="137"/>
      <c r="AM4" s="137"/>
      <c r="AN4" s="137"/>
      <c r="AO4" s="137"/>
      <c r="AP4" s="137"/>
      <c r="AQ4" s="37"/>
      <c r="AR4" s="37"/>
      <c r="AS4" s="137"/>
      <c r="AT4" s="137"/>
    </row>
    <row r="5" spans="1:46" ht="16.149999999999999" customHeight="1" x14ac:dyDescent="0.2">
      <c r="B5" s="266"/>
      <c r="C5" s="192"/>
      <c r="D5" s="192"/>
      <c r="E5" s="192"/>
      <c r="F5" s="1178" t="str">
        <f>IF($Z$72&lt;&gt;8,$Y$66," ")&amp;"      "</f>
        <v xml:space="preserve"> Możesz zmienić wartości we Wstępie do planowania      </v>
      </c>
      <c r="G5" s="1178"/>
      <c r="H5" s="1178"/>
      <c r="I5" s="1178"/>
      <c r="J5" s="1179"/>
      <c r="K5" s="1047"/>
      <c r="L5" s="1047"/>
      <c r="N5" s="127"/>
      <c r="O5" s="585"/>
      <c r="Q5" s="127"/>
      <c r="R5" s="585"/>
      <c r="S5" s="37" t="str">
        <f>" "&amp;ListAVS!$B$41&amp;" B "</f>
        <v xml:space="preserve"> Cena za korpus B </v>
      </c>
      <c r="T5" s="129"/>
      <c r="U5" s="585"/>
      <c r="V5" s="585"/>
      <c r="W5" s="128"/>
      <c r="X5" s="128"/>
      <c r="Y5" s="128"/>
      <c r="Z5" s="128"/>
      <c r="AA5" s="128"/>
      <c r="AB5" s="128"/>
      <c r="AC5" s="128"/>
      <c r="AD5" s="128"/>
      <c r="AE5" s="128"/>
      <c r="AF5" s="128"/>
      <c r="AG5" s="128"/>
      <c r="AH5" s="128"/>
      <c r="AI5" s="108"/>
      <c r="AJ5" s="108"/>
      <c r="AK5" s="708" t="str">
        <f>" "&amp;ListAVS!$B$155</f>
        <v xml:space="preserve"> Pomoc</v>
      </c>
      <c r="AL5" s="137"/>
      <c r="AM5" s="137"/>
      <c r="AN5" s="137"/>
      <c r="AO5" s="137"/>
      <c r="AP5" s="137"/>
      <c r="AQ5" s="37"/>
      <c r="AR5" s="37"/>
      <c r="AS5" s="137"/>
      <c r="AT5" s="137"/>
    </row>
    <row r="6" spans="1:46" ht="22.5" customHeight="1" x14ac:dyDescent="0.2">
      <c r="B6" s="192"/>
      <c r="C6" s="192"/>
      <c r="D6" s="192"/>
      <c r="E6" s="192"/>
      <c r="F6" s="404"/>
      <c r="G6" s="404"/>
      <c r="H6" s="404"/>
      <c r="I6" s="192"/>
      <c r="J6" s="192"/>
      <c r="K6" s="192"/>
      <c r="L6" s="266"/>
      <c r="N6" s="127"/>
      <c r="O6" s="585"/>
      <c r="Q6" s="127"/>
      <c r="R6" s="585"/>
      <c r="S6" s="37" t="str">
        <f>" "&amp;ListAVS!$B$61</f>
        <v xml:space="preserve"> Cena całkowita bez VAT</v>
      </c>
      <c r="T6" s="129"/>
      <c r="U6" s="585"/>
      <c r="V6" s="585"/>
      <c r="W6" s="129"/>
      <c r="X6" s="129"/>
      <c r="Y6" s="129"/>
      <c r="Z6" s="129"/>
      <c r="AA6" s="129"/>
      <c r="AB6" s="129"/>
      <c r="AC6" s="129"/>
      <c r="AD6" s="129"/>
      <c r="AE6" s="129"/>
      <c r="AF6" s="129"/>
      <c r="AG6" s="129"/>
      <c r="AH6" s="129"/>
      <c r="AI6" s="108"/>
      <c r="AJ6" s="108"/>
      <c r="AK6" s="730"/>
      <c r="AL6" s="137"/>
      <c r="AM6" s="137"/>
      <c r="AN6" s="137"/>
      <c r="AO6" s="137"/>
      <c r="AP6" s="137"/>
      <c r="AQ6" s="37"/>
      <c r="AR6" s="37"/>
      <c r="AS6" s="137"/>
      <c r="AT6" s="137"/>
    </row>
    <row r="7" spans="1:46" ht="16.149999999999999" customHeight="1" x14ac:dyDescent="0.2">
      <c r="B7" s="1059" t="str">
        <f>ListAVS!$B$51&amp;":   "</f>
        <v xml:space="preserve">Cena okucia:   </v>
      </c>
      <c r="C7" s="1060"/>
      <c r="D7" s="227"/>
      <c r="E7" s="404"/>
      <c r="F7" s="404"/>
      <c r="G7" s="1061">
        <f>IF(S2=1,$AF$45,IF($S$2=2,$AH$45,IF($S$2=3,$AD$45,0)))</f>
        <v>0</v>
      </c>
      <c r="H7" s="1062"/>
      <c r="I7" s="227"/>
      <c r="J7" s="255"/>
      <c r="K7" s="255"/>
      <c r="L7" s="255"/>
      <c r="N7" s="127"/>
      <c r="O7" s="585"/>
      <c r="Q7" s="127"/>
      <c r="R7" s="585"/>
      <c r="T7" s="129"/>
      <c r="U7" s="585"/>
      <c r="V7" s="585"/>
      <c r="W7" s="129"/>
      <c r="X7" s="129"/>
      <c r="Y7" s="156" t="str">
        <f>$B$2</f>
        <v>AVENTOS HL top</v>
      </c>
      <c r="Z7" s="157">
        <f>B5</f>
        <v>0</v>
      </c>
      <c r="AA7" s="157"/>
      <c r="AB7" s="157"/>
      <c r="AC7" s="157"/>
      <c r="AD7" s="158"/>
      <c r="AG7" s="118"/>
      <c r="AI7" s="108"/>
      <c r="AJ7" s="108"/>
      <c r="AK7" s="675" t="str">
        <f>" "&amp;ListAVS!$B$160</f>
        <v xml:space="preserve"> Dodatki</v>
      </c>
      <c r="AL7" s="137"/>
      <c r="AM7" s="137"/>
      <c r="AN7" s="137"/>
      <c r="AO7" s="137"/>
      <c r="AP7" s="137"/>
      <c r="AQ7" s="956" t="str">
        <f>ListAVS!B84&amp;":"</f>
        <v>Mechanizm podnoszący:</v>
      </c>
      <c r="AR7" s="37"/>
      <c r="AS7" s="137"/>
      <c r="AT7" s="137"/>
    </row>
    <row r="8" spans="1:46" ht="25.15" customHeight="1" thickBot="1" x14ac:dyDescent="0.25">
      <c r="B8" s="227"/>
      <c r="C8" s="227"/>
      <c r="D8" s="227"/>
      <c r="E8" s="227"/>
      <c r="F8" s="227"/>
      <c r="G8" s="227"/>
      <c r="H8" s="269" t="str">
        <f>IF(AND(OR($R$14=2, $R$24=2), $AD$45&gt;0), $N$34, " ")</f>
        <v xml:space="preserve"> </v>
      </c>
      <c r="I8" s="227"/>
      <c r="J8" s="255"/>
      <c r="K8" s="255"/>
      <c r="L8" s="255"/>
      <c r="N8" s="127"/>
      <c r="O8" s="585"/>
      <c r="P8" s="127"/>
      <c r="Q8" s="127"/>
      <c r="R8" s="585"/>
      <c r="S8" s="108"/>
      <c r="T8" s="129"/>
      <c r="U8" s="585"/>
      <c r="V8" s="585"/>
      <c r="W8" s="129"/>
      <c r="X8" s="129"/>
      <c r="Y8" s="159" t="str">
        <f>ListAVS!B52</f>
        <v>Nazwa</v>
      </c>
      <c r="Z8" s="160" t="str">
        <f>ListAVS!$B$53</f>
        <v>Kod asortymentu</v>
      </c>
      <c r="AA8" s="161" t="str">
        <f>ListAVS!B54</f>
        <v>Kolor</v>
      </c>
      <c r="AB8" s="161" t="str">
        <f>ListAVS!B56</f>
        <v>Sztuka</v>
      </c>
      <c r="AC8" s="162" t="str">
        <f>ListAVS!B58</f>
        <v>Cena za sztukę</v>
      </c>
      <c r="AD8" s="161" t="str">
        <f>ListAVS!B59</f>
        <v>W sumie</v>
      </c>
      <c r="AE8" s="204" t="s">
        <v>29</v>
      </c>
      <c r="AF8" s="163" t="s">
        <v>30</v>
      </c>
      <c r="AG8" s="163" t="s">
        <v>31</v>
      </c>
      <c r="AH8" s="163" t="s">
        <v>30</v>
      </c>
      <c r="AI8" s="108"/>
      <c r="AJ8" s="108"/>
      <c r="AK8" s="671"/>
      <c r="AL8" s="137"/>
      <c r="AM8" s="137"/>
      <c r="AN8" s="137"/>
      <c r="AO8" s="137"/>
      <c r="AP8" s="137"/>
      <c r="AQ8" s="953" t="str">
        <f>ListAVS!$B$75&amp;" KH (mm)"</f>
        <v>Wysokość korpusu KH (mm)</v>
      </c>
      <c r="AR8" s="953" t="str">
        <f>ListAVS!$B$84&amp;" "&amp;ListAVS!$B$350</f>
        <v>Mechanizm podnoszący wkręty</v>
      </c>
      <c r="AS8" s="953" t="str">
        <f>ListAVS!$B$84&amp;" "&amp;ListAVS!$B$351</f>
        <v>Mechanizm podnoszący wstępnie zamontowane eurowkręty</v>
      </c>
    </row>
    <row r="9" spans="1:46" ht="16.149999999999999" customHeight="1" thickBot="1" x14ac:dyDescent="0.25">
      <c r="B9" s="1051" t="str">
        <f>"▼ "&amp;ListAVS!$B$318</f>
        <v>▼ Sposób otwierania</v>
      </c>
      <c r="C9" s="1052"/>
      <c r="D9" s="406" t="str">
        <f>IF($M$15&gt;0, ListAVS!$B$37&amp;": ", " ")</f>
        <v xml:space="preserve"> </v>
      </c>
      <c r="E9" s="688" t="str">
        <f>IF(SUM($AE$9:$AE$10)&gt;0, "22", IF(SUM($AE$11:$AE$12)&gt;0,"25", " "))</f>
        <v xml:space="preserve"> </v>
      </c>
      <c r="F9" s="1056" t="str">
        <f>ListAVS!$B$64&amp;" A"</f>
        <v>Korpus A</v>
      </c>
      <c r="G9" s="1057"/>
      <c r="H9" s="1058"/>
      <c r="I9" s="273"/>
      <c r="J9" s="255"/>
      <c r="K9" s="255"/>
      <c r="L9" s="255"/>
      <c r="R9" s="37" t="s">
        <v>727</v>
      </c>
      <c r="S9" s="923"/>
      <c r="T9" s="923"/>
      <c r="U9" s="737"/>
      <c r="V9" s="737"/>
      <c r="W9" s="737"/>
      <c r="X9" s="737"/>
      <c r="Y9" s="164" t="str">
        <f>CenAVS!A36</f>
        <v xml:space="preserve">Aventos HL Top słaby, wkręty      </v>
      </c>
      <c r="Z9" s="164" t="str">
        <f>CenAVS!B36</f>
        <v>22L2200</v>
      </c>
      <c r="AA9" s="301" t="str">
        <f>CenAVS!C36</f>
        <v>ZN</v>
      </c>
      <c r="AB9" s="165">
        <f t="shared" ref="AB9:AB17" si="0">SUM(AE9,AG9)</f>
        <v>0</v>
      </c>
      <c r="AC9" s="395">
        <f>CenAVS!F36</f>
        <v>191.41126</v>
      </c>
      <c r="AD9" s="167">
        <f>AB9*AC9</f>
        <v>0</v>
      </c>
      <c r="AE9" s="407">
        <f>IF($W$45=1, $O$10*$M$15, 0)</f>
        <v>0</v>
      </c>
      <c r="AF9" s="168">
        <f>$AC9*AE9</f>
        <v>0</v>
      </c>
      <c r="AG9" s="407">
        <f>IF($W$45=1, $O$21*$M$26, 0)</f>
        <v>0</v>
      </c>
      <c r="AH9" s="168">
        <f>$AC9*AG9</f>
        <v>0</v>
      </c>
      <c r="AI9" s="108"/>
      <c r="AJ9" s="108"/>
      <c r="AK9" s="383" t="str">
        <f>" "&amp;ListAVS!$B$157</f>
        <v xml:space="preserve"> Rodzaje korpusów</v>
      </c>
      <c r="AL9" s="137"/>
      <c r="AM9" s="137"/>
      <c r="AN9" s="137"/>
      <c r="AO9" s="137"/>
      <c r="AP9" s="137"/>
      <c r="AQ9" s="954" t="s">
        <v>773</v>
      </c>
      <c r="AR9" s="955" t="s">
        <v>712</v>
      </c>
      <c r="AS9" s="955" t="s">
        <v>722</v>
      </c>
    </row>
    <row r="10" spans="1:46" s="122" customFormat="1" ht="16.149999999999999" customHeight="1" thickBot="1" x14ac:dyDescent="0.25">
      <c r="A10" s="37"/>
      <c r="B10" s="1011" t="str">
        <f>ListAVS!$B$74&amp;" KB [mm] "</f>
        <v xml:space="preserve">Szerokość korpusu KB [mm] </v>
      </c>
      <c r="C10" s="1012"/>
      <c r="D10" s="1012"/>
      <c r="E10" s="1012"/>
      <c r="F10" s="1012"/>
      <c r="G10" s="1013"/>
      <c r="H10" s="435"/>
      <c r="I10" s="256" t="str">
        <f>IF($H10=0," ",IF($H10&lt;220," min. 220mm",IF($H10&gt;1800," max. 1 800mm"," ")))&amp;IF(AND(H17&gt;0,H10=0),"● "&amp;ListAVS!$B$129," ")</f>
        <v xml:space="preserve">  </v>
      </c>
      <c r="J10" s="255"/>
      <c r="K10" s="255"/>
      <c r="L10" s="255"/>
      <c r="M10" s="37"/>
      <c r="N10" s="929" t="s">
        <v>726</v>
      </c>
      <c r="O10" s="929">
        <f>IF(AND($H$11&gt;=$Z$44, $H$11&lt;=$AA$45), 1, 0)</f>
        <v>0</v>
      </c>
      <c r="P10" s="929" t="s">
        <v>35</v>
      </c>
      <c r="Q10" s="929">
        <f>IF(AND($H$11&gt;=$Z$44, $H$11&lt;=$AA$44, Q$15&gt;=$AB$44, $Q$15&lt;=$AC$44), 1, 0)</f>
        <v>0</v>
      </c>
      <c r="R10" s="344"/>
      <c r="S10" s="344"/>
      <c r="T10" s="344"/>
      <c r="U10" s="344"/>
      <c r="V10" s="344"/>
      <c r="W10" s="714"/>
      <c r="X10" s="714"/>
      <c r="Y10" s="164" t="str">
        <f>CenAVS!A37</f>
        <v xml:space="preserve">Aventos HL Top słaby, eurowkręty      </v>
      </c>
      <c r="Z10" s="164" t="str">
        <f>CenAVS!B37</f>
        <v>22L2210</v>
      </c>
      <c r="AA10" s="301" t="str">
        <f>CenAVS!C37</f>
        <v>ZN</v>
      </c>
      <c r="AB10" s="165">
        <f t="shared" si="0"/>
        <v>0</v>
      </c>
      <c r="AC10" s="395">
        <f>CenAVS!F37</f>
        <v>192.89991000000001</v>
      </c>
      <c r="AD10" s="167">
        <f t="shared" ref="AD10:AD17" si="1">AB10*AC10</f>
        <v>0</v>
      </c>
      <c r="AE10" s="407">
        <f>IF($W$45=2, $O$10*$M$15, 0)</f>
        <v>0</v>
      </c>
      <c r="AF10" s="168">
        <f>$AC10*AE10</f>
        <v>0</v>
      </c>
      <c r="AG10" s="407">
        <f>IF($W$45=2, $O$21*$M$26, 0)</f>
        <v>0</v>
      </c>
      <c r="AH10" s="168">
        <f>$AC10*AG10</f>
        <v>0</v>
      </c>
      <c r="AI10" s="108"/>
      <c r="AJ10" s="108"/>
      <c r="AK10" s="383" t="str">
        <f>" "&amp;ListAVS!$B$158</f>
        <v xml:space="preserve"> Zamówienie</v>
      </c>
      <c r="AL10" s="137"/>
      <c r="AM10" s="137"/>
      <c r="AN10" s="137"/>
      <c r="AO10" s="137"/>
      <c r="AP10" s="37"/>
      <c r="AQ10" s="954" t="s">
        <v>774</v>
      </c>
      <c r="AR10" s="955" t="s">
        <v>719</v>
      </c>
      <c r="AS10" s="955" t="s">
        <v>723</v>
      </c>
    </row>
    <row r="11" spans="1:46" s="122" customFormat="1" ht="16.149999999999999" customHeight="1" x14ac:dyDescent="0.2">
      <c r="A11" s="37"/>
      <c r="B11" s="1011" t="str">
        <f>ListAVS!$B$75&amp;" KH [mm]  "</f>
        <v xml:space="preserve">Wysokość korpusu KH [mm]  </v>
      </c>
      <c r="C11" s="1012"/>
      <c r="D11" s="1012"/>
      <c r="E11" s="1012"/>
      <c r="F11" s="1012"/>
      <c r="G11" s="1013"/>
      <c r="H11" s="435"/>
      <c r="I11" s="256" t="str">
        <f>IF($H11=0," ",IF($H11&lt;300," min. 300mm",IF($H11&gt;580," max. 580 mm"," ")))&amp;IF(H17&gt;0,IF(H11=0,"● "&amp;ListAVS!$B$129," ")," ")</f>
        <v xml:space="preserve">  </v>
      </c>
      <c r="J11" s="255"/>
      <c r="K11" s="255"/>
      <c r="L11" s="255"/>
      <c r="M11" s="37"/>
      <c r="N11" s="906"/>
      <c r="O11" s="906"/>
      <c r="P11" s="929" t="s">
        <v>41</v>
      </c>
      <c r="Q11" s="929">
        <f>IF(AND($H$11&gt;=$Z$45, $H$11&lt;=$AA$45, Q$15&gt;=$AB$45, $Q$15&lt;=$AC$45), 1, 0)</f>
        <v>0</v>
      </c>
      <c r="R11" s="344"/>
      <c r="S11" s="344"/>
      <c r="T11" s="344"/>
      <c r="U11" s="344"/>
      <c r="V11" s="344"/>
      <c r="W11" s="344"/>
      <c r="X11" s="344"/>
      <c r="Y11" s="164" t="str">
        <f>CenAVS!A38</f>
        <v xml:space="preserve">Aventos HL Top mocny, wkręty      </v>
      </c>
      <c r="Z11" s="164" t="str">
        <f>CenAVS!B38</f>
        <v>22L2500</v>
      </c>
      <c r="AA11" s="301" t="str">
        <f>CenAVS!C38</f>
        <v>ZN</v>
      </c>
      <c r="AB11" s="165">
        <f t="shared" si="0"/>
        <v>0</v>
      </c>
      <c r="AC11" s="395">
        <f>CenAVS!F38</f>
        <v>205.38082999999997</v>
      </c>
      <c r="AD11" s="167">
        <f t="shared" si="1"/>
        <v>0</v>
      </c>
      <c r="AE11" s="407">
        <f>IF($W$45=1, $O$12*$M$15, 0)</f>
        <v>0</v>
      </c>
      <c r="AF11" s="168">
        <f>$AC11*AE11</f>
        <v>0</v>
      </c>
      <c r="AG11" s="407">
        <f>IF($W$45=1, $O$23*$M$26, 0)</f>
        <v>0</v>
      </c>
      <c r="AH11" s="168">
        <f>$AC11*AG11</f>
        <v>0</v>
      </c>
      <c r="AI11" s="108"/>
      <c r="AJ11" s="108"/>
      <c r="AK11" s="255"/>
      <c r="AL11" s="137"/>
      <c r="AM11" s="137"/>
      <c r="AN11" s="137"/>
      <c r="AO11" s="137"/>
      <c r="AP11" s="37"/>
      <c r="AQ11" s="951"/>
      <c r="AR11" s="951"/>
      <c r="AS11" s="952"/>
      <c r="AT11" s="952"/>
    </row>
    <row r="12" spans="1:46" s="122" customFormat="1" ht="16.149999999999999" customHeight="1" x14ac:dyDescent="0.2">
      <c r="A12" s="37"/>
      <c r="B12" s="1011" t="str">
        <f>ListAVS!$B$77&amp;" [kg] ** "</f>
        <v xml:space="preserve">Waga frontu wraz z uchwytem [kg] ** </v>
      </c>
      <c r="C12" s="1012"/>
      <c r="D12" s="1012"/>
      <c r="E12" s="1012"/>
      <c r="F12" s="1012"/>
      <c r="G12" s="1013"/>
      <c r="H12" s="258"/>
      <c r="I12" s="227" t="str">
        <f>IF($H17=0," ",IF(SUM($H12,$H15)=0,$N$37," "))&amp;IF(AND(SUM($O$10:$O$14)=1,$V16="ne",H12&gt;0),$N$41,IF(AND($H17&gt;0,$H12&gt;0,V$16="ano"),$N$38," "))</f>
        <v xml:space="preserve">  </v>
      </c>
      <c r="J12" s="255"/>
      <c r="K12" s="255"/>
      <c r="L12" s="255"/>
      <c r="M12" s="37"/>
      <c r="N12" s="929" t="s">
        <v>87</v>
      </c>
      <c r="O12" s="929">
        <f>IF(AND($H$11&gt;=$Z$49, $H$11&lt;=$AA$50), 1, 0)</f>
        <v>0</v>
      </c>
      <c r="P12" s="929" t="s">
        <v>45</v>
      </c>
      <c r="Q12" s="929">
        <f>IF(AND($H$11&gt;=$Z$49, $H$11&lt;=$AA$49, Q$15&gt;=$AB$49, $Q$15&lt;=$AC$49), 1, 0)</f>
        <v>0</v>
      </c>
      <c r="R12" s="906">
        <f>IF(AND($Q$12=1, $Q$13=1, $H$11&lt;=$AD$49), 1, IF(AND($Q12=1, $Q13=0), $Q12, 0))</f>
        <v>0</v>
      </c>
      <c r="S12" s="37"/>
      <c r="T12" s="344"/>
      <c r="U12" s="344"/>
      <c r="V12" s="344"/>
      <c r="W12" s="344"/>
      <c r="X12" s="344"/>
      <c r="Y12" s="164" t="str">
        <f>CenAVS!A39</f>
        <v xml:space="preserve">Aventos HL Top mocny, eurowkręty      </v>
      </c>
      <c r="Z12" s="164" t="str">
        <f>CenAVS!B39</f>
        <v>22L2510</v>
      </c>
      <c r="AA12" s="301" t="str">
        <f>CenAVS!C39</f>
        <v>ZN</v>
      </c>
      <c r="AB12" s="165">
        <f t="shared" si="0"/>
        <v>0</v>
      </c>
      <c r="AC12" s="395">
        <f>CenAVS!F39</f>
        <v>206.97785999999999</v>
      </c>
      <c r="AD12" s="167">
        <f t="shared" si="1"/>
        <v>0</v>
      </c>
      <c r="AE12" s="407">
        <f>IF($W$45=2, $O$12*$M$15, 0)</f>
        <v>0</v>
      </c>
      <c r="AF12" s="168">
        <f>$AC12*AE12</f>
        <v>0</v>
      </c>
      <c r="AG12" s="407">
        <f>IF($W$45=2, $O$23*$M$26, 0)</f>
        <v>0</v>
      </c>
      <c r="AH12" s="168">
        <f>$AC12*AG12</f>
        <v>0</v>
      </c>
      <c r="AI12" s="108"/>
      <c r="AJ12" s="108"/>
      <c r="AK12" s="720"/>
      <c r="AL12" s="137"/>
      <c r="AM12" s="137"/>
      <c r="AN12" s="137"/>
      <c r="AO12" s="137"/>
      <c r="AP12" s="37"/>
      <c r="AQ12" s="545" t="str">
        <f>ListAVS!$B$350&amp;" = "&amp;ListAVS!$B$352</f>
        <v>wkręty = podnośniki z zintegrowanym szablonem (nie ma potrzeby mierzenia)</v>
      </c>
      <c r="AS12" s="952"/>
      <c r="AT12" s="952"/>
    </row>
    <row r="13" spans="1:46" s="122" customFormat="1" ht="16.149999999999999" customHeight="1" x14ac:dyDescent="0.2">
      <c r="A13" s="37"/>
      <c r="B13" s="1055" t="str">
        <f>ListAVS!$B$293</f>
        <v>Obliczenie wagi</v>
      </c>
      <c r="C13" s="1055"/>
      <c r="D13" s="1053" t="str">
        <f>ListAVS!$B$80&amp;" TS [mm] "</f>
        <v xml:space="preserve">Grubość frontu TS [mm] </v>
      </c>
      <c r="E13" s="1053"/>
      <c r="F13" s="1053"/>
      <c r="G13" s="1054"/>
      <c r="H13" s="258"/>
      <c r="I13" s="256" t="str">
        <f>IF(H17=0," ",IF(AND(H12=0, H13=0)," ● "&amp;ListAVS!$B$129," "))&amp;IF(H17=0," ",IF(AND(H12=0, H13&lt;8), " min. 8 mm", IF(AND(H12=0, H13&gt;14), " max. 14 mm", " ")))</f>
        <v xml:space="preserve">  </v>
      </c>
      <c r="J13" s="255"/>
      <c r="K13" s="255"/>
      <c r="L13" s="255"/>
      <c r="M13" s="37"/>
      <c r="N13" s="906"/>
      <c r="O13" s="906"/>
      <c r="P13" s="929" t="s">
        <v>48</v>
      </c>
      <c r="Q13" s="929">
        <f>IF(AND($H$11&gt;=$Z$50, $H$11&lt;=$AA$50, Q$15&gt;=$AB$50, $Q$15&lt;=$AC$50), 1, 0)</f>
        <v>0</v>
      </c>
      <c r="R13" s="906">
        <f>IF(AND($Q12=1,$Q13=1,$H11&gt;$AD$49),1, IF(AND($Q12=0,$Q13=1),$Q13,0))</f>
        <v>0</v>
      </c>
      <c r="S13" s="930" t="s">
        <v>81</v>
      </c>
      <c r="T13" s="931" t="s">
        <v>82</v>
      </c>
      <c r="U13" s="344"/>
      <c r="V13" s="344"/>
      <c r="W13" s="344"/>
      <c r="X13" s="344"/>
      <c r="Y13" s="164"/>
      <c r="Z13" s="164"/>
      <c r="AA13" s="301"/>
      <c r="AB13" s="165"/>
      <c r="AC13" s="395"/>
      <c r="AD13" s="167"/>
      <c r="AE13" s="407"/>
      <c r="AF13" s="168"/>
      <c r="AG13" s="407"/>
      <c r="AH13" s="168"/>
      <c r="AI13" s="108"/>
      <c r="AJ13" s="108"/>
      <c r="AK13" s="720"/>
      <c r="AL13" s="137"/>
      <c r="AM13" s="137"/>
      <c r="AN13" s="137"/>
      <c r="AO13" s="137"/>
      <c r="AP13" s="37"/>
      <c r="AQ13" s="545" t="str">
        <f>ListAVS!$B$351&amp;" = "&amp;ListAVS!$B$353</f>
        <v>wstępnie zamontowane eurowkręty = podnośniki ze wstępnie zamontowanymi wkrętami (wymagane wstępne nawiercenie)</v>
      </c>
      <c r="AS13" s="952"/>
      <c r="AT13" s="952"/>
    </row>
    <row r="14" spans="1:46" s="122" customFormat="1" ht="16.149999999999999" customHeight="1" x14ac:dyDescent="0.2">
      <c r="A14" s="37"/>
      <c r="B14" s="1055"/>
      <c r="C14" s="1055"/>
      <c r="D14" s="1053" t="str">
        <f>ListAVS!$B$83&amp;" [kg] "</f>
        <v xml:space="preserve">Waga uchwytu [kg] </v>
      </c>
      <c r="E14" s="1053"/>
      <c r="F14" s="1053"/>
      <c r="G14" s="1054"/>
      <c r="H14" s="258"/>
      <c r="I14" s="256" t="str">
        <f>IF(H17=0, " ", IF(AND(H12=0, R14=1, H14=0), " ● "&amp;ListAVS!$B$130," "))</f>
        <v xml:space="preserve"> </v>
      </c>
      <c r="J14" s="255"/>
      <c r="K14" s="255"/>
      <c r="L14" s="255"/>
      <c r="M14" s="37"/>
      <c r="N14" s="317"/>
      <c r="O14" s="344"/>
      <c r="P14" s="1171"/>
      <c r="Q14" s="1172"/>
      <c r="R14" s="934">
        <v>2</v>
      </c>
      <c r="S14" s="932">
        <f>IF($H$10&gt;1360,2, IF($H$10&lt;610,0.5,1))</f>
        <v>0.5</v>
      </c>
      <c r="T14" s="933">
        <f>H16</f>
        <v>0</v>
      </c>
      <c r="U14" s="37"/>
      <c r="V14" s="37"/>
      <c r="W14" s="37"/>
      <c r="X14" s="37"/>
      <c r="Y14" s="164" t="str">
        <f>CenAVS!A40</f>
        <v xml:space="preserve">ramiona 300-339 HL Top       </v>
      </c>
      <c r="Z14" s="164" t="str">
        <f>CenAVS!B40</f>
        <v>22L3200</v>
      </c>
      <c r="AA14" s="164" t="str">
        <f>CenAVS!C40</f>
        <v>NI</v>
      </c>
      <c r="AB14" s="165">
        <f t="shared" si="0"/>
        <v>0</v>
      </c>
      <c r="AC14" s="395">
        <f>CenAVS!F40</f>
        <v>134.60047</v>
      </c>
      <c r="AD14" s="167">
        <f t="shared" si="1"/>
        <v>0</v>
      </c>
      <c r="AE14" s="407">
        <f>$Q10*$M$15</f>
        <v>0</v>
      </c>
      <c r="AF14" s="168">
        <f>$AC14*AE14</f>
        <v>0</v>
      </c>
      <c r="AG14" s="407">
        <f>$Q21*$M$26</f>
        <v>0</v>
      </c>
      <c r="AH14" s="168">
        <f>$AC14*AG14</f>
        <v>0</v>
      </c>
      <c r="AI14" s="108"/>
      <c r="AJ14" s="108"/>
      <c r="AK14" s="720"/>
      <c r="AL14" s="137"/>
      <c r="AM14" s="137"/>
      <c r="AN14" s="137"/>
      <c r="AO14" s="137"/>
      <c r="AP14" s="37"/>
      <c r="AQ14" s="37"/>
      <c r="AR14" s="37"/>
      <c r="AS14" s="37"/>
      <c r="AT14" s="37"/>
    </row>
    <row r="15" spans="1:46" s="122" customFormat="1" ht="16.149999999999999" customHeight="1" x14ac:dyDescent="0.2">
      <c r="A15" s="37"/>
      <c r="B15" s="1055"/>
      <c r="C15" s="1055"/>
      <c r="D15" s="1053" t="str">
        <f>ListAVS!$B$79&amp;" [kg] "</f>
        <v xml:space="preserve">Obliczona waga frontu [kg] </v>
      </c>
      <c r="E15" s="1053"/>
      <c r="F15" s="1053"/>
      <c r="G15" s="1054"/>
      <c r="H15" s="259">
        <f>$T$79</f>
        <v>0</v>
      </c>
      <c r="I15" s="227" t="str">
        <f>IF(AND($H17&gt;0,$H15&gt;0,$H12=0,$M15&gt;0), $N$38," ")&amp;IF(AND(H17&gt;0, H12=0, Z77=3, $J$4=0), $N$36, " ")</f>
        <v xml:space="preserve">  </v>
      </c>
      <c r="J15" s="255"/>
      <c r="K15" s="255"/>
      <c r="L15" s="255"/>
      <c r="M15" s="315">
        <f>IF($H10*$H11*$Q15=0, 0, IF(SUM(O10:O12)=0, 0, IF(SUM(Q10:Q13)=0, 0, IF($H10&gt;1800, 0, IF($H10&lt;220, 0, IF(AND($H12=0, $H13&lt;8, H13&gt;14), 0, $H17))))))</f>
        <v>0</v>
      </c>
      <c r="N15" s="37"/>
      <c r="O15" s="37"/>
      <c r="P15" s="690" t="s">
        <v>51</v>
      </c>
      <c r="Q15" s="691">
        <f>IF(H12&gt;0,H12,H15)</f>
        <v>0</v>
      </c>
      <c r="R15" s="37">
        <f>IF(SUM(H12,H15)=0,0,IF(H12&gt;0,1,2))</f>
        <v>0</v>
      </c>
      <c r="S15" s="571" t="s">
        <v>52</v>
      </c>
      <c r="T15" s="37"/>
      <c r="U15" s="717" t="s">
        <v>79</v>
      </c>
      <c r="V15" s="927" t="str">
        <f>IF(AND(219&lt;H10,H10&lt;1801,299&lt;H11,H11&lt;581),"ano","ne")</f>
        <v>ne</v>
      </c>
      <c r="W15" s="345"/>
      <c r="X15" s="345"/>
      <c r="Y15" s="164" t="str">
        <f>CenAVS!A41</f>
        <v xml:space="preserve">ramiona 340-389 HL Top       </v>
      </c>
      <c r="Z15" s="164" t="str">
        <f>CenAVS!B41</f>
        <v>22L3500</v>
      </c>
      <c r="AA15" s="164" t="str">
        <f>CenAVS!C41</f>
        <v>NI</v>
      </c>
      <c r="AB15" s="165">
        <f t="shared" si="0"/>
        <v>0</v>
      </c>
      <c r="AC15" s="395">
        <f>CenAVS!F41</f>
        <v>137.39402999999999</v>
      </c>
      <c r="AD15" s="167">
        <f t="shared" si="1"/>
        <v>0</v>
      </c>
      <c r="AE15" s="407">
        <f>$Q11*$M$15</f>
        <v>0</v>
      </c>
      <c r="AF15" s="168">
        <f>$AC15*AE15</f>
        <v>0</v>
      </c>
      <c r="AG15" s="407">
        <f>$Q22*$M$26</f>
        <v>0</v>
      </c>
      <c r="AH15" s="168">
        <f>$AC15*AG15</f>
        <v>0</v>
      </c>
      <c r="AI15" s="108"/>
      <c r="AJ15" s="108"/>
      <c r="AK15" s="255"/>
      <c r="AL15" s="137"/>
      <c r="AM15" s="137"/>
      <c r="AN15" s="137"/>
      <c r="AO15" s="137"/>
      <c r="AP15" s="37"/>
      <c r="AQ15" s="37"/>
      <c r="AR15" s="37"/>
      <c r="AS15" s="137"/>
      <c r="AT15" s="137"/>
    </row>
    <row r="16" spans="1:46" s="122" customFormat="1" ht="16.149999999999999" customHeight="1" thickBot="1" x14ac:dyDescent="0.25">
      <c r="A16" s="37"/>
      <c r="B16" s="1011" t="str">
        <f>ListAVS!$B$29&amp;" * "</f>
        <v xml:space="preserve">Liczba ścianek środkowych * </v>
      </c>
      <c r="C16" s="1012"/>
      <c r="D16" s="1012"/>
      <c r="E16" s="1012"/>
      <c r="F16" s="1012"/>
      <c r="G16" s="1013"/>
      <c r="H16" s="435"/>
      <c r="I16" s="256"/>
      <c r="J16" s="255"/>
      <c r="K16" s="255"/>
      <c r="L16" s="255"/>
      <c r="M16" s="118"/>
      <c r="N16" s="119"/>
      <c r="O16" s="132"/>
      <c r="P16" s="132"/>
      <c r="Q16" s="119"/>
      <c r="R16" s="37"/>
      <c r="S16" s="37"/>
      <c r="T16" s="37"/>
      <c r="U16" s="717" t="s">
        <v>710</v>
      </c>
      <c r="V16" s="928" t="str">
        <f>IF(AND($H$11&gt;=$Z$44, $H$11&lt;=$AA$44, $Q$15&gt;=$AB$44, $Q$15&lt;=$AC$44), "ano", IF(AND($H$11&gt;=$Z$45, $H$11&lt;=$AA$45, $Q$15&gt;=$AB$45, $Q$15&lt;=$AC$45), "ano", IF(AND($H$11&gt;=$Z$49, $H$11&lt;=$AA$49, $Q$15&gt;=$AB$49, $Q$15&lt;=$AC$49), "ano", IF(AND($H$11&gt;=$Z$50, $H$11&lt;=$AA$50, $Q$15&gt;=$AB$50, $Q$15&lt;=$AC$50), "ano", "ne"))))</f>
        <v>ne</v>
      </c>
      <c r="W16" s="346"/>
      <c r="X16" s="346"/>
      <c r="Y16" s="164" t="str">
        <f>CenAVS!A42</f>
        <v xml:space="preserve">ramiona 390-540 HL Top       </v>
      </c>
      <c r="Z16" s="164" t="str">
        <f>CenAVS!B42</f>
        <v>22L3800</v>
      </c>
      <c r="AA16" s="164" t="str">
        <f>CenAVS!C42</f>
        <v>NI</v>
      </c>
      <c r="AB16" s="165">
        <f t="shared" si="0"/>
        <v>0</v>
      </c>
      <c r="AC16" s="395">
        <f>CenAVS!F42</f>
        <v>141.58481</v>
      </c>
      <c r="AD16" s="167">
        <f t="shared" si="1"/>
        <v>0</v>
      </c>
      <c r="AE16" s="407">
        <f>$R12*$M$15</f>
        <v>0</v>
      </c>
      <c r="AF16" s="168">
        <f>$AC16*AE16</f>
        <v>0</v>
      </c>
      <c r="AG16" s="407">
        <f>$R23*$M$26</f>
        <v>0</v>
      </c>
      <c r="AH16" s="168">
        <f>$AC16*AG16</f>
        <v>0</v>
      </c>
      <c r="AI16" s="108"/>
      <c r="AJ16" s="108"/>
      <c r="AK16" s="255"/>
      <c r="AL16" s="137"/>
      <c r="AM16" s="137"/>
      <c r="AN16" s="137"/>
      <c r="AO16" s="137"/>
      <c r="AP16" s="37"/>
      <c r="AQ16" s="37"/>
      <c r="AR16" s="37"/>
      <c r="AS16" s="137"/>
      <c r="AT16" s="137"/>
    </row>
    <row r="17" spans="1:47" s="122" customFormat="1" ht="16.149999999999999" customHeight="1" thickBot="1" x14ac:dyDescent="0.25">
      <c r="A17" s="37"/>
      <c r="B17" s="1011" t="str">
        <f>ListAVS!$B$71&amp;"  "</f>
        <v xml:space="preserve">Ilość szafek  </v>
      </c>
      <c r="C17" s="1012"/>
      <c r="D17" s="1012"/>
      <c r="E17" s="1012"/>
      <c r="F17" s="1012"/>
      <c r="G17" s="1012"/>
      <c r="H17" s="437"/>
      <c r="I17" s="256"/>
      <c r="J17" s="255"/>
      <c r="K17" s="255"/>
      <c r="L17" s="255"/>
      <c r="M17" s="118"/>
      <c r="N17" s="119"/>
      <c r="O17" s="132"/>
      <c r="P17" s="132"/>
      <c r="Q17" s="119"/>
      <c r="R17" s="37"/>
      <c r="S17" s="37"/>
      <c r="T17" s="37"/>
      <c r="U17" s="37"/>
      <c r="V17" s="344"/>
      <c r="W17" s="346"/>
      <c r="X17" s="346"/>
      <c r="Y17" s="164" t="str">
        <f>CenAVS!A43</f>
        <v xml:space="preserve">ramiona 480-580 HL Top       </v>
      </c>
      <c r="Z17" s="164" t="str">
        <f>CenAVS!B43</f>
        <v>22L3900</v>
      </c>
      <c r="AA17" s="164" t="str">
        <f>CenAVS!C43</f>
        <v>NI</v>
      </c>
      <c r="AB17" s="165">
        <f t="shared" si="0"/>
        <v>0</v>
      </c>
      <c r="AC17" s="395">
        <f>CenAVS!F43</f>
        <v>156.95116999999999</v>
      </c>
      <c r="AD17" s="167">
        <f t="shared" si="1"/>
        <v>0</v>
      </c>
      <c r="AE17" s="407">
        <f>$R13*$M$15</f>
        <v>0</v>
      </c>
      <c r="AF17" s="168">
        <f>$AC17*AE17</f>
        <v>0</v>
      </c>
      <c r="AG17" s="407">
        <f>$R24*$M$26</f>
        <v>0</v>
      </c>
      <c r="AH17" s="168">
        <f>$AC17*AG17</f>
        <v>0</v>
      </c>
      <c r="AI17" s="108"/>
      <c r="AJ17" s="108"/>
      <c r="AK17" s="37"/>
      <c r="AL17" s="137"/>
      <c r="AM17" s="137"/>
      <c r="AN17" s="137"/>
      <c r="AO17" s="137"/>
      <c r="AP17" s="37"/>
      <c r="AQ17" s="37"/>
      <c r="AR17" s="37"/>
      <c r="AS17" s="137"/>
      <c r="AT17" s="137"/>
      <c r="AU17" s="121"/>
    </row>
    <row r="18" spans="1:47" s="122" customFormat="1" ht="16.149999999999999" customHeight="1" x14ac:dyDescent="0.2">
      <c r="A18" s="37"/>
      <c r="B18" s="255" t="str">
        <f>IF(H17&gt;0,IF(OR(R15=0,M15=0), " ",IF(R15=1,$N$50,$N$51))," ")&amp;IF(H17&gt;0,IF(OR(R15=0, M15=0), " ",IF(R15=1,$N$52,$N$53))," ")</f>
        <v xml:space="preserve">  </v>
      </c>
      <c r="C18" s="227"/>
      <c r="D18" s="227"/>
      <c r="E18" s="227"/>
      <c r="F18" s="262"/>
      <c r="G18" s="262"/>
      <c r="H18" s="227"/>
      <c r="I18" s="255"/>
      <c r="J18" s="255"/>
      <c r="K18" s="255"/>
      <c r="L18" s="255"/>
      <c r="M18" s="118"/>
      <c r="N18" s="119"/>
      <c r="O18" s="132"/>
      <c r="P18" s="132"/>
      <c r="Q18" s="119"/>
      <c r="R18" s="37"/>
      <c r="S18" s="37"/>
      <c r="T18" s="37"/>
      <c r="U18" s="37"/>
      <c r="V18" s="344"/>
      <c r="W18" s="346"/>
      <c r="X18" s="346"/>
      <c r="Y18" s="164"/>
      <c r="Z18" s="164"/>
      <c r="AA18" s="164"/>
      <c r="AB18" s="165"/>
      <c r="AC18" s="395"/>
      <c r="AD18" s="167"/>
      <c r="AE18" s="407"/>
      <c r="AF18" s="168"/>
      <c r="AG18" s="407"/>
      <c r="AH18" s="168"/>
      <c r="AI18" s="108"/>
      <c r="AJ18" s="108"/>
      <c r="AK18" s="255"/>
      <c r="AL18" s="137"/>
      <c r="AM18" s="137"/>
      <c r="AN18" s="137"/>
      <c r="AO18" s="137"/>
      <c r="AP18" s="37"/>
      <c r="AQ18" s="956" t="str">
        <f>ListAVS!B387&amp;":"</f>
        <v>Zestaw ramion teleskopowych:</v>
      </c>
      <c r="AR18" s="37"/>
      <c r="AS18" s="137"/>
      <c r="AT18" s="137"/>
      <c r="AU18" s="121"/>
    </row>
    <row r="19" spans="1:47" ht="25.15" customHeight="1" thickBot="1" x14ac:dyDescent="0.25">
      <c r="B19" s="275" t="str">
        <f>IF(AND($Q$12=1, $Q$13=1, $R$12=1), ListAVS!$B$338&amp;$Y$50&amp;". "&amp;ListAVS!$B$339, IF(AND($Q$12=1, $Q$13=1, $R$13=1), ListAVS!$B$338&amp;$Y$49&amp;". "&amp;ListAVS!$B$339, " "))</f>
        <v xml:space="preserve"> </v>
      </c>
      <c r="C19" s="227"/>
      <c r="D19" s="227"/>
      <c r="E19" s="227"/>
      <c r="F19" s="262"/>
      <c r="G19" s="262"/>
      <c r="H19" s="227"/>
      <c r="I19" s="255"/>
      <c r="J19" s="255"/>
      <c r="K19" s="255"/>
      <c r="L19" s="255"/>
      <c r="M19" s="118"/>
      <c r="N19" s="119"/>
      <c r="O19" s="132"/>
      <c r="P19" s="132"/>
      <c r="Q19" s="119"/>
      <c r="V19" s="344"/>
      <c r="W19" s="346"/>
      <c r="X19" s="346"/>
      <c r="Y19" s="164" t="str">
        <f>CenAVS!A44</f>
        <v xml:space="preserve">stablizacja poprzeczna HL Top       </v>
      </c>
      <c r="Z19" s="164" t="str">
        <f>CenAVS!B44</f>
        <v>22Q1076U</v>
      </c>
      <c r="AA19" s="164" t="str">
        <f>CenAVS!C44</f>
        <v>EV</v>
      </c>
      <c r="AB19" s="165">
        <f t="shared" ref="AB19:AB27" si="2">SUM(AE19,AG19)</f>
        <v>0</v>
      </c>
      <c r="AC19" s="395">
        <f>CenAVS!F44</f>
        <v>36.874780000000001</v>
      </c>
      <c r="AD19" s="167">
        <f t="shared" ref="AD19:AD27" si="3">AB19*AC19</f>
        <v>0</v>
      </c>
      <c r="AE19" s="407">
        <f>ROUNDUP($S$14*$M$15, 0)</f>
        <v>0</v>
      </c>
      <c r="AF19" s="168">
        <f t="shared" ref="AF19:AF27" si="4">$AC19*AE19</f>
        <v>0</v>
      </c>
      <c r="AG19" s="407">
        <f>ROUNDUP($S$25*$M$26, 0)</f>
        <v>0</v>
      </c>
      <c r="AH19" s="168">
        <f t="shared" ref="AH19:AH27" si="5">$AC19*AG19</f>
        <v>0</v>
      </c>
      <c r="AI19" s="108"/>
      <c r="AJ19" s="108"/>
      <c r="AK19" s="732"/>
      <c r="AL19" s="137"/>
      <c r="AM19" s="137"/>
      <c r="AN19" s="137"/>
      <c r="AO19" s="137"/>
      <c r="AP19" s="37"/>
      <c r="AQ19" s="953" t="str">
        <f>ListAVS!B75&amp;" KH (mm)"</f>
        <v>Wysokość korpusu KH (mm)</v>
      </c>
      <c r="AR19" s="953" t="str">
        <f>ListAVS!B76&amp;" FG (kg)"</f>
        <v>Waga frontu FG (kg)</v>
      </c>
      <c r="AS19" s="953" t="str">
        <f>ListAVS!$B$387</f>
        <v>Zestaw ramion teleskopowych</v>
      </c>
    </row>
    <row r="20" spans="1:47" ht="16.149999999999999" customHeight="1" thickBot="1" x14ac:dyDescent="0.25">
      <c r="B20" s="1051" t="str">
        <f>"▼ "&amp;ListAVS!$B$318</f>
        <v>▼ Sposób otwierania</v>
      </c>
      <c r="C20" s="1052"/>
      <c r="D20" s="406" t="str">
        <f>IF($M$25&gt;0, ListAVS!$B$37&amp;": ", " ")</f>
        <v xml:space="preserve"> </v>
      </c>
      <c r="E20" s="688" t="str">
        <f>IF(SUM($AG$9:$AG$10)&gt;0, "22", IF(SUM($AG$11:$AG$12)&gt;0,"25", " "))</f>
        <v xml:space="preserve"> </v>
      </c>
      <c r="F20" s="1056" t="str">
        <f>ListAVS!$B$64&amp;" B"</f>
        <v>Korpus B</v>
      </c>
      <c r="G20" s="1057"/>
      <c r="H20" s="1058"/>
      <c r="I20" s="273"/>
      <c r="J20" s="255"/>
      <c r="K20" s="255"/>
      <c r="L20" s="255"/>
      <c r="R20" s="37" t="s">
        <v>727</v>
      </c>
      <c r="S20" s="923"/>
      <c r="T20" s="923"/>
      <c r="U20" s="737"/>
      <c r="V20" s="737"/>
      <c r="W20" s="737"/>
      <c r="X20" s="346"/>
      <c r="Y20" s="164" t="str">
        <f>CenAVS!A45</f>
        <v xml:space="preserve">przedłużka do stabilizacji poprzecznej Aventos HL Top    </v>
      </c>
      <c r="Z20" s="164" t="str">
        <f>CenAVS!B45</f>
        <v>22Q080Z</v>
      </c>
      <c r="AA20" s="164" t="str">
        <f>CenAVS!C45</f>
        <v>EV</v>
      </c>
      <c r="AB20" s="165">
        <f t="shared" si="2"/>
        <v>0</v>
      </c>
      <c r="AC20" s="395">
        <f>CenAVS!F45</f>
        <v>33.577959999999997</v>
      </c>
      <c r="AD20" s="167">
        <f t="shared" si="3"/>
        <v>0</v>
      </c>
      <c r="AE20" s="407">
        <f>IF($H$10&gt;=1228, $M$15, IF($T$14&gt;0, $T$14*$M$15, 0))</f>
        <v>0</v>
      </c>
      <c r="AF20" s="168">
        <f t="shared" si="4"/>
        <v>0</v>
      </c>
      <c r="AG20" s="407">
        <f>IF($H$21&gt;=1228, $M$26, IF($T$25&gt;0, $T$14*$M$26, 0))</f>
        <v>0</v>
      </c>
      <c r="AH20" s="168">
        <f t="shared" si="5"/>
        <v>0</v>
      </c>
      <c r="AI20" s="108"/>
      <c r="AJ20" s="108"/>
      <c r="AK20" s="255"/>
      <c r="AL20" s="137"/>
      <c r="AM20" s="137"/>
      <c r="AN20" s="137"/>
      <c r="AO20" s="137"/>
      <c r="AP20" s="37"/>
      <c r="AQ20" s="954" t="s">
        <v>750</v>
      </c>
      <c r="AR20" s="954" t="s">
        <v>775</v>
      </c>
      <c r="AS20" s="955" t="s">
        <v>717</v>
      </c>
    </row>
    <row r="21" spans="1:47" ht="16.149999999999999" customHeight="1" x14ac:dyDescent="0.2">
      <c r="B21" s="1011" t="str">
        <f>ListAVS!$B$74&amp;" KB [mm] "</f>
        <v xml:space="preserve">Szerokość korpusu KB [mm] </v>
      </c>
      <c r="C21" s="1012"/>
      <c r="D21" s="1012"/>
      <c r="E21" s="1012"/>
      <c r="F21" s="1012"/>
      <c r="G21" s="1013"/>
      <c r="H21" s="435"/>
      <c r="I21" s="256" t="str">
        <f>IF($H21=0," ",IF($H21&lt;220," min. 220mm",IF($H21&gt;1800," max. 1 800mm"," ")))&amp;IF(AND(H28&gt;0,H21=0),"● "&amp;ListAVS!$B$129," ")</f>
        <v xml:space="preserve">  </v>
      </c>
      <c r="J21" s="255"/>
      <c r="K21" s="255"/>
      <c r="L21" s="255"/>
      <c r="N21" s="929" t="s">
        <v>726</v>
      </c>
      <c r="O21" s="929">
        <f>IF(AND($H$22&gt;=$Z$44, $H$22&lt;=$AA$45), 1, 0)</f>
        <v>0</v>
      </c>
      <c r="P21" s="929" t="s">
        <v>35</v>
      </c>
      <c r="Q21" s="929">
        <f>IF(AND($H$22&gt;=$Z$44, $H$22&lt;=$AA$44, Q$26&gt;=$AB$44, $Q$26&lt;=$AC$44), 1, 0)</f>
        <v>0</v>
      </c>
      <c r="R21" s="344"/>
      <c r="S21" s="344"/>
      <c r="T21" s="344"/>
      <c r="U21" s="344"/>
      <c r="V21" s="344"/>
      <c r="W21" s="714"/>
      <c r="X21" s="737"/>
      <c r="Y21" s="164"/>
      <c r="Z21" s="164"/>
      <c r="AA21" s="164"/>
      <c r="AB21" s="165"/>
      <c r="AC21" s="395"/>
      <c r="AD21" s="167"/>
      <c r="AE21" s="407"/>
      <c r="AF21" s="168">
        <f t="shared" si="4"/>
        <v>0</v>
      </c>
      <c r="AG21" s="407"/>
      <c r="AH21" s="168">
        <f t="shared" si="5"/>
        <v>0</v>
      </c>
      <c r="AI21" s="108"/>
      <c r="AJ21" s="108"/>
      <c r="AK21" s="255"/>
      <c r="AL21" s="137"/>
      <c r="AM21" s="137"/>
      <c r="AN21" s="137"/>
      <c r="AO21" s="137"/>
      <c r="AP21" s="37"/>
      <c r="AQ21" s="954" t="s">
        <v>749</v>
      </c>
      <c r="AR21" s="954" t="s">
        <v>777</v>
      </c>
      <c r="AS21" s="955" t="s">
        <v>718</v>
      </c>
    </row>
    <row r="22" spans="1:47" ht="16.149999999999999" customHeight="1" x14ac:dyDescent="0.2">
      <c r="B22" s="1011" t="str">
        <f>ListAVS!$B$75&amp;" KH [mm] "</f>
        <v xml:space="preserve">Wysokość korpusu KH [mm] </v>
      </c>
      <c r="C22" s="1012"/>
      <c r="D22" s="1012"/>
      <c r="E22" s="1012"/>
      <c r="F22" s="1012"/>
      <c r="G22" s="1013"/>
      <c r="H22" s="435"/>
      <c r="I22" s="256" t="str">
        <f>IF($H22=0," ",IF($H22&lt;300," min. 300mm",IF($H22&gt;580," max. 580 mm"," ")))&amp;IF(H28&gt;0,IF(H22=0,"● "&amp;ListAVS!$B$129," ")," ")</f>
        <v xml:space="preserve">  </v>
      </c>
      <c r="J22" s="255"/>
      <c r="K22" s="255"/>
      <c r="L22" s="255"/>
      <c r="N22" s="906"/>
      <c r="O22" s="906"/>
      <c r="P22" s="929" t="s">
        <v>41</v>
      </c>
      <c r="Q22" s="929">
        <f>IF(AND($H$22&gt;=$Z$45, $H$22&lt;=$AA$45, Q$26&gt;=$AB$45, $Q$26&lt;=$AC$45), 1, 0)</f>
        <v>0</v>
      </c>
      <c r="R22" s="344"/>
      <c r="S22" s="344"/>
      <c r="T22" s="344"/>
      <c r="U22" s="344"/>
      <c r="V22" s="344"/>
      <c r="W22" s="344"/>
      <c r="X22" s="714"/>
      <c r="Y22" s="164" t="str">
        <f>CenAVS!A47</f>
        <v xml:space="preserve">Zaślepki HF/HL/HS - Top bez SD jasnoszare HGR   </v>
      </c>
      <c r="Z22" s="164" t="str">
        <f>CenAVS!B47</f>
        <v>22.8000</v>
      </c>
      <c r="AA22" s="164" t="str">
        <f>CenAVS!C47</f>
        <v>HGR</v>
      </c>
      <c r="AB22" s="165">
        <f t="shared" si="2"/>
        <v>0</v>
      </c>
      <c r="AC22" s="395">
        <f>CenAVS!F47</f>
        <v>27.586120000000001</v>
      </c>
      <c r="AD22" s="167">
        <f t="shared" si="3"/>
        <v>0</v>
      </c>
      <c r="AE22" s="407">
        <f>IF(AND($T$45=1, $R$14=1), SUM($AE$9:$AE$12), 0)</f>
        <v>0</v>
      </c>
      <c r="AF22" s="168">
        <f t="shared" si="4"/>
        <v>0</v>
      </c>
      <c r="AG22" s="407">
        <f>IF(AND($T$45=1, $R$25=1), SUM($AG$9:$AG$12), 0)</f>
        <v>0</v>
      </c>
      <c r="AH22" s="168">
        <f t="shared" si="5"/>
        <v>0</v>
      </c>
      <c r="AI22" s="108"/>
      <c r="AJ22" s="108"/>
      <c r="AK22" s="255"/>
      <c r="AL22" s="137"/>
      <c r="AM22" s="137"/>
      <c r="AN22" s="137"/>
      <c r="AO22" s="137"/>
      <c r="AP22" s="37"/>
      <c r="AQ22" s="954" t="s">
        <v>751</v>
      </c>
      <c r="AR22" s="954" t="s">
        <v>776</v>
      </c>
      <c r="AS22" s="955" t="s">
        <v>720</v>
      </c>
      <c r="AT22" s="137"/>
    </row>
    <row r="23" spans="1:47" ht="16.149999999999999" customHeight="1" x14ac:dyDescent="0.2">
      <c r="B23" s="1011" t="str">
        <f>ListAVS!$B$77&amp;" [kg] ** "</f>
        <v xml:space="preserve">Waga frontu wraz z uchwytem [kg] ** </v>
      </c>
      <c r="C23" s="1012"/>
      <c r="D23" s="1012"/>
      <c r="E23" s="1012"/>
      <c r="F23" s="1012"/>
      <c r="G23" s="1013"/>
      <c r="H23" s="258"/>
      <c r="I23" s="227" t="str">
        <f>IF($H28=0," ",IF(SUM($H23,$H26)=0,$N$37," "))&amp;IF(AND(SUM($O$21:$O$25)=1,$V27="ne",H23&gt;0),$N$41,IF(AND($H28&gt;0,$H23&gt;0,V$27="ano"),$N$38," "))</f>
        <v xml:space="preserve">  </v>
      </c>
      <c r="J23" s="255"/>
      <c r="K23" s="255"/>
      <c r="L23" s="255"/>
      <c r="N23" s="929" t="s">
        <v>87</v>
      </c>
      <c r="O23" s="929">
        <f>IF(AND($H$22&gt;=$Z$49, $H$22&lt;=$AA$50), 1, 0)</f>
        <v>0</v>
      </c>
      <c r="P23" s="929" t="s">
        <v>45</v>
      </c>
      <c r="Q23" s="929">
        <f>IF(AND($H$22&gt;=$Z$49, $H$22&lt;=$AA$49, Q$26&gt;=$AB$49, $Q$26&lt;=$AC$49), 1, 0)</f>
        <v>0</v>
      </c>
      <c r="R23" s="906">
        <f>IF(AND($Q$23=1, $Q$24=1, $H$11&lt;=$AD$49), 1, IF(AND($Q23=1, $Q24=0), $Q23, 0))</f>
        <v>0</v>
      </c>
      <c r="T23" s="344"/>
      <c r="U23" s="344"/>
      <c r="V23" s="344"/>
      <c r="W23" s="344"/>
      <c r="X23" s="344"/>
      <c r="Y23" s="164" t="str">
        <f>CenAVS!A48</f>
        <v xml:space="preserve">zaślepki HF/HL/HS - Top bez SD ciemnoszare TGR   </v>
      </c>
      <c r="Z23" s="164" t="str">
        <f>CenAVS!B48</f>
        <v>22.8000</v>
      </c>
      <c r="AA23" s="164" t="str">
        <f>CenAVS!C48</f>
        <v>TGR</v>
      </c>
      <c r="AB23" s="165">
        <f t="shared" si="2"/>
        <v>0</v>
      </c>
      <c r="AC23" s="395">
        <f>CenAVS!F48</f>
        <v>30.106369999999998</v>
      </c>
      <c r="AD23" s="167">
        <f t="shared" si="3"/>
        <v>0</v>
      </c>
      <c r="AE23" s="407">
        <f>IF(AND($T$45=2, $R$14=1), SUM($AE$9:$AE$12), 0)</f>
        <v>0</v>
      </c>
      <c r="AF23" s="168">
        <f t="shared" si="4"/>
        <v>0</v>
      </c>
      <c r="AG23" s="407">
        <f>IF(AND($T$45=2, $R$25=1), SUM($AG$9:$AG$12), 0)</f>
        <v>0</v>
      </c>
      <c r="AH23" s="168">
        <f t="shared" si="5"/>
        <v>0</v>
      </c>
      <c r="AI23" s="108"/>
      <c r="AJ23" s="108"/>
      <c r="AK23" s="255"/>
      <c r="AL23" s="137"/>
      <c r="AM23" s="37"/>
      <c r="AN23" s="37"/>
      <c r="AO23" s="37"/>
      <c r="AP23" s="37"/>
      <c r="AQ23" s="954" t="s">
        <v>752</v>
      </c>
      <c r="AR23" s="954" t="s">
        <v>778</v>
      </c>
      <c r="AS23" s="955" t="s">
        <v>721</v>
      </c>
      <c r="AT23" s="137"/>
    </row>
    <row r="24" spans="1:47" ht="16.149999999999999" customHeight="1" x14ac:dyDescent="0.2">
      <c r="B24" s="1055" t="str">
        <f>ListAVS!$B$293</f>
        <v>Obliczenie wagi</v>
      </c>
      <c r="C24" s="1055"/>
      <c r="D24" s="1053" t="str">
        <f>ListAVS!$B$80&amp;" TS [mm] "</f>
        <v xml:space="preserve">Grubość frontu TS [mm] </v>
      </c>
      <c r="E24" s="1053"/>
      <c r="F24" s="1053"/>
      <c r="G24" s="1054"/>
      <c r="H24" s="258"/>
      <c r="I24" s="256" t="str">
        <f>IF(H28=0," ",IF(AND(H23=0, H24=0)," ● "&amp;ListAVS!$B$129," "))&amp;IF(H28=0," ",IF(AND(H23=0, H24&lt;8), " min. 8 mm", IF(AND(H23=0, H24&gt;14), " max. 14 mm", " ")))</f>
        <v xml:space="preserve">  </v>
      </c>
      <c r="J24" s="255"/>
      <c r="K24" s="255"/>
      <c r="L24" s="255"/>
      <c r="N24" s="906"/>
      <c r="O24" s="906"/>
      <c r="P24" s="929" t="s">
        <v>48</v>
      </c>
      <c r="Q24" s="929">
        <f>IF(AND($H$22&gt;=$Z$50, $H$22&lt;=$AA$50, Q$26&gt;=$AB$50, $Q$26&lt;=$AC$50), 1, 0)</f>
        <v>0</v>
      </c>
      <c r="R24" s="906">
        <v>1</v>
      </c>
      <c r="S24" s="930" t="s">
        <v>81</v>
      </c>
      <c r="T24" s="931" t="s">
        <v>82</v>
      </c>
      <c r="U24" s="344"/>
      <c r="V24" s="344"/>
      <c r="W24" s="344"/>
      <c r="X24" s="344"/>
      <c r="Y24" s="164" t="str">
        <f>CenAVS!A49</f>
        <v xml:space="preserve">Zaślepki HF/HL/HS - Top bez SD białe SW   </v>
      </c>
      <c r="Z24" s="164" t="str">
        <f>CenAVS!B49</f>
        <v>22.8000</v>
      </c>
      <c r="AA24" s="164" t="str">
        <f>CenAVS!C49</f>
        <v>SW</v>
      </c>
      <c r="AB24" s="165">
        <f t="shared" si="2"/>
        <v>0</v>
      </c>
      <c r="AC24" s="395">
        <f>CenAVS!F49</f>
        <v>30.106369999999998</v>
      </c>
      <c r="AD24" s="167">
        <f t="shared" si="3"/>
        <v>0</v>
      </c>
      <c r="AE24" s="407">
        <f>IF(AND($T$45=3, $R$14=1), SUM($AE$9:$AE$12), 0)</f>
        <v>0</v>
      </c>
      <c r="AF24" s="168">
        <f t="shared" si="4"/>
        <v>0</v>
      </c>
      <c r="AG24" s="407">
        <f>IF(AND($T$45=3, $R$25=1), SUM($AG$9:$AG$12), 0)</f>
        <v>0</v>
      </c>
      <c r="AH24" s="168">
        <f t="shared" si="5"/>
        <v>0</v>
      </c>
      <c r="AI24" s="108"/>
      <c r="AJ24" s="108"/>
      <c r="AK24" s="137"/>
      <c r="AL24" s="37"/>
      <c r="AM24" s="137"/>
      <c r="AN24" s="137"/>
      <c r="AO24" s="137"/>
      <c r="AP24" s="137"/>
      <c r="AQ24" s="37"/>
      <c r="AR24" s="37"/>
      <c r="AS24" s="137"/>
      <c r="AT24" s="137"/>
    </row>
    <row r="25" spans="1:47" ht="16.149999999999999" customHeight="1" x14ac:dyDescent="0.2">
      <c r="B25" s="1055"/>
      <c r="C25" s="1055"/>
      <c r="D25" s="1053" t="str">
        <f>ListAVS!$B$83&amp;" [kg] "</f>
        <v xml:space="preserve">Waga uchwytu [kg] </v>
      </c>
      <c r="E25" s="1053"/>
      <c r="F25" s="1053"/>
      <c r="G25" s="1054"/>
      <c r="H25" s="258"/>
      <c r="I25" s="256" t="str">
        <f>IF(H28=0, " ", IF(AND(H23=0, R25=1, H25=0), " ● "&amp;ListAVS!$B$130," "))</f>
        <v xml:space="preserve"> </v>
      </c>
      <c r="J25" s="255"/>
      <c r="K25" s="255"/>
      <c r="L25" s="255"/>
      <c r="M25" s="118"/>
      <c r="N25" s="317"/>
      <c r="O25" s="344"/>
      <c r="P25" s="1171"/>
      <c r="Q25" s="1172"/>
      <c r="R25" s="934">
        <v>1</v>
      </c>
      <c r="S25" s="932">
        <f>IF($H$21&gt;1360,2, IF($H$10&lt;610,0.5,1))</f>
        <v>0.5</v>
      </c>
      <c r="T25" s="933">
        <f>H27</f>
        <v>0</v>
      </c>
      <c r="X25" s="344"/>
      <c r="Y25" s="164" t="str">
        <f>CenAVS!A50</f>
        <v xml:space="preserve">zaślepki HF/HL/HS - Top do SD jasnoszare HGR   </v>
      </c>
      <c r="Z25" s="164" t="str">
        <f>CenAVS!B50</f>
        <v>23.8000</v>
      </c>
      <c r="AA25" s="164" t="str">
        <f>CenAVS!C50</f>
        <v>HGR</v>
      </c>
      <c r="AB25" s="165">
        <f t="shared" si="2"/>
        <v>0</v>
      </c>
      <c r="AC25" s="395">
        <f>CenAVS!F50</f>
        <v>284.41748999999999</v>
      </c>
      <c r="AD25" s="167">
        <f t="shared" si="3"/>
        <v>0</v>
      </c>
      <c r="AE25" s="407">
        <f>IF(AND($T$45=1, $R$14=2), SUM($AE$9:$AE$12), 0)</f>
        <v>0</v>
      </c>
      <c r="AF25" s="168">
        <f t="shared" si="4"/>
        <v>0</v>
      </c>
      <c r="AG25" s="407">
        <f>IF(AND($T$45=1, $R$25=2), SUM($AG$9:$AG$12), 0)</f>
        <v>0</v>
      </c>
      <c r="AH25" s="168">
        <f t="shared" si="5"/>
        <v>0</v>
      </c>
      <c r="AI25" s="108"/>
      <c r="AJ25" s="108"/>
      <c r="AK25" s="137"/>
      <c r="AL25" s="137"/>
      <c r="AM25" s="137"/>
      <c r="AN25" s="137"/>
      <c r="AO25" s="137"/>
      <c r="AP25" s="137"/>
      <c r="AQ25" s="37"/>
      <c r="AR25" s="37"/>
      <c r="AS25" s="137"/>
      <c r="AT25" s="137"/>
    </row>
    <row r="26" spans="1:47" ht="16.149999999999999" customHeight="1" x14ac:dyDescent="0.2">
      <c r="B26" s="1055"/>
      <c r="C26" s="1055"/>
      <c r="D26" s="1053" t="str">
        <f>ListAVS!$B$79&amp;" [kg] "</f>
        <v xml:space="preserve">Obliczona waga frontu [kg] </v>
      </c>
      <c r="E26" s="1053"/>
      <c r="F26" s="1053"/>
      <c r="G26" s="1054"/>
      <c r="H26" s="259">
        <f>$T$90</f>
        <v>0</v>
      </c>
      <c r="I26" s="227" t="str">
        <f>IF(AND($H28&gt;0,$H26&gt;0,$H23=0,$M26&gt;0), $N$38," ")&amp;IF(AND(H28&gt;0, H23=0, Z88=3, $J$4=0), $N$36, " ")</f>
        <v xml:space="preserve">  </v>
      </c>
      <c r="J26" s="255"/>
      <c r="K26" s="255"/>
      <c r="L26" s="255"/>
      <c r="M26" s="315">
        <f>IF($H21*$H22*$Q26=0, 0, IF(SUM(O21:O23)=0, 0, IF(SUM(Q21:Q24)=0, 0, IF($H21&gt;1800, 0, IF($H21&lt;220, 0, IF(AND($H23=0, $H24&lt;8, H24&gt;14), 0, $H28))))))</f>
        <v>0</v>
      </c>
      <c r="P26" s="690" t="s">
        <v>51</v>
      </c>
      <c r="Q26" s="691">
        <f>IF(H23&gt;0,H23,H26)</f>
        <v>0</v>
      </c>
      <c r="R26" s="37">
        <f>IF(SUM(H23,H26)=0,0,IF(H23&gt;0,1,2))</f>
        <v>0</v>
      </c>
      <c r="S26" s="571" t="s">
        <v>52</v>
      </c>
      <c r="U26" s="717" t="s">
        <v>79</v>
      </c>
      <c r="V26" s="927" t="str">
        <f>IF(AND(219&lt;H21,H21&lt;1801,299&lt;H22,H22&lt;581),"ano","ne")</f>
        <v>ne</v>
      </c>
      <c r="W26" s="346"/>
      <c r="Y26" s="164" t="str">
        <f>CenAVS!A51</f>
        <v xml:space="preserve">Zaślepki HF/HL/HS - Top do SD ciemnoszare TGR   </v>
      </c>
      <c r="Z26" s="164" t="str">
        <f>CenAVS!B51</f>
        <v>23.8000</v>
      </c>
      <c r="AA26" s="164" t="str">
        <f>CenAVS!C51</f>
        <v>TGR</v>
      </c>
      <c r="AB26" s="165">
        <f t="shared" si="2"/>
        <v>0</v>
      </c>
      <c r="AC26" s="395">
        <f>CenAVS!F51</f>
        <v>295.60313000000002</v>
      </c>
      <c r="AD26" s="167">
        <f t="shared" si="3"/>
        <v>0</v>
      </c>
      <c r="AE26" s="407">
        <f>IF(AND($T$45=2, $R$14=2), SUM($AE$9:$AE$12), 0)</f>
        <v>0</v>
      </c>
      <c r="AF26" s="168">
        <f t="shared" si="4"/>
        <v>0</v>
      </c>
      <c r="AG26" s="407">
        <f>IF(AND($T$45=2, $R$25=2), SUM($AG$9:$AG$12), 0)</f>
        <v>0</v>
      </c>
      <c r="AH26" s="168">
        <f t="shared" si="5"/>
        <v>0</v>
      </c>
      <c r="AI26" s="108"/>
      <c r="AJ26" s="108"/>
      <c r="AK26" s="108"/>
      <c r="AL26" s="137"/>
      <c r="AM26" s="137"/>
      <c r="AN26" s="137"/>
      <c r="AO26" s="137"/>
      <c r="AP26" s="137"/>
      <c r="AQ26" s="37"/>
      <c r="AR26" s="37"/>
      <c r="AS26" s="137"/>
      <c r="AT26" s="137"/>
    </row>
    <row r="27" spans="1:47" ht="16.149999999999999" customHeight="1" thickBot="1" x14ac:dyDescent="0.25">
      <c r="B27" s="1011" t="str">
        <f>ListAVS!$B$29&amp;" * "</f>
        <v xml:space="preserve">Liczba ścianek środkowych * </v>
      </c>
      <c r="C27" s="1012"/>
      <c r="D27" s="1012"/>
      <c r="E27" s="1012"/>
      <c r="F27" s="1012"/>
      <c r="G27" s="1013"/>
      <c r="H27" s="435"/>
      <c r="I27" s="256"/>
      <c r="J27" s="255"/>
      <c r="K27" s="248"/>
      <c r="L27" s="255"/>
      <c r="N27" s="137"/>
      <c r="O27" s="137"/>
      <c r="P27" s="137"/>
      <c r="Q27" s="137"/>
      <c r="T27" s="346"/>
      <c r="U27" s="717" t="s">
        <v>710</v>
      </c>
      <c r="V27" s="928" t="str">
        <f>IF(AND($H$22&gt;=$Z$44, $H$22&lt;=$AA$44, $Q$26&gt;=$AB$44, $Q$26&lt;=$AC$44), "ano", IF(AND($H$22&gt;=$Z$45, $H$22&lt;=$AA$45, $Q$26&gt;=$AB$45, $Q$26&lt;=$AC$45), "ano", IF(AND($H$22&gt;=$Z$49, $H$22&lt;=$AA$49, $Q$26&gt;=$AB$49, $Q$26&lt;=$AC$49), "ano", IF(AND($H$22&gt;=$Z$50, $H$22&lt;=$AA$50, $Q$26&gt;=$AB$50, $Q$26&lt;=$AC$50), "ano", "ne"))))</f>
        <v>ne</v>
      </c>
      <c r="W27" s="345"/>
      <c r="X27" s="346"/>
      <c r="Y27" s="164" t="str">
        <f>CenAVS!A52</f>
        <v xml:space="preserve">Zaślepki HF/HL/HS - Top do SD białe SW   </v>
      </c>
      <c r="Z27" s="164" t="str">
        <f>CenAVS!B52</f>
        <v>23.8000</v>
      </c>
      <c r="AA27" s="164" t="str">
        <f>CenAVS!C52</f>
        <v>SW</v>
      </c>
      <c r="AB27" s="165">
        <f t="shared" si="2"/>
        <v>0</v>
      </c>
      <c r="AC27" s="395">
        <f>CenAVS!F52</f>
        <v>295.60313000000002</v>
      </c>
      <c r="AD27" s="167">
        <f t="shared" si="3"/>
        <v>0</v>
      </c>
      <c r="AE27" s="407">
        <f>IF(AND($T$45=3, $R$14=2), SUM($AE$9:$AE$12), 0)</f>
        <v>0</v>
      </c>
      <c r="AF27" s="168">
        <f t="shared" si="4"/>
        <v>0</v>
      </c>
      <c r="AG27" s="407">
        <f>IF(AND($T$45=3, $R$25=2), SUM($AG$9:$AG$12), 0)</f>
        <v>0</v>
      </c>
      <c r="AH27" s="168">
        <f t="shared" si="5"/>
        <v>0</v>
      </c>
      <c r="AI27" s="108"/>
      <c r="AJ27" s="108"/>
      <c r="AK27" s="693"/>
      <c r="AL27" s="137"/>
      <c r="AM27" s="137"/>
      <c r="AN27" s="137"/>
      <c r="AO27" s="137"/>
      <c r="AP27" s="137"/>
      <c r="AQ27" s="37"/>
      <c r="AR27" s="37"/>
      <c r="AS27" s="137"/>
      <c r="AT27" s="137"/>
    </row>
    <row r="28" spans="1:47" ht="16.149999999999999" customHeight="1" thickBot="1" x14ac:dyDescent="0.25">
      <c r="B28" s="1011" t="str">
        <f>ListAVS!$B$71&amp;"  "</f>
        <v xml:space="preserve">Ilość szafek  </v>
      </c>
      <c r="C28" s="1012"/>
      <c r="D28" s="1012"/>
      <c r="E28" s="1012"/>
      <c r="F28" s="1012"/>
      <c r="G28" s="1012"/>
      <c r="H28" s="437"/>
      <c r="I28" s="256"/>
      <c r="J28" s="264"/>
      <c r="K28" s="396"/>
      <c r="L28" s="265"/>
      <c r="O28" s="138">
        <f>IF($P$28=FALSE,2,1)</f>
        <v>2</v>
      </c>
      <c r="P28" s="1063" t="b">
        <v>0</v>
      </c>
      <c r="Q28" s="1064"/>
      <c r="R28" s="139" t="s">
        <v>56</v>
      </c>
      <c r="S28" s="140"/>
      <c r="T28" s="129"/>
      <c r="U28" s="127"/>
      <c r="V28" s="133"/>
      <c r="X28" s="345"/>
      <c r="Y28" s="164"/>
      <c r="Z28" s="164"/>
      <c r="AA28" s="301"/>
      <c r="AB28" s="165"/>
      <c r="AC28" s="395"/>
      <c r="AD28" s="167"/>
      <c r="AE28" s="408"/>
      <c r="AF28" s="168"/>
      <c r="AG28" s="408"/>
      <c r="AH28" s="168"/>
      <c r="AI28" s="108"/>
      <c r="AJ28" s="108"/>
      <c r="AK28" s="693"/>
      <c r="AL28" s="137"/>
      <c r="AM28" s="137"/>
      <c r="AN28" s="137"/>
      <c r="AO28" s="137"/>
      <c r="AP28" s="137"/>
      <c r="AQ28" s="37"/>
      <c r="AR28" s="37"/>
      <c r="AS28" s="137"/>
      <c r="AT28" s="137"/>
    </row>
    <row r="29" spans="1:47" ht="16.149999999999999" customHeight="1" x14ac:dyDescent="0.2">
      <c r="A29" s="137"/>
      <c r="B29" s="255" t="str">
        <f>IF(H28&gt;0,IF(OR(R25=0,M25=0), " ",IF(R25=1,$N$50,$N$51))," ")&amp;IF(H28&gt;0,IF(OR(R25=0, M25=0), " ",IF(R25=1,$N$52,$N$53))," ")</f>
        <v xml:space="preserve">  </v>
      </c>
      <c r="C29" s="227"/>
      <c r="D29" s="227"/>
      <c r="E29" s="227"/>
      <c r="F29" s="227"/>
      <c r="G29" s="227"/>
      <c r="H29" s="256"/>
      <c r="I29" s="256"/>
      <c r="J29" s="266"/>
      <c r="K29" s="266"/>
      <c r="L29" s="266"/>
      <c r="T29" s="129"/>
      <c r="U29" s="119"/>
      <c r="V29" s="134"/>
      <c r="Y29" s="164"/>
      <c r="Z29" s="164"/>
      <c r="AA29" s="301"/>
      <c r="AB29" s="165"/>
      <c r="AC29" s="395"/>
      <c r="AD29" s="167"/>
      <c r="AE29" s="408"/>
      <c r="AF29" s="168"/>
      <c r="AG29" s="408"/>
      <c r="AH29" s="168"/>
      <c r="AI29" s="108"/>
      <c r="AJ29" s="108"/>
      <c r="AK29" s="693"/>
      <c r="AL29" s="137"/>
      <c r="AM29" s="137"/>
      <c r="AN29" s="137"/>
      <c r="AO29" s="137"/>
      <c r="AP29" s="137"/>
      <c r="AQ29" s="37"/>
      <c r="AR29" s="37"/>
      <c r="AS29" s="137"/>
      <c r="AT29" s="137"/>
    </row>
    <row r="30" spans="1:47" ht="16.149999999999999" customHeight="1" x14ac:dyDescent="0.2">
      <c r="B30" s="275" t="str">
        <f>IF(AND($Q$23=1, $Q$24=1, $R$23=1), ListAVS!$B$338&amp;$Y$50&amp;". "&amp;ListAVS!$B$339, IF(AND($Q$23=1, $Q$24=1, $R$24=1), ListAVS!$B$338&amp;$Y$49&amp;". "&amp;ListAVS!$B$339, " "))</f>
        <v xml:space="preserve"> </v>
      </c>
      <c r="C30" s="268"/>
      <c r="D30" s="267"/>
      <c r="E30" s="267"/>
      <c r="F30" s="269"/>
      <c r="G30" s="269"/>
      <c r="H30" s="267"/>
      <c r="I30" s="270"/>
      <c r="J30" s="264"/>
      <c r="K30" s="249"/>
      <c r="L30" s="265"/>
      <c r="T30" s="129"/>
      <c r="U30" s="585"/>
      <c r="V30" s="585"/>
      <c r="W30" s="129"/>
      <c r="Y30" s="164"/>
      <c r="Z30" s="164"/>
      <c r="AA30" s="301"/>
      <c r="AB30" s="165"/>
      <c r="AC30" s="395"/>
      <c r="AD30" s="167"/>
      <c r="AE30" s="407"/>
      <c r="AF30" s="168"/>
      <c r="AG30" s="407"/>
      <c r="AH30" s="168"/>
      <c r="AI30" s="108"/>
      <c r="AJ30" s="108"/>
      <c r="AK30" s="108"/>
      <c r="AL30" s="137"/>
      <c r="AM30" s="137"/>
      <c r="AN30" s="137"/>
      <c r="AO30" s="137"/>
      <c r="AP30" s="137"/>
      <c r="AQ30" s="37"/>
      <c r="AR30" s="37"/>
      <c r="AS30" s="137"/>
      <c r="AT30" s="137"/>
    </row>
    <row r="31" spans="1:47" ht="16.149999999999999" customHeight="1" x14ac:dyDescent="0.2">
      <c r="B31" s="1109" t="str">
        <f>IF(OR(AND($R$14=2, $M$15&gt;0), AND($R$24=2, $M$25&gt;0)), ListAVS!$B$176, " ")</f>
        <v xml:space="preserve"> </v>
      </c>
      <c r="C31" s="1109"/>
      <c r="D31" s="1109"/>
      <c r="E31" s="1109"/>
      <c r="F31" s="1109"/>
      <c r="G31" s="1109"/>
      <c r="H31" s="1109"/>
      <c r="I31" s="1109"/>
      <c r="J31" s="1109"/>
      <c r="K31" s="271"/>
      <c r="L31" s="271"/>
      <c r="W31" s="129"/>
      <c r="X31" s="129"/>
      <c r="Y31" s="164"/>
      <c r="Z31" s="164"/>
      <c r="AA31" s="301"/>
      <c r="AB31" s="165"/>
      <c r="AC31" s="395"/>
      <c r="AD31" s="167"/>
      <c r="AE31" s="407"/>
      <c r="AF31" s="168"/>
      <c r="AG31" s="407"/>
      <c r="AH31" s="168"/>
      <c r="AI31" s="108"/>
      <c r="AJ31" s="108"/>
      <c r="AK31" s="710"/>
      <c r="AL31" s="137"/>
      <c r="AM31" s="137"/>
      <c r="AN31" s="137"/>
      <c r="AO31" s="137"/>
      <c r="AP31" s="137"/>
      <c r="AQ31" s="37"/>
      <c r="AR31" s="37"/>
      <c r="AS31" s="137"/>
      <c r="AT31" s="137"/>
    </row>
    <row r="32" spans="1:47" ht="16.149999999999999" customHeight="1" x14ac:dyDescent="0.2">
      <c r="B32" s="1109"/>
      <c r="C32" s="1109"/>
      <c r="D32" s="1109"/>
      <c r="E32" s="1109"/>
      <c r="F32" s="1109"/>
      <c r="G32" s="1109"/>
      <c r="H32" s="1109"/>
      <c r="I32" s="1109"/>
      <c r="J32" s="1109"/>
      <c r="K32" s="271"/>
      <c r="L32" s="271"/>
      <c r="W32" s="129"/>
      <c r="X32" s="129"/>
      <c r="Y32" s="164" t="str">
        <f>CenAVS!A78</f>
        <v xml:space="preserve">mocowanie frontu do HK Top, HS/Top, HL/Top    </v>
      </c>
      <c r="Z32" s="164" t="str">
        <f>CenAVS!B78</f>
        <v>20S4200</v>
      </c>
      <c r="AA32" s="301" t="str">
        <f>CenAVS!C78</f>
        <v>NI</v>
      </c>
      <c r="AB32" s="165">
        <f>SUM(AE32,AG32)</f>
        <v>0</v>
      </c>
      <c r="AC32" s="395">
        <f>CenAVS!F78</f>
        <v>9.9925899999999999</v>
      </c>
      <c r="AD32" s="167">
        <f>AB32*AC32</f>
        <v>0</v>
      </c>
      <c r="AE32" s="407"/>
      <c r="AF32" s="168">
        <f>$AC32*AE32</f>
        <v>0</v>
      </c>
      <c r="AG32" s="407"/>
      <c r="AH32" s="168">
        <f>$AC32*AG32</f>
        <v>0</v>
      </c>
      <c r="AI32" s="108"/>
      <c r="AJ32" s="108"/>
      <c r="AK32" s="108"/>
      <c r="AL32" s="137"/>
      <c r="AM32" s="137"/>
      <c r="AN32" s="137"/>
      <c r="AO32" s="137"/>
      <c r="AP32" s="137"/>
      <c r="AQ32" s="37"/>
      <c r="AR32" s="37"/>
      <c r="AS32" s="137"/>
      <c r="AT32" s="137"/>
    </row>
    <row r="33" spans="2:47" ht="16.149999999999999" customHeight="1" x14ac:dyDescent="0.2">
      <c r="B33" s="1109"/>
      <c r="C33" s="1109"/>
      <c r="D33" s="1109"/>
      <c r="E33" s="1109"/>
      <c r="F33" s="1109"/>
      <c r="G33" s="1109"/>
      <c r="H33" s="1109"/>
      <c r="I33" s="1109"/>
      <c r="J33" s="1109"/>
      <c r="K33" s="266"/>
      <c r="L33" s="255"/>
      <c r="W33" s="585"/>
      <c r="X33" s="585"/>
      <c r="Y33" s="164" t="str">
        <f>CenAVS!A79</f>
        <v xml:space="preserve">mocowanie frontu HS, HK top, HL Expando    </v>
      </c>
      <c r="Z33" s="164" t="str">
        <f>CenAVS!B79</f>
        <v>20S42E1</v>
      </c>
      <c r="AA33" s="301" t="str">
        <f>CenAVS!C79</f>
        <v>NI</v>
      </c>
      <c r="AB33" s="165">
        <f>SUM(AE33,AG33)</f>
        <v>0</v>
      </c>
      <c r="AC33" s="395">
        <f>CenAVS!F79</f>
        <v>6.2138699999999991</v>
      </c>
      <c r="AD33" s="167">
        <f>AB33*AC33</f>
        <v>0</v>
      </c>
      <c r="AE33" s="407"/>
      <c r="AF33" s="168">
        <f>$AC33*AE33</f>
        <v>0</v>
      </c>
      <c r="AG33" s="407"/>
      <c r="AH33" s="168">
        <f>$AC33*AG33</f>
        <v>0</v>
      </c>
      <c r="AI33" s="108"/>
      <c r="AJ33" s="108"/>
      <c r="AK33" s="108"/>
      <c r="AL33" s="137"/>
      <c r="AM33" s="137"/>
      <c r="AN33" s="137"/>
      <c r="AO33" s="137"/>
      <c r="AP33" s="137"/>
      <c r="AQ33" s="37"/>
      <c r="AR33" s="37"/>
      <c r="AS33" s="137"/>
      <c r="AT33" s="137"/>
    </row>
    <row r="34" spans="2:47" ht="16.149999999999999" customHeight="1" x14ac:dyDescent="0.2">
      <c r="B34" s="272"/>
      <c r="C34" s="255"/>
      <c r="D34" s="266"/>
      <c r="E34" s="266"/>
      <c r="F34" s="266"/>
      <c r="G34" s="266"/>
      <c r="H34" s="266"/>
      <c r="I34" s="255"/>
      <c r="J34" s="266"/>
      <c r="K34" s="266"/>
      <c r="L34" s="255"/>
      <c r="W34" s="585"/>
      <c r="X34" s="585"/>
      <c r="Y34" s="164" t="str">
        <f>CenAVS!A80</f>
        <v>mocow. frontu do cienkich materiałów Aventos HK, HL, HS, Expando T</v>
      </c>
      <c r="Z34" s="164" t="str">
        <f>CenAVS!B80</f>
        <v>20S42T1</v>
      </c>
      <c r="AA34" s="301" t="str">
        <f>CenAVS!C80</f>
        <v>NI</v>
      </c>
      <c r="AB34" s="165">
        <f>SUM(AE34,AG34)</f>
        <v>0</v>
      </c>
      <c r="AC34" s="395">
        <f>CenAVS!F80</f>
        <v>31.992830000000005</v>
      </c>
      <c r="AD34" s="167">
        <f>AB34*AC34</f>
        <v>0</v>
      </c>
      <c r="AE34" s="407">
        <f>SUM(AE$9:AE$12)</f>
        <v>0</v>
      </c>
      <c r="AF34" s="168">
        <f>$AC34*AE34</f>
        <v>0</v>
      </c>
      <c r="AG34" s="407">
        <f>SUM(AG$9:AG$12)</f>
        <v>0</v>
      </c>
      <c r="AH34" s="168">
        <f>$AC34*AG34</f>
        <v>0</v>
      </c>
      <c r="AI34" s="108"/>
      <c r="AJ34" s="108"/>
      <c r="AK34" s="108"/>
      <c r="AL34" s="137"/>
      <c r="AM34" s="137"/>
      <c r="AN34" s="137"/>
      <c r="AO34" s="137"/>
      <c r="AP34" s="137"/>
      <c r="AQ34" s="37"/>
      <c r="AR34" s="37"/>
      <c r="AS34" s="137"/>
      <c r="AT34" s="137"/>
    </row>
    <row r="35" spans="2:47" ht="16.149999999999999" customHeight="1" x14ac:dyDescent="0.2">
      <c r="B35" s="272"/>
      <c r="C35" s="273"/>
      <c r="D35" s="266"/>
      <c r="E35" s="266"/>
      <c r="F35" s="266"/>
      <c r="G35" s="266"/>
      <c r="H35" s="266"/>
      <c r="I35" s="255"/>
      <c r="J35" s="266"/>
      <c r="K35" s="266"/>
      <c r="L35" s="255"/>
      <c r="N35" s="37" t="str">
        <f>ListAVS!B177</f>
        <v>Cena bez zasilacza!</v>
      </c>
      <c r="T35" s="585"/>
      <c r="U35" s="585"/>
      <c r="V35" s="585"/>
      <c r="W35" s="585"/>
      <c r="X35" s="585"/>
      <c r="Y35" s="164" t="str">
        <f>CenAVS!A81</f>
        <v xml:space="preserve">mocowanie frontu alu HK Top, HS/Top, HL/Top    </v>
      </c>
      <c r="Z35" s="164" t="str">
        <f>CenAVS!B81</f>
        <v>20S4200A</v>
      </c>
      <c r="AA35" s="301" t="str">
        <f>CenAVS!C81</f>
        <v>NI</v>
      </c>
      <c r="AB35" s="165">
        <f>SUM(AE35,AG35)</f>
        <v>0</v>
      </c>
      <c r="AC35" s="395">
        <f>CenAVS!F81</f>
        <v>43.392219999999995</v>
      </c>
      <c r="AD35" s="167">
        <f>AB35*AC35</f>
        <v>0</v>
      </c>
      <c r="AE35" s="407"/>
      <c r="AF35" s="168">
        <f>$AC35*AE35</f>
        <v>0</v>
      </c>
      <c r="AG35" s="407"/>
      <c r="AH35" s="168">
        <f>$AC35*AG35</f>
        <v>0</v>
      </c>
      <c r="AI35" s="108"/>
      <c r="AJ35" s="108"/>
      <c r="AK35" s="108"/>
      <c r="AL35" s="137"/>
      <c r="AM35" s="137"/>
      <c r="AN35" s="137"/>
      <c r="AO35" s="137"/>
      <c r="AP35" s="137"/>
      <c r="AQ35" s="37"/>
      <c r="AR35" s="37"/>
      <c r="AS35" s="137"/>
      <c r="AT35" s="137"/>
    </row>
    <row r="36" spans="2:47" ht="16.149999999999999" customHeight="1" x14ac:dyDescent="0.2">
      <c r="B36" s="272"/>
      <c r="C36" s="255"/>
      <c r="D36" s="266"/>
      <c r="E36" s="266"/>
      <c r="F36" s="266"/>
      <c r="G36" s="266"/>
      <c r="H36" s="266"/>
      <c r="I36" s="255"/>
      <c r="J36" s="266"/>
      <c r="K36" s="266"/>
      <c r="L36" s="255"/>
      <c r="N36" s="37" t="str">
        <f>" "&amp;ListAVS!$B$118</f>
        <v xml:space="preserve"> Wprowadź na górze masę objętościową </v>
      </c>
      <c r="T36" s="127"/>
      <c r="U36" s="127"/>
      <c r="V36" s="585"/>
      <c r="W36" s="585"/>
      <c r="X36" s="585"/>
      <c r="Y36" s="164"/>
      <c r="Z36" s="164"/>
      <c r="AA36" s="301"/>
      <c r="AB36" s="165"/>
      <c r="AC36" s="395"/>
      <c r="AD36" s="167"/>
      <c r="AE36" s="407"/>
      <c r="AF36" s="168"/>
      <c r="AG36" s="407"/>
      <c r="AH36" s="168"/>
      <c r="AI36" s="108"/>
      <c r="AJ36" s="108"/>
      <c r="AK36" s="108"/>
      <c r="AL36" s="137"/>
      <c r="AM36" s="137"/>
      <c r="AN36" s="137"/>
      <c r="AO36" s="137"/>
      <c r="AP36" s="137"/>
      <c r="AQ36" s="37"/>
      <c r="AR36" s="37"/>
      <c r="AS36" s="137"/>
      <c r="AT36" s="137"/>
    </row>
    <row r="37" spans="2:47" ht="16.149999999999999" customHeight="1" x14ac:dyDescent="0.2">
      <c r="B37" s="274" t="s">
        <v>63</v>
      </c>
      <c r="C37" s="275" t="str">
        <f>ListAVS!$B$234</f>
        <v>Podaj liczbę ścianek środkowych w korpusie.</v>
      </c>
      <c r="D37" s="275"/>
      <c r="E37" s="275"/>
      <c r="F37" s="275"/>
      <c r="G37" s="275"/>
      <c r="H37" s="275"/>
      <c r="I37" s="275"/>
      <c r="J37" s="275"/>
      <c r="K37" s="275"/>
      <c r="L37" s="255"/>
      <c r="N37" s="37" t="str">
        <f>" "&amp;ListAVS!$B$116</f>
        <v xml:space="preserve"> Wprowadź wagę lub wypełnij wszystkie komórki</v>
      </c>
      <c r="T37" s="585"/>
      <c r="U37" s="585"/>
      <c r="V37" s="585"/>
      <c r="W37" s="127"/>
      <c r="X37" s="127"/>
      <c r="Y37" s="164" t="str">
        <f>CenAVS!A171</f>
        <v xml:space="preserve">Aventos HF/HL/HS - Top Servo-Drive      </v>
      </c>
      <c r="Z37" s="164" t="str">
        <f>CenAVS!B171</f>
        <v>23.A000</v>
      </c>
      <c r="AA37" s="301" t="str">
        <f>CenAVS!C171</f>
        <v>R7037</v>
      </c>
      <c r="AB37" s="165">
        <f>SUM(AE37,AG37)</f>
        <v>0</v>
      </c>
      <c r="AC37" s="395">
        <f>CenAVS!F171</f>
        <v>905.30219999999997</v>
      </c>
      <c r="AD37" s="167">
        <f>AB37*AC37</f>
        <v>0</v>
      </c>
      <c r="AE37" s="407">
        <f>IF($R$14=2, $M$15, 0)</f>
        <v>0</v>
      </c>
      <c r="AF37" s="168">
        <f>$AC37*AE37</f>
        <v>0</v>
      </c>
      <c r="AG37" s="407">
        <f>IF($R$25=2, $M$26, 0)</f>
        <v>0</v>
      </c>
      <c r="AH37" s="168">
        <f>$AC37*AG37</f>
        <v>0</v>
      </c>
      <c r="AI37" s="108"/>
      <c r="AJ37" s="108"/>
      <c r="AK37" s="108"/>
      <c r="AL37" s="137"/>
      <c r="AM37" s="137"/>
      <c r="AN37" s="137"/>
      <c r="AO37" s="137"/>
      <c r="AP37" s="137"/>
      <c r="AQ37" s="37"/>
      <c r="AR37" s="37"/>
      <c r="AS37" s="137"/>
      <c r="AT37" s="137"/>
    </row>
    <row r="38" spans="2:47" ht="16.149999999999999" customHeight="1" x14ac:dyDescent="0.2">
      <c r="B38" s="274" t="s">
        <v>83</v>
      </c>
      <c r="C38" s="255" t="str">
        <f>ListAVS!$B$187</f>
        <v>Jeżeli znasz wagę i nie chcesz skorzystać z "obliczenie wagi"</v>
      </c>
      <c r="D38" s="275"/>
      <c r="E38" s="275"/>
      <c r="F38" s="275"/>
      <c r="G38" s="275"/>
      <c r="H38" s="275"/>
      <c r="I38" s="275"/>
      <c r="J38" s="275"/>
      <c r="K38" s="275"/>
      <c r="L38" s="255"/>
      <c r="N38" s="37" t="str">
        <f>"◄ "&amp;ListAVS!$B$113</f>
        <v>◄ wartość będzie wykorzystana w celu wyboru siłownika</v>
      </c>
      <c r="T38" s="585"/>
      <c r="U38" s="585"/>
      <c r="V38" s="585"/>
      <c r="W38" s="585"/>
      <c r="X38" s="585"/>
      <c r="Y38" s="164"/>
      <c r="Z38" s="164"/>
      <c r="AA38" s="301"/>
      <c r="AB38" s="165"/>
      <c r="AC38" s="395"/>
      <c r="AD38" s="167"/>
      <c r="AE38" s="408"/>
      <c r="AF38" s="168">
        <f>$AC38*AE38</f>
        <v>0</v>
      </c>
      <c r="AG38" s="408"/>
      <c r="AH38" s="168">
        <f>$AC38*AG38</f>
        <v>0</v>
      </c>
      <c r="AI38" s="37"/>
      <c r="AJ38" s="108"/>
      <c r="AK38" s="108"/>
      <c r="AL38" s="137"/>
      <c r="AM38" s="37"/>
      <c r="AN38" s="37"/>
      <c r="AO38" s="37"/>
      <c r="AP38" s="37"/>
      <c r="AQ38" s="37"/>
      <c r="AR38" s="37"/>
      <c r="AS38" s="37"/>
      <c r="AT38" s="137"/>
    </row>
    <row r="39" spans="2:47" ht="16.149999999999999" customHeight="1" x14ac:dyDescent="0.2">
      <c r="B39" s="274" t="s">
        <v>85</v>
      </c>
      <c r="C39" s="255" t="str">
        <f>ListAVS!$B$25</f>
        <v>Materiały o grubości od 8 do 14 mm</v>
      </c>
      <c r="D39" s="275"/>
      <c r="E39" s="275"/>
      <c r="F39" s="275"/>
      <c r="G39" s="275"/>
      <c r="H39" s="275"/>
      <c r="I39" s="275"/>
      <c r="J39" s="275"/>
      <c r="K39" s="275"/>
      <c r="L39" s="255"/>
      <c r="N39" s="37" t="str">
        <f>" * "&amp;ListAVS!$B$128</f>
        <v xml:space="preserve"> * Wypełnij wartości</v>
      </c>
      <c r="T39" s="585"/>
      <c r="U39" s="585"/>
      <c r="V39" s="585"/>
      <c r="W39" s="585"/>
      <c r="X39" s="585"/>
      <c r="AA39" s="118"/>
      <c r="AB39" s="118"/>
      <c r="AC39" s="918"/>
      <c r="AD39" s="919"/>
      <c r="AE39" s="118"/>
      <c r="AF39" s="170"/>
      <c r="AG39" s="118"/>
      <c r="AH39" s="170"/>
      <c r="AI39" s="37"/>
      <c r="AJ39" s="108"/>
      <c r="AK39" s="108"/>
      <c r="AL39" s="37"/>
      <c r="AM39" s="37"/>
      <c r="AN39" s="37"/>
      <c r="AO39" s="37"/>
      <c r="AP39" s="37"/>
      <c r="AQ39" s="37"/>
      <c r="AR39" s="37"/>
      <c r="AS39" s="37"/>
      <c r="AT39" s="137"/>
    </row>
    <row r="40" spans="2:47" ht="16.149999999999999" customHeight="1" x14ac:dyDescent="0.2">
      <c r="B40" s="255"/>
      <c r="C40" s="255"/>
      <c r="D40" s="276"/>
      <c r="E40" s="276"/>
      <c r="F40" s="276"/>
      <c r="G40" s="276"/>
      <c r="H40" s="276"/>
      <c r="I40" s="276"/>
      <c r="J40" s="276"/>
      <c r="K40" s="276"/>
      <c r="L40" s="255"/>
      <c r="O40" s="37"/>
      <c r="Q40" s="37"/>
      <c r="T40" s="146"/>
      <c r="U40" s="585"/>
      <c r="V40" s="585"/>
      <c r="W40" s="585"/>
      <c r="X40" s="585"/>
      <c r="AC40" s="144" t="str">
        <f>ListAVS!$B$61&amp;" "</f>
        <v xml:space="preserve">Cena całkowita bez VAT </v>
      </c>
      <c r="AD40" s="171">
        <f>SUM(AD9:AD38)</f>
        <v>0</v>
      </c>
      <c r="AF40" s="201">
        <f>SUM(AF9:AF38)</f>
        <v>0</v>
      </c>
      <c r="AH40" s="201">
        <f>SUM(AH9:AH38)</f>
        <v>0</v>
      </c>
      <c r="AI40" s="37"/>
      <c r="AJ40" s="108"/>
      <c r="AK40" s="108"/>
      <c r="AL40" s="37"/>
      <c r="AM40" s="37"/>
      <c r="AN40" s="37"/>
      <c r="AO40" s="37"/>
      <c r="AP40" s="37"/>
      <c r="AQ40" s="37"/>
      <c r="AR40" s="37"/>
      <c r="AS40" s="37"/>
      <c r="AT40" s="37"/>
      <c r="AU40" s="37"/>
    </row>
    <row r="41" spans="2:47" ht="16.149999999999999" customHeight="1" x14ac:dyDescent="0.2">
      <c r="B41" s="1020" t="str">
        <f>ListAVS!$B$420</f>
        <v xml:space="preserve">Należy pamiętać, że istnieje wiele różnych materiałów. Ze względu na różne gęstości  nie ma gwarancji, że wszystkie materiały będą nadawały się do każdego rozmiaru korpusu. Szczególnie w przypadku lżejszych materiałów ciężar frontu może nie osiągnąć wartości minimalnej dla danego wymiaru. Jeśli po prawidłowym wprowadzeniu wszystkich parametrów, na liście zamówienia nie wyświetlą się żadne wartości, prawdopodobnie waga frontu jest poniżej wartości minimalnej. W takim przypadku wyliczenie podnośników nie może być wykonane. </v>
      </c>
      <c r="C41" s="1020"/>
      <c r="D41" s="1020"/>
      <c r="E41" s="1020"/>
      <c r="F41" s="1020"/>
      <c r="G41" s="1020"/>
      <c r="H41" s="1020"/>
      <c r="I41" s="1020"/>
      <c r="J41" s="1020"/>
      <c r="K41" s="1020"/>
      <c r="L41" s="1020"/>
      <c r="N41" s="37" t="str">
        <f>" "&amp;ListAVS!$B$125&amp;"!"</f>
        <v xml:space="preserve"> Waga poza dozwolonym zakresem!</v>
      </c>
      <c r="O41" s="37"/>
      <c r="T41" s="585"/>
      <c r="U41" s="585"/>
      <c r="V41" s="585"/>
      <c r="W41" s="146"/>
      <c r="X41" s="146"/>
      <c r="Y41" s="144" t="str">
        <f>Param!M30</f>
        <v>Parametry HL</v>
      </c>
      <c r="AA41" s="118"/>
      <c r="AB41" s="118"/>
      <c r="AC41" s="918"/>
      <c r="AD41" s="919"/>
      <c r="AE41" s="118"/>
      <c r="AF41" s="170"/>
      <c r="AG41" s="118"/>
      <c r="AH41" s="170"/>
      <c r="AI41" s="108"/>
      <c r="AJ41" s="108"/>
      <c r="AK41" s="108"/>
      <c r="AL41" s="37"/>
      <c r="AM41" s="137"/>
      <c r="AN41" s="137"/>
      <c r="AO41" s="137"/>
      <c r="AP41" s="137"/>
      <c r="AQ41" s="37"/>
      <c r="AR41" s="37"/>
      <c r="AS41" s="137"/>
      <c r="AT41" s="37"/>
      <c r="AU41" s="37"/>
    </row>
    <row r="42" spans="2:47" s="37" customFormat="1" ht="16.149999999999999" customHeight="1" x14ac:dyDescent="0.2">
      <c r="B42" s="1020"/>
      <c r="C42" s="1020"/>
      <c r="D42" s="1020"/>
      <c r="E42" s="1020"/>
      <c r="F42" s="1020"/>
      <c r="G42" s="1020"/>
      <c r="H42" s="1020"/>
      <c r="I42" s="1020"/>
      <c r="J42" s="1020"/>
      <c r="K42" s="1020"/>
      <c r="L42" s="1020"/>
      <c r="N42" s="37" t="str">
        <f>" max. 9 000! "&amp;ListAVS!$B$122</f>
        <v xml:space="preserve"> max. 9 000! Popraw wagę albo wysokość</v>
      </c>
      <c r="O42" s="118"/>
      <c r="Q42" s="118"/>
      <c r="T42" s="585"/>
      <c r="U42" s="585"/>
      <c r="V42" s="585"/>
      <c r="W42" s="585"/>
      <c r="X42" s="585"/>
      <c r="Y42" s="132"/>
      <c r="Z42" s="883"/>
      <c r="AA42" s="910" t="str">
        <f>Param!O31</f>
        <v>22L2200</v>
      </c>
      <c r="AB42" s="910"/>
      <c r="AC42" s="911"/>
      <c r="AI42" s="108"/>
      <c r="AJ42" s="108"/>
      <c r="AK42" s="108"/>
      <c r="AL42" s="137"/>
      <c r="AM42" s="137"/>
      <c r="AN42" s="137"/>
      <c r="AO42" s="137"/>
      <c r="AP42" s="137"/>
      <c r="AS42" s="137"/>
    </row>
    <row r="43" spans="2:47" s="37" customFormat="1" ht="16.149999999999999" customHeight="1" x14ac:dyDescent="0.2">
      <c r="B43" s="1020"/>
      <c r="C43" s="1020"/>
      <c r="D43" s="1020"/>
      <c r="E43" s="1020"/>
      <c r="F43" s="1020"/>
      <c r="G43" s="1020"/>
      <c r="H43" s="1020"/>
      <c r="I43" s="1020"/>
      <c r="J43" s="1020"/>
      <c r="K43" s="1020"/>
      <c r="L43" s="1020"/>
      <c r="N43" s="149" t="str">
        <f>" "&amp;ListAVS!$B$235</f>
        <v xml:space="preserve"> Konieczna ścianka środkowa</v>
      </c>
      <c r="O43" s="118"/>
      <c r="Q43" s="118"/>
      <c r="T43" s="123"/>
      <c r="U43" s="123"/>
      <c r="V43" s="585"/>
      <c r="W43" s="585"/>
      <c r="X43" s="585"/>
      <c r="Y43" s="132"/>
      <c r="Z43" s="132" t="str">
        <f>Param!N32</f>
        <v>min KH</v>
      </c>
      <c r="AA43" s="132" t="str">
        <f>Param!O32</f>
        <v>max KH</v>
      </c>
      <c r="AB43" s="132" t="str">
        <f>Param!P32</f>
        <v>min FG</v>
      </c>
      <c r="AC43" s="132" t="str">
        <f>Param!Q32</f>
        <v>max FG</v>
      </c>
      <c r="AI43" s="108"/>
      <c r="AJ43" s="108"/>
      <c r="AK43" s="108"/>
      <c r="AL43" s="137"/>
      <c r="AM43" s="137"/>
      <c r="AN43" s="137"/>
      <c r="AO43" s="137"/>
      <c r="AP43" s="137"/>
      <c r="AS43" s="137"/>
      <c r="AT43" s="137"/>
      <c r="AU43" s="121"/>
    </row>
    <row r="44" spans="2:47" s="37" customFormat="1" ht="16.149999999999999" customHeight="1" x14ac:dyDescent="0.2">
      <c r="B44" s="1020"/>
      <c r="C44" s="1020"/>
      <c r="D44" s="1020"/>
      <c r="E44" s="1020"/>
      <c r="F44" s="1020"/>
      <c r="G44" s="1020"/>
      <c r="H44" s="1020"/>
      <c r="I44" s="1020"/>
      <c r="J44" s="1020"/>
      <c r="K44" s="1020"/>
      <c r="L44" s="1020"/>
      <c r="O44" s="118"/>
      <c r="Q44" s="118"/>
      <c r="T44" s="123"/>
      <c r="U44" s="123"/>
      <c r="V44" s="585"/>
      <c r="W44" s="585"/>
      <c r="X44" s="585"/>
      <c r="Y44" s="174" t="str">
        <f>Param!M33</f>
        <v>22L3200</v>
      </c>
      <c r="Z44" s="132">
        <f>Param!N33</f>
        <v>300</v>
      </c>
      <c r="AA44" s="132">
        <f>Param!O33</f>
        <v>339</v>
      </c>
      <c r="AB44" s="920">
        <f>Param!P33</f>
        <v>1.5</v>
      </c>
      <c r="AC44" s="920">
        <f>Param!Q33</f>
        <v>9</v>
      </c>
      <c r="AI44" s="108"/>
      <c r="AJ44" s="108"/>
      <c r="AK44" s="108"/>
      <c r="AL44" s="137"/>
      <c r="AM44" s="137"/>
      <c r="AN44" s="137"/>
      <c r="AO44" s="137"/>
      <c r="AP44" s="137"/>
      <c r="AS44" s="137"/>
      <c r="AT44" s="137"/>
      <c r="AU44" s="121"/>
    </row>
    <row r="45" spans="2:47" ht="16.149999999999999" customHeight="1" x14ac:dyDescent="0.2">
      <c r="B45" s="1020"/>
      <c r="C45" s="1020"/>
      <c r="D45" s="1020"/>
      <c r="E45" s="1020"/>
      <c r="F45" s="1020"/>
      <c r="G45" s="1020"/>
      <c r="H45" s="1020"/>
      <c r="I45" s="1020"/>
      <c r="J45" s="1020"/>
      <c r="K45" s="1020"/>
      <c r="L45" s="1020"/>
      <c r="N45" s="151"/>
      <c r="O45" s="117"/>
      <c r="P45" s="151"/>
      <c r="T45" s="117">
        <f>MenuAVS!$U$28</f>
        <v>1</v>
      </c>
      <c r="U45" s="585"/>
      <c r="V45" s="585"/>
      <c r="W45" s="926">
        <f>HL!P26</f>
        <v>1</v>
      </c>
      <c r="X45" s="123"/>
      <c r="Y45" s="174" t="str">
        <f>Param!M34</f>
        <v>22L3500</v>
      </c>
      <c r="Z45" s="132">
        <f>Param!N34</f>
        <v>340</v>
      </c>
      <c r="AA45" s="132">
        <f>Param!O34</f>
        <v>389</v>
      </c>
      <c r="AB45" s="920">
        <f>Param!P34</f>
        <v>1.75</v>
      </c>
      <c r="AC45" s="920">
        <f>Param!Q34</f>
        <v>10</v>
      </c>
      <c r="AI45" s="108"/>
      <c r="AJ45" s="108"/>
      <c r="AK45" s="108"/>
      <c r="AL45" s="137"/>
      <c r="AM45" s="137"/>
      <c r="AN45" s="137"/>
      <c r="AO45" s="137"/>
      <c r="AP45" s="137"/>
      <c r="AQ45" s="37"/>
      <c r="AR45" s="37"/>
      <c r="AS45" s="137"/>
      <c r="AT45" s="137"/>
    </row>
    <row r="46" spans="2:47" ht="16.149999999999999" customHeight="1" x14ac:dyDescent="0.2">
      <c r="B46" s="150"/>
      <c r="C46" s="148"/>
      <c r="D46" s="148"/>
      <c r="E46" s="148"/>
      <c r="F46" s="148"/>
      <c r="G46" s="148"/>
      <c r="H46" s="148"/>
      <c r="I46" s="148"/>
      <c r="J46" s="148"/>
      <c r="K46" s="148"/>
      <c r="N46" s="153"/>
      <c r="O46" s="37"/>
      <c r="P46" s="153"/>
      <c r="Q46" s="154" t="s">
        <v>57</v>
      </c>
      <c r="T46" s="154" t="s">
        <v>6</v>
      </c>
      <c r="U46" s="585"/>
      <c r="V46" s="585"/>
      <c r="W46" s="922" t="str">
        <f>HL!P27</f>
        <v>mont.</v>
      </c>
      <c r="X46" s="128"/>
      <c r="Y46" s="174"/>
      <c r="Z46" s="132"/>
      <c r="AA46" s="132"/>
      <c r="AB46" s="132"/>
      <c r="AC46" s="132"/>
      <c r="AI46" s="108"/>
      <c r="AJ46" s="108"/>
      <c r="AK46" s="108"/>
      <c r="AL46" s="137"/>
      <c r="AM46" s="137"/>
      <c r="AN46" s="137"/>
      <c r="AO46" s="137"/>
      <c r="AP46" s="137"/>
      <c r="AQ46" s="37"/>
      <c r="AR46" s="37"/>
      <c r="AS46" s="137"/>
      <c r="AT46" s="137"/>
    </row>
    <row r="47" spans="2:47" ht="16.149999999999999" customHeight="1" x14ac:dyDescent="0.2">
      <c r="B47" s="152"/>
      <c r="C47" s="127"/>
      <c r="D47" s="127"/>
      <c r="E47" s="127"/>
      <c r="F47" s="127"/>
      <c r="G47" s="127"/>
      <c r="I47" s="127"/>
      <c r="J47" s="127"/>
      <c r="O47" s="37"/>
      <c r="Q47" s="149" t="s">
        <v>58</v>
      </c>
      <c r="T47" s="37" t="str">
        <f>ListAVS!$B$146</f>
        <v>Jasnoszary (HGR)</v>
      </c>
      <c r="U47" s="585"/>
      <c r="V47" s="585"/>
      <c r="W47" s="921" t="str">
        <f>HL!P28</f>
        <v>wkręty</v>
      </c>
      <c r="X47" s="129"/>
      <c r="Y47" s="174"/>
      <c r="Z47" s="883"/>
      <c r="AA47" s="910" t="str">
        <f>Param!O36</f>
        <v>22L2500</v>
      </c>
      <c r="AB47" s="910"/>
      <c r="AC47" s="911"/>
      <c r="AI47" s="108"/>
      <c r="AJ47" s="108"/>
      <c r="AK47" s="108"/>
      <c r="AL47" s="137"/>
      <c r="AM47" s="137"/>
      <c r="AN47" s="137"/>
      <c r="AO47" s="137"/>
      <c r="AP47" s="137"/>
      <c r="AQ47" s="37"/>
      <c r="AR47" s="37"/>
      <c r="AS47" s="137"/>
      <c r="AT47" s="137"/>
    </row>
    <row r="48" spans="2:47" ht="16.149999999999999" customHeight="1" x14ac:dyDescent="0.2">
      <c r="B48" s="127"/>
      <c r="C48" s="127"/>
      <c r="D48" s="127"/>
      <c r="E48" s="127"/>
      <c r="F48" s="127"/>
      <c r="G48" s="127"/>
      <c r="I48" s="127"/>
      <c r="J48" s="127"/>
      <c r="O48" s="37"/>
      <c r="Q48" s="149" t="s">
        <v>59</v>
      </c>
      <c r="T48" s="37" t="str">
        <f>ListAVS!$B$147</f>
        <v>Ciemnoszary (TGR)</v>
      </c>
      <c r="U48" s="585"/>
      <c r="V48" s="585"/>
      <c r="W48" s="921" t="str">
        <f>HL!P29</f>
        <v>wstępnie zamontowane eurowkręty</v>
      </c>
      <c r="X48" s="129"/>
      <c r="Y48" s="174">
        <f>Param!M37</f>
        <v>0</v>
      </c>
      <c r="Z48" s="132" t="str">
        <f>Param!N37</f>
        <v>min KH</v>
      </c>
      <c r="AA48" s="132" t="str">
        <f>Param!O37</f>
        <v>max KH</v>
      </c>
      <c r="AB48" s="132" t="str">
        <f>Param!P37</f>
        <v>min FG</v>
      </c>
      <c r="AC48" s="132" t="str">
        <f>Param!Q37</f>
        <v>max FG</v>
      </c>
      <c r="AD48" s="132" t="str">
        <f>Param!R37</f>
        <v>hranice</v>
      </c>
      <c r="AI48" s="108"/>
      <c r="AJ48" s="108"/>
      <c r="AK48" s="108"/>
      <c r="AL48" s="137"/>
      <c r="AM48" s="137"/>
      <c r="AN48" s="137"/>
      <c r="AO48" s="137"/>
      <c r="AP48" s="137"/>
      <c r="AQ48" s="37"/>
      <c r="AR48" s="37"/>
      <c r="AS48" s="137"/>
      <c r="AT48" s="137"/>
    </row>
    <row r="49" spans="2:47" ht="16.149999999999999" customHeight="1" x14ac:dyDescent="0.2">
      <c r="B49" s="152"/>
      <c r="C49" s="127"/>
      <c r="D49" s="127"/>
      <c r="E49" s="127"/>
      <c r="F49" s="127"/>
      <c r="G49" s="127"/>
      <c r="I49" s="127"/>
      <c r="J49" s="127"/>
      <c r="T49" s="37" t="str">
        <f>ListAVS!$B$148</f>
        <v>Jedwabiście biały (SW)</v>
      </c>
      <c r="U49" s="585"/>
      <c r="V49" s="585"/>
      <c r="W49" s="129"/>
      <c r="X49" s="129"/>
      <c r="Y49" s="174" t="str">
        <f>Param!M38</f>
        <v>22L3800</v>
      </c>
      <c r="Z49" s="132">
        <f>Param!N38</f>
        <v>390</v>
      </c>
      <c r="AA49" s="132">
        <f>Param!O38</f>
        <v>540</v>
      </c>
      <c r="AB49" s="920">
        <f>Param!P38</f>
        <v>2</v>
      </c>
      <c r="AC49" s="920">
        <f>Param!Q38</f>
        <v>12.25</v>
      </c>
      <c r="AD49" s="920">
        <f>Param!R38</f>
        <v>500</v>
      </c>
      <c r="AI49" s="108"/>
      <c r="AJ49" s="108"/>
      <c r="AK49" s="108"/>
      <c r="AL49" s="137"/>
      <c r="AM49" s="137"/>
      <c r="AN49" s="137"/>
      <c r="AO49" s="137"/>
      <c r="AP49" s="137"/>
      <c r="AQ49" s="37"/>
      <c r="AR49" s="37"/>
      <c r="AS49" s="137"/>
      <c r="AT49" s="137"/>
    </row>
    <row r="50" spans="2:47" x14ac:dyDescent="0.2">
      <c r="N50" s="37" t="str">
        <f>ListAVS!B188&amp;". "</f>
        <v xml:space="preserve">W celu określenia rodzaju siłownika będzie wykorzystana podana waga. </v>
      </c>
      <c r="T50" s="129"/>
      <c r="U50" s="585"/>
      <c r="V50" s="585"/>
      <c r="W50" s="129"/>
      <c r="X50" s="129"/>
      <c r="Y50" s="174" t="str">
        <f>Param!M39</f>
        <v>22L3900</v>
      </c>
      <c r="Z50" s="132">
        <f>Param!N39</f>
        <v>480</v>
      </c>
      <c r="AA50" s="132">
        <f>Param!O39</f>
        <v>580</v>
      </c>
      <c r="AB50" s="920">
        <f>Param!P39</f>
        <v>1.5</v>
      </c>
      <c r="AC50" s="920">
        <f>Param!Q39</f>
        <v>14</v>
      </c>
      <c r="AI50" s="108"/>
      <c r="AJ50" s="108"/>
      <c r="AK50" s="108"/>
      <c r="AL50" s="137"/>
      <c r="AM50" s="137"/>
      <c r="AN50" s="137"/>
      <c r="AO50" s="137"/>
      <c r="AP50" s="137"/>
      <c r="AQ50" s="37"/>
      <c r="AR50" s="37"/>
      <c r="AS50" s="137"/>
      <c r="AT50" s="137"/>
    </row>
    <row r="51" spans="2:47" ht="20.100000000000001" customHeight="1" x14ac:dyDescent="0.2">
      <c r="B51" s="606" t="str">
        <f>" "&amp;ListAVS!$B$395</f>
        <v xml:space="preserve"> Odległość frontu od korpusu</v>
      </c>
      <c r="L51" s="118"/>
      <c r="N51" s="37" t="str">
        <f>ListAVS!B189&amp;". "</f>
        <v xml:space="preserve">W celu określenia rodzaju siłownika będzie wykorzystana obliczona waga. </v>
      </c>
      <c r="T51" s="129"/>
      <c r="U51" s="585"/>
      <c r="V51" s="585"/>
      <c r="W51" s="129"/>
      <c r="X51" s="129"/>
      <c r="Y51" s="346"/>
      <c r="Z51" s="346"/>
      <c r="AA51" s="346"/>
      <c r="AB51" s="346"/>
      <c r="AC51" s="346"/>
      <c r="AD51" s="346"/>
      <c r="AE51" s="346"/>
      <c r="AF51" s="346"/>
      <c r="AG51" s="346"/>
      <c r="AH51" s="346"/>
      <c r="AI51" s="108"/>
      <c r="AJ51" s="108"/>
      <c r="AK51" s="108"/>
      <c r="AL51" s="137"/>
      <c r="AM51" s="137"/>
      <c r="AN51" s="137"/>
      <c r="AO51" s="137"/>
      <c r="AP51" s="137"/>
      <c r="AQ51" s="37"/>
      <c r="AR51" s="37"/>
      <c r="AS51" s="137"/>
      <c r="AT51" s="137"/>
    </row>
    <row r="52" spans="2:47" ht="16.149999999999999" customHeight="1" x14ac:dyDescent="0.2">
      <c r="B52" s="1170" t="s">
        <v>78</v>
      </c>
      <c r="C52" s="1170"/>
      <c r="D52" s="1170" t="str">
        <f>ListAVS!$B$387</f>
        <v>Zestaw ramion teleskopowych</v>
      </c>
      <c r="E52" s="1170"/>
      <c r="F52" s="770" t="s">
        <v>745</v>
      </c>
      <c r="G52" s="770" t="s">
        <v>746</v>
      </c>
      <c r="H52" s="770" t="s">
        <v>748</v>
      </c>
      <c r="I52" s="770" t="s">
        <v>747</v>
      </c>
      <c r="J52" s="733"/>
      <c r="N52" s="37" t="str">
        <f>ListAVS!B190</f>
        <v>Jeżeli chcesz wykorzystać obliczoną wagę, zmaż podaną wartość</v>
      </c>
      <c r="T52" s="129"/>
      <c r="U52" s="585"/>
      <c r="V52" s="585"/>
      <c r="W52" s="129"/>
      <c r="X52" s="129"/>
      <c r="Y52" s="129"/>
      <c r="Z52" s="129"/>
      <c r="AA52" s="129"/>
      <c r="AB52" s="129"/>
      <c r="AC52" s="129"/>
      <c r="AD52" s="129"/>
      <c r="AE52" s="129"/>
      <c r="AF52" s="129"/>
      <c r="AG52" s="129"/>
      <c r="AH52" s="129"/>
      <c r="AI52" s="108"/>
      <c r="AJ52" s="108"/>
      <c r="AK52" s="108"/>
      <c r="AL52" s="137"/>
      <c r="AM52" s="137"/>
      <c r="AN52" s="137"/>
      <c r="AO52" s="137"/>
      <c r="AP52" s="137"/>
      <c r="AQ52" s="37"/>
      <c r="AR52" s="37"/>
      <c r="AS52" s="137"/>
      <c r="AT52" s="137"/>
    </row>
    <row r="53" spans="2:47" ht="16.149999999999999" customHeight="1" x14ac:dyDescent="0.2">
      <c r="B53" s="1169" t="s">
        <v>750</v>
      </c>
      <c r="C53" s="1169"/>
      <c r="D53" s="1169" t="s">
        <v>717</v>
      </c>
      <c r="E53" s="1169"/>
      <c r="F53" s="731">
        <v>112</v>
      </c>
      <c r="G53" s="948">
        <v>272.5</v>
      </c>
      <c r="H53" s="948">
        <v>155.5</v>
      </c>
      <c r="I53" s="948">
        <v>272.5</v>
      </c>
      <c r="J53" s="194"/>
      <c r="N53" s="37" t="str">
        <f>ListAVS!B191</f>
        <v>Jeżeli chcesz wykorzystać podaną wagą, wpisz ją w pole</v>
      </c>
      <c r="T53" s="129"/>
      <c r="U53" s="585"/>
      <c r="V53" s="585"/>
      <c r="W53" s="129"/>
      <c r="X53" s="129"/>
      <c r="Y53" s="128"/>
      <c r="Z53" s="128"/>
      <c r="AA53" s="128"/>
      <c r="AB53" s="128"/>
      <c r="AC53" s="128"/>
      <c r="AD53" s="128"/>
      <c r="AE53" s="128"/>
      <c r="AF53" s="128"/>
      <c r="AG53" s="128"/>
      <c r="AH53" s="128"/>
      <c r="AI53" s="108"/>
      <c r="AJ53" s="108"/>
      <c r="AK53" s="108"/>
      <c r="AL53" s="137"/>
      <c r="AM53" s="137"/>
      <c r="AN53" s="137"/>
      <c r="AO53" s="137"/>
      <c r="AP53" s="137"/>
      <c r="AQ53" s="37"/>
      <c r="AR53" s="37"/>
      <c r="AS53" s="137"/>
      <c r="AT53" s="137"/>
    </row>
    <row r="54" spans="2:47" ht="16.149999999999999" customHeight="1" x14ac:dyDescent="0.2">
      <c r="B54" s="1169" t="s">
        <v>749</v>
      </c>
      <c r="C54" s="1169"/>
      <c r="D54" s="1169" t="s">
        <v>718</v>
      </c>
      <c r="E54" s="1169"/>
      <c r="F54" s="731">
        <v>140.5</v>
      </c>
      <c r="G54" s="948">
        <v>340</v>
      </c>
      <c r="H54" s="948">
        <v>195</v>
      </c>
      <c r="I54" s="948">
        <v>340</v>
      </c>
      <c r="J54" s="194"/>
      <c r="K54" s="189"/>
      <c r="T54" s="129"/>
      <c r="U54" s="585"/>
      <c r="V54" s="585"/>
      <c r="W54" s="129"/>
      <c r="X54" s="129"/>
      <c r="Y54" s="129"/>
      <c r="Z54" s="129"/>
      <c r="AA54" s="129"/>
      <c r="AB54" s="129"/>
      <c r="AC54" s="129"/>
      <c r="AD54" s="129"/>
      <c r="AE54" s="129"/>
      <c r="AF54" s="129"/>
      <c r="AG54" s="129"/>
      <c r="AH54" s="129"/>
      <c r="AI54" s="108"/>
      <c r="AJ54" s="108"/>
      <c r="AK54" s="108"/>
      <c r="AL54" s="137"/>
      <c r="AM54" s="137"/>
      <c r="AN54" s="137"/>
      <c r="AO54" s="137"/>
      <c r="AP54" s="137"/>
      <c r="AQ54" s="37"/>
      <c r="AR54" s="37"/>
      <c r="AS54" s="137"/>
      <c r="AT54" s="137"/>
    </row>
    <row r="55" spans="2:47" ht="16.149999999999999" customHeight="1" x14ac:dyDescent="0.2">
      <c r="B55" s="1169" t="s">
        <v>751</v>
      </c>
      <c r="C55" s="1169"/>
      <c r="D55" s="1169" t="s">
        <v>720</v>
      </c>
      <c r="E55" s="1169"/>
      <c r="F55" s="731">
        <v>176</v>
      </c>
      <c r="G55" s="948">
        <v>425</v>
      </c>
      <c r="H55" s="948">
        <v>245</v>
      </c>
      <c r="I55" s="948">
        <v>425</v>
      </c>
      <c r="J55" s="194"/>
      <c r="K55" s="189"/>
      <c r="N55" s="37" t="str">
        <f>" "&amp;ListAVS!$B$109</f>
        <v xml:space="preserve"> w połączeniu z SERVO-DRIVE</v>
      </c>
      <c r="T55" s="128"/>
      <c r="U55" s="585"/>
      <c r="V55" s="585"/>
      <c r="W55" s="129"/>
      <c r="X55" s="129"/>
      <c r="Y55" s="129"/>
      <c r="Z55" s="129"/>
      <c r="AA55" s="129"/>
      <c r="AB55" s="129"/>
      <c r="AC55" s="129"/>
      <c r="AD55" s="129"/>
      <c r="AE55" s="129"/>
      <c r="AF55" s="129"/>
      <c r="AG55" s="129"/>
      <c r="AH55" s="129"/>
      <c r="AI55" s="108"/>
      <c r="AJ55" s="108"/>
      <c r="AK55" s="108"/>
      <c r="AL55" s="137"/>
      <c r="AM55" s="137"/>
      <c r="AN55" s="137"/>
      <c r="AO55" s="137"/>
      <c r="AP55" s="37"/>
      <c r="AQ55" s="37"/>
      <c r="AR55" s="37"/>
      <c r="AS55" s="37"/>
      <c r="AT55" s="137"/>
    </row>
    <row r="56" spans="2:47" ht="16.149999999999999" customHeight="1" x14ac:dyDescent="0.2">
      <c r="B56" s="1169" t="s">
        <v>752</v>
      </c>
      <c r="C56" s="1169"/>
      <c r="D56" s="1169" t="s">
        <v>721</v>
      </c>
      <c r="E56" s="1169"/>
      <c r="F56" s="731">
        <v>214.5</v>
      </c>
      <c r="G56" s="948">
        <v>517</v>
      </c>
      <c r="H56" s="948">
        <v>297.5</v>
      </c>
      <c r="I56" s="948">
        <v>517</v>
      </c>
      <c r="J56" s="194"/>
      <c r="N56" s="37" t="str">
        <f>" "&amp;ListAVS!$B$110</f>
        <v xml:space="preserve"> niemożliwe w połączeniu z SERVO-DRIVE</v>
      </c>
      <c r="T56" s="129"/>
      <c r="U56" s="585"/>
      <c r="V56" s="585"/>
      <c r="W56" s="128"/>
      <c r="X56" s="128"/>
      <c r="Y56" s="129"/>
      <c r="Z56" s="129"/>
      <c r="AA56" s="129"/>
      <c r="AB56" s="129"/>
      <c r="AC56" s="129"/>
      <c r="AD56" s="129"/>
      <c r="AE56" s="129"/>
      <c r="AF56" s="129"/>
      <c r="AG56" s="129"/>
      <c r="AH56" s="129"/>
      <c r="AI56" s="108"/>
      <c r="AJ56" s="108"/>
      <c r="AK56" s="108"/>
      <c r="AL56" s="137"/>
      <c r="AM56" s="137"/>
      <c r="AN56" s="137"/>
      <c r="AO56" s="137"/>
      <c r="AP56" s="37"/>
      <c r="AQ56" s="37"/>
      <c r="AR56" s="37"/>
      <c r="AS56" s="37"/>
      <c r="AT56" s="137"/>
    </row>
    <row r="57" spans="2:47" ht="16.149999999999999" customHeight="1" x14ac:dyDescent="0.2">
      <c r="C57" s="268"/>
      <c r="D57" s="1177"/>
      <c r="E57" s="1177"/>
      <c r="F57" s="268"/>
      <c r="G57" s="268"/>
      <c r="H57" s="734"/>
      <c r="I57" s="194"/>
      <c r="J57" s="194"/>
      <c r="T57" s="129"/>
      <c r="U57" s="585"/>
      <c r="V57" s="585"/>
      <c r="W57" s="129"/>
      <c r="X57" s="129"/>
      <c r="Y57" s="129"/>
      <c r="Z57" s="129"/>
      <c r="AA57" s="129"/>
      <c r="AB57" s="129"/>
      <c r="AC57" s="129"/>
      <c r="AD57" s="129"/>
      <c r="AE57" s="129"/>
      <c r="AF57" s="129"/>
      <c r="AG57" s="129"/>
      <c r="AH57" s="129"/>
      <c r="AI57" s="108"/>
      <c r="AJ57" s="108"/>
      <c r="AK57" s="108"/>
      <c r="AL57" s="137"/>
      <c r="AM57" s="137"/>
      <c r="AN57" s="137"/>
      <c r="AO57" s="137"/>
      <c r="AP57" s="137"/>
      <c r="AQ57" s="37"/>
      <c r="AR57" s="37"/>
      <c r="AS57" s="137"/>
      <c r="AT57" s="37"/>
      <c r="AU57" s="37"/>
    </row>
    <row r="58" spans="2:47" ht="16.149999999999999" customHeight="1" x14ac:dyDescent="0.2">
      <c r="C58" s="227"/>
      <c r="D58" s="227"/>
      <c r="E58" s="227"/>
      <c r="F58" s="227"/>
      <c r="G58" s="227"/>
      <c r="O58" s="37"/>
      <c r="Q58" s="37"/>
      <c r="T58" s="129"/>
      <c r="U58" s="585"/>
      <c r="V58" s="585"/>
      <c r="W58" s="129"/>
      <c r="X58" s="129"/>
      <c r="Y58" s="129"/>
      <c r="Z58" s="129"/>
      <c r="AA58" s="129"/>
      <c r="AB58" s="129"/>
      <c r="AC58" s="129"/>
      <c r="AD58" s="129"/>
      <c r="AE58" s="129"/>
      <c r="AF58" s="129"/>
      <c r="AG58" s="129"/>
      <c r="AH58" s="129"/>
      <c r="AI58" s="108"/>
      <c r="AJ58" s="108"/>
      <c r="AK58" s="108"/>
      <c r="AL58" s="137"/>
      <c r="AM58" s="137"/>
      <c r="AN58" s="137"/>
      <c r="AO58" s="137"/>
      <c r="AP58" s="137"/>
      <c r="AQ58" s="37"/>
      <c r="AR58" s="37"/>
      <c r="AS58" s="137"/>
      <c r="AT58" s="37"/>
      <c r="AU58" s="37"/>
    </row>
    <row r="59" spans="2:47" s="37" customFormat="1" ht="16.149999999999999" customHeight="1" x14ac:dyDescent="0.2">
      <c r="C59" s="268"/>
      <c r="D59" s="1177"/>
      <c r="E59" s="1177"/>
      <c r="F59" s="788"/>
      <c r="G59" s="788"/>
      <c r="H59" s="195"/>
      <c r="I59" s="195"/>
      <c r="J59" s="195"/>
      <c r="O59" s="118"/>
      <c r="Q59" s="118"/>
      <c r="T59" s="129"/>
      <c r="U59" s="585"/>
      <c r="V59" s="585"/>
      <c r="W59" s="129"/>
      <c r="X59" s="129"/>
      <c r="Y59" s="129"/>
      <c r="Z59" s="129"/>
      <c r="AA59" s="129"/>
      <c r="AB59" s="129"/>
      <c r="AC59" s="129"/>
      <c r="AD59" s="129"/>
      <c r="AE59" s="129"/>
      <c r="AF59" s="129"/>
      <c r="AG59" s="129"/>
      <c r="AH59" s="129"/>
      <c r="AI59" s="108"/>
      <c r="AJ59" s="108"/>
      <c r="AK59" s="108"/>
      <c r="AL59" s="137"/>
      <c r="AM59" s="137"/>
      <c r="AN59" s="137"/>
      <c r="AO59" s="137"/>
      <c r="AP59" s="137"/>
      <c r="AS59" s="137"/>
      <c r="AT59" s="137"/>
      <c r="AU59" s="121"/>
    </row>
    <row r="60" spans="2:47" s="37" customFormat="1" ht="16.149999999999999" customHeight="1" x14ac:dyDescent="0.2">
      <c r="C60" s="268"/>
      <c r="D60" s="1177"/>
      <c r="E60" s="1177"/>
      <c r="F60" s="268"/>
      <c r="G60" s="268"/>
      <c r="H60" s="196"/>
      <c r="I60" s="196"/>
      <c r="J60" s="196"/>
      <c r="O60" s="118"/>
      <c r="Q60" s="118"/>
      <c r="T60" s="129"/>
      <c r="U60" s="585"/>
      <c r="V60" s="585"/>
      <c r="W60" s="129"/>
      <c r="X60" s="129"/>
      <c r="Y60" s="129"/>
      <c r="Z60" s="129"/>
      <c r="AA60" s="129"/>
      <c r="AB60" s="129"/>
      <c r="AC60" s="129"/>
      <c r="AD60" s="129"/>
      <c r="AE60" s="129"/>
      <c r="AF60" s="129"/>
      <c r="AG60" s="129"/>
      <c r="AH60" s="129"/>
      <c r="AI60" s="108"/>
      <c r="AJ60" s="108"/>
      <c r="AK60" s="108"/>
      <c r="AL60" s="137"/>
      <c r="AM60" s="137"/>
      <c r="AN60" s="137"/>
      <c r="AO60" s="137"/>
      <c r="AP60" s="137"/>
      <c r="AS60" s="137"/>
      <c r="AT60" s="137"/>
      <c r="AU60" s="121"/>
    </row>
    <row r="61" spans="2:47" ht="16.149999999999999" customHeight="1" x14ac:dyDescent="0.2">
      <c r="C61" s="227"/>
      <c r="D61" s="227"/>
      <c r="E61" s="227"/>
      <c r="F61" s="227"/>
      <c r="G61" s="227"/>
      <c r="H61" s="197"/>
      <c r="I61" s="153"/>
      <c r="J61" s="197"/>
      <c r="T61" s="129"/>
      <c r="U61" s="585"/>
      <c r="V61" s="585"/>
      <c r="W61" s="129"/>
      <c r="X61" s="129"/>
      <c r="Y61" s="129"/>
      <c r="Z61" s="129"/>
      <c r="AA61" s="129"/>
      <c r="AB61" s="129"/>
      <c r="AC61" s="129"/>
      <c r="AD61" s="129"/>
      <c r="AE61" s="129"/>
      <c r="AF61" s="129"/>
      <c r="AG61" s="129"/>
      <c r="AH61" s="129"/>
      <c r="AI61" s="108"/>
      <c r="AJ61" s="108"/>
      <c r="AK61" s="108"/>
      <c r="AL61" s="137"/>
      <c r="AM61" s="137"/>
      <c r="AN61" s="137"/>
      <c r="AO61" s="137"/>
      <c r="AP61" s="137"/>
      <c r="AQ61" s="37"/>
      <c r="AR61" s="37"/>
      <c r="AS61" s="137"/>
      <c r="AT61" s="137"/>
    </row>
    <row r="62" spans="2:47" ht="16.149999999999999" customHeight="1" x14ac:dyDescent="0.2">
      <c r="C62" s="268"/>
      <c r="D62" s="1177"/>
      <c r="E62" s="1177"/>
      <c r="F62" s="788"/>
      <c r="G62" s="788"/>
      <c r="H62" s="197"/>
      <c r="I62" s="153"/>
      <c r="J62" s="197"/>
      <c r="T62" s="129"/>
      <c r="U62" s="585"/>
      <c r="V62" s="585"/>
      <c r="W62" s="129"/>
      <c r="X62" s="129"/>
      <c r="Y62" s="129"/>
      <c r="Z62" s="129"/>
      <c r="AA62" s="129"/>
      <c r="AB62" s="129"/>
      <c r="AC62" s="129"/>
      <c r="AD62" s="129"/>
      <c r="AE62" s="129"/>
      <c r="AF62" s="129"/>
      <c r="AG62" s="129"/>
      <c r="AH62" s="129"/>
      <c r="AI62" s="108"/>
      <c r="AJ62" s="108"/>
      <c r="AK62" s="108"/>
      <c r="AL62" s="137"/>
      <c r="AM62" s="137"/>
      <c r="AN62" s="137"/>
      <c r="AO62" s="137"/>
      <c r="AP62" s="137"/>
      <c r="AQ62" s="37"/>
      <c r="AR62" s="37"/>
      <c r="AS62" s="137"/>
      <c r="AT62" s="137"/>
    </row>
    <row r="63" spans="2:47" ht="16.149999999999999" customHeight="1" x14ac:dyDescent="0.2">
      <c r="C63" s="268"/>
      <c r="D63" s="1177"/>
      <c r="E63" s="1177"/>
      <c r="F63" s="268"/>
      <c r="G63" s="268"/>
      <c r="H63" s="735"/>
      <c r="I63" s="735"/>
      <c r="T63" s="129"/>
      <c r="U63" s="585"/>
      <c r="V63" s="585"/>
      <c r="W63" s="129"/>
      <c r="X63" s="129"/>
      <c r="Y63" s="128"/>
      <c r="Z63" s="128"/>
      <c r="AA63" s="128"/>
      <c r="AB63" s="128"/>
      <c r="AC63" s="128"/>
      <c r="AD63" s="128"/>
      <c r="AE63" s="128"/>
      <c r="AF63" s="128"/>
      <c r="AG63" s="128"/>
      <c r="AH63" s="128"/>
      <c r="AI63" s="108"/>
      <c r="AJ63" s="108"/>
      <c r="AK63" s="108"/>
      <c r="AL63" s="137"/>
      <c r="AM63" s="137"/>
      <c r="AN63" s="137"/>
      <c r="AO63" s="137"/>
      <c r="AP63" s="137"/>
      <c r="AQ63" s="37"/>
      <c r="AR63" s="37"/>
      <c r="AS63" s="137"/>
      <c r="AT63" s="137"/>
    </row>
    <row r="64" spans="2:47" x14ac:dyDescent="0.2">
      <c r="C64" s="734"/>
      <c r="D64" s="734"/>
      <c r="E64" s="734"/>
      <c r="F64" s="734"/>
      <c r="G64" s="734"/>
      <c r="H64" s="734"/>
      <c r="I64" s="194"/>
      <c r="J64" s="194"/>
      <c r="K64" s="189"/>
      <c r="T64" s="128"/>
      <c r="U64" s="585"/>
      <c r="V64" s="585"/>
      <c r="W64" s="129"/>
      <c r="X64" s="129"/>
      <c r="Y64" s="129"/>
      <c r="Z64" s="129"/>
      <c r="AA64" s="129"/>
      <c r="AB64" s="129"/>
      <c r="AC64" s="129"/>
      <c r="AD64" s="129"/>
      <c r="AE64" s="129"/>
      <c r="AF64" s="129"/>
      <c r="AG64" s="129"/>
      <c r="AH64" s="129"/>
      <c r="AI64" s="108"/>
      <c r="AJ64" s="108"/>
      <c r="AK64" s="108"/>
      <c r="AL64" s="137"/>
      <c r="AM64" s="137"/>
      <c r="AN64" s="137"/>
      <c r="AO64" s="137"/>
      <c r="AP64" s="137"/>
      <c r="AQ64" s="37"/>
      <c r="AR64" s="37"/>
      <c r="AS64" s="137"/>
      <c r="AT64" s="137"/>
    </row>
    <row r="65" spans="1:47" x14ac:dyDescent="0.2">
      <c r="C65" s="127"/>
      <c r="T65" s="146"/>
      <c r="U65" s="585"/>
      <c r="V65" s="585"/>
      <c r="W65" s="585"/>
      <c r="Z65" s="118"/>
      <c r="AB65" s="118"/>
      <c r="AD65" s="585"/>
      <c r="AE65" s="585"/>
      <c r="AF65" s="585"/>
      <c r="AG65" s="585"/>
      <c r="AH65" s="585"/>
      <c r="AI65" s="108"/>
      <c r="AJ65" s="108"/>
      <c r="AK65" s="108"/>
      <c r="AL65" s="137"/>
      <c r="AM65" s="137"/>
      <c r="AN65" s="137"/>
      <c r="AO65" s="137"/>
      <c r="AP65" s="137"/>
      <c r="AQ65" s="37"/>
      <c r="AR65" s="37"/>
      <c r="AS65" s="137"/>
      <c r="AT65" s="137"/>
    </row>
    <row r="66" spans="1:47" x14ac:dyDescent="0.2">
      <c r="T66" s="585"/>
      <c r="U66" s="585"/>
      <c r="V66" s="585"/>
      <c r="W66" s="146"/>
      <c r="Y66" s="37" t="str">
        <f>" "&amp;ListAVS!$B$410</f>
        <v xml:space="preserve"> Możesz zmienić wartości we Wstępie do planowania</v>
      </c>
      <c r="Z66" s="118"/>
      <c r="AB66" s="118"/>
      <c r="AI66" s="108"/>
      <c r="AJ66" s="108"/>
      <c r="AK66" s="108"/>
      <c r="AL66" s="137"/>
      <c r="AM66" s="137"/>
      <c r="AN66" s="137"/>
      <c r="AO66" s="137"/>
      <c r="AP66" s="137"/>
      <c r="AQ66" s="37"/>
      <c r="AR66" s="37"/>
      <c r="AS66" s="137"/>
      <c r="AT66" s="137"/>
    </row>
    <row r="67" spans="1:47" x14ac:dyDescent="0.2">
      <c r="O67" s="37"/>
      <c r="Q67" s="37"/>
      <c r="Y67" s="37" t="str">
        <f>" "&amp;ListAVS!$B$245&amp;" [kg/m3]"</f>
        <v xml:space="preserve"> Podaj masę objętościową [kg/m3]</v>
      </c>
      <c r="Z67" s="118"/>
      <c r="AB67" s="118"/>
      <c r="AF67" s="585"/>
      <c r="AG67" s="585"/>
      <c r="AH67" s="585"/>
      <c r="AI67" s="585"/>
      <c r="AJ67" s="585"/>
      <c r="AK67" s="37"/>
      <c r="AL67" s="37"/>
      <c r="AM67" s="137"/>
      <c r="AN67" s="137"/>
      <c r="AO67" s="137"/>
      <c r="AP67" s="137"/>
      <c r="AQ67" s="37"/>
      <c r="AR67" s="37"/>
      <c r="AS67" s="137"/>
      <c r="AT67" s="137"/>
    </row>
    <row r="68" spans="1:47" x14ac:dyDescent="0.2">
      <c r="N68" s="172" t="str">
        <f>ListAVS!$B$73</f>
        <v>Obliczanie wagi frontów</v>
      </c>
      <c r="O68" s="173"/>
      <c r="P68" s="173"/>
      <c r="Q68" s="173"/>
      <c r="R68" s="173"/>
      <c r="Y68" s="37" t="str">
        <f>" "&amp;ListAVS!$B$241&amp;" '"&amp;ListAVS!$B$92&amp;"'"</f>
        <v xml:space="preserve"> Wartość obowiązuje tylko dla opcji 'Inne – wybrana gęstość materiału'</v>
      </c>
      <c r="Z68" s="118"/>
      <c r="AB68" s="118"/>
      <c r="AI68" s="37"/>
      <c r="AJ68" s="37"/>
      <c r="AK68" s="37"/>
      <c r="AL68" s="37"/>
      <c r="AM68" s="137"/>
      <c r="AN68" s="137"/>
      <c r="AO68" s="137"/>
      <c r="AP68" s="137"/>
      <c r="AQ68" s="37"/>
      <c r="AR68" s="37"/>
      <c r="AS68" s="137"/>
      <c r="AT68" s="137"/>
    </row>
    <row r="69" spans="1:47" ht="15.75" customHeight="1" x14ac:dyDescent="0.2">
      <c r="O69" s="37"/>
      <c r="P69" s="174" t="str">
        <f>ListAVS!$B$26&amp;"           "</f>
        <v xml:space="preserve">Materiał            </v>
      </c>
      <c r="Q69" s="37"/>
      <c r="T69" s="300">
        <f>J4</f>
        <v>0</v>
      </c>
      <c r="U69" s="175" t="str">
        <f>IF(Z72=3,IF(T69=0,Y67," "),IF(T69&gt;0,Y68," "))</f>
        <v xml:space="preserve"> </v>
      </c>
      <c r="Z69" s="118"/>
      <c r="AB69" s="118"/>
      <c r="AI69" s="37"/>
      <c r="AJ69" s="37"/>
      <c r="AK69" s="37"/>
      <c r="AL69" s="37"/>
      <c r="AM69" s="137"/>
      <c r="AN69" s="137"/>
      <c r="AO69" s="137"/>
      <c r="AP69" s="137"/>
      <c r="AQ69" s="37"/>
      <c r="AR69" s="37"/>
      <c r="AS69" s="137"/>
      <c r="AT69" s="137"/>
    </row>
    <row r="70" spans="1:47" ht="13.5" customHeight="1" x14ac:dyDescent="0.2">
      <c r="O70" s="37"/>
      <c r="P70" s="1098" t="str">
        <f>IF($Z$72&lt;&gt;3,$Y$66," ")&amp;"      "</f>
        <v xml:space="preserve"> Możesz zmienić wartości we Wstępie do planowania      </v>
      </c>
      <c r="Q70" s="1098"/>
      <c r="R70" s="1098"/>
      <c r="S70" s="1098"/>
      <c r="T70" s="1180"/>
      <c r="AA70" s="176">
        <f>IF(OR(T77&lt;8, T77&gt;14), 0, 1)</f>
        <v>0</v>
      </c>
      <c r="AB70" s="176"/>
      <c r="AC70" s="177"/>
      <c r="AI70" s="37"/>
      <c r="AJ70" s="37"/>
      <c r="AK70" s="37"/>
      <c r="AL70" s="37"/>
      <c r="AM70" s="137"/>
      <c r="AN70" s="137"/>
      <c r="AO70" s="137"/>
      <c r="AP70" s="137"/>
      <c r="AQ70" s="37"/>
      <c r="AR70" s="37"/>
      <c r="AS70" s="137"/>
      <c r="AT70" s="137"/>
    </row>
    <row r="71" spans="1:47" x14ac:dyDescent="0.2">
      <c r="N71" s="137"/>
      <c r="O71" s="37"/>
      <c r="Q71" s="37"/>
      <c r="Y71" s="37">
        <f>IF(AA$70=1, T75*T76*T77/1000000000, 0)</f>
        <v>0</v>
      </c>
      <c r="Z71" s="117">
        <v>3</v>
      </c>
      <c r="AA71" s="180" t="s">
        <v>88</v>
      </c>
      <c r="AB71" s="176"/>
      <c r="AC71" s="177"/>
      <c r="AI71" s="108"/>
      <c r="AJ71" s="108"/>
      <c r="AK71" s="108"/>
      <c r="AL71" s="137"/>
      <c r="AM71" s="137"/>
      <c r="AN71" s="137"/>
      <c r="AO71" s="137"/>
      <c r="AP71" s="118"/>
      <c r="AQ71" s="118"/>
      <c r="AR71" s="118"/>
      <c r="AS71" s="118"/>
      <c r="AT71" s="137"/>
    </row>
    <row r="72" spans="1:47" x14ac:dyDescent="0.2">
      <c r="N72" s="137"/>
      <c r="O72" s="37"/>
      <c r="Q72" s="37"/>
      <c r="Y72" s="602">
        <f>MenuAVS!$C31</f>
        <v>760</v>
      </c>
      <c r="Z72" s="175" t="str">
        <f>ListAVS!$B$90&amp;" ("&amp;Y72&amp;" kg/m3)"</f>
        <v>MDF (760 kg/m3)</v>
      </c>
      <c r="AA72" s="149"/>
      <c r="AB72" s="118"/>
      <c r="AE72" s="178"/>
      <c r="AF72" s="179"/>
      <c r="AI72" s="108"/>
      <c r="AJ72" s="108"/>
      <c r="AK72" s="108"/>
      <c r="AL72" s="137"/>
      <c r="AM72" s="137"/>
      <c r="AN72" s="137"/>
      <c r="AO72" s="137"/>
      <c r="AP72" s="118"/>
      <c r="AQ72" s="118"/>
      <c r="AR72" s="118"/>
      <c r="AS72" s="118"/>
      <c r="AT72" s="137"/>
    </row>
    <row r="73" spans="1:47" x14ac:dyDescent="0.2">
      <c r="O73" s="37"/>
      <c r="Q73" s="37"/>
      <c r="Y73" s="602">
        <f>MenuAVS!$C32</f>
        <v>680</v>
      </c>
      <c r="Z73" s="175" t="str">
        <f>ListAVS!$B$91&amp;" ("&amp;Y73&amp;" kg/m3)"</f>
        <v>Płyta wiórowa (680 kg/m3)</v>
      </c>
      <c r="AA73" s="149"/>
      <c r="AB73" s="118"/>
      <c r="AE73" s="181"/>
      <c r="AF73" s="178"/>
      <c r="AI73" s="108"/>
      <c r="AJ73" s="108"/>
      <c r="AK73" s="108"/>
      <c r="AL73" s="137"/>
      <c r="AM73" s="137"/>
      <c r="AN73" s="137"/>
      <c r="AO73" s="137"/>
      <c r="AP73" s="118"/>
      <c r="AQ73" s="118"/>
      <c r="AR73" s="118"/>
      <c r="AS73" s="118"/>
      <c r="AT73" s="118"/>
      <c r="AU73" s="118"/>
    </row>
    <row r="74" spans="1:47" ht="15.75" customHeight="1" x14ac:dyDescent="0.2">
      <c r="N74" s="137"/>
      <c r="O74" s="137"/>
      <c r="P74" s="137"/>
      <c r="Q74" s="37"/>
      <c r="R74" s="1082" t="str">
        <f>D9</f>
        <v xml:space="preserve"> </v>
      </c>
      <c r="S74" s="1083"/>
      <c r="T74" s="1084"/>
      <c r="Y74" s="602">
        <f>MenuAVS!$F31</f>
        <v>1350</v>
      </c>
      <c r="Z74" s="175" t="str">
        <f>ListAVS!$B$96&amp;" ("&amp;Y74&amp;" kg/m3)"</f>
        <v>Płyta kompaktowa (1350 kg/m3)</v>
      </c>
      <c r="AA74" s="184"/>
      <c r="AB74" s="184"/>
      <c r="AC74" s="178"/>
      <c r="AE74" s="181"/>
      <c r="AF74" s="178"/>
      <c r="AI74" s="108"/>
      <c r="AJ74" s="108"/>
      <c r="AK74" s="108"/>
      <c r="AL74" s="137"/>
      <c r="AM74" s="137"/>
      <c r="AN74" s="137"/>
      <c r="AO74" s="137"/>
      <c r="AP74" s="118"/>
      <c r="AQ74" s="118"/>
      <c r="AR74" s="118"/>
      <c r="AS74" s="118"/>
      <c r="AT74" s="118"/>
      <c r="AU74" s="118"/>
    </row>
    <row r="75" spans="1:47" s="118" customFormat="1" ht="13.5" customHeight="1" x14ac:dyDescent="0.2">
      <c r="A75" s="37"/>
      <c r="B75" s="37"/>
      <c r="C75" s="37"/>
      <c r="D75" s="37"/>
      <c r="E75" s="37"/>
      <c r="F75" s="37"/>
      <c r="G75" s="37"/>
      <c r="H75" s="37"/>
      <c r="I75" s="37"/>
      <c r="J75" s="37"/>
      <c r="K75" s="37"/>
      <c r="L75" s="37"/>
      <c r="N75" s="1125" t="str">
        <f>ListAVS!$B$74&amp;" KB [mm]       "</f>
        <v xml:space="preserve">Szerokość korpusu KB [mm]       </v>
      </c>
      <c r="O75" s="1126"/>
      <c r="P75" s="1126"/>
      <c r="Q75" s="1126"/>
      <c r="R75" s="1126"/>
      <c r="S75" s="1127"/>
      <c r="T75" s="300">
        <f>H10</f>
        <v>0</v>
      </c>
      <c r="U75" s="108"/>
      <c r="W75" s="37"/>
      <c r="X75" s="37"/>
      <c r="Y75" s="602">
        <f>MenuAVS!$F32</f>
        <v>1700</v>
      </c>
      <c r="Z75" s="175" t="str">
        <f>ListAVS!$B$97&amp;" ("&amp;Y75&amp;" kg/m3)"</f>
        <v>Płyta kompozytowa (1700 kg/m3)</v>
      </c>
      <c r="AA75" s="184"/>
      <c r="AB75" s="184"/>
      <c r="AC75" s="178"/>
      <c r="AE75" s="181"/>
      <c r="AF75" s="178"/>
      <c r="AM75" s="137"/>
      <c r="AN75" s="137"/>
      <c r="AO75" s="137"/>
    </row>
    <row r="76" spans="1:47" s="118" customFormat="1" ht="13.5" customHeight="1" x14ac:dyDescent="0.2">
      <c r="A76" s="37"/>
      <c r="B76" s="37"/>
      <c r="C76" s="37"/>
      <c r="D76" s="37"/>
      <c r="E76" s="37"/>
      <c r="F76" s="37"/>
      <c r="G76" s="37"/>
      <c r="H76" s="37"/>
      <c r="I76" s="37"/>
      <c r="J76" s="37"/>
      <c r="K76" s="37"/>
      <c r="L76" s="37"/>
      <c r="N76" s="1125" t="str">
        <f>ListAVS!$B$75&amp;" KH [mm]       "</f>
        <v xml:space="preserve">Wysokość korpusu KH [mm]       </v>
      </c>
      <c r="O76" s="1126"/>
      <c r="P76" s="1126"/>
      <c r="Q76" s="1126"/>
      <c r="R76" s="1126"/>
      <c r="S76" s="1127"/>
      <c r="T76" s="300">
        <f>H11</f>
        <v>0</v>
      </c>
      <c r="U76" s="108"/>
      <c r="W76" s="37"/>
      <c r="X76" s="37"/>
      <c r="Y76" s="602">
        <f>MenuAVS!$F33</f>
        <v>2600</v>
      </c>
      <c r="Z76" s="175" t="str">
        <f>ListAVS!$B$98&amp;" ("&amp;Y76&amp;" kg/m3)"</f>
        <v>Kamień (2600 kg/m3)</v>
      </c>
      <c r="AA76" s="184"/>
      <c r="AB76" s="184"/>
      <c r="AC76" s="178"/>
      <c r="AE76" s="178"/>
      <c r="AF76" s="178"/>
      <c r="AM76" s="137"/>
      <c r="AN76" s="137"/>
      <c r="AO76" s="137"/>
      <c r="AP76" s="137"/>
      <c r="AQ76" s="37"/>
      <c r="AR76" s="37"/>
      <c r="AS76" s="137"/>
    </row>
    <row r="77" spans="1:47" s="118" customFormat="1" ht="13.5" customHeight="1" x14ac:dyDescent="0.2">
      <c r="A77" s="37"/>
      <c r="B77" s="37"/>
      <c r="C77" s="37"/>
      <c r="D77" s="37"/>
      <c r="E77" s="37"/>
      <c r="F77" s="37"/>
      <c r="G77" s="37"/>
      <c r="H77" s="37"/>
      <c r="I77" s="37"/>
      <c r="J77" s="37"/>
      <c r="K77" s="37"/>
      <c r="L77" s="37"/>
      <c r="N77" s="1079" t="str">
        <f>ListAVS!$B$80&amp;" TS [mm] "</f>
        <v xml:space="preserve">Grubość frontu TS [mm] </v>
      </c>
      <c r="O77" s="1080"/>
      <c r="P77" s="1080"/>
      <c r="Q77" s="1080"/>
      <c r="R77" s="1080"/>
      <c r="S77" s="1081"/>
      <c r="T77" s="578">
        <f>H13</f>
        <v>0</v>
      </c>
      <c r="U77" s="130" t="str">
        <f>IF(SUM(T75,T76)=0," ",IF(T77=0," ● "&amp;ListAVS!$B$129, IF(T77&lt;8," min 8 mm!",IF(T77&gt;14," max. 14 mm!"," "))))</f>
        <v xml:space="preserve"> </v>
      </c>
      <c r="W77" s="37"/>
      <c r="X77" s="37"/>
      <c r="Y77" s="602">
        <f>MenuAVS!$I31</f>
        <v>2400</v>
      </c>
      <c r="Z77" s="175" t="str">
        <f>ListAVS!$B$99&amp;" ("&amp;Y77&amp;" kg/m3)"</f>
        <v>Ceramika (2400 kg/m3)</v>
      </c>
      <c r="AA77" s="184"/>
      <c r="AB77" s="184"/>
      <c r="AC77" s="178"/>
      <c r="AE77" s="178"/>
      <c r="AF77" s="178"/>
      <c r="AM77" s="137"/>
      <c r="AN77" s="137"/>
      <c r="AO77" s="137"/>
      <c r="AP77" s="137"/>
      <c r="AQ77" s="37"/>
      <c r="AR77" s="37"/>
      <c r="AS77" s="137"/>
    </row>
    <row r="78" spans="1:47" s="118" customFormat="1" ht="13.5" customHeight="1" x14ac:dyDescent="0.2">
      <c r="A78" s="37"/>
      <c r="B78" s="37"/>
      <c r="C78" s="37"/>
      <c r="D78" s="37"/>
      <c r="E78" s="37"/>
      <c r="F78" s="37"/>
      <c r="G78" s="37"/>
      <c r="H78" s="37"/>
      <c r="I78" s="37"/>
      <c r="J78" s="37"/>
      <c r="K78" s="37"/>
      <c r="L78" s="37"/>
      <c r="N78" s="1079" t="str">
        <f>ListAVS!$B$83&amp;" [kg] "</f>
        <v xml:space="preserve">Waga uchwytu [kg] </v>
      </c>
      <c r="O78" s="1080"/>
      <c r="P78" s="1080"/>
      <c r="Q78" s="1080"/>
      <c r="R78" s="1080"/>
      <c r="S78" s="1081"/>
      <c r="T78" s="578">
        <f>H14</f>
        <v>0</v>
      </c>
      <c r="U78" s="130" t="str">
        <f>IF(SUM(T75,T76)=0," ",IF(T78=0," ● "&amp;ListAVS!$B$130," "))</f>
        <v xml:space="preserve"> </v>
      </c>
      <c r="W78" s="37"/>
      <c r="X78" s="37"/>
      <c r="Y78" s="602">
        <f>MenuAVS!$I32</f>
        <v>2300</v>
      </c>
      <c r="Z78" s="175" t="str">
        <f>ListAVS!$B$100&amp;" ("&amp;Y78&amp;" kg/m3)"</f>
        <v>Beton (2300 kg/m3)</v>
      </c>
      <c r="AA78" s="184"/>
      <c r="AB78" s="184"/>
      <c r="AC78" s="178"/>
      <c r="AE78" s="178"/>
      <c r="AF78" s="178"/>
      <c r="AM78" s="137"/>
      <c r="AN78" s="137"/>
      <c r="AO78" s="137"/>
      <c r="AT78" s="137"/>
      <c r="AU78" s="121"/>
    </row>
    <row r="79" spans="1:47" s="118" customFormat="1" ht="13.5" customHeight="1" x14ac:dyDescent="0.2">
      <c r="A79" s="37"/>
      <c r="B79" s="37"/>
      <c r="C79" s="37"/>
      <c r="D79" s="37"/>
      <c r="E79" s="37"/>
      <c r="F79" s="37"/>
      <c r="G79" s="37"/>
      <c r="H79" s="37"/>
      <c r="I79" s="37"/>
      <c r="J79" s="37"/>
      <c r="K79" s="37"/>
      <c r="L79" s="37"/>
      <c r="N79" s="1079" t="str">
        <f>ListAVS!$B$79&amp;" [kg] "</f>
        <v xml:space="preserve">Obliczona waga frontu [kg] </v>
      </c>
      <c r="O79" s="1080"/>
      <c r="P79" s="1080"/>
      <c r="Q79" s="1080"/>
      <c r="R79" s="1080"/>
      <c r="S79" s="1081"/>
      <c r="T79" s="578">
        <f>IF(X79=0,0,X79+T78)</f>
        <v>0</v>
      </c>
      <c r="U79" s="119"/>
      <c r="W79" s="37"/>
      <c r="X79" s="186">
        <f>IF(T75*T76*T77=0,0,IF(Z71=1,Y71*Y72,IF(Z71=2,Y71*Y73, IF(Z71=3,Y71*Y74, IF(Z71=4, Y71*Y75, IF(Z71=5, Y71*Y76, IF(Z71=6, Y71*Y77, IF(Z71=7, Y71*Y78, Y71*Y79))))))))</f>
        <v>0</v>
      </c>
      <c r="Y79" s="144">
        <f>$T$69</f>
        <v>0</v>
      </c>
      <c r="Z79" s="175" t="str">
        <f>ListAVS!$B$92</f>
        <v>Inne – wybrana gęstość materiału</v>
      </c>
      <c r="AC79" s="37"/>
      <c r="AE79" s="178"/>
      <c r="AF79" s="178"/>
      <c r="AM79" s="137"/>
      <c r="AN79" s="137"/>
      <c r="AO79" s="137"/>
      <c r="AT79" s="137"/>
      <c r="AU79" s="121"/>
    </row>
    <row r="80" spans="1:47" ht="13.5" customHeight="1" x14ac:dyDescent="0.2">
      <c r="O80" s="142" t="str">
        <f>IF(T79&gt;0,IF(T78=0,$Z$95," ")," ")</f>
        <v xml:space="preserve"> </v>
      </c>
      <c r="Q80" s="37"/>
      <c r="Y80" s="144"/>
      <c r="AE80" s="178"/>
      <c r="AF80" s="178"/>
      <c r="AI80" s="108"/>
      <c r="AJ80" s="108"/>
      <c r="AK80" s="108"/>
      <c r="AL80" s="137"/>
      <c r="AM80" s="137"/>
      <c r="AN80" s="137"/>
      <c r="AO80" s="137"/>
      <c r="AP80" s="118"/>
      <c r="AQ80" s="118"/>
      <c r="AR80" s="118"/>
      <c r="AS80" s="118"/>
      <c r="AT80" s="118"/>
      <c r="AU80" s="118"/>
    </row>
    <row r="81" spans="1:47" ht="13.5" customHeight="1" x14ac:dyDescent="0.2">
      <c r="O81" s="142"/>
      <c r="Q81" s="37"/>
      <c r="Y81" s="144"/>
      <c r="AA81" s="176">
        <f>IF(OR(T88&lt;8, T88&gt;14), 0, 1)</f>
        <v>0</v>
      </c>
      <c r="AB81" s="176"/>
      <c r="AC81" s="176"/>
      <c r="AE81" s="187"/>
      <c r="AF81" s="178"/>
      <c r="AI81" s="108"/>
      <c r="AJ81" s="108"/>
      <c r="AK81" s="108"/>
      <c r="AL81" s="137"/>
      <c r="AM81" s="137"/>
      <c r="AN81" s="137"/>
      <c r="AO81" s="137"/>
      <c r="AP81" s="118"/>
      <c r="AQ81" s="118"/>
      <c r="AR81" s="118"/>
      <c r="AS81" s="118"/>
      <c r="AT81" s="118"/>
      <c r="AU81" s="118"/>
    </row>
    <row r="82" spans="1:47" ht="13.5" customHeight="1" x14ac:dyDescent="0.2">
      <c r="O82" s="142"/>
      <c r="Q82" s="37"/>
      <c r="Y82" s="144">
        <f>IF(AA$81=1, T86*T87*T88/1000000000, 0)</f>
        <v>0</v>
      </c>
      <c r="Z82" s="182">
        <f>Z71</f>
        <v>3</v>
      </c>
      <c r="AA82" s="180" t="s">
        <v>88</v>
      </c>
      <c r="AB82" s="180"/>
      <c r="AC82" s="180"/>
      <c r="AE82" s="187"/>
      <c r="AF82" s="178"/>
      <c r="AI82" s="118"/>
      <c r="AJ82" s="37"/>
      <c r="AK82" s="37"/>
      <c r="AL82" s="37"/>
      <c r="AM82" s="137"/>
      <c r="AN82" s="137"/>
      <c r="AO82" s="137"/>
      <c r="AP82" s="118"/>
      <c r="AQ82" s="118"/>
      <c r="AR82" s="118"/>
      <c r="AS82" s="118"/>
      <c r="AT82" s="118"/>
      <c r="AU82" s="118"/>
    </row>
    <row r="83" spans="1:47" x14ac:dyDescent="0.2">
      <c r="O83" s="37"/>
      <c r="Q83" s="37"/>
      <c r="Y83" s="602">
        <f>$Y$72</f>
        <v>760</v>
      </c>
      <c r="Z83" s="37" t="str">
        <f>$Z$72</f>
        <v>MDF (760 kg/m3)</v>
      </c>
      <c r="AA83" s="118"/>
      <c r="AB83" s="184"/>
      <c r="AC83" s="184"/>
      <c r="AE83" s="187"/>
      <c r="AF83" s="178"/>
      <c r="AI83" s="118"/>
      <c r="AJ83" s="37"/>
      <c r="AK83" s="37"/>
      <c r="AL83" s="37"/>
      <c r="AM83" s="137"/>
      <c r="AN83" s="137"/>
      <c r="AO83" s="137"/>
      <c r="AP83" s="118"/>
      <c r="AQ83" s="118"/>
      <c r="AR83" s="118"/>
      <c r="AS83" s="118"/>
      <c r="AT83" s="118"/>
      <c r="AU83" s="118"/>
    </row>
    <row r="84" spans="1:47" s="118" customFormat="1" x14ac:dyDescent="0.2">
      <c r="A84" s="37"/>
      <c r="B84" s="37"/>
      <c r="C84" s="37"/>
      <c r="D84" s="37"/>
      <c r="E84" s="37"/>
      <c r="F84" s="37"/>
      <c r="G84" s="37"/>
      <c r="H84" s="37"/>
      <c r="I84" s="37"/>
      <c r="J84" s="37"/>
      <c r="K84" s="37"/>
      <c r="L84" s="37"/>
      <c r="N84" s="37"/>
      <c r="O84" s="37"/>
      <c r="P84" s="37"/>
      <c r="Q84" s="37"/>
      <c r="R84" s="37"/>
      <c r="S84" s="37"/>
      <c r="T84" s="37"/>
      <c r="U84" s="37"/>
      <c r="V84" s="37"/>
      <c r="W84" s="37"/>
      <c r="X84" s="37"/>
      <c r="Y84" s="602">
        <f>$Y$73</f>
        <v>680</v>
      </c>
      <c r="Z84" s="37" t="str">
        <f>$Z$73</f>
        <v>Płyta wiórowa (680 kg/m3)</v>
      </c>
      <c r="AB84" s="184"/>
      <c r="AC84" s="184"/>
      <c r="AE84" s="187"/>
      <c r="AF84" s="178"/>
      <c r="AG84" s="37"/>
      <c r="AH84" s="37"/>
      <c r="AJ84" s="37"/>
      <c r="AK84" s="37"/>
      <c r="AL84" s="37"/>
      <c r="AM84" s="137"/>
      <c r="AN84" s="137"/>
      <c r="AO84" s="137"/>
    </row>
    <row r="85" spans="1:47" s="118" customFormat="1" ht="15.75" customHeight="1" x14ac:dyDescent="0.2">
      <c r="A85" s="37"/>
      <c r="B85" s="37"/>
      <c r="C85" s="37"/>
      <c r="D85" s="37"/>
      <c r="E85" s="37"/>
      <c r="F85" s="37"/>
      <c r="G85" s="37"/>
      <c r="H85" s="37"/>
      <c r="I85" s="37"/>
      <c r="J85" s="37"/>
      <c r="K85" s="37"/>
      <c r="L85" s="37"/>
      <c r="Q85" s="37"/>
      <c r="R85" s="1082" t="str">
        <f>D20</f>
        <v xml:space="preserve"> </v>
      </c>
      <c r="S85" s="1083"/>
      <c r="T85" s="1084"/>
      <c r="U85" s="37"/>
      <c r="V85" s="37"/>
      <c r="W85" s="37"/>
      <c r="X85" s="37"/>
      <c r="Y85" s="602">
        <f>$Y$74</f>
        <v>1350</v>
      </c>
      <c r="Z85" s="37" t="str">
        <f>$Z$74</f>
        <v>Płyta kompaktowa (1350 kg/m3)</v>
      </c>
      <c r="AA85" s="184"/>
      <c r="AB85" s="184"/>
      <c r="AC85" s="184"/>
      <c r="AD85" s="37"/>
      <c r="AE85" s="187"/>
      <c r="AF85" s="178"/>
      <c r="AG85" s="178"/>
      <c r="AH85" s="178"/>
      <c r="AI85" s="178"/>
      <c r="AJ85" s="37"/>
      <c r="AK85" s="37"/>
      <c r="AL85" s="37"/>
      <c r="AM85" s="137"/>
      <c r="AN85" s="137"/>
      <c r="AO85" s="137"/>
    </row>
    <row r="86" spans="1:47" s="118" customFormat="1" ht="13.5" customHeight="1" x14ac:dyDescent="0.2">
      <c r="A86" s="37"/>
      <c r="B86" s="37"/>
      <c r="C86" s="37"/>
      <c r="D86" s="37"/>
      <c r="E86" s="37"/>
      <c r="F86" s="37"/>
      <c r="G86" s="37"/>
      <c r="H86" s="37"/>
      <c r="I86" s="37"/>
      <c r="J86" s="37"/>
      <c r="K86" s="37"/>
      <c r="L86" s="37"/>
      <c r="N86" s="1125" t="str">
        <f>ListAVS!$B$74&amp;" KB [mm]       "</f>
        <v xml:space="preserve">Szerokość korpusu KB [mm]       </v>
      </c>
      <c r="O86" s="1126"/>
      <c r="P86" s="1126"/>
      <c r="Q86" s="1126"/>
      <c r="R86" s="1126"/>
      <c r="S86" s="1127"/>
      <c r="T86" s="300">
        <f>H21</f>
        <v>0</v>
      </c>
      <c r="U86" s="108"/>
      <c r="V86" s="37"/>
      <c r="W86" s="37"/>
      <c r="X86" s="37"/>
      <c r="Y86" s="602">
        <f>$Y$75</f>
        <v>1700</v>
      </c>
      <c r="Z86" s="37" t="str">
        <f>$Z$75</f>
        <v>Płyta kompozytowa (1700 kg/m3)</v>
      </c>
      <c r="AA86" s="184"/>
      <c r="AB86" s="184"/>
      <c r="AC86" s="184"/>
      <c r="AG86" s="178"/>
      <c r="AH86" s="178"/>
      <c r="AI86" s="178"/>
      <c r="AJ86" s="37"/>
      <c r="AK86" s="37"/>
      <c r="AL86" s="37"/>
      <c r="AM86" s="137"/>
      <c r="AN86" s="137"/>
      <c r="AO86" s="137"/>
    </row>
    <row r="87" spans="1:47" s="118" customFormat="1" ht="13.5" customHeight="1" x14ac:dyDescent="0.2">
      <c r="A87" s="37"/>
      <c r="B87" s="37"/>
      <c r="C87" s="37"/>
      <c r="D87" s="37"/>
      <c r="E87" s="37"/>
      <c r="F87" s="37"/>
      <c r="G87" s="37"/>
      <c r="H87" s="37"/>
      <c r="I87" s="37"/>
      <c r="J87" s="37"/>
      <c r="K87" s="37"/>
      <c r="L87" s="37"/>
      <c r="N87" s="1125" t="str">
        <f>ListAVS!$B$75&amp;" KH [mm]       "</f>
        <v xml:space="preserve">Wysokość korpusu KH [mm]       </v>
      </c>
      <c r="O87" s="1126"/>
      <c r="P87" s="1126"/>
      <c r="Q87" s="1126"/>
      <c r="R87" s="1126"/>
      <c r="S87" s="1127"/>
      <c r="T87" s="300">
        <f>H22</f>
        <v>0</v>
      </c>
      <c r="U87" s="108"/>
      <c r="V87" s="37"/>
      <c r="W87" s="37"/>
      <c r="X87" s="37"/>
      <c r="Y87" s="602">
        <f>$Y$76</f>
        <v>2600</v>
      </c>
      <c r="Z87" s="37" t="str">
        <f>$Z$76</f>
        <v>Kamień (2600 kg/m3)</v>
      </c>
      <c r="AA87" s="184"/>
      <c r="AB87" s="184"/>
      <c r="AC87" s="184"/>
      <c r="AG87" s="188"/>
      <c r="AH87" s="178"/>
      <c r="AI87" s="178"/>
      <c r="AJ87" s="37"/>
      <c r="AK87" s="37"/>
      <c r="AL87" s="37"/>
      <c r="AM87" s="137"/>
      <c r="AN87" s="137"/>
      <c r="AO87" s="137"/>
    </row>
    <row r="88" spans="1:47" s="118" customFormat="1" ht="13.5" customHeight="1" x14ac:dyDescent="0.2">
      <c r="A88" s="37"/>
      <c r="B88" s="37"/>
      <c r="C88" s="37"/>
      <c r="D88" s="37"/>
      <c r="E88" s="37"/>
      <c r="F88" s="37"/>
      <c r="G88" s="37"/>
      <c r="H88" s="37"/>
      <c r="I88" s="37"/>
      <c r="J88" s="37"/>
      <c r="K88" s="37"/>
      <c r="L88" s="37"/>
      <c r="N88" s="1079" t="str">
        <f>ListAVS!$B$80&amp;" TS [mm] "</f>
        <v xml:space="preserve">Grubość frontu TS [mm] </v>
      </c>
      <c r="O88" s="1080"/>
      <c r="P88" s="1080"/>
      <c r="Q88" s="1080"/>
      <c r="R88" s="1080"/>
      <c r="S88" s="1081"/>
      <c r="T88" s="578">
        <f>H24</f>
        <v>0</v>
      </c>
      <c r="U88" s="130" t="str">
        <f>IF(SUM(T86,T87)=0," ",IF(T88=0," ● "&amp;ListAVS!$B$129, IF(T88&lt;8," min 8 mm!",IF(T88&gt;14," max. 14 mm!"," "))))</f>
        <v xml:space="preserve"> </v>
      </c>
      <c r="X88" s="37"/>
      <c r="Y88" s="602">
        <f>$Y$77</f>
        <v>2400</v>
      </c>
      <c r="Z88" s="37" t="str">
        <f>$Z$77</f>
        <v>Ceramika (2400 kg/m3)</v>
      </c>
      <c r="AA88" s="184"/>
      <c r="AG88" s="179"/>
      <c r="AH88" s="178"/>
      <c r="AI88" s="178"/>
      <c r="AJ88" s="37"/>
      <c r="AK88" s="37"/>
      <c r="AL88" s="37"/>
      <c r="AM88" s="137"/>
      <c r="AN88" s="137"/>
      <c r="AO88" s="137"/>
    </row>
    <row r="89" spans="1:47" s="118" customFormat="1" ht="13.5" customHeight="1" x14ac:dyDescent="0.2">
      <c r="A89" s="37"/>
      <c r="B89" s="37"/>
      <c r="C89" s="37"/>
      <c r="D89" s="37"/>
      <c r="E89" s="37"/>
      <c r="F89" s="37"/>
      <c r="G89" s="37"/>
      <c r="H89" s="37"/>
      <c r="I89" s="37"/>
      <c r="J89" s="37"/>
      <c r="K89" s="37"/>
      <c r="L89" s="37"/>
      <c r="N89" s="1079" t="str">
        <f>ListAVS!$B$83&amp;" [kg] "</f>
        <v xml:space="preserve">Waga uchwytu [kg] </v>
      </c>
      <c r="O89" s="1080"/>
      <c r="P89" s="1080"/>
      <c r="Q89" s="1080"/>
      <c r="R89" s="1080"/>
      <c r="S89" s="1081"/>
      <c r="T89" s="578">
        <f>H25</f>
        <v>0</v>
      </c>
      <c r="U89" s="130" t="str">
        <f>IF(SUM(T86,T87)=0," ",IF(T89=0," ● "&amp;ListAVS!$B$130," "))</f>
        <v xml:space="preserve"> </v>
      </c>
      <c r="X89" s="37"/>
      <c r="Y89" s="602">
        <f>$Y$78</f>
        <v>2300</v>
      </c>
      <c r="Z89" s="37" t="str">
        <f>$Z$78</f>
        <v>Beton (2300 kg/m3)</v>
      </c>
      <c r="AA89" s="184"/>
      <c r="AB89" s="37"/>
      <c r="AC89" s="37"/>
      <c r="AD89" s="37"/>
      <c r="AE89" s="193"/>
      <c r="AF89" s="37"/>
      <c r="AG89" s="37"/>
      <c r="AH89" s="37"/>
      <c r="AI89" s="37"/>
      <c r="AJ89" s="37"/>
      <c r="AK89" s="37"/>
      <c r="AL89" s="37"/>
      <c r="AM89" s="137"/>
      <c r="AN89" s="137"/>
      <c r="AO89" s="137"/>
    </row>
    <row r="90" spans="1:47" s="118" customFormat="1" ht="13.5" customHeight="1" x14ac:dyDescent="0.2">
      <c r="A90" s="37"/>
      <c r="B90" s="37"/>
      <c r="C90" s="37"/>
      <c r="D90" s="37"/>
      <c r="E90" s="37"/>
      <c r="F90" s="37"/>
      <c r="G90" s="37"/>
      <c r="H90" s="37"/>
      <c r="I90" s="37"/>
      <c r="J90" s="37"/>
      <c r="K90" s="37"/>
      <c r="L90" s="37"/>
      <c r="N90" s="1079" t="str">
        <f>ListAVS!$B$79&amp;" [kg] "</f>
        <v xml:space="preserve">Obliczona waga frontu [kg] </v>
      </c>
      <c r="O90" s="1080"/>
      <c r="P90" s="1080"/>
      <c r="Q90" s="1080"/>
      <c r="R90" s="1080"/>
      <c r="S90" s="1081"/>
      <c r="T90" s="578">
        <f>IF(X90=0,0,X90+T89)</f>
        <v>0</v>
      </c>
      <c r="U90" s="119"/>
      <c r="X90" s="186">
        <f>IF(T86*T87*T88=0,0,IF(Z82=1,Y82*Y83,IF(Z82=2,Y82*Y84, IF(Z82=3,Y82*Y85, IF(Z82=4, Y82*Y86, IF(Z82=5, Y82*Y87, IF(Z82=6, Y82*Y88, IF(Z82=7, Y82*Y89, Y82*Y90))))))))</f>
        <v>0</v>
      </c>
      <c r="Y90" s="144">
        <f>$Y$79</f>
        <v>0</v>
      </c>
      <c r="Z90" s="37" t="str">
        <f>$Z$79</f>
        <v>Inne – wybrana gęstość materiału</v>
      </c>
      <c r="AB90" s="37"/>
      <c r="AC90" s="37"/>
      <c r="AD90" s="37"/>
      <c r="AE90" s="37"/>
      <c r="AF90" s="37"/>
      <c r="AG90" s="37"/>
      <c r="AH90" s="37"/>
      <c r="AI90" s="37"/>
      <c r="AJ90" s="37"/>
      <c r="AK90" s="37"/>
      <c r="AL90" s="37"/>
      <c r="AM90" s="137"/>
      <c r="AN90" s="137"/>
      <c r="AO90" s="137"/>
    </row>
    <row r="91" spans="1:47" s="118" customFormat="1" x14ac:dyDescent="0.2">
      <c r="A91" s="37"/>
      <c r="B91" s="37"/>
      <c r="C91" s="37"/>
      <c r="D91" s="37"/>
      <c r="E91" s="37"/>
      <c r="F91" s="37"/>
      <c r="G91" s="37"/>
      <c r="H91" s="37"/>
      <c r="I91" s="37"/>
      <c r="J91" s="37"/>
      <c r="K91" s="37"/>
      <c r="L91" s="37"/>
      <c r="N91" s="37"/>
      <c r="O91" s="142" t="str">
        <f>IF(T90&gt;0,IF(T89=0,$Z$95," ")," ")</f>
        <v xml:space="preserve"> </v>
      </c>
      <c r="P91" s="37"/>
      <c r="Q91" s="37"/>
      <c r="R91" s="37"/>
      <c r="S91" s="37"/>
      <c r="T91" s="37"/>
      <c r="U91" s="37"/>
      <c r="V91" s="37"/>
      <c r="W91" s="37"/>
      <c r="X91" s="37"/>
      <c r="Y91" s="37"/>
      <c r="Z91" s="37"/>
      <c r="AB91" s="37"/>
      <c r="AD91" s="37"/>
      <c r="AE91" s="37"/>
      <c r="AF91" s="37"/>
      <c r="AG91" s="37"/>
      <c r="AH91" s="37"/>
      <c r="AI91" s="37"/>
      <c r="AJ91" s="37"/>
      <c r="AK91" s="37"/>
      <c r="AL91" s="37"/>
      <c r="AM91" s="137"/>
      <c r="AN91" s="137"/>
      <c r="AO91" s="137"/>
    </row>
    <row r="92" spans="1:47" s="118" customFormat="1" x14ac:dyDescent="0.2">
      <c r="A92" s="37"/>
      <c r="B92" s="37"/>
      <c r="C92" s="37"/>
      <c r="D92" s="37"/>
      <c r="E92" s="37"/>
      <c r="F92" s="37"/>
      <c r="G92" s="37"/>
      <c r="H92" s="37"/>
      <c r="I92" s="37"/>
      <c r="J92" s="37"/>
      <c r="K92" s="37"/>
      <c r="L92" s="37"/>
      <c r="N92" s="37"/>
      <c r="O92" s="37"/>
      <c r="P92" s="37"/>
      <c r="Q92" s="37"/>
      <c r="R92" s="37"/>
      <c r="S92" s="37"/>
      <c r="T92" s="37"/>
      <c r="U92" s="37"/>
      <c r="V92" s="37"/>
      <c r="W92" s="37"/>
      <c r="X92" s="37"/>
      <c r="Y92" s="37"/>
      <c r="Z92" s="37"/>
      <c r="AB92" s="37"/>
      <c r="AD92" s="37"/>
      <c r="AE92" s="37"/>
      <c r="AF92" s="37"/>
      <c r="AG92" s="37"/>
      <c r="AH92" s="37"/>
      <c r="AI92" s="37"/>
      <c r="AJ92" s="37"/>
      <c r="AK92" s="37"/>
      <c r="AL92" s="37"/>
      <c r="AM92" s="137"/>
      <c r="AN92" s="137"/>
      <c r="AO92" s="137"/>
    </row>
    <row r="93" spans="1:47" s="118" customFormat="1" x14ac:dyDescent="0.2">
      <c r="A93" s="37"/>
      <c r="B93" s="37"/>
      <c r="C93" s="37"/>
      <c r="D93" s="37"/>
      <c r="E93" s="37"/>
      <c r="F93" s="37"/>
      <c r="G93" s="37"/>
      <c r="H93" s="37"/>
      <c r="I93" s="37"/>
      <c r="J93" s="37"/>
      <c r="K93" s="37"/>
      <c r="L93" s="37"/>
      <c r="N93" s="37"/>
      <c r="O93" s="37"/>
      <c r="P93" s="37"/>
      <c r="Q93" s="37"/>
      <c r="R93" s="37"/>
      <c r="S93" s="37"/>
      <c r="T93" s="37"/>
      <c r="U93" s="37"/>
      <c r="V93" s="37"/>
      <c r="W93" s="37"/>
      <c r="X93" s="37"/>
      <c r="Y93" s="37"/>
      <c r="Z93" s="37"/>
      <c r="AB93" s="37"/>
      <c r="AD93" s="37"/>
      <c r="AE93" s="37"/>
      <c r="AF93" s="37"/>
      <c r="AG93" s="37"/>
      <c r="AH93" s="37"/>
      <c r="AI93" s="37"/>
      <c r="AJ93" s="37"/>
      <c r="AK93" s="37"/>
      <c r="AL93" s="37"/>
      <c r="AM93" s="137"/>
      <c r="AN93" s="137"/>
      <c r="AO93" s="137"/>
    </row>
    <row r="94" spans="1:47" s="118" customFormat="1" x14ac:dyDescent="0.2">
      <c r="A94" s="37"/>
      <c r="B94" s="37"/>
      <c r="C94" s="37"/>
      <c r="D94" s="37"/>
      <c r="E94" s="37"/>
      <c r="F94" s="37"/>
      <c r="G94" s="37"/>
      <c r="H94" s="37"/>
      <c r="I94" s="37"/>
      <c r="J94" s="37"/>
      <c r="K94" s="37"/>
      <c r="L94" s="37"/>
      <c r="N94" s="37"/>
      <c r="O94" s="37"/>
      <c r="P94" s="37"/>
      <c r="Q94" s="37"/>
      <c r="R94" s="37"/>
      <c r="S94" s="37"/>
      <c r="T94" s="37"/>
      <c r="U94" s="37"/>
      <c r="V94" s="37"/>
      <c r="W94" s="37"/>
      <c r="X94" s="37"/>
      <c r="Y94" s="37"/>
      <c r="Z94" s="37"/>
      <c r="AB94" s="37"/>
      <c r="AD94" s="37"/>
      <c r="AE94" s="37"/>
      <c r="AF94" s="37"/>
      <c r="AG94" s="37"/>
      <c r="AH94" s="37"/>
      <c r="AI94" s="37"/>
      <c r="AJ94" s="37"/>
      <c r="AK94" s="37"/>
      <c r="AL94" s="37"/>
      <c r="AM94" s="137"/>
      <c r="AN94" s="137"/>
      <c r="AO94" s="137"/>
    </row>
    <row r="95" spans="1:47" s="118" customFormat="1" x14ac:dyDescent="0.2">
      <c r="A95" s="37"/>
      <c r="B95" s="37"/>
      <c r="C95" s="37"/>
      <c r="D95" s="37"/>
      <c r="E95" s="37"/>
      <c r="F95" s="37"/>
      <c r="G95" s="37"/>
      <c r="H95" s="37"/>
      <c r="I95" s="37"/>
      <c r="J95" s="37"/>
      <c r="K95" s="37"/>
      <c r="L95" s="37"/>
      <c r="N95" s="37"/>
      <c r="O95" s="37"/>
      <c r="P95" s="37"/>
      <c r="Q95" s="37"/>
      <c r="R95" s="37"/>
      <c r="S95" s="37"/>
      <c r="T95" s="37"/>
      <c r="U95" s="37"/>
      <c r="V95" s="37"/>
      <c r="W95" s="37"/>
      <c r="X95" s="37"/>
      <c r="Y95" s="37"/>
      <c r="Z95" s="37" t="str">
        <f>ListAVS!$B$103&amp;"!"</f>
        <v>Bez wagi uchwytu!</v>
      </c>
      <c r="AB95" s="37"/>
      <c r="AD95" s="37"/>
      <c r="AE95" s="37"/>
      <c r="AF95" s="37"/>
      <c r="AG95" s="37"/>
      <c r="AH95" s="37"/>
      <c r="AI95" s="37"/>
      <c r="AJ95" s="37"/>
      <c r="AK95" s="37"/>
      <c r="AL95" s="37"/>
      <c r="AM95" s="137"/>
      <c r="AN95" s="137"/>
      <c r="AO95" s="137"/>
    </row>
    <row r="96" spans="1:47" s="118" customFormat="1" x14ac:dyDescent="0.2">
      <c r="A96" s="37"/>
      <c r="B96" s="37"/>
      <c r="C96" s="37"/>
      <c r="D96" s="37"/>
      <c r="E96" s="37"/>
      <c r="F96" s="37"/>
      <c r="G96" s="37"/>
      <c r="H96" s="37"/>
      <c r="I96" s="37"/>
      <c r="J96" s="37"/>
      <c r="K96" s="37"/>
      <c r="L96" s="37"/>
      <c r="N96" s="37"/>
      <c r="O96" s="37"/>
      <c r="P96" s="37"/>
      <c r="Q96" s="37"/>
      <c r="R96" s="37"/>
      <c r="S96" s="37"/>
      <c r="T96" s="37"/>
      <c r="U96" s="37"/>
      <c r="V96" s="37"/>
      <c r="W96" s="37"/>
      <c r="X96" s="37"/>
      <c r="Y96" s="37"/>
      <c r="Z96" s="37"/>
      <c r="AB96" s="37"/>
      <c r="AD96" s="37"/>
      <c r="AE96" s="37"/>
      <c r="AF96" s="37"/>
      <c r="AG96" s="37"/>
      <c r="AH96" s="37"/>
      <c r="AI96" s="37"/>
      <c r="AJ96" s="37"/>
      <c r="AK96" s="37"/>
      <c r="AL96" s="37"/>
      <c r="AM96" s="137"/>
      <c r="AN96" s="137"/>
      <c r="AO96" s="137"/>
    </row>
    <row r="97" spans="1:47" s="118" customFormat="1" x14ac:dyDescent="0.2">
      <c r="A97" s="37"/>
      <c r="B97" s="37"/>
      <c r="C97" s="37"/>
      <c r="D97" s="37"/>
      <c r="E97" s="37"/>
      <c r="F97" s="37"/>
      <c r="G97" s="37"/>
      <c r="H97" s="37"/>
      <c r="I97" s="37"/>
      <c r="J97" s="37"/>
      <c r="K97" s="37"/>
      <c r="L97" s="37"/>
      <c r="N97" s="37"/>
      <c r="O97" s="37"/>
      <c r="P97" s="37"/>
      <c r="Q97" s="37"/>
      <c r="R97" s="37"/>
      <c r="S97" s="37"/>
      <c r="T97" s="37"/>
      <c r="U97" s="37"/>
      <c r="V97" s="37"/>
      <c r="W97" s="37"/>
      <c r="X97" s="37"/>
      <c r="Y97" s="37"/>
      <c r="Z97" s="37"/>
      <c r="AB97" s="37"/>
      <c r="AD97" s="37"/>
      <c r="AE97" s="37"/>
      <c r="AF97" s="37"/>
      <c r="AG97" s="37"/>
      <c r="AH97" s="37"/>
      <c r="AI97" s="37"/>
      <c r="AJ97" s="37"/>
      <c r="AK97" s="37"/>
      <c r="AL97" s="37"/>
      <c r="AM97" s="137"/>
      <c r="AN97" s="137"/>
      <c r="AO97" s="137"/>
    </row>
    <row r="98" spans="1:47" s="118" customFormat="1" x14ac:dyDescent="0.2">
      <c r="A98" s="37"/>
      <c r="B98" s="37"/>
      <c r="C98" s="37"/>
      <c r="D98" s="37"/>
      <c r="E98" s="37"/>
      <c r="F98" s="37"/>
      <c r="G98" s="37"/>
      <c r="H98" s="37"/>
      <c r="I98" s="37"/>
      <c r="J98" s="37"/>
      <c r="K98" s="37"/>
      <c r="L98" s="37"/>
      <c r="N98" s="37"/>
      <c r="O98" s="37"/>
      <c r="P98" s="37"/>
      <c r="Q98" s="37"/>
      <c r="R98" s="37"/>
      <c r="S98" s="37"/>
      <c r="T98" s="37"/>
      <c r="U98" s="37"/>
      <c r="V98" s="37"/>
      <c r="W98" s="37"/>
      <c r="X98" s="37"/>
      <c r="Y98" s="37"/>
      <c r="Z98" s="37"/>
      <c r="AB98" s="37"/>
      <c r="AD98" s="37"/>
      <c r="AE98" s="37"/>
      <c r="AF98" s="37"/>
      <c r="AG98" s="37"/>
      <c r="AH98" s="37"/>
      <c r="AI98" s="37"/>
      <c r="AJ98" s="37"/>
      <c r="AK98" s="37"/>
      <c r="AL98" s="37"/>
      <c r="AM98" s="137"/>
      <c r="AN98" s="137"/>
      <c r="AO98" s="137"/>
    </row>
    <row r="99" spans="1:47" s="37" customFormat="1" x14ac:dyDescent="0.2">
      <c r="A99" s="1045"/>
      <c r="O99" s="118"/>
      <c r="Q99" s="118"/>
      <c r="AI99" s="108"/>
      <c r="AJ99" s="108"/>
      <c r="AK99" s="108"/>
      <c r="AL99" s="137"/>
      <c r="AM99" s="137"/>
      <c r="AN99" s="137"/>
      <c r="AO99" s="137"/>
    </row>
    <row r="100" spans="1:47" s="37" customFormat="1" ht="18" x14ac:dyDescent="0.2">
      <c r="A100" s="1045"/>
      <c r="B100" s="190" t="s">
        <v>16</v>
      </c>
      <c r="C100" s="191"/>
      <c r="D100" s="190"/>
      <c r="E100" s="190"/>
      <c r="F100" s="190"/>
      <c r="G100" s="190"/>
      <c r="H100" s="190"/>
      <c r="I100" s="190"/>
      <c r="J100" s="190"/>
      <c r="K100" s="190"/>
      <c r="L100" s="190"/>
      <c r="O100" s="118"/>
      <c r="Q100" s="118"/>
      <c r="AI100" s="108"/>
      <c r="AJ100" s="108"/>
      <c r="AK100" s="108"/>
      <c r="AL100" s="137"/>
      <c r="AM100" s="137"/>
      <c r="AN100" s="137"/>
      <c r="AO100" s="137"/>
    </row>
    <row r="101" spans="1:47" s="37" customFormat="1" x14ac:dyDescent="0.2">
      <c r="A101" s="1045"/>
      <c r="O101" s="118"/>
      <c r="Q101" s="118"/>
      <c r="AI101" s="108"/>
      <c r="AJ101" s="108"/>
      <c r="AK101" s="108"/>
      <c r="AL101" s="137"/>
      <c r="AM101" s="137"/>
      <c r="AN101" s="137"/>
      <c r="AO101" s="137"/>
      <c r="AP101" s="137"/>
      <c r="AS101" s="137"/>
    </row>
    <row r="102" spans="1:47" s="37" customFormat="1" ht="12.75" x14ac:dyDescent="0.2">
      <c r="A102" s="1045"/>
      <c r="B102" s="255" t="str">
        <f>ListAVS!$B$333</f>
        <v>Aby wybrać odpowiedni siłownik potrzebujesz znać wysokość korpusu i wagę frontu</v>
      </c>
      <c r="C102" s="255"/>
      <c r="D102" s="255"/>
      <c r="E102" s="255"/>
      <c r="F102" s="255"/>
      <c r="G102" s="255"/>
      <c r="H102" s="255"/>
      <c r="I102" s="255"/>
      <c r="J102" s="255"/>
      <c r="K102" s="255"/>
      <c r="L102" s="255"/>
      <c r="O102" s="118"/>
      <c r="Q102" s="118"/>
      <c r="AI102" s="108"/>
      <c r="AJ102" s="108"/>
      <c r="AK102" s="108"/>
      <c r="AL102" s="137"/>
      <c r="AM102" s="137"/>
      <c r="AN102" s="137"/>
      <c r="AO102" s="137"/>
      <c r="AP102" s="137"/>
      <c r="AS102" s="137"/>
    </row>
    <row r="103" spans="1:47" s="37" customFormat="1" ht="12.75" x14ac:dyDescent="0.2">
      <c r="A103" s="1045"/>
      <c r="B103" s="255"/>
      <c r="C103" s="255"/>
      <c r="D103" s="255"/>
      <c r="E103" s="255"/>
      <c r="F103" s="255"/>
      <c r="G103" s="255"/>
      <c r="H103" s="255"/>
      <c r="I103" s="255"/>
      <c r="J103" s="255"/>
      <c r="K103" s="255"/>
      <c r="L103" s="255"/>
      <c r="O103" s="118"/>
      <c r="Q103" s="118"/>
      <c r="AI103" s="108"/>
      <c r="AJ103" s="108"/>
      <c r="AK103" s="108"/>
      <c r="AL103" s="137"/>
      <c r="AM103" s="137"/>
      <c r="AN103" s="137"/>
      <c r="AO103" s="137"/>
      <c r="AP103" s="137"/>
      <c r="AS103" s="137"/>
      <c r="AT103" s="137"/>
      <c r="AU103" s="121"/>
    </row>
    <row r="104" spans="1:47" s="37" customFormat="1" ht="12.75" x14ac:dyDescent="0.2">
      <c r="A104" s="1045"/>
      <c r="B104" s="255" t="str">
        <f>ListAVS!$B$312</f>
        <v>Jeśli znasz wagę frontu, możesz ją wprowadzić, w przeciwnym razie skorzystaj z „Obliczenia wagi”.</v>
      </c>
      <c r="C104" s="255"/>
      <c r="D104" s="255"/>
      <c r="E104" s="255"/>
      <c r="F104" s="255"/>
      <c r="G104" s="255"/>
      <c r="H104" s="255"/>
      <c r="I104" s="255"/>
      <c r="J104" s="255"/>
      <c r="K104" s="255"/>
      <c r="L104" s="255"/>
      <c r="O104" s="118"/>
      <c r="Q104" s="118"/>
      <c r="AI104" s="108"/>
      <c r="AJ104" s="108"/>
      <c r="AK104" s="108"/>
      <c r="AL104" s="137"/>
      <c r="AM104" s="137"/>
      <c r="AN104" s="137"/>
      <c r="AO104" s="137"/>
      <c r="AP104" s="137"/>
      <c r="AS104" s="137"/>
      <c r="AT104" s="137"/>
      <c r="AU104" s="121"/>
    </row>
    <row r="105" spans="1:47" ht="12.75" x14ac:dyDescent="0.2">
      <c r="A105" s="1045"/>
      <c r="B105" s="255" t="str">
        <f>ListAVS!$B$313</f>
        <v>W tabeli wprowadzona wartość ma pierwszeństwo aby skorzystać z wagi obliczeniowej, należy usunąć wprowadzoną wartość.</v>
      </c>
      <c r="C105" s="255"/>
      <c r="D105" s="255"/>
      <c r="E105" s="255"/>
      <c r="F105" s="255"/>
      <c r="G105" s="255"/>
      <c r="H105" s="255"/>
      <c r="I105" s="255"/>
      <c r="J105" s="255"/>
      <c r="K105" s="255"/>
      <c r="L105" s="255"/>
      <c r="AI105" s="108"/>
      <c r="AJ105" s="108"/>
      <c r="AK105" s="108"/>
      <c r="AL105" s="137"/>
      <c r="AM105" s="137"/>
      <c r="AN105" s="137"/>
      <c r="AO105" s="137"/>
      <c r="AP105" s="137"/>
      <c r="AQ105" s="37"/>
      <c r="AR105" s="37"/>
      <c r="AS105" s="137"/>
      <c r="AT105" s="137"/>
    </row>
    <row r="106" spans="1:47" ht="12.75" x14ac:dyDescent="0.2">
      <c r="A106" s="1045"/>
      <c r="B106" s="255"/>
      <c r="C106" s="255"/>
      <c r="D106" s="255"/>
      <c r="E106" s="255"/>
      <c r="F106" s="255"/>
      <c r="G106" s="255"/>
      <c r="H106" s="255"/>
      <c r="I106" s="255"/>
      <c r="J106" s="255"/>
      <c r="K106" s="255"/>
      <c r="L106" s="255"/>
      <c r="AI106" s="108"/>
      <c r="AJ106" s="108"/>
      <c r="AK106" s="108"/>
      <c r="AL106" s="137"/>
      <c r="AM106" s="137"/>
      <c r="AN106" s="137"/>
      <c r="AO106" s="137"/>
      <c r="AP106" s="137"/>
      <c r="AQ106" s="37"/>
      <c r="AR106" s="37"/>
      <c r="AS106" s="137"/>
      <c r="AT106" s="137"/>
    </row>
    <row r="107" spans="1:47" ht="12.75" x14ac:dyDescent="0.2">
      <c r="A107" s="1045"/>
      <c r="B107" s="255"/>
      <c r="C107" s="255"/>
      <c r="D107" s="255"/>
      <c r="E107" s="255"/>
      <c r="F107" s="255"/>
      <c r="G107" s="255"/>
      <c r="H107" s="255"/>
      <c r="I107" s="255"/>
      <c r="J107" s="255"/>
      <c r="K107" s="255"/>
      <c r="L107" s="255"/>
      <c r="AI107" s="108"/>
      <c r="AJ107" s="108"/>
      <c r="AK107" s="108"/>
      <c r="AL107" s="137"/>
      <c r="AM107" s="137"/>
      <c r="AN107" s="137"/>
      <c r="AO107" s="137"/>
      <c r="AP107" s="137"/>
      <c r="AQ107" s="37"/>
      <c r="AR107" s="37"/>
      <c r="AS107" s="137"/>
      <c r="AT107" s="137"/>
    </row>
    <row r="108" spans="1:47" ht="12.75" x14ac:dyDescent="0.2">
      <c r="A108" s="1045"/>
      <c r="B108" s="255" t="str">
        <f>ListAVS!$B$306</f>
        <v>Aby zmienić kolor zaślepek przejdź do „Wprowadzenie do planowania”</v>
      </c>
      <c r="C108" s="255"/>
      <c r="D108" s="255"/>
      <c r="E108" s="255"/>
      <c r="F108" s="255"/>
      <c r="G108" s="255"/>
      <c r="H108" s="255"/>
      <c r="I108" s="255"/>
      <c r="J108" s="255"/>
      <c r="K108" s="255"/>
      <c r="L108" s="255"/>
      <c r="AI108" s="108"/>
      <c r="AJ108" s="108"/>
      <c r="AK108" s="108"/>
      <c r="AL108" s="137"/>
      <c r="AM108" s="137"/>
      <c r="AN108" s="137"/>
      <c r="AO108" s="137"/>
      <c r="AP108" s="137"/>
      <c r="AQ108" s="37"/>
      <c r="AR108" s="37"/>
      <c r="AS108" s="137"/>
      <c r="AT108" s="137"/>
    </row>
    <row r="109" spans="1:47" ht="12.75" x14ac:dyDescent="0.2">
      <c r="A109" s="1045"/>
      <c r="B109" s="255"/>
      <c r="C109" s="255"/>
      <c r="D109" s="255"/>
      <c r="E109" s="255"/>
      <c r="F109" s="255"/>
      <c r="G109" s="255"/>
      <c r="H109" s="255"/>
      <c r="I109" s="255"/>
      <c r="J109" s="255"/>
      <c r="K109" s="255"/>
      <c r="L109" s="255"/>
      <c r="AI109" s="108"/>
      <c r="AJ109" s="108"/>
      <c r="AK109" s="108"/>
      <c r="AL109" s="137"/>
      <c r="AM109" s="137"/>
      <c r="AN109" s="137"/>
      <c r="AO109" s="137"/>
      <c r="AP109" s="137"/>
      <c r="AQ109" s="37"/>
      <c r="AR109" s="37"/>
      <c r="AS109" s="137"/>
      <c r="AT109" s="137"/>
    </row>
    <row r="110" spans="1:47" ht="12.75" x14ac:dyDescent="0.2">
      <c r="A110" s="1045"/>
      <c r="B110" s="255"/>
      <c r="C110" s="255"/>
      <c r="D110" s="255"/>
      <c r="E110" s="255"/>
      <c r="F110" s="255"/>
      <c r="G110" s="255"/>
      <c r="H110" s="255"/>
      <c r="I110" s="255"/>
      <c r="J110" s="255"/>
      <c r="K110" s="255"/>
      <c r="L110" s="255"/>
      <c r="AI110" s="108"/>
      <c r="AJ110" s="108"/>
      <c r="AK110" s="108"/>
      <c r="AL110" s="137"/>
      <c r="AM110" s="137"/>
      <c r="AN110" s="137"/>
      <c r="AO110" s="137"/>
      <c r="AP110" s="137"/>
      <c r="AQ110" s="37"/>
      <c r="AR110" s="37"/>
      <c r="AS110" s="137"/>
      <c r="AT110" s="137"/>
    </row>
    <row r="111" spans="1:47" ht="12.75" x14ac:dyDescent="0.2">
      <c r="A111" s="1045"/>
      <c r="B111" s="255"/>
      <c r="C111" s="255"/>
      <c r="D111" s="255"/>
      <c r="E111" s="255"/>
      <c r="F111" s="255"/>
      <c r="G111" s="255"/>
      <c r="H111" s="255"/>
      <c r="I111" s="255"/>
      <c r="J111" s="255"/>
      <c r="K111" s="255"/>
      <c r="L111" s="255"/>
      <c r="AI111" s="108"/>
      <c r="AJ111" s="108"/>
      <c r="AK111" s="108"/>
      <c r="AL111" s="137"/>
      <c r="AM111" s="137"/>
      <c r="AN111" s="137"/>
      <c r="AO111" s="137"/>
      <c r="AP111" s="137"/>
      <c r="AQ111" s="37"/>
      <c r="AR111" s="37"/>
      <c r="AS111" s="137"/>
      <c r="AT111" s="137"/>
    </row>
    <row r="112" spans="1:47" ht="12.75" x14ac:dyDescent="0.2">
      <c r="A112" s="1045"/>
      <c r="B112" s="255"/>
      <c r="C112" s="255"/>
      <c r="D112" s="255"/>
      <c r="E112" s="255"/>
      <c r="F112" s="255"/>
      <c r="G112" s="255"/>
      <c r="H112" s="255"/>
      <c r="I112" s="255"/>
      <c r="J112" s="255"/>
      <c r="K112" s="255"/>
      <c r="L112" s="728" t="str">
        <f>ListAVS!$B$168</f>
        <v>Z powrotem</v>
      </c>
      <c r="AI112" s="108"/>
      <c r="AJ112" s="108"/>
      <c r="AK112" s="108"/>
      <c r="AL112" s="137"/>
      <c r="AM112" s="137"/>
      <c r="AN112" s="137"/>
      <c r="AO112" s="137"/>
      <c r="AP112" s="137"/>
      <c r="AQ112" s="37"/>
      <c r="AR112" s="37"/>
      <c r="AS112" s="137"/>
      <c r="AT112" s="137"/>
    </row>
    <row r="113" spans="1:46" ht="12.75" x14ac:dyDescent="0.2">
      <c r="A113" s="1045"/>
      <c r="B113" s="255"/>
      <c r="C113" s="255"/>
      <c r="D113" s="255"/>
      <c r="E113" s="255"/>
      <c r="F113" s="255"/>
      <c r="G113" s="255"/>
      <c r="H113" s="255"/>
      <c r="I113" s="255"/>
      <c r="J113" s="255"/>
      <c r="K113" s="255"/>
      <c r="L113" s="255"/>
      <c r="AI113" s="108"/>
      <c r="AJ113" s="108"/>
      <c r="AK113" s="108"/>
      <c r="AL113" s="137"/>
      <c r="AM113" s="137"/>
      <c r="AN113" s="137"/>
      <c r="AO113" s="137"/>
      <c r="AP113" s="137"/>
      <c r="AQ113" s="37"/>
      <c r="AR113" s="37"/>
      <c r="AS113" s="137"/>
      <c r="AT113" s="137"/>
    </row>
    <row r="114" spans="1:46" ht="12.75" x14ac:dyDescent="0.2">
      <c r="A114" s="1045"/>
      <c r="B114" s="255"/>
      <c r="C114" s="255"/>
      <c r="D114" s="255"/>
      <c r="E114" s="255"/>
      <c r="F114" s="255"/>
      <c r="G114" s="255"/>
      <c r="H114" s="255"/>
      <c r="I114" s="255"/>
      <c r="J114" s="255"/>
      <c r="K114" s="255"/>
      <c r="L114" s="255"/>
      <c r="AI114" s="108"/>
      <c r="AJ114" s="108"/>
      <c r="AK114" s="108"/>
      <c r="AL114" s="137"/>
      <c r="AM114" s="137"/>
      <c r="AN114" s="137"/>
      <c r="AO114" s="137"/>
      <c r="AP114" s="137"/>
      <c r="AQ114" s="37"/>
      <c r="AR114" s="37"/>
      <c r="AS114" s="137"/>
      <c r="AT114" s="137"/>
    </row>
    <row r="115" spans="1:46" x14ac:dyDescent="0.2">
      <c r="A115" s="1045"/>
      <c r="AI115" s="108"/>
      <c r="AJ115" s="108"/>
      <c r="AK115" s="108"/>
      <c r="AL115" s="137"/>
      <c r="AM115" s="137"/>
      <c r="AN115" s="137"/>
      <c r="AO115" s="137"/>
      <c r="AP115" s="137"/>
      <c r="AQ115" s="37"/>
      <c r="AR115" s="37"/>
      <c r="AS115" s="137"/>
      <c r="AT115" s="137"/>
    </row>
    <row r="116" spans="1:46" x14ac:dyDescent="0.2">
      <c r="A116" s="1045"/>
      <c r="AI116" s="108"/>
      <c r="AJ116" s="108"/>
      <c r="AK116" s="108"/>
      <c r="AL116" s="137"/>
      <c r="AM116" s="137"/>
      <c r="AN116" s="137"/>
      <c r="AO116" s="137"/>
      <c r="AP116" s="137"/>
      <c r="AQ116" s="37"/>
      <c r="AR116" s="37"/>
      <c r="AS116" s="137"/>
      <c r="AT116" s="137"/>
    </row>
    <row r="117" spans="1:46" x14ac:dyDescent="0.2">
      <c r="A117" s="1045"/>
      <c r="AI117" s="108"/>
      <c r="AJ117" s="108"/>
      <c r="AK117" s="108"/>
      <c r="AL117" s="137"/>
      <c r="AM117" s="137"/>
      <c r="AN117" s="137"/>
      <c r="AO117" s="137"/>
      <c r="AP117" s="137"/>
      <c r="AQ117" s="37"/>
      <c r="AR117" s="37"/>
      <c r="AS117" s="137"/>
      <c r="AT117" s="137"/>
    </row>
    <row r="118" spans="1:46" x14ac:dyDescent="0.2">
      <c r="A118" s="1045"/>
      <c r="AI118" s="108"/>
      <c r="AJ118" s="108"/>
      <c r="AK118" s="108"/>
      <c r="AL118" s="137"/>
      <c r="AM118" s="137"/>
      <c r="AN118" s="137"/>
      <c r="AO118" s="137"/>
      <c r="AP118" s="137"/>
      <c r="AQ118" s="37"/>
      <c r="AR118" s="37"/>
      <c r="AS118" s="137"/>
      <c r="AT118" s="137"/>
    </row>
    <row r="119" spans="1:46" x14ac:dyDescent="0.2">
      <c r="A119" s="1045"/>
      <c r="AI119" s="108"/>
      <c r="AJ119" s="108"/>
      <c r="AK119" s="108"/>
      <c r="AL119" s="137"/>
      <c r="AM119" s="137"/>
      <c r="AN119" s="137"/>
      <c r="AO119" s="137"/>
      <c r="AP119" s="137"/>
      <c r="AQ119" s="37"/>
      <c r="AR119" s="37"/>
      <c r="AS119" s="137"/>
      <c r="AT119" s="137"/>
    </row>
    <row r="120" spans="1:46" x14ac:dyDescent="0.2">
      <c r="A120" s="1045"/>
      <c r="AI120" s="108"/>
      <c r="AJ120" s="108"/>
      <c r="AK120" s="108"/>
      <c r="AL120" s="137"/>
      <c r="AM120" s="137"/>
      <c r="AN120" s="137"/>
      <c r="AO120" s="137"/>
      <c r="AP120" s="137"/>
      <c r="AQ120" s="37"/>
      <c r="AR120" s="37"/>
      <c r="AS120" s="137"/>
      <c r="AT120" s="137"/>
    </row>
    <row r="121" spans="1:46" x14ac:dyDescent="0.2">
      <c r="A121" s="1045"/>
      <c r="AI121" s="108"/>
      <c r="AJ121" s="108"/>
      <c r="AK121" s="108"/>
      <c r="AL121" s="137"/>
      <c r="AM121" s="137"/>
      <c r="AN121" s="137"/>
      <c r="AO121" s="137"/>
      <c r="AP121" s="137"/>
      <c r="AQ121" s="37"/>
      <c r="AR121" s="37"/>
      <c r="AS121" s="137"/>
      <c r="AT121" s="137"/>
    </row>
    <row r="122" spans="1:46" x14ac:dyDescent="0.2">
      <c r="A122" s="1045"/>
      <c r="AI122" s="108"/>
      <c r="AJ122" s="108"/>
      <c r="AK122" s="108"/>
      <c r="AL122" s="137"/>
      <c r="AM122" s="137"/>
      <c r="AN122" s="137"/>
      <c r="AO122" s="137"/>
      <c r="AP122" s="137"/>
      <c r="AQ122" s="37"/>
      <c r="AR122" s="37"/>
      <c r="AS122" s="137"/>
      <c r="AT122" s="137"/>
    </row>
    <row r="123" spans="1:46" x14ac:dyDescent="0.2">
      <c r="A123" s="1045"/>
      <c r="AI123" s="108"/>
      <c r="AJ123" s="108"/>
      <c r="AK123" s="108"/>
      <c r="AL123" s="137"/>
      <c r="AM123" s="137"/>
      <c r="AN123" s="137"/>
      <c r="AO123" s="137"/>
      <c r="AP123" s="137"/>
      <c r="AQ123" s="37"/>
      <c r="AR123" s="37"/>
      <c r="AS123" s="137"/>
      <c r="AT123" s="137"/>
    </row>
    <row r="124" spans="1:46" x14ac:dyDescent="0.2">
      <c r="A124" s="1045"/>
      <c r="AI124" s="108"/>
      <c r="AJ124" s="108"/>
      <c r="AK124" s="108"/>
      <c r="AL124" s="137"/>
      <c r="AM124" s="137"/>
      <c r="AN124" s="137"/>
      <c r="AO124" s="137"/>
      <c r="AP124" s="137"/>
      <c r="AQ124" s="37"/>
      <c r="AR124" s="37"/>
      <c r="AS124" s="137"/>
      <c r="AT124" s="137"/>
    </row>
    <row r="125" spans="1:46" x14ac:dyDescent="0.2">
      <c r="A125" s="1045"/>
      <c r="AI125" s="108"/>
      <c r="AJ125" s="108"/>
      <c r="AK125" s="108"/>
      <c r="AL125" s="137"/>
      <c r="AM125" s="137"/>
      <c r="AN125" s="137"/>
      <c r="AO125" s="137"/>
      <c r="AP125" s="137"/>
      <c r="AQ125" s="37"/>
      <c r="AR125" s="37"/>
      <c r="AS125" s="137"/>
      <c r="AT125" s="137"/>
    </row>
    <row r="126" spans="1:46" x14ac:dyDescent="0.2">
      <c r="A126" s="1045"/>
      <c r="AI126" s="108"/>
      <c r="AJ126" s="108"/>
      <c r="AK126" s="108"/>
      <c r="AL126" s="137"/>
      <c r="AM126" s="137"/>
      <c r="AN126" s="137"/>
      <c r="AO126" s="137"/>
      <c r="AP126" s="137"/>
      <c r="AQ126" s="37"/>
      <c r="AR126" s="37"/>
      <c r="AS126" s="137"/>
      <c r="AT126" s="137"/>
    </row>
    <row r="127" spans="1:46" x14ac:dyDescent="0.2">
      <c r="A127" s="1045"/>
      <c r="AI127" s="108"/>
      <c r="AJ127" s="108"/>
      <c r="AK127" s="108"/>
      <c r="AL127" s="137"/>
      <c r="AM127" s="137"/>
      <c r="AN127" s="137"/>
      <c r="AO127" s="137"/>
      <c r="AP127" s="137"/>
      <c r="AQ127" s="37"/>
      <c r="AR127" s="37"/>
      <c r="AS127" s="137"/>
      <c r="AT127" s="137"/>
    </row>
    <row r="128" spans="1:46" x14ac:dyDescent="0.2">
      <c r="A128" s="1045"/>
      <c r="AI128" s="108"/>
      <c r="AJ128" s="108"/>
      <c r="AK128" s="108"/>
      <c r="AL128" s="137"/>
      <c r="AM128" s="137"/>
      <c r="AN128" s="137"/>
      <c r="AO128" s="137"/>
      <c r="AP128" s="137"/>
      <c r="AQ128" s="37"/>
      <c r="AR128" s="37"/>
      <c r="AS128" s="137"/>
      <c r="AT128" s="137"/>
    </row>
    <row r="129" spans="1:46" x14ac:dyDescent="0.2">
      <c r="A129" s="1045"/>
      <c r="AI129" s="108"/>
      <c r="AJ129" s="108"/>
      <c r="AK129" s="108"/>
      <c r="AL129" s="137"/>
      <c r="AM129" s="137"/>
      <c r="AN129" s="137"/>
      <c r="AO129" s="137"/>
      <c r="AP129" s="137"/>
      <c r="AQ129" s="37"/>
      <c r="AR129" s="37"/>
      <c r="AS129" s="137"/>
      <c r="AT129" s="137"/>
    </row>
    <row r="130" spans="1:46" x14ac:dyDescent="0.2">
      <c r="A130" s="1045"/>
      <c r="AI130" s="108"/>
      <c r="AJ130" s="108"/>
      <c r="AK130" s="108"/>
      <c r="AL130" s="137"/>
      <c r="AM130" s="137"/>
      <c r="AN130" s="137"/>
      <c r="AO130" s="137"/>
      <c r="AP130" s="137"/>
      <c r="AQ130" s="37"/>
      <c r="AR130" s="37"/>
      <c r="AS130" s="137"/>
      <c r="AT130" s="137"/>
    </row>
    <row r="131" spans="1:46" x14ac:dyDescent="0.2">
      <c r="A131" s="1045"/>
      <c r="AI131" s="108"/>
      <c r="AJ131" s="108"/>
      <c r="AK131" s="108"/>
      <c r="AL131" s="137"/>
      <c r="AM131" s="137"/>
      <c r="AN131" s="137"/>
      <c r="AO131" s="137"/>
      <c r="AP131" s="137"/>
      <c r="AQ131" s="37"/>
      <c r="AR131" s="37"/>
      <c r="AS131" s="137"/>
      <c r="AT131" s="137"/>
    </row>
    <row r="132" spans="1:46" x14ac:dyDescent="0.2">
      <c r="A132" s="1045"/>
      <c r="AI132" s="108"/>
      <c r="AJ132" s="108"/>
      <c r="AK132" s="108"/>
      <c r="AL132" s="137"/>
      <c r="AM132" s="137"/>
      <c r="AN132" s="137"/>
      <c r="AO132" s="137"/>
      <c r="AP132" s="137"/>
      <c r="AQ132" s="37"/>
      <c r="AR132" s="37"/>
      <c r="AS132" s="137"/>
      <c r="AT132" s="137"/>
    </row>
    <row r="133" spans="1:46" x14ac:dyDescent="0.2">
      <c r="A133" s="1045"/>
      <c r="AI133" s="108"/>
      <c r="AJ133" s="108"/>
      <c r="AK133" s="108"/>
      <c r="AL133" s="137"/>
      <c r="AM133" s="137"/>
      <c r="AN133" s="137"/>
      <c r="AO133" s="137"/>
      <c r="AP133" s="137"/>
      <c r="AQ133" s="37"/>
      <c r="AR133" s="37"/>
      <c r="AS133" s="137"/>
      <c r="AT133" s="137"/>
    </row>
    <row r="134" spans="1:46" x14ac:dyDescent="0.2">
      <c r="A134" s="1045"/>
      <c r="AI134" s="108"/>
      <c r="AJ134" s="108"/>
      <c r="AK134" s="108"/>
      <c r="AL134" s="137"/>
      <c r="AM134" s="137"/>
      <c r="AN134" s="137"/>
      <c r="AO134" s="137"/>
      <c r="AP134" s="137"/>
      <c r="AQ134" s="37"/>
      <c r="AR134" s="37"/>
      <c r="AS134" s="137"/>
      <c r="AT134" s="137"/>
    </row>
    <row r="135" spans="1:46" x14ac:dyDescent="0.2">
      <c r="A135" s="1045"/>
      <c r="AI135" s="108"/>
      <c r="AJ135" s="108"/>
      <c r="AK135" s="108"/>
      <c r="AL135" s="137"/>
      <c r="AM135" s="137"/>
      <c r="AN135" s="137"/>
      <c r="AO135" s="137"/>
      <c r="AP135" s="137"/>
      <c r="AQ135" s="37"/>
      <c r="AR135" s="37"/>
      <c r="AS135" s="137"/>
      <c r="AT135" s="137"/>
    </row>
    <row r="136" spans="1:46" x14ac:dyDescent="0.2">
      <c r="A136" s="1045"/>
      <c r="AI136" s="108"/>
      <c r="AJ136" s="108"/>
      <c r="AK136" s="108"/>
      <c r="AL136" s="137"/>
      <c r="AM136" s="137"/>
      <c r="AN136" s="137"/>
      <c r="AO136" s="137"/>
      <c r="AP136" s="137"/>
      <c r="AQ136" s="37"/>
      <c r="AR136" s="37"/>
      <c r="AS136" s="137"/>
      <c r="AT136" s="137"/>
    </row>
    <row r="137" spans="1:46" x14ac:dyDescent="0.2">
      <c r="A137" s="1045"/>
      <c r="AI137" s="108"/>
      <c r="AJ137" s="108"/>
      <c r="AK137" s="108"/>
      <c r="AL137" s="137"/>
      <c r="AM137" s="137"/>
      <c r="AN137" s="137"/>
      <c r="AO137" s="137"/>
      <c r="AP137" s="137"/>
      <c r="AQ137" s="37"/>
      <c r="AR137" s="37"/>
      <c r="AS137" s="137"/>
      <c r="AT137" s="137"/>
    </row>
    <row r="138" spans="1:46" x14ac:dyDescent="0.2">
      <c r="A138" s="1045"/>
      <c r="AI138" s="108"/>
      <c r="AJ138" s="108"/>
      <c r="AK138" s="108"/>
      <c r="AL138" s="137"/>
      <c r="AM138" s="137"/>
      <c r="AN138" s="137"/>
      <c r="AO138" s="137"/>
      <c r="AP138" s="137"/>
      <c r="AQ138" s="37"/>
      <c r="AR138" s="37"/>
      <c r="AS138" s="137"/>
      <c r="AT138" s="137"/>
    </row>
    <row r="139" spans="1:46" x14ac:dyDescent="0.2">
      <c r="A139" s="1045"/>
      <c r="AI139" s="108"/>
      <c r="AJ139" s="108"/>
      <c r="AK139" s="108"/>
      <c r="AL139" s="137"/>
      <c r="AM139" s="137"/>
      <c r="AN139" s="137"/>
      <c r="AO139" s="137"/>
      <c r="AP139" s="137"/>
      <c r="AQ139" s="37"/>
      <c r="AR139" s="37"/>
      <c r="AS139" s="137"/>
      <c r="AT139" s="137"/>
    </row>
    <row r="140" spans="1:46" x14ac:dyDescent="0.2">
      <c r="A140" s="1045"/>
      <c r="AI140" s="108"/>
      <c r="AJ140" s="108"/>
      <c r="AK140" s="108"/>
      <c r="AL140" s="137"/>
      <c r="AM140" s="137"/>
      <c r="AN140" s="137"/>
      <c r="AO140" s="137"/>
      <c r="AP140" s="137"/>
      <c r="AQ140" s="37"/>
      <c r="AR140" s="37"/>
      <c r="AS140" s="137"/>
      <c r="AT140" s="137"/>
    </row>
    <row r="141" spans="1:46" x14ac:dyDescent="0.2">
      <c r="A141" s="1045"/>
      <c r="AI141" s="108"/>
      <c r="AJ141" s="108"/>
      <c r="AK141" s="108"/>
      <c r="AL141" s="137"/>
      <c r="AM141" s="137"/>
      <c r="AN141" s="137"/>
      <c r="AO141" s="137"/>
      <c r="AP141" s="137"/>
      <c r="AQ141" s="37"/>
      <c r="AR141" s="37"/>
      <c r="AS141" s="137"/>
      <c r="AT141" s="137"/>
    </row>
    <row r="142" spans="1:46" x14ac:dyDescent="0.2">
      <c r="A142" s="1045"/>
      <c r="AI142" s="108"/>
      <c r="AJ142" s="108"/>
      <c r="AK142" s="108"/>
      <c r="AL142" s="137"/>
      <c r="AM142" s="137"/>
      <c r="AN142" s="137"/>
      <c r="AO142" s="137"/>
      <c r="AP142" s="137"/>
      <c r="AQ142" s="37"/>
      <c r="AR142" s="37"/>
      <c r="AS142" s="137"/>
      <c r="AT142" s="137"/>
    </row>
    <row r="143" spans="1:46" x14ac:dyDescent="0.2">
      <c r="A143" s="1045"/>
      <c r="AI143" s="108"/>
      <c r="AJ143" s="108"/>
      <c r="AK143" s="108"/>
      <c r="AL143" s="137"/>
      <c r="AM143" s="137"/>
      <c r="AN143" s="137"/>
      <c r="AO143" s="137"/>
      <c r="AP143" s="137"/>
      <c r="AQ143" s="37"/>
      <c r="AR143" s="37"/>
      <c r="AS143" s="137"/>
      <c r="AT143" s="137"/>
    </row>
    <row r="144" spans="1:46" x14ac:dyDescent="0.2">
      <c r="A144" s="1045"/>
      <c r="AI144" s="108"/>
      <c r="AJ144" s="108"/>
      <c r="AK144" s="108"/>
      <c r="AL144" s="137"/>
      <c r="AM144" s="137"/>
      <c r="AN144" s="137"/>
      <c r="AO144" s="137"/>
      <c r="AP144" s="137"/>
      <c r="AQ144" s="37"/>
      <c r="AR144" s="37"/>
      <c r="AS144" s="137"/>
      <c r="AT144" s="137"/>
    </row>
    <row r="145" spans="1:46" x14ac:dyDescent="0.2">
      <c r="A145" s="1045"/>
      <c r="AI145" s="108"/>
      <c r="AJ145" s="108"/>
      <c r="AK145" s="108"/>
      <c r="AL145" s="137"/>
      <c r="AM145" s="137"/>
      <c r="AN145" s="137"/>
      <c r="AO145" s="137"/>
      <c r="AP145" s="137"/>
      <c r="AQ145" s="37"/>
      <c r="AR145" s="37"/>
      <c r="AS145" s="137"/>
      <c r="AT145" s="137"/>
    </row>
    <row r="146" spans="1:46" x14ac:dyDescent="0.2">
      <c r="A146" s="1045"/>
      <c r="AI146" s="108"/>
      <c r="AJ146" s="108"/>
      <c r="AK146" s="108"/>
      <c r="AL146" s="137"/>
      <c r="AM146" s="137"/>
      <c r="AN146" s="137"/>
      <c r="AO146" s="137"/>
      <c r="AP146" s="137"/>
      <c r="AQ146" s="37"/>
      <c r="AR146" s="37"/>
      <c r="AS146" s="137"/>
      <c r="AT146" s="137"/>
    </row>
    <row r="147" spans="1:46" x14ac:dyDescent="0.2">
      <c r="A147" s="1045"/>
      <c r="AI147" s="108"/>
      <c r="AJ147" s="108"/>
      <c r="AK147" s="108"/>
      <c r="AL147" s="137"/>
      <c r="AM147" s="137"/>
      <c r="AN147" s="137"/>
      <c r="AO147" s="137"/>
      <c r="AP147" s="137"/>
      <c r="AQ147" s="37"/>
      <c r="AR147" s="37"/>
      <c r="AS147" s="137"/>
      <c r="AT147" s="137"/>
    </row>
    <row r="148" spans="1:46" x14ac:dyDescent="0.2">
      <c r="A148" s="1045"/>
      <c r="AI148" s="108"/>
      <c r="AJ148" s="108"/>
      <c r="AK148" s="108"/>
      <c r="AL148" s="137"/>
      <c r="AM148" s="137"/>
      <c r="AN148" s="137"/>
      <c r="AO148" s="137"/>
      <c r="AP148" s="137"/>
      <c r="AQ148" s="37"/>
      <c r="AR148" s="37"/>
      <c r="AS148" s="137"/>
      <c r="AT148" s="137"/>
    </row>
    <row r="149" spans="1:46" x14ac:dyDescent="0.2">
      <c r="A149" s="1045"/>
      <c r="AI149" s="108"/>
      <c r="AJ149" s="108"/>
      <c r="AK149" s="108"/>
      <c r="AL149" s="137"/>
      <c r="AM149" s="137"/>
      <c r="AN149" s="137"/>
      <c r="AO149" s="137"/>
      <c r="AP149" s="137"/>
      <c r="AQ149" s="37"/>
      <c r="AR149" s="37"/>
      <c r="AS149" s="137"/>
      <c r="AT149" s="137"/>
    </row>
    <row r="150" spans="1:46" x14ac:dyDescent="0.2">
      <c r="A150" s="1045"/>
      <c r="AI150" s="108"/>
      <c r="AJ150" s="108"/>
      <c r="AK150" s="108"/>
      <c r="AL150" s="137"/>
      <c r="AM150" s="137"/>
      <c r="AN150" s="137"/>
      <c r="AO150" s="137"/>
      <c r="AP150" s="137"/>
      <c r="AQ150" s="37"/>
      <c r="AR150" s="37"/>
      <c r="AS150" s="137"/>
      <c r="AT150" s="137"/>
    </row>
    <row r="151" spans="1:46" x14ac:dyDescent="0.2">
      <c r="A151" s="1045"/>
      <c r="AI151" s="108"/>
      <c r="AJ151" s="108"/>
      <c r="AK151" s="108"/>
      <c r="AL151" s="137"/>
      <c r="AM151" s="137"/>
      <c r="AN151" s="137"/>
      <c r="AO151" s="137"/>
      <c r="AP151" s="137"/>
      <c r="AQ151" s="37"/>
      <c r="AR151" s="37"/>
      <c r="AS151" s="137"/>
      <c r="AT151" s="137"/>
    </row>
    <row r="152" spans="1:46" x14ac:dyDescent="0.2">
      <c r="A152" s="1045"/>
      <c r="AI152" s="108"/>
      <c r="AJ152" s="108"/>
      <c r="AK152" s="108"/>
      <c r="AL152" s="137"/>
      <c r="AM152" s="137"/>
      <c r="AN152" s="137"/>
      <c r="AO152" s="137"/>
      <c r="AP152" s="137"/>
      <c r="AQ152" s="37"/>
      <c r="AR152" s="37"/>
      <c r="AS152" s="137"/>
      <c r="AT152" s="137"/>
    </row>
    <row r="153" spans="1:46" x14ac:dyDescent="0.2">
      <c r="A153" s="1045"/>
      <c r="AI153" s="108"/>
      <c r="AJ153" s="108"/>
      <c r="AK153" s="108"/>
      <c r="AL153" s="137"/>
      <c r="AM153" s="137"/>
      <c r="AN153" s="137"/>
      <c r="AO153" s="137"/>
      <c r="AP153" s="137"/>
      <c r="AQ153" s="37"/>
      <c r="AR153" s="37"/>
      <c r="AS153" s="137"/>
      <c r="AT153" s="137"/>
    </row>
    <row r="159" spans="1:46" x14ac:dyDescent="0.2">
      <c r="AI159" s="37"/>
      <c r="AJ159" s="37"/>
      <c r="AK159" s="37"/>
      <c r="AL159" s="37"/>
      <c r="AM159" s="37"/>
      <c r="AN159" s="37"/>
      <c r="AO159" s="37"/>
      <c r="AP159" s="37"/>
      <c r="AQ159" s="37"/>
      <c r="AR159" s="37"/>
      <c r="AS159" s="37"/>
    </row>
    <row r="161" spans="46:52" ht="15" customHeight="1" x14ac:dyDescent="0.2">
      <c r="AT161" s="37"/>
      <c r="AU161" s="37"/>
    </row>
    <row r="163" spans="46:52" x14ac:dyDescent="0.2">
      <c r="AV163" s="37"/>
      <c r="AW163" s="37"/>
      <c r="AX163" s="36"/>
      <c r="AY163" s="36"/>
      <c r="AZ163" s="36"/>
    </row>
  </sheetData>
  <sheetProtection algorithmName="SHA-512" hashValue="GvmGP/1MAiUI/oVQQGSwcY7tS7hhuHHgrAHo3H156xC/sK6gEG8GYfD/mblcoy9KjPSbnRVfHXUx/1WIqIfltg==" saltValue="VIhoSGzJqsIQnQxCw9su2w==" spinCount="100000" sheet="1" objects="1" scenarios="1"/>
  <mergeCells count="62">
    <mergeCell ref="A99:A153"/>
    <mergeCell ref="P70:T70"/>
    <mergeCell ref="D52:E52"/>
    <mergeCell ref="D53:E53"/>
    <mergeCell ref="D54:E54"/>
    <mergeCell ref="D56:E56"/>
    <mergeCell ref="D57:E57"/>
    <mergeCell ref="D59:E59"/>
    <mergeCell ref="D60:E60"/>
    <mergeCell ref="D62:E62"/>
    <mergeCell ref="D63:E63"/>
    <mergeCell ref="N89:S89"/>
    <mergeCell ref="N90:S90"/>
    <mergeCell ref="R85:T85"/>
    <mergeCell ref="N86:S86"/>
    <mergeCell ref="N87:S87"/>
    <mergeCell ref="B27:G27"/>
    <mergeCell ref="B41:L45"/>
    <mergeCell ref="B24:C26"/>
    <mergeCell ref="D24:G24"/>
    <mergeCell ref="D25:G25"/>
    <mergeCell ref="D26:G26"/>
    <mergeCell ref="B28:G28"/>
    <mergeCell ref="B31:J33"/>
    <mergeCell ref="P28:Q28"/>
    <mergeCell ref="N79:S79"/>
    <mergeCell ref="R74:T74"/>
    <mergeCell ref="N75:S75"/>
    <mergeCell ref="N76:S76"/>
    <mergeCell ref="N77:S77"/>
    <mergeCell ref="N78:S78"/>
    <mergeCell ref="B21:G21"/>
    <mergeCell ref="B22:G22"/>
    <mergeCell ref="F20:H20"/>
    <mergeCell ref="B9:C9"/>
    <mergeCell ref="B10:G10"/>
    <mergeCell ref="F9:H9"/>
    <mergeCell ref="D14:G14"/>
    <mergeCell ref="D15:G15"/>
    <mergeCell ref="B13:C15"/>
    <mergeCell ref="D13:G13"/>
    <mergeCell ref="D55:E55"/>
    <mergeCell ref="N88:S88"/>
    <mergeCell ref="AQ1:AT1"/>
    <mergeCell ref="B2:C2"/>
    <mergeCell ref="B17:G17"/>
    <mergeCell ref="B7:C7"/>
    <mergeCell ref="G7:H7"/>
    <mergeCell ref="B11:G11"/>
    <mergeCell ref="B12:G12"/>
    <mergeCell ref="B16:G16"/>
    <mergeCell ref="P25:Q25"/>
    <mergeCell ref="F5:J5"/>
    <mergeCell ref="K4:L5"/>
    <mergeCell ref="B20:C20"/>
    <mergeCell ref="P14:Q14"/>
    <mergeCell ref="B23:G23"/>
    <mergeCell ref="B56:C56"/>
    <mergeCell ref="B52:C52"/>
    <mergeCell ref="B53:C53"/>
    <mergeCell ref="B54:C54"/>
    <mergeCell ref="B55:C55"/>
  </mergeCells>
  <phoneticPr fontId="117" type="noConversion"/>
  <conditionalFormatting sqref="E9">
    <cfRule type="expression" dxfId="195" priority="11">
      <formula>$M$15&gt;0</formula>
    </cfRule>
  </conditionalFormatting>
  <conditionalFormatting sqref="E20">
    <cfRule type="expression" dxfId="194" priority="9">
      <formula>$M$26&gt;0</formula>
    </cfRule>
  </conditionalFormatting>
  <conditionalFormatting sqref="I15">
    <cfRule type="expression" dxfId="193" priority="7">
      <formula>$M$15=0</formula>
    </cfRule>
    <cfRule type="containsText" dxfId="192" priority="8" operator="containsText" text="Doplňte">
      <formula>NOT(ISERROR(SEARCH("Doplňte",I15)))</formula>
    </cfRule>
  </conditionalFormatting>
  <conditionalFormatting sqref="I26">
    <cfRule type="expression" dxfId="191" priority="5">
      <formula>$M$15=0</formula>
    </cfRule>
    <cfRule type="containsText" dxfId="190" priority="6" operator="containsText" text="Doplňte">
      <formula>NOT(ISERROR(SEARCH("Doplňte",I26)))</formula>
    </cfRule>
  </conditionalFormatting>
  <conditionalFormatting sqref="I12">
    <cfRule type="containsText" dxfId="189" priority="4" operator="containsText" text="Doplňte">
      <formula>NOT(ISERROR(SEARCH("Doplňte",I12)))</formula>
    </cfRule>
  </conditionalFormatting>
  <conditionalFormatting sqref="I12">
    <cfRule type="expression" dxfId="188" priority="3">
      <formula>$M$15=0</formula>
    </cfRule>
  </conditionalFormatting>
  <conditionalFormatting sqref="I23">
    <cfRule type="containsText" dxfId="187" priority="2" operator="containsText" text="Doplňte">
      <formula>NOT(ISERROR(SEARCH("Doplňte",I23)))</formula>
    </cfRule>
  </conditionalFormatting>
  <conditionalFormatting sqref="I23">
    <cfRule type="expression" dxfId="186" priority="1">
      <formula>$M$26=0</formula>
    </cfRule>
  </conditionalFormatting>
  <hyperlinks>
    <hyperlink ref="N75:S75" location="HLt!H10" tooltip=" " display="HLt!H10" xr:uid="{BEEA5C8B-2C09-40D9-BD02-0212874DEC54}"/>
    <hyperlink ref="N76:S76" location="HLt!H11" tooltip=" " display="HLt!H11" xr:uid="{7BCED02B-0E54-4612-9D00-F2AF61E21C0A}"/>
    <hyperlink ref="N86:S86" location="HLt!H19" tooltip=" " display="HLt!H19" xr:uid="{B13C5C45-BC93-4B17-8250-549A153A1A0E}"/>
    <hyperlink ref="N87:S87" location="HLt!H20" tooltip=" " display="HLt!H20" xr:uid="{8A314CE9-2195-4334-AE3E-8CE1EEE5A148}"/>
    <hyperlink ref="AK5" location="HLt!A110" tooltip=" " display="HLt!A110" xr:uid="{FA1AE592-B524-40B1-A913-2BE003FBE655}"/>
    <hyperlink ref="L112" location="HLt!A1" tooltip=" " display="HLt!A1" xr:uid="{6B6E1FCE-6DA7-4B5B-9E40-B6F9FB3F645C}"/>
    <hyperlink ref="AK9" location="SumAVS!A1" tooltip=" " display="SumAVS!A1" xr:uid="{8BF53957-FFEA-46ED-8CCF-56B6320D1E71}"/>
    <hyperlink ref="AK10" location="OrdAVS!A1" tooltip=" " display="OrdAVS!A1" xr:uid="{6EB4582F-AB87-4CE8-B555-BC4AAD1D7DCD}"/>
    <hyperlink ref="AK7" location="AcsAVS!A1" tooltip=" " display="AcsAVS!A1" xr:uid="{7C655D2D-4C51-4673-9E11-004C2FFCE023}"/>
    <hyperlink ref="AK4" location="MenuAVS!A1" tooltip=" " display="MenuAVS!A1" xr:uid="{3799AE60-5F47-492A-B4CE-F7FF82062DCF}"/>
    <hyperlink ref="B2:C2" location="HL!A1" tooltip=" " display="AVENTOS HL" xr:uid="{5BB3E48B-9F7A-40D0-A342-52410891E00A}"/>
  </hyperlinks>
  <pageMargins left="0.62992125984251968" right="0.23622047244094488" top="0.74803149606299213" bottom="0.74803149606299213" header="0.31496062992125984" footer="0.31496062992125984"/>
  <pageSetup paperSize="9" orientation="portrait" horizontalDpi="4294967293"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8067" r:id="rId4" name="Drop Down 3">
              <controlPr defaultSize="0" autoLine="0" autoPict="0">
                <anchor moveWithCells="1">
                  <from>
                    <xdr:col>3</xdr:col>
                    <xdr:colOff>19050</xdr:colOff>
                    <xdr:row>6</xdr:row>
                    <xdr:rowOff>9525</xdr:rowOff>
                  </from>
                  <to>
                    <xdr:col>6</xdr:col>
                    <xdr:colOff>19050</xdr:colOff>
                    <xdr:row>7</xdr:row>
                    <xdr:rowOff>0</xdr:rowOff>
                  </to>
                </anchor>
              </controlPr>
            </control>
          </mc:Choice>
        </mc:AlternateContent>
        <mc:AlternateContent xmlns:mc="http://schemas.openxmlformats.org/markup-compatibility/2006">
          <mc:Choice Requires="x14">
            <control shapeId="88071" r:id="rId5" name="Drop Down 7">
              <controlPr defaultSize="0" autoLine="0" autoPict="0">
                <anchor moveWithCells="1">
                  <from>
                    <xdr:col>1</xdr:col>
                    <xdr:colOff>9525</xdr:colOff>
                    <xdr:row>9</xdr:row>
                    <xdr:rowOff>9525</xdr:rowOff>
                  </from>
                  <to>
                    <xdr:col>3</xdr:col>
                    <xdr:colOff>19050</xdr:colOff>
                    <xdr:row>10</xdr:row>
                    <xdr:rowOff>0</xdr:rowOff>
                  </to>
                </anchor>
              </controlPr>
            </control>
          </mc:Choice>
        </mc:AlternateContent>
        <mc:AlternateContent xmlns:mc="http://schemas.openxmlformats.org/markup-compatibility/2006">
          <mc:Choice Requires="x14">
            <control shapeId="88072" r:id="rId6" name="Drop Down 8">
              <controlPr defaultSize="0" autoLine="0" autoPict="0">
                <anchor moveWithCells="1">
                  <from>
                    <xdr:col>1</xdr:col>
                    <xdr:colOff>0</xdr:colOff>
                    <xdr:row>20</xdr:row>
                    <xdr:rowOff>0</xdr:rowOff>
                  </from>
                  <to>
                    <xdr:col>3</xdr:col>
                    <xdr:colOff>9525</xdr:colOff>
                    <xdr:row>21</xdr:row>
                    <xdr:rowOff>0</xdr:rowOff>
                  </to>
                </anchor>
              </controlPr>
            </control>
          </mc:Choice>
        </mc:AlternateContent>
        <mc:AlternateContent xmlns:mc="http://schemas.openxmlformats.org/markup-compatibility/2006">
          <mc:Choice Requires="x14">
            <control shapeId="88073" r:id="rId7" name="Drop Down 9">
              <controlPr defaultSize="0" autoLine="0" autoPict="0">
                <anchor moveWithCells="1">
                  <from>
                    <xdr:col>5</xdr:col>
                    <xdr:colOff>523875</xdr:colOff>
                    <xdr:row>3</xdr:row>
                    <xdr:rowOff>0</xdr:rowOff>
                  </from>
                  <to>
                    <xdr:col>8</xdr:col>
                    <xdr:colOff>571500</xdr:colOff>
                    <xdr:row>3</xdr:row>
                    <xdr:rowOff>200025</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F64B6-457F-4F01-8DE8-441A9F7636F1}">
  <sheetPr codeName="Sheet46">
    <tabColor indexed="60"/>
  </sheetPr>
  <dimension ref="A1:AY140"/>
  <sheetViews>
    <sheetView showGridLines="0" showRowColHeaders="0" topLeftCell="B1" zoomScaleNormal="100" workbookViewId="0">
      <selection activeCell="AO23" sqref="AO23"/>
    </sheetView>
  </sheetViews>
  <sheetFormatPr defaultColWidth="8.28515625" defaultRowHeight="12" x14ac:dyDescent="0.2"/>
  <cols>
    <col min="1" max="1" width="1.28515625" style="37" customWidth="1"/>
    <col min="2" max="9" width="8.5703125" style="37" customWidth="1"/>
    <col min="10" max="10" width="6.7109375" style="37" customWidth="1"/>
    <col min="11" max="11" width="10.42578125" style="37" customWidth="1"/>
    <col min="12" max="12" width="17.28515625" style="37" customWidth="1"/>
    <col min="13" max="14" width="6.42578125" style="37" hidden="1" customWidth="1"/>
    <col min="15" max="15" width="6.42578125" style="118" hidden="1" customWidth="1"/>
    <col min="16" max="16" width="6.42578125" style="37" hidden="1" customWidth="1"/>
    <col min="17" max="17" width="6" style="118" hidden="1" customWidth="1"/>
    <col min="18" max="18" width="6.42578125" style="37" hidden="1" customWidth="1"/>
    <col min="19" max="19" width="7.7109375" style="37" hidden="1" customWidth="1"/>
    <col min="20" max="20" width="9.5703125" style="37" hidden="1" customWidth="1"/>
    <col min="21" max="24" width="6.42578125" style="37" hidden="1" customWidth="1"/>
    <col min="25" max="25" width="37.28515625" style="37" hidden="1" customWidth="1"/>
    <col min="26" max="26" width="13.5703125" style="37" hidden="1" customWidth="1"/>
    <col min="27" max="29" width="6.7109375" style="37" hidden="1" customWidth="1"/>
    <col min="30" max="30" width="9.42578125" style="37" hidden="1" customWidth="1"/>
    <col min="31" max="34" width="6.7109375" style="37" hidden="1" customWidth="1"/>
    <col min="35" max="37" width="6.42578125" style="37" hidden="1" customWidth="1"/>
    <col min="38" max="38" width="3.28515625" style="108" hidden="1" customWidth="1"/>
    <col min="39" max="39" width="5.28515625" style="108" customWidth="1"/>
    <col min="40" max="40" width="23.42578125" style="108" customWidth="1"/>
    <col min="41" max="42" width="8.28515625" style="137"/>
    <col min="43" max="43" width="16" style="137" customWidth="1"/>
    <col min="44" max="45" width="19.7109375" style="137" customWidth="1"/>
    <col min="46" max="16384" width="8.28515625" style="137"/>
  </cols>
  <sheetData>
    <row r="1" spans="2:51" ht="4.5" customHeight="1" thickBot="1" x14ac:dyDescent="0.25">
      <c r="L1" s="137"/>
      <c r="AQ1" s="1121"/>
      <c r="AR1" s="1121"/>
      <c r="AS1" s="1121"/>
      <c r="AT1" s="1121"/>
      <c r="AU1" s="1121"/>
      <c r="AV1" s="1121"/>
      <c r="AW1" s="1121"/>
      <c r="AX1" s="1121"/>
      <c r="AY1" s="1121"/>
    </row>
    <row r="2" spans="2:51" s="108" customFormat="1" ht="19.5" customHeight="1" thickBot="1" x14ac:dyDescent="0.25">
      <c r="B2" s="1048" t="s">
        <v>3</v>
      </c>
      <c r="C2" s="1048"/>
      <c r="D2" s="1048"/>
      <c r="E2" s="884"/>
      <c r="F2" s="884"/>
      <c r="G2" s="884"/>
      <c r="H2" s="884"/>
      <c r="I2" s="884"/>
      <c r="J2" s="884"/>
      <c r="K2" s="884"/>
      <c r="L2" s="884"/>
      <c r="S2" s="117">
        <v>3</v>
      </c>
      <c r="AN2" s="379" t="str">
        <f>ListAVS!$B$153</f>
        <v>Przejdź do</v>
      </c>
    </row>
    <row r="3" spans="2:51" ht="3.75" customHeight="1" x14ac:dyDescent="0.2">
      <c r="B3" s="312"/>
      <c r="C3" s="306"/>
      <c r="D3" s="306"/>
      <c r="E3" s="306"/>
      <c r="F3" s="306"/>
      <c r="G3" s="306"/>
      <c r="H3" s="306"/>
      <c r="I3" s="306"/>
      <c r="J3" s="306"/>
      <c r="K3" s="306"/>
      <c r="L3" s="137"/>
      <c r="AL3" s="137"/>
    </row>
    <row r="4" spans="2:51" ht="16.149999999999999" customHeight="1" thickBot="1" x14ac:dyDescent="0.25">
      <c r="B4" s="313" t="str">
        <f>ListAVS!$B$17</f>
        <v>Front drewniany</v>
      </c>
      <c r="C4" s="313"/>
      <c r="D4" s="266"/>
      <c r="E4" s="313"/>
      <c r="F4" s="269" t="str">
        <f>ListAVS!$B$180&amp;"  "</f>
        <v xml:space="preserve">Wykonanie frontów  </v>
      </c>
      <c r="G4" s="255"/>
      <c r="H4" s="255"/>
      <c r="I4" s="255"/>
      <c r="J4" s="260"/>
      <c r="K4" s="1047" t="str">
        <f>IF($Z$77=3,IF(J4=0,$Y$72," "),IF(J4&gt;0,$Y$73," "))</f>
        <v xml:space="preserve"> </v>
      </c>
      <c r="L4" s="1047"/>
      <c r="S4" s="37" t="str">
        <f>" "&amp;ListAVS!$B$41&amp;" A "</f>
        <v xml:space="preserve"> Cena za korpus A </v>
      </c>
      <c r="AL4" s="137"/>
      <c r="AN4" s="383" t="s">
        <v>77</v>
      </c>
    </row>
    <row r="5" spans="2:51" ht="16.149999999999999" customHeight="1" x14ac:dyDescent="0.2">
      <c r="B5" s="266"/>
      <c r="C5" s="313"/>
      <c r="D5" s="313"/>
      <c r="E5" s="313"/>
      <c r="F5" s="1016" t="str">
        <f>IF($Z$77&lt;&gt;3,$Y$71," ")&amp;"      "</f>
        <v xml:space="preserve"> Możesz zmienić wartości we Wstępie do planowania      </v>
      </c>
      <c r="G5" s="1016"/>
      <c r="H5" s="1016"/>
      <c r="I5" s="1016"/>
      <c r="J5" s="1016"/>
      <c r="K5" s="1047"/>
      <c r="L5" s="1047"/>
      <c r="S5" s="37" t="str">
        <f>" "&amp;ListAVS!$B$41&amp;" B "</f>
        <v xml:space="preserve"> Cena za korpus B </v>
      </c>
      <c r="AL5" s="137"/>
      <c r="AN5" s="634" t="str">
        <f>" "&amp;ListAVS!$B$155</f>
        <v xml:space="preserve"> Pomoc</v>
      </c>
    </row>
    <row r="6" spans="2:51" ht="22.5" customHeight="1" x14ac:dyDescent="0.2">
      <c r="B6" s="313"/>
      <c r="C6" s="313"/>
      <c r="D6" s="313"/>
      <c r="E6" s="313"/>
      <c r="F6" s="266"/>
      <c r="G6" s="266"/>
      <c r="H6" s="266"/>
      <c r="I6" s="313"/>
      <c r="J6" s="313"/>
      <c r="K6" s="313"/>
      <c r="L6" s="266"/>
      <c r="S6" s="37" t="str">
        <f>" "&amp;ListAVS!$B$61</f>
        <v xml:space="preserve"> Cena całkowita bez VAT</v>
      </c>
      <c r="AL6" s="137"/>
      <c r="AN6" s="736"/>
    </row>
    <row r="7" spans="2:51" ht="16.149999999999999" customHeight="1" x14ac:dyDescent="0.2">
      <c r="B7" s="1059" t="str">
        <f>ListAVS!$B$51&amp;":   "</f>
        <v xml:space="preserve">Cena okucia:   </v>
      </c>
      <c r="C7" s="1060"/>
      <c r="D7" s="255"/>
      <c r="E7" s="266"/>
      <c r="F7" s="266"/>
      <c r="G7" s="1061">
        <f>IF(S2=1,$AF$48,IF($S$2=2,$AH$48,IF($S$2=3,$AD$48,0)))</f>
        <v>0</v>
      </c>
      <c r="H7" s="1062"/>
      <c r="I7" s="255"/>
      <c r="J7" s="255"/>
      <c r="K7" s="255"/>
      <c r="L7" s="255"/>
      <c r="Y7" s="156" t="str">
        <f>$B$2</f>
        <v>AVENTOS HK top</v>
      </c>
      <c r="Z7" s="157">
        <f>B5</f>
        <v>0</v>
      </c>
      <c r="AA7" s="157"/>
      <c r="AB7" s="157"/>
      <c r="AC7" s="157"/>
      <c r="AD7" s="158"/>
      <c r="AG7" s="118"/>
      <c r="AN7" s="675" t="str">
        <f>" "&amp;ListAVS!$B$160</f>
        <v xml:space="preserve"> Dodatki</v>
      </c>
    </row>
    <row r="8" spans="2:51" ht="25.15" customHeight="1" thickBot="1" x14ac:dyDescent="0.25">
      <c r="B8" s="255"/>
      <c r="C8" s="255"/>
      <c r="D8" s="255"/>
      <c r="E8" s="255"/>
      <c r="F8" s="255"/>
      <c r="G8" s="255"/>
      <c r="H8" s="579" t="str">
        <f>IF(AND(OR($U$16=2, $U$27=2), $AD$48&gt;0), $N$34, " ")</f>
        <v xml:space="preserve"> </v>
      </c>
      <c r="I8" s="255"/>
      <c r="J8" s="255"/>
      <c r="K8" s="255"/>
      <c r="L8" s="255"/>
      <c r="Y8" s="159" t="str">
        <f>ListAVS!B52</f>
        <v>Nazwa</v>
      </c>
      <c r="Z8" s="160" t="str">
        <f>ListAVS!$B$53</f>
        <v>Kod asortymentu</v>
      </c>
      <c r="AA8" s="161" t="str">
        <f>ListAVS!B54</f>
        <v>Kolor</v>
      </c>
      <c r="AB8" s="161" t="str">
        <f>ListAVS!B56</f>
        <v>Sztuka</v>
      </c>
      <c r="AC8" s="162" t="str">
        <f>ListAVS!B58</f>
        <v>Cena za sztukę</v>
      </c>
      <c r="AD8" s="161" t="str">
        <f>ListAVS!B59</f>
        <v>W sumie</v>
      </c>
      <c r="AE8" s="204" t="s">
        <v>29</v>
      </c>
      <c r="AF8" s="163" t="s">
        <v>30</v>
      </c>
      <c r="AG8" s="163" t="s">
        <v>31</v>
      </c>
      <c r="AH8" s="163" t="s">
        <v>30</v>
      </c>
      <c r="AN8" s="671"/>
      <c r="AQ8" s="950" t="str">
        <f>"  "&amp;ListAVS!$B$86&amp;" LF "</f>
        <v xml:space="preserve">  Współczynnik mocy LF </v>
      </c>
      <c r="AR8" s="953" t="str">
        <f>ListAVS!$B$84&amp;" "&amp;ListAVS!$B$350</f>
        <v>Mechanizm podnoszący wkręty</v>
      </c>
      <c r="AS8" s="953" t="str">
        <f>ListAVS!$B$84&amp;" "&amp;ListAVS!$B$351</f>
        <v>Mechanizm podnoszący wstępnie zamontowane eurowkręty</v>
      </c>
      <c r="AT8" s="266"/>
      <c r="AU8" s="266"/>
    </row>
    <row r="9" spans="2:51" ht="16.149999999999999" customHeight="1" thickBot="1" x14ac:dyDescent="0.25">
      <c r="B9" s="1051" t="str">
        <f>"▼ "&amp;ListAVS!$B$318</f>
        <v>▼ Sposób otwierania</v>
      </c>
      <c r="C9" s="1052"/>
      <c r="D9" s="406" t="str">
        <f>IF($M$17&gt;0, ListAVS!$B$37&amp;": ", " ")</f>
        <v xml:space="preserve"> </v>
      </c>
      <c r="E9" s="688" t="str">
        <f>IF(OR($AE$9&gt;0, $AE$13&gt;0), "23", IF(OR($AE$10&gt;0, $AE$14&gt;0), "25", IF(OR($AE$11&gt;0, $AE$15&gt;0), "27", IF(OR($AE$12&gt;0, $AE$16&gt;0), "29", IF(OR($AE$24&gt;0, $AE$28&gt;0), "23T", IF(OR($AE$25&gt;0, $AE$29&gt;0), "25T", IF(OR($AE$26&gt;0, $AE$30&gt;0), "27T", IF(OR($AE$27&gt;0, $AE$31&gt;0), "29T", " "))))))))</f>
        <v xml:space="preserve"> </v>
      </c>
      <c r="F9" s="1056" t="str">
        <f>ListAVS!$B$64&amp;" A"</f>
        <v>Korpus A</v>
      </c>
      <c r="G9" s="1057"/>
      <c r="H9" s="1058"/>
      <c r="I9" s="273"/>
      <c r="J9" s="255"/>
      <c r="K9" s="255"/>
      <c r="L9" s="255"/>
      <c r="N9" s="119"/>
      <c r="O9" s="132"/>
      <c r="P9" s="119"/>
      <c r="Q9" s="132"/>
      <c r="R9" s="1181" t="s">
        <v>89</v>
      </c>
      <c r="S9" s="1182"/>
      <c r="T9" s="747">
        <v>2000</v>
      </c>
      <c r="U9" s="748">
        <f>T9-1</f>
        <v>1999</v>
      </c>
      <c r="V9" s="1181" t="s">
        <v>90</v>
      </c>
      <c r="W9" s="1182"/>
      <c r="X9" s="749"/>
      <c r="Y9" s="164" t="str">
        <f>CenAVS!A54</f>
        <v xml:space="preserve">Aventos HK top słaby       </v>
      </c>
      <c r="Z9" s="164" t="str">
        <f>CenAVS!B54</f>
        <v>22K2300</v>
      </c>
      <c r="AA9" s="301" t="str">
        <f>CenAVS!C54</f>
        <v>ZN</v>
      </c>
      <c r="AB9" s="165">
        <f>SUM(AE9,AG9)</f>
        <v>0</v>
      </c>
      <c r="AC9" s="395">
        <f>CenAVS!F54</f>
        <v>161.11304000000001</v>
      </c>
      <c r="AD9" s="167">
        <f>AB9*AC9</f>
        <v>0</v>
      </c>
      <c r="AE9" s="407">
        <f>IF(AND($U$16&lt;&gt;3,$N$44=1),ROUNDUP(SUM(O11:P11)*$M$17,0),0)</f>
        <v>0</v>
      </c>
      <c r="AF9" s="168">
        <f t="shared" ref="AF9:AF29" si="0">$AC9*AE9</f>
        <v>0</v>
      </c>
      <c r="AG9" s="407">
        <f>IF(AND($U$27&lt;&gt;3,$N$44=1),ROUNDUP(SUM(O22:P22)*$M$28,0),0)</f>
        <v>0</v>
      </c>
      <c r="AH9" s="168">
        <f t="shared" ref="AH9:AH29" si="1">$AC9*AG9</f>
        <v>0</v>
      </c>
      <c r="AI9" s="749"/>
      <c r="AJ9" s="749"/>
      <c r="AK9" s="749"/>
      <c r="AN9" s="383" t="str">
        <f>" "&amp;ListAVS!$B$157</f>
        <v xml:space="preserve"> Rodzaje korpusów</v>
      </c>
      <c r="AQ9" s="949" t="s">
        <v>96</v>
      </c>
      <c r="AR9" s="753" t="s">
        <v>547</v>
      </c>
      <c r="AS9" s="753" t="s">
        <v>551</v>
      </c>
      <c r="AT9" s="255"/>
      <c r="AU9" s="255"/>
      <c r="AV9" s="37"/>
    </row>
    <row r="10" spans="2:51" s="37" customFormat="1" ht="16.149999999999999" customHeight="1" thickBot="1" x14ac:dyDescent="0.25">
      <c r="B10" s="1011" t="str">
        <f>ListAVS!$B$74&amp;" KB [mm] "</f>
        <v xml:space="preserve">Szerokość korpusu KB [mm] </v>
      </c>
      <c r="C10" s="1012"/>
      <c r="D10" s="1012"/>
      <c r="E10" s="1012"/>
      <c r="F10" s="1012"/>
      <c r="G10" s="1013"/>
      <c r="H10" s="435"/>
      <c r="I10" s="256" t="str">
        <f>IF($H10=0," ",IF($H10&lt;220," min. 220mm"," "))&amp;IF(H17&gt;0,IF(H10=0,"● "&amp;ListAVS!$B$129," ")," ")</f>
        <v xml:space="preserve">  </v>
      </c>
      <c r="J10" s="255"/>
      <c r="K10" s="255"/>
      <c r="L10" s="255"/>
      <c r="N10" s="198" t="s">
        <v>32</v>
      </c>
      <c r="O10" s="199" t="s">
        <v>91</v>
      </c>
      <c r="P10" s="200" t="s">
        <v>92</v>
      </c>
      <c r="Q10" s="119"/>
      <c r="R10" s="750" t="s">
        <v>93</v>
      </c>
      <c r="S10" s="750" t="s">
        <v>76</v>
      </c>
      <c r="T10" s="751" t="s">
        <v>94</v>
      </c>
      <c r="U10" s="751" t="s">
        <v>95</v>
      </c>
      <c r="V10" s="1183" t="b">
        <v>0</v>
      </c>
      <c r="W10" s="1184"/>
      <c r="X10" s="444"/>
      <c r="Y10" s="164" t="str">
        <f>CenAVS!A55</f>
        <v xml:space="preserve">Aventos HK top średni       </v>
      </c>
      <c r="Z10" s="164" t="str">
        <f>CenAVS!B55</f>
        <v>22K2500</v>
      </c>
      <c r="AA10" s="301" t="str">
        <f>CenAVS!C55</f>
        <v>ZN</v>
      </c>
      <c r="AB10" s="165">
        <f t="shared" ref="AB10:AB37" si="2">SUM(AE10,AG10)</f>
        <v>0</v>
      </c>
      <c r="AC10" s="395">
        <f>CenAVS!F55</f>
        <v>161.11304000000001</v>
      </c>
      <c r="AD10" s="167">
        <f t="shared" ref="AD10:AD29" si="3">AB10*AC10</f>
        <v>0</v>
      </c>
      <c r="AE10" s="407">
        <f>IF(AND($U$16&lt;&gt;3,$N$44=1),ROUNDUP(SUM(O12:P12)*$M$17,0),0)</f>
        <v>0</v>
      </c>
      <c r="AF10" s="168">
        <f t="shared" si="0"/>
        <v>0</v>
      </c>
      <c r="AG10" s="407">
        <f>IF(AND($U$27&lt;&gt;3,$N$44=1),ROUNDUP(SUM(O23:P23)*$M$28,0),0)</f>
        <v>0</v>
      </c>
      <c r="AH10" s="168">
        <f t="shared" si="1"/>
        <v>0</v>
      </c>
      <c r="AI10" s="444"/>
      <c r="AJ10" s="444"/>
      <c r="AK10" s="444"/>
      <c r="AL10" s="108"/>
      <c r="AM10" s="108"/>
      <c r="AN10" s="383" t="str">
        <f>" "&amp;ListAVS!$B$158</f>
        <v xml:space="preserve"> Zamówienie</v>
      </c>
      <c r="AO10" s="137"/>
      <c r="AP10" s="137"/>
      <c r="AQ10" s="949" t="s">
        <v>98</v>
      </c>
      <c r="AR10" s="753" t="s">
        <v>548</v>
      </c>
      <c r="AS10" s="753" t="s">
        <v>552</v>
      </c>
      <c r="AT10" s="255"/>
      <c r="AU10" s="255"/>
    </row>
    <row r="11" spans="2:51" s="37" customFormat="1" ht="16.149999999999999" customHeight="1" x14ac:dyDescent="0.2">
      <c r="B11" s="1011" t="str">
        <f>ListAVS!$B$75&amp;" KH [mm]  "</f>
        <v xml:space="preserve">Wysokość korpusu KH [mm]  </v>
      </c>
      <c r="C11" s="1012"/>
      <c r="D11" s="1012"/>
      <c r="E11" s="1012"/>
      <c r="F11" s="1012"/>
      <c r="G11" s="1013"/>
      <c r="H11" s="435"/>
      <c r="I11" s="256" t="str">
        <f>IF($H11=0," ",IF($H11&lt;205," min. 205 mm",IF($H11&gt;600," max. 600 mm"," ")))&amp;IF(H17&gt;0,IF(H11=0,"● "&amp;ListAVS!$B$129," ")," ")</f>
        <v xml:space="preserve">  </v>
      </c>
      <c r="J11" s="255"/>
      <c r="K11" s="255"/>
      <c r="L11" s="255"/>
      <c r="N11" s="119" t="s">
        <v>97</v>
      </c>
      <c r="O11" s="132">
        <f>IF($V$10=FALSE,IF($H$16&gt;R11,IF($H$16&lt;S11,1,0),0),0)</f>
        <v>0</v>
      </c>
      <c r="P11" s="132">
        <f>IF($V$10=TRUE,IF($H$16&gt;V11,IF($H$16&lt;W11,1.5,0),0),0)</f>
        <v>0</v>
      </c>
      <c r="Q11" s="119"/>
      <c r="R11" s="718">
        <v>419</v>
      </c>
      <c r="S11" s="718">
        <v>1200</v>
      </c>
      <c r="T11" s="752"/>
      <c r="U11" s="119"/>
      <c r="V11" s="718">
        <v>629</v>
      </c>
      <c r="W11" s="718">
        <v>1800</v>
      </c>
      <c r="X11" s="718"/>
      <c r="Y11" s="164" t="str">
        <f>CenAVS!A56</f>
        <v xml:space="preserve">Aventos HK top mocny       </v>
      </c>
      <c r="Z11" s="164" t="str">
        <f>CenAVS!B56</f>
        <v>22K2700</v>
      </c>
      <c r="AA11" s="301" t="str">
        <f>CenAVS!C56</f>
        <v>ZN</v>
      </c>
      <c r="AB11" s="165">
        <f t="shared" si="2"/>
        <v>0</v>
      </c>
      <c r="AC11" s="395">
        <f>CenAVS!F56</f>
        <v>161.90012999999999</v>
      </c>
      <c r="AD11" s="167">
        <f t="shared" si="3"/>
        <v>0</v>
      </c>
      <c r="AE11" s="407">
        <f>IF(AND($U$16&lt;&gt;3,$N$44=1),ROUNDUP(SUM(O13:P13)*$M$17,0),0)</f>
        <v>0</v>
      </c>
      <c r="AF11" s="168">
        <f t="shared" si="0"/>
        <v>0</v>
      </c>
      <c r="AG11" s="407">
        <f>IF(AND($U$27&lt;&gt;3,$N$44=1),ROUNDUP(SUM(O24:P24)*$M$28,0),0)</f>
        <v>0</v>
      </c>
      <c r="AH11" s="168">
        <f t="shared" si="1"/>
        <v>0</v>
      </c>
      <c r="AI11" s="718"/>
      <c r="AJ11" s="718"/>
      <c r="AK11" s="718"/>
      <c r="AL11" s="108"/>
      <c r="AM11" s="108"/>
      <c r="AN11" s="255"/>
      <c r="AO11" s="137"/>
      <c r="AP11" s="137"/>
      <c r="AQ11" s="949" t="s">
        <v>100</v>
      </c>
      <c r="AR11" s="753" t="s">
        <v>549</v>
      </c>
      <c r="AS11" s="753" t="s">
        <v>553</v>
      </c>
      <c r="AT11" s="255"/>
      <c r="AU11" s="255"/>
    </row>
    <row r="12" spans="2:51" s="37" customFormat="1" ht="16.149999999999999" customHeight="1" x14ac:dyDescent="0.2">
      <c r="B12" s="1011" t="str">
        <f>ListAVS!$B$78&amp;" [kg] ** "</f>
        <v xml:space="preserve">Waga frontu wraz z 2 uchwytami [kg] ** </v>
      </c>
      <c r="C12" s="1012"/>
      <c r="D12" s="1012"/>
      <c r="E12" s="1012"/>
      <c r="F12" s="1012"/>
      <c r="G12" s="1013"/>
      <c r="H12" s="258"/>
      <c r="I12" s="227" t="str">
        <f>IF($H17=0," ",IF(SUM($H12,$H15)=0,$N$36," "))&amp;IF(AND($H17&gt;0,M17&gt;0), IF($H12&gt;0,$N$37," ")," ")</f>
        <v xml:space="preserve">  </v>
      </c>
      <c r="J12" s="255"/>
      <c r="K12" s="255"/>
      <c r="L12" s="255"/>
      <c r="N12" s="119" t="s">
        <v>99</v>
      </c>
      <c r="O12" s="132">
        <f>IF($V$10=FALSE,IF($H$16&gt;R12,IF($H$16&lt;S12,1,0),0),0)</f>
        <v>0</v>
      </c>
      <c r="P12" s="132">
        <f>IF($V$10=TRUE,IF($H$16&gt;V12,IF($H$16&lt;W12,1.5,0),0),0)</f>
        <v>0</v>
      </c>
      <c r="Q12" s="119"/>
      <c r="R12" s="718">
        <v>1200</v>
      </c>
      <c r="S12" s="718">
        <v>2200</v>
      </c>
      <c r="T12" s="752"/>
      <c r="U12" s="130"/>
      <c r="V12" s="718">
        <v>1800</v>
      </c>
      <c r="W12" s="718">
        <v>3300</v>
      </c>
      <c r="X12" s="718"/>
      <c r="Y12" s="164" t="str">
        <f>CenAVS!A57</f>
        <v xml:space="preserve">Aventos HK top najmocnieszy       </v>
      </c>
      <c r="Z12" s="164" t="str">
        <f>CenAVS!B57</f>
        <v>22K2900</v>
      </c>
      <c r="AA12" s="301" t="str">
        <f>CenAVS!C57</f>
        <v>ZN</v>
      </c>
      <c r="AB12" s="165">
        <f t="shared" si="2"/>
        <v>0</v>
      </c>
      <c r="AC12" s="395">
        <f>CenAVS!F57</f>
        <v>189.43150000000003</v>
      </c>
      <c r="AD12" s="167">
        <f t="shared" si="3"/>
        <v>0</v>
      </c>
      <c r="AE12" s="407">
        <f>IF(AND($U$16&lt;&gt;3,$N$44=1),ROUNDUP(SUM(O14:P14)*$M$17,0),0)</f>
        <v>0</v>
      </c>
      <c r="AF12" s="168">
        <f t="shared" si="0"/>
        <v>0</v>
      </c>
      <c r="AG12" s="407">
        <f>IF(AND($U$27&lt;&gt;3,$N$44=1),ROUNDUP(SUM(O25:P25)*$M$28,0),0)</f>
        <v>0</v>
      </c>
      <c r="AH12" s="168">
        <f t="shared" si="1"/>
        <v>0</v>
      </c>
      <c r="AI12" s="718"/>
      <c r="AJ12" s="718"/>
      <c r="AK12" s="718"/>
      <c r="AL12" s="108"/>
      <c r="AM12" s="108"/>
      <c r="AN12" s="670"/>
      <c r="AO12" s="137"/>
      <c r="AP12" s="137"/>
      <c r="AQ12" s="949" t="s">
        <v>102</v>
      </c>
      <c r="AR12" s="753" t="s">
        <v>550</v>
      </c>
      <c r="AS12" s="753" t="s">
        <v>554</v>
      </c>
      <c r="AT12" s="255"/>
      <c r="AU12" s="255"/>
    </row>
    <row r="13" spans="2:51" s="37" customFormat="1" ht="16.149999999999999" customHeight="1" x14ac:dyDescent="0.2">
      <c r="B13" s="1055" t="str">
        <f>ListAVS!$B$293</f>
        <v>Obliczenie wagi</v>
      </c>
      <c r="C13" s="1055"/>
      <c r="D13" s="1053" t="str">
        <f>ListAVS!$B$80&amp;" TS [mm] "</f>
        <v xml:space="preserve">Grubość frontu TS [mm] </v>
      </c>
      <c r="E13" s="1053"/>
      <c r="F13" s="1053"/>
      <c r="G13" s="1054"/>
      <c r="H13" s="258"/>
      <c r="I13" s="256" t="str">
        <f>IF(H17=0," ",IF(AND(H12=0, H13=0)," ● "&amp;ListAVS!$B$129," "))&amp;IF(H17=0," ",IF(AND(H12=0, H13&lt;14), " min. 14 mm", " "))</f>
        <v xml:space="preserve">  </v>
      </c>
      <c r="J13" s="255"/>
      <c r="K13" s="255"/>
      <c r="L13" s="255"/>
      <c r="N13" s="119" t="s">
        <v>101</v>
      </c>
      <c r="O13" s="132">
        <f>IF($V$10=FALSE,IF($H$16&gt;R13,IF($H$16&lt;S13,1,0),0),0)</f>
        <v>0</v>
      </c>
      <c r="P13" s="132">
        <f>IF($V$10=TRUE,IF($H$16&gt;V13,IF($H$16&lt;W13,1.5,0),0),0)</f>
        <v>0</v>
      </c>
      <c r="Q13" s="119"/>
      <c r="R13" s="718">
        <v>2200</v>
      </c>
      <c r="S13" s="718">
        <v>4200</v>
      </c>
      <c r="V13" s="718">
        <v>3300</v>
      </c>
      <c r="W13" s="718">
        <v>6300</v>
      </c>
      <c r="X13" s="718"/>
      <c r="Y13" s="164" t="str">
        <f>CenAVS!A58</f>
        <v xml:space="preserve">Aventos HK top słaby z eurowkrętami     </v>
      </c>
      <c r="Z13" s="164" t="str">
        <f>CenAVS!B58</f>
        <v>22K2310</v>
      </c>
      <c r="AA13" s="301" t="str">
        <f>CenAVS!C58</f>
        <v>ZN</v>
      </c>
      <c r="AB13" s="165">
        <f t="shared" si="2"/>
        <v>0</v>
      </c>
      <c r="AC13" s="395">
        <f>CenAVS!F58</f>
        <v>176.89797999999999</v>
      </c>
      <c r="AD13" s="167">
        <f t="shared" si="3"/>
        <v>0</v>
      </c>
      <c r="AE13" s="407">
        <f>IF(AND($U$16&lt;&gt;3,$N$44=2),ROUNDUP(SUM(O11:P11)*$M$17,0),0)</f>
        <v>0</v>
      </c>
      <c r="AF13" s="168">
        <f t="shared" si="0"/>
        <v>0</v>
      </c>
      <c r="AG13" s="407">
        <f>IF(AND($U$27&lt;&gt;3,$N$44=2),ROUNDUP(SUM(O22:P22)*$M$28,0),0)</f>
        <v>0</v>
      </c>
      <c r="AH13" s="168">
        <f t="shared" si="1"/>
        <v>0</v>
      </c>
      <c r="AI13" s="718"/>
      <c r="AJ13" s="718"/>
      <c r="AK13" s="718"/>
      <c r="AL13" s="108"/>
      <c r="AM13" s="108"/>
      <c r="AN13" s="670"/>
      <c r="AO13" s="137"/>
      <c r="AP13" s="137"/>
      <c r="AQ13" s="255"/>
      <c r="AR13" s="255"/>
      <c r="AS13" s="255"/>
      <c r="AT13" s="255"/>
      <c r="AU13" s="255"/>
    </row>
    <row r="14" spans="2:51" s="37" customFormat="1" ht="16.149999999999999" customHeight="1" x14ac:dyDescent="0.2">
      <c r="B14" s="1055"/>
      <c r="C14" s="1055"/>
      <c r="D14" s="1053" t="str">
        <f>ListAVS!$B$83&amp;" [kg] "</f>
        <v xml:space="preserve">Waga uchwytu [kg] </v>
      </c>
      <c r="E14" s="1053"/>
      <c r="F14" s="1053"/>
      <c r="G14" s="1054"/>
      <c r="H14" s="258"/>
      <c r="I14" s="256" t="str">
        <f>IF(H17=0, " ", IF(AND(H12=0, U16=1, H14=0), " ● "&amp;ListAVS!$B$130," "))</f>
        <v xml:space="preserve"> </v>
      </c>
      <c r="J14" s="255"/>
      <c r="K14" s="255"/>
      <c r="L14" s="255"/>
      <c r="N14" s="119" t="s">
        <v>103</v>
      </c>
      <c r="O14" s="132">
        <f>IF($V$10=FALSE,IF($H$16&gt;R14,IF($H$16&lt;S14,1,0),0),0)</f>
        <v>0</v>
      </c>
      <c r="P14" s="132">
        <f>IF($V$10=TRUE,IF($H$16&gt;V14,IF($H$16&lt;W14,1.5,0),0),0)</f>
        <v>0</v>
      </c>
      <c r="Q14" s="119"/>
      <c r="R14" s="718">
        <v>4200</v>
      </c>
      <c r="S14" s="718">
        <v>9001</v>
      </c>
      <c r="V14" s="718">
        <v>6300</v>
      </c>
      <c r="W14" s="718">
        <v>13501</v>
      </c>
      <c r="X14" s="718"/>
      <c r="Y14" s="164" t="str">
        <f>CenAVS!A59</f>
        <v xml:space="preserve">Aventos HK top średni z eurowkrętami     </v>
      </c>
      <c r="Z14" s="164" t="str">
        <f>CenAVS!B59</f>
        <v>22K2510</v>
      </c>
      <c r="AA14" s="301" t="str">
        <f>CenAVS!C59</f>
        <v>ZN</v>
      </c>
      <c r="AB14" s="165">
        <f t="shared" si="2"/>
        <v>0</v>
      </c>
      <c r="AC14" s="395">
        <f>CenAVS!F59</f>
        <v>176.89797999999999</v>
      </c>
      <c r="AD14" s="167">
        <f t="shared" si="3"/>
        <v>0</v>
      </c>
      <c r="AE14" s="407">
        <f>IF(AND($U$16&lt;&gt;3,$N$44=2),ROUNDUP(SUM(O12:P12)*$M$17,0),0)</f>
        <v>0</v>
      </c>
      <c r="AF14" s="168">
        <f t="shared" si="0"/>
        <v>0</v>
      </c>
      <c r="AG14" s="407">
        <f>IF(AND($U$27&lt;&gt;3,$N$44=2),ROUNDUP(SUM(O23:P23)*$M$28,0),0)</f>
        <v>0</v>
      </c>
      <c r="AH14" s="168">
        <f t="shared" si="1"/>
        <v>0</v>
      </c>
      <c r="AI14" s="718"/>
      <c r="AJ14" s="718"/>
      <c r="AK14" s="718"/>
      <c r="AL14" s="108"/>
      <c r="AM14" s="108"/>
      <c r="AN14" s="670"/>
      <c r="AO14" s="137"/>
      <c r="AP14" s="137"/>
      <c r="AQ14" s="545" t="str">
        <f>ListAVS!$B$350&amp;" = "&amp;ListAVS!$B$352</f>
        <v>wkręty = podnośniki z zintegrowanym szablonem (nie ma potrzeby mierzenia)</v>
      </c>
    </row>
    <row r="15" spans="2:51" s="37" customFormat="1" ht="16.149999999999999" customHeight="1" x14ac:dyDescent="0.2">
      <c r="B15" s="1055"/>
      <c r="C15" s="1055"/>
      <c r="D15" s="1053" t="str">
        <f>ListAVS!$B$79&amp;" [kg] "</f>
        <v xml:space="preserve">Obliczona waga frontu [kg] </v>
      </c>
      <c r="E15" s="1053"/>
      <c r="F15" s="1053"/>
      <c r="G15" s="1054"/>
      <c r="H15" s="432">
        <f>$T$80</f>
        <v>0</v>
      </c>
      <c r="I15" s="227" t="str">
        <f>IF(AND($H17&gt;0,$H15&gt;0,$H12=0,$M17&gt;0), $N$37," ")&amp;IF(AND(H17&gt;0, H12=0, Z77=3, $J$4=0), $N$35, " ")</f>
        <v xml:space="preserve">  </v>
      </c>
      <c r="J15" s="255"/>
      <c r="K15" s="255"/>
      <c r="L15" s="255"/>
      <c r="U15" s="174" t="str">
        <f>IF(U16=1,$V$46,IF(U16=2,$V$47,$V$48))</f>
        <v>Standard</v>
      </c>
      <c r="Y15" s="164" t="str">
        <f>CenAVS!A60</f>
        <v xml:space="preserve">Aventos HK top mocny z eurowkrętami     </v>
      </c>
      <c r="Z15" s="164" t="str">
        <f>CenAVS!B60</f>
        <v>22K2710</v>
      </c>
      <c r="AA15" s="301" t="str">
        <f>CenAVS!C60</f>
        <v>ZN</v>
      </c>
      <c r="AB15" s="165">
        <f t="shared" si="2"/>
        <v>0</v>
      </c>
      <c r="AC15" s="395">
        <f>CenAVS!F60</f>
        <v>177.76220000000001</v>
      </c>
      <c r="AD15" s="167">
        <f t="shared" si="3"/>
        <v>0</v>
      </c>
      <c r="AE15" s="407">
        <f>IF(AND($U$16&lt;&gt;3,$N$44=2),ROUNDUP(SUM(O13:P13)*$M$17,0),0)</f>
        <v>0</v>
      </c>
      <c r="AF15" s="168">
        <f t="shared" si="0"/>
        <v>0</v>
      </c>
      <c r="AG15" s="407">
        <f>IF(AND($U$27&lt;&gt;3,$N$44=2),ROUNDUP(SUM(O24:P24)*$M$28,0),0)</f>
        <v>0</v>
      </c>
      <c r="AH15" s="168">
        <f t="shared" si="1"/>
        <v>0</v>
      </c>
      <c r="AL15" s="108"/>
      <c r="AM15" s="108"/>
      <c r="AN15" s="255"/>
      <c r="AO15" s="137"/>
      <c r="AP15" s="137"/>
      <c r="AQ15" s="545" t="str">
        <f>ListAVS!$B$351&amp;" = "&amp;ListAVS!$B$353</f>
        <v>wstępnie zamontowane eurowkręty = podnośniki ze wstępnie zamontowanymi wkrętami (wymagane wstępne nawiercenie)</v>
      </c>
    </row>
    <row r="16" spans="2:51" s="37" customFormat="1" ht="16.149999999999999" customHeight="1" thickBot="1" x14ac:dyDescent="0.25">
      <c r="B16" s="1011" t="str">
        <f>ListAVS!$B$87&amp;" *      "</f>
        <v xml:space="preserve">Trzeci podnośnik *      </v>
      </c>
      <c r="C16" s="1012"/>
      <c r="D16" s="1011" t="str">
        <f>ListAVS!$B$86&amp;" LF "</f>
        <v xml:space="preserve">Współczynnik mocy LF </v>
      </c>
      <c r="E16" s="1012"/>
      <c r="F16" s="1012"/>
      <c r="G16" s="1013"/>
      <c r="H16" s="438">
        <f>IF(H12&gt;0,H11*H12,H11*H15)</f>
        <v>0</v>
      </c>
      <c r="I16" s="256" t="str">
        <f>IF(H17=0," ",IF($H16&lt;420,$N$39,IF($H16&gt;13500,$N$40,IF($H16&gt;9000,IF(V10=FALSE,$N$41," ")," "))))</f>
        <v xml:space="preserve"> </v>
      </c>
      <c r="J16" s="255"/>
      <c r="K16" s="255"/>
      <c r="L16" s="439"/>
      <c r="M16" s="118"/>
      <c r="N16" s="119"/>
      <c r="O16" s="132"/>
      <c r="P16" s="132"/>
      <c r="Q16" s="119"/>
      <c r="R16" s="718"/>
      <c r="S16" s="718"/>
      <c r="T16" s="202"/>
      <c r="U16" s="131">
        <v>1</v>
      </c>
      <c r="V16" s="718"/>
      <c r="W16" s="718"/>
      <c r="X16" s="718"/>
      <c r="Y16" s="164" t="str">
        <f>CenAVS!A61</f>
        <v xml:space="preserve">Aventos HK top najmocniejszy z eurowkrętami     </v>
      </c>
      <c r="Z16" s="164" t="str">
        <f>CenAVS!B61</f>
        <v>22K2910</v>
      </c>
      <c r="AA16" s="301" t="str">
        <f>CenAVS!C61</f>
        <v>ZN</v>
      </c>
      <c r="AB16" s="165">
        <f t="shared" si="2"/>
        <v>0</v>
      </c>
      <c r="AC16" s="395">
        <f>CenAVS!F61</f>
        <v>207.99098000000001</v>
      </c>
      <c r="AD16" s="167">
        <f t="shared" si="3"/>
        <v>0</v>
      </c>
      <c r="AE16" s="407">
        <f>IF(AND($U$16&lt;&gt;3,$N$44=2),ROUNDUP(SUM(O14:P14)*$M$17,0),0)</f>
        <v>0</v>
      </c>
      <c r="AF16" s="168">
        <f t="shared" si="0"/>
        <v>0</v>
      </c>
      <c r="AG16" s="407">
        <f>IF(AND($U$27&lt;&gt;3,$N$44=2),ROUNDUP(SUM(O25:P25)*$M$28,0),0)</f>
        <v>0</v>
      </c>
      <c r="AH16" s="168">
        <f t="shared" si="1"/>
        <v>0</v>
      </c>
      <c r="AI16" s="718"/>
      <c r="AJ16" s="718"/>
      <c r="AK16" s="718"/>
      <c r="AL16" s="108"/>
      <c r="AM16" s="108"/>
      <c r="AN16" s="255"/>
      <c r="AO16" s="137"/>
      <c r="AP16" s="137"/>
    </row>
    <row r="17" spans="1:49" s="37" customFormat="1" ht="16.149999999999999" customHeight="1" thickBot="1" x14ac:dyDescent="0.25">
      <c r="B17" s="1011" t="str">
        <f>ListAVS!$B$71&amp;" "</f>
        <v xml:space="preserve">Ilość szafek </v>
      </c>
      <c r="C17" s="1012"/>
      <c r="D17" s="1012"/>
      <c r="E17" s="1012"/>
      <c r="F17" s="1012"/>
      <c r="G17" s="1012"/>
      <c r="H17" s="437"/>
      <c r="I17" s="256" t="str">
        <f>IF(OR(H17=0, $H16&gt;13500)," ",IF($H16&gt;9000,IF(V10=FALSE,$N$42," ")," "))</f>
        <v xml:space="preserve"> </v>
      </c>
      <c r="J17" s="255"/>
      <c r="K17" s="255"/>
      <c r="L17" s="255"/>
      <c r="M17" s="315">
        <f>IF($H10*$H11*$T17=0, 0, IF(OR($H11&lt;210, $H11&gt;600, $H16&lt;420, $H16&gt;13500), 0, IF(AND($H12=0, $H13&lt;14), 0, IF(AND(H16&gt;9000, V10=FALSE), 0, $H17))))</f>
        <v>0</v>
      </c>
      <c r="N17" s="119"/>
      <c r="O17" s="132"/>
      <c r="P17" s="132"/>
      <c r="Q17" s="119"/>
      <c r="R17" s="718"/>
      <c r="S17" s="690" t="s">
        <v>51</v>
      </c>
      <c r="T17" s="691">
        <f>IF(H12&gt;0,H12,H15)</f>
        <v>0</v>
      </c>
      <c r="U17" s="37">
        <f>IF(SUM(H12,H15)=0,0,IF(H12&gt;0,1,2))</f>
        <v>0</v>
      </c>
      <c r="V17" s="571" t="s">
        <v>52</v>
      </c>
      <c r="X17" s="718"/>
      <c r="Y17" s="164" t="str">
        <f>CenAVS!A62</f>
        <v xml:space="preserve">zaślepki HK top bez S-D szare     </v>
      </c>
      <c r="Z17" s="164" t="str">
        <f>CenAVS!B62</f>
        <v>22K8000</v>
      </c>
      <c r="AA17" s="301" t="str">
        <f>CenAVS!C62</f>
        <v xml:space="preserve">HG </v>
      </c>
      <c r="AB17" s="165">
        <f t="shared" si="2"/>
        <v>0</v>
      </c>
      <c r="AC17" s="395">
        <f>CenAVS!F62</f>
        <v>23.190790000000003</v>
      </c>
      <c r="AD17" s="167">
        <f t="shared" si="3"/>
        <v>0</v>
      </c>
      <c r="AE17" s="407">
        <f>IF($U$16&lt;&gt;2,IF($T$44=1,SUM($AE$9:$AE$16, $AE$24:$AE$31),0),0)</f>
        <v>0</v>
      </c>
      <c r="AF17" s="168">
        <f t="shared" si="0"/>
        <v>0</v>
      </c>
      <c r="AG17" s="407">
        <f>IF($U$27&lt;&gt;2,IF($T$44=1,SUM($AG$9:$AG$16, $AG$24:$AG$31),0),0)</f>
        <v>0</v>
      </c>
      <c r="AH17" s="168">
        <f t="shared" si="1"/>
        <v>0</v>
      </c>
      <c r="AI17" s="718"/>
      <c r="AJ17" s="718"/>
      <c r="AK17" s="718"/>
      <c r="AL17" s="108"/>
      <c r="AM17" s="108"/>
      <c r="AN17" s="255"/>
      <c r="AO17" s="137"/>
      <c r="AP17" s="137"/>
    </row>
    <row r="18" spans="1:49" s="37" customFormat="1" ht="16.149999999999999" customHeight="1" x14ac:dyDescent="0.2">
      <c r="B18" s="255" t="str">
        <f>IF(H17&gt;0,IF(OR(U17=0,M17=0), " ",IF(U17=1, $N$49, $N$50))," ")&amp;IF(H17&gt;0,IF(OR(U17=0, M17=0), " ",IF(U17=1, $N$51, $N$52))," ")</f>
        <v xml:space="preserve">  </v>
      </c>
      <c r="C18" s="255"/>
      <c r="D18" s="255"/>
      <c r="E18" s="255"/>
      <c r="F18" s="433"/>
      <c r="G18" s="433"/>
      <c r="H18" s="255"/>
      <c r="I18" s="255"/>
      <c r="J18" s="255"/>
      <c r="K18" s="255"/>
      <c r="L18" s="255"/>
      <c r="M18" s="118"/>
      <c r="N18" s="119"/>
      <c r="O18" s="132"/>
      <c r="P18" s="132"/>
      <c r="Q18" s="119"/>
      <c r="R18" s="718"/>
      <c r="S18" s="718"/>
      <c r="T18" s="119"/>
      <c r="U18" s="151"/>
      <c r="V18" s="718"/>
      <c r="W18" s="718"/>
      <c r="X18" s="718"/>
      <c r="Y18" s="164" t="str">
        <f>CenAVS!A63</f>
        <v xml:space="preserve">zaślepki HK top bez S-D ciemnoszare metalowe    </v>
      </c>
      <c r="Z18" s="164" t="str">
        <f>CenAVS!B63</f>
        <v>22K8000</v>
      </c>
      <c r="AA18" s="301" t="str">
        <f>CenAVS!C63</f>
        <v>TGR</v>
      </c>
      <c r="AB18" s="165">
        <f t="shared" si="2"/>
        <v>0</v>
      </c>
      <c r="AC18" s="395">
        <f>CenAVS!F63</f>
        <v>25.393930000000001</v>
      </c>
      <c r="AD18" s="167">
        <f t="shared" si="3"/>
        <v>0</v>
      </c>
      <c r="AE18" s="407">
        <f>IF($U$16&lt;&gt;2,IF($T$44=2,SUM($AE$9:$AE$16, $AE$24:$AE$31),0),0)</f>
        <v>0</v>
      </c>
      <c r="AF18" s="168">
        <f t="shared" si="0"/>
        <v>0</v>
      </c>
      <c r="AG18" s="407">
        <f>IF($U$27&lt;&gt;2,IF($T$44=2,SUM($AG$9:$AG$16, $AG$24:$AG$31),0),0)</f>
        <v>0</v>
      </c>
      <c r="AH18" s="168">
        <f t="shared" si="1"/>
        <v>0</v>
      </c>
      <c r="AI18" s="749"/>
      <c r="AJ18" s="749"/>
      <c r="AK18" s="749"/>
      <c r="AL18" s="108"/>
      <c r="AM18" s="108"/>
      <c r="AN18" s="692"/>
      <c r="AO18" s="137"/>
      <c r="AP18" s="137"/>
      <c r="AQ18" s="1044" t="str">
        <f>ListAVS!$B$86&amp;" LF = "&amp;ListAVS!$B$75&amp;" KH [mm] x "&amp;ListAVS!$B$78&amp;" [kg]"</f>
        <v>Współczynnik mocy LF = Wysokość korpusu KH [mm] x Waga frontu wraz z 2 uchwytami [kg]</v>
      </c>
      <c r="AR18" s="1044"/>
      <c r="AS18" s="1044"/>
      <c r="AT18" s="1044"/>
      <c r="AU18" s="1044"/>
    </row>
    <row r="19" spans="1:49" s="37" customFormat="1" ht="25.15" customHeight="1" thickBot="1" x14ac:dyDescent="0.25">
      <c r="B19" s="255"/>
      <c r="C19" s="255"/>
      <c r="D19" s="255"/>
      <c r="E19" s="255"/>
      <c r="F19" s="433"/>
      <c r="G19" s="433"/>
      <c r="H19" s="255"/>
      <c r="I19" s="255"/>
      <c r="J19" s="255"/>
      <c r="K19" s="255"/>
      <c r="L19" s="255"/>
      <c r="M19" s="118"/>
      <c r="N19" s="119"/>
      <c r="O19" s="132"/>
      <c r="P19" s="132"/>
      <c r="Q19" s="119"/>
      <c r="R19" s="718"/>
      <c r="S19" s="718"/>
      <c r="T19" s="119"/>
      <c r="U19" s="151"/>
      <c r="V19" s="718"/>
      <c r="W19" s="718"/>
      <c r="X19" s="718"/>
      <c r="Y19" s="164" t="str">
        <f>CenAVS!A64</f>
        <v xml:space="preserve">zaślepki HK top bez S-D jedwabiście białe    </v>
      </c>
      <c r="Z19" s="164" t="str">
        <f>CenAVS!B64</f>
        <v>22K8000</v>
      </c>
      <c r="AA19" s="301" t="str">
        <f>CenAVS!C64</f>
        <v xml:space="preserve">SW </v>
      </c>
      <c r="AB19" s="165">
        <f t="shared" si="2"/>
        <v>0</v>
      </c>
      <c r="AC19" s="395">
        <f>CenAVS!F64</f>
        <v>25.393930000000001</v>
      </c>
      <c r="AD19" s="167">
        <f t="shared" si="3"/>
        <v>0</v>
      </c>
      <c r="AE19" s="407">
        <f>IF($U$16&lt;&gt;2,IF($T$44=3,SUM($AE$9:$AE$16, $AE$24:$AE$31),0),0)</f>
        <v>0</v>
      </c>
      <c r="AF19" s="168">
        <f t="shared" si="0"/>
        <v>0</v>
      </c>
      <c r="AG19" s="407">
        <f>IF($U$27&lt;&gt;2,IF($T$44=3,SUM($AG$9:$AG$16, $AG$24:$AG$31),0),0)</f>
        <v>0</v>
      </c>
      <c r="AH19" s="168">
        <f t="shared" si="1"/>
        <v>0</v>
      </c>
      <c r="AI19" s="444"/>
      <c r="AJ19" s="444"/>
      <c r="AK19" s="444"/>
      <c r="AL19" s="108"/>
      <c r="AM19" s="108"/>
      <c r="AN19" s="255"/>
      <c r="AO19" s="137"/>
      <c r="AP19" s="137"/>
      <c r="AQ19" s="1044"/>
      <c r="AR19" s="1044"/>
      <c r="AS19" s="1044"/>
      <c r="AT19" s="1044"/>
      <c r="AU19" s="1044"/>
    </row>
    <row r="20" spans="1:49" s="37" customFormat="1" ht="16.149999999999999" customHeight="1" thickBot="1" x14ac:dyDescent="0.25">
      <c r="B20" s="1051" t="str">
        <f>"▼ "&amp;ListAVS!$B$318</f>
        <v>▼ Sposób otwierania</v>
      </c>
      <c r="C20" s="1052"/>
      <c r="D20" s="406" t="str">
        <f>IF($M$28&gt;0, ListAVS!$B$37&amp;": ", " ")</f>
        <v xml:space="preserve"> </v>
      </c>
      <c r="E20" s="688" t="str">
        <f>IF(OR($AG$9&gt;0, $AG$13&gt;0), "23", IF(OR($AG$10&gt;0, $AG$14&gt;0), "25", IF(OR($AG$11&gt;0, $AG$15&gt;0), "27", IF(OR($AG$12&gt;0, $AG$16&gt;0), "29", IF(OR($AG$24&gt;0, $AG$28&gt;0), "23T", IF(OR($AG$25&gt;0, $AG$29&gt;0), "25T", IF(OR($AG$26&gt;0, $AG$30&gt;0), "27T", IF(OR($AG$27&gt;0, $AG$31&gt;0), "29T", " "))))))))</f>
        <v xml:space="preserve"> </v>
      </c>
      <c r="F20" s="1056" t="str">
        <f>ListAVS!$B$64&amp;" B"</f>
        <v>Korpus B</v>
      </c>
      <c r="G20" s="1057"/>
      <c r="H20" s="1058"/>
      <c r="I20" s="273"/>
      <c r="J20" s="255"/>
      <c r="K20" s="255"/>
      <c r="L20" s="255"/>
      <c r="N20" s="119"/>
      <c r="O20" s="132"/>
      <c r="P20" s="119"/>
      <c r="Q20" s="132"/>
      <c r="R20" s="1181" t="s">
        <v>89</v>
      </c>
      <c r="S20" s="1182"/>
      <c r="T20" s="119"/>
      <c r="U20" s="130"/>
      <c r="V20" s="1181" t="s">
        <v>90</v>
      </c>
      <c r="W20" s="1182"/>
      <c r="X20" s="749"/>
      <c r="Y20" s="164" t="str">
        <f>CenAVS!A65</f>
        <v xml:space="preserve">zaślepki HK top do S-D jasnoszare     </v>
      </c>
      <c r="Z20" s="164" t="str">
        <f>CenAVS!B65</f>
        <v>23K8000</v>
      </c>
      <c r="AA20" s="301" t="str">
        <f>CenAVS!C65</f>
        <v xml:space="preserve">HG </v>
      </c>
      <c r="AB20" s="165">
        <f t="shared" si="2"/>
        <v>0</v>
      </c>
      <c r="AC20" s="395">
        <f>CenAVS!F65</f>
        <v>273.56473</v>
      </c>
      <c r="AD20" s="167">
        <f t="shared" si="3"/>
        <v>0</v>
      </c>
      <c r="AE20" s="407">
        <f>IF($U$16=2,IF($T$44=1,SUM($AE$9:$AE$16),0),0)</f>
        <v>0</v>
      </c>
      <c r="AF20" s="168">
        <f t="shared" si="0"/>
        <v>0</v>
      </c>
      <c r="AG20" s="407">
        <f>IF($U$27=2,IF($T$44=1,SUM($AG$9:$AG$16),0),0)</f>
        <v>0</v>
      </c>
      <c r="AH20" s="168">
        <f t="shared" si="1"/>
        <v>0</v>
      </c>
      <c r="AI20" s="718"/>
      <c r="AJ20" s="718"/>
      <c r="AK20" s="718"/>
      <c r="AL20" s="108"/>
      <c r="AM20" s="108"/>
      <c r="AN20" s="255"/>
      <c r="AO20" s="137"/>
      <c r="AP20" s="137"/>
      <c r="AQ20" s="1044" t="str">
        <f>ListAVS!$B$355</f>
        <v>W razie wykorzystania trzeciego siłownika współczynnik mocy oraz waga frontu mogą się zwiększyć o 50 %.</v>
      </c>
      <c r="AR20" s="1044"/>
      <c r="AS20" s="1044"/>
      <c r="AT20" s="1044"/>
      <c r="AU20" s="1044"/>
    </row>
    <row r="21" spans="1:49" s="37" customFormat="1" ht="16.149999999999999" customHeight="1" x14ac:dyDescent="0.2">
      <c r="B21" s="1011" t="str">
        <f>ListAVS!$B$74&amp;" KB [mm] "</f>
        <v xml:space="preserve">Szerokość korpusu KB [mm] </v>
      </c>
      <c r="C21" s="1012"/>
      <c r="D21" s="1012"/>
      <c r="E21" s="1012"/>
      <c r="F21" s="1012"/>
      <c r="G21" s="1013"/>
      <c r="H21" s="435"/>
      <c r="I21" s="256" t="str">
        <f>IF($H21=0," ",IF($H21&lt;220," min. 220mm",IF($H21&gt;1800," max. 1 800mm"," ")))&amp;IF(H28&gt;0,IF(H21=0,"● "&amp;ListAVS!$B$129," ")," ")</f>
        <v xml:space="preserve">  </v>
      </c>
      <c r="J21" s="255"/>
      <c r="K21" s="255"/>
      <c r="L21" s="255"/>
      <c r="N21" s="198" t="s">
        <v>53</v>
      </c>
      <c r="O21" s="199" t="s">
        <v>91</v>
      </c>
      <c r="P21" s="200" t="s">
        <v>92</v>
      </c>
      <c r="Q21" s="119"/>
      <c r="R21" s="750" t="s">
        <v>93</v>
      </c>
      <c r="S21" s="750" t="s">
        <v>76</v>
      </c>
      <c r="T21" s="751"/>
      <c r="U21" s="132"/>
      <c r="V21" s="1185" t="b">
        <v>0</v>
      </c>
      <c r="W21" s="1186"/>
      <c r="X21" s="444"/>
      <c r="Y21" s="164" t="str">
        <f>CenAVS!A66</f>
        <v xml:space="preserve">zaślepki HK top do S-D ciemnoszare metalowe    </v>
      </c>
      <c r="Z21" s="164" t="str">
        <f>CenAVS!B66</f>
        <v>23K8000</v>
      </c>
      <c r="AA21" s="301" t="str">
        <f>CenAVS!C66</f>
        <v>TGR</v>
      </c>
      <c r="AB21" s="165">
        <f t="shared" si="2"/>
        <v>0</v>
      </c>
      <c r="AC21" s="395">
        <f>CenAVS!F66</f>
        <v>284.75036999999998</v>
      </c>
      <c r="AD21" s="167">
        <f t="shared" si="3"/>
        <v>0</v>
      </c>
      <c r="AE21" s="407">
        <f>IF($U$16=2,IF($T$44=2,SUM($AE$9:$AE$16),0),0)</f>
        <v>0</v>
      </c>
      <c r="AF21" s="168">
        <f t="shared" si="0"/>
        <v>0</v>
      </c>
      <c r="AG21" s="407">
        <f>IF($U$27=2,IF($T$44=2,SUM($AG$9:$AG$16),0),0)</f>
        <v>0</v>
      </c>
      <c r="AH21" s="168">
        <f t="shared" si="1"/>
        <v>0</v>
      </c>
      <c r="AI21" s="718"/>
      <c r="AJ21" s="718"/>
      <c r="AK21" s="718"/>
      <c r="AL21" s="108"/>
      <c r="AM21" s="108"/>
      <c r="AN21" s="255"/>
      <c r="AO21" s="137"/>
      <c r="AP21" s="137"/>
      <c r="AQ21" s="1044"/>
      <c r="AR21" s="1044"/>
      <c r="AS21" s="1044"/>
      <c r="AT21" s="1044"/>
      <c r="AU21" s="1044"/>
    </row>
    <row r="22" spans="1:49" s="37" customFormat="1" ht="16.149999999999999" customHeight="1" x14ac:dyDescent="0.2">
      <c r="B22" s="1011" t="str">
        <f>ListAVS!$B$75&amp;" KH [mm] "</f>
        <v xml:space="preserve">Wysokość korpusu KH [mm] </v>
      </c>
      <c r="C22" s="1012"/>
      <c r="D22" s="1012"/>
      <c r="E22" s="1012"/>
      <c r="F22" s="1012"/>
      <c r="G22" s="1013"/>
      <c r="H22" s="435"/>
      <c r="I22" s="256" t="str">
        <f>IF($H22=0," ",IF($H22&lt;205," min. 205 mm",IF($H22&gt;600," max. 600 mm"," ")))&amp;IF(H28&gt;0,IF(H22=0,"● "&amp;ListAVS!$B$129," ")," ")</f>
        <v xml:space="preserve">  </v>
      </c>
      <c r="J22" s="255"/>
      <c r="K22" s="255"/>
      <c r="L22" s="255"/>
      <c r="N22" s="119" t="s">
        <v>97</v>
      </c>
      <c r="O22" s="132">
        <f>IF($V$21=FALSE,IF($H$27&gt;R22,IF($H$27&lt;S22,1,0),0),0)</f>
        <v>0</v>
      </c>
      <c r="P22" s="132">
        <f>IF($V$21=TRUE,IF($H$27&gt;V22,IF($H$27&lt;W22,1.5,0),0),0)</f>
        <v>0</v>
      </c>
      <c r="Q22" s="119"/>
      <c r="R22" s="718">
        <v>419</v>
      </c>
      <c r="S22" s="718">
        <v>1200</v>
      </c>
      <c r="T22" s="752"/>
      <c r="U22" s="119"/>
      <c r="V22" s="718">
        <v>629</v>
      </c>
      <c r="W22" s="718">
        <v>1800</v>
      </c>
      <c r="X22" s="718"/>
      <c r="Y22" s="164" t="str">
        <f>CenAVS!A67</f>
        <v xml:space="preserve">zaślepki HK top do S-D jedwabiście białe    </v>
      </c>
      <c r="Z22" s="164" t="str">
        <f>CenAVS!B67</f>
        <v>23K8000</v>
      </c>
      <c r="AA22" s="301" t="str">
        <f>CenAVS!C67</f>
        <v xml:space="preserve">SW </v>
      </c>
      <c r="AB22" s="165">
        <f t="shared" si="2"/>
        <v>0</v>
      </c>
      <c r="AC22" s="395">
        <f>CenAVS!F67</f>
        <v>284.75036999999998</v>
      </c>
      <c r="AD22" s="167">
        <f t="shared" si="3"/>
        <v>0</v>
      </c>
      <c r="AE22" s="407">
        <f>IF($U$16=2,IF($T$44=3,SUM($AE$9:$AE$16),0),0)</f>
        <v>0</v>
      </c>
      <c r="AF22" s="168">
        <f t="shared" si="0"/>
        <v>0</v>
      </c>
      <c r="AG22" s="407">
        <f>IF($U$27=2,IF($T$44=3,SUM($AG$9:$AG$16),0),0)</f>
        <v>0</v>
      </c>
      <c r="AH22" s="168">
        <f t="shared" si="1"/>
        <v>0</v>
      </c>
      <c r="AI22" s="718"/>
      <c r="AJ22" s="718"/>
      <c r="AK22" s="718"/>
      <c r="AL22" s="108"/>
      <c r="AM22" s="108"/>
      <c r="AN22" s="255"/>
      <c r="AO22" s="137"/>
    </row>
    <row r="23" spans="1:49" s="37" customFormat="1" ht="16.149999999999999" customHeight="1" x14ac:dyDescent="0.2">
      <c r="B23" s="1011" t="str">
        <f>ListAVS!$B$78&amp;" [kg] ** "</f>
        <v xml:space="preserve">Waga frontu wraz z 2 uchwytami [kg] ** </v>
      </c>
      <c r="C23" s="1012"/>
      <c r="D23" s="1012"/>
      <c r="E23" s="1012"/>
      <c r="F23" s="1012"/>
      <c r="G23" s="1013"/>
      <c r="H23" s="258"/>
      <c r="I23" s="227" t="str">
        <f>IF($H28=0," ",IF(SUM($H23,$H26)=0,$N$36," "))&amp;IF(AND($H28&gt;0,M28&gt;0), IF($H23&gt;0,$N$37," ")," ")</f>
        <v xml:space="preserve">  </v>
      </c>
      <c r="J23" s="255"/>
      <c r="K23" s="255"/>
      <c r="L23" s="255"/>
      <c r="N23" s="119" t="s">
        <v>99</v>
      </c>
      <c r="O23" s="132">
        <f>IF($V$21=FALSE,IF($H$27&gt;R23,IF($H$27&lt;S23,1,0),0),0)</f>
        <v>0</v>
      </c>
      <c r="P23" s="132">
        <f>IF($V$21=TRUE,IF($H$27&gt;V23,IF($H$27&lt;W23,1.5,0),0),0)</f>
        <v>0</v>
      </c>
      <c r="Q23" s="119"/>
      <c r="R23" s="718">
        <v>1200</v>
      </c>
      <c r="S23" s="718">
        <v>2200</v>
      </c>
      <c r="T23" s="752"/>
      <c r="U23" s="130"/>
      <c r="V23" s="718">
        <v>1800</v>
      </c>
      <c r="W23" s="718">
        <v>3300</v>
      </c>
      <c r="X23" s="718"/>
      <c r="Y23" s="164" t="str">
        <f>CenAVS!A68</f>
        <v xml:space="preserve">          </v>
      </c>
      <c r="Z23" s="164">
        <f>CenAVS!B68</f>
        <v>0</v>
      </c>
      <c r="AA23" s="301">
        <f>CenAVS!C68</f>
        <v>0</v>
      </c>
      <c r="AB23" s="165">
        <f t="shared" si="2"/>
        <v>0</v>
      </c>
      <c r="AC23" s="395">
        <f>CenAVS!F68</f>
        <v>0</v>
      </c>
      <c r="AD23" s="167">
        <f t="shared" si="3"/>
        <v>0</v>
      </c>
      <c r="AE23" s="408"/>
      <c r="AF23" s="168">
        <f t="shared" si="0"/>
        <v>0</v>
      </c>
      <c r="AG23" s="408"/>
      <c r="AH23" s="168">
        <f t="shared" si="1"/>
        <v>0</v>
      </c>
      <c r="AI23" s="718"/>
      <c r="AJ23" s="718"/>
      <c r="AK23" s="718"/>
      <c r="AL23" s="108"/>
      <c r="AM23" s="108"/>
      <c r="AN23" s="255"/>
      <c r="AO23" s="137"/>
      <c r="AP23" s="137"/>
      <c r="AQ23" s="137"/>
      <c r="AR23" s="137"/>
      <c r="AS23" s="137"/>
      <c r="AT23" s="137"/>
      <c r="AU23" s="137"/>
      <c r="AV23" s="137"/>
    </row>
    <row r="24" spans="1:49" s="37" customFormat="1" ht="16.149999999999999" customHeight="1" x14ac:dyDescent="0.2">
      <c r="B24" s="1055" t="str">
        <f>ListAVS!$B$293</f>
        <v>Obliczenie wagi</v>
      </c>
      <c r="C24" s="1055"/>
      <c r="D24" s="1053" t="str">
        <f>ListAVS!$B$80&amp;" TS [mm] "</f>
        <v xml:space="preserve">Grubość frontu TS [mm] </v>
      </c>
      <c r="E24" s="1053"/>
      <c r="F24" s="1053"/>
      <c r="G24" s="1054"/>
      <c r="H24" s="258"/>
      <c r="I24" s="256" t="str">
        <f>IF(H28=0," ",IF(AND(H23=0, H24=0)," ● "&amp;ListAVS!$B$129," "))&amp;IF(H28=0," ",IF(AND(H23=0, H24&lt;14), " min. 14 mm", " "))</f>
        <v xml:space="preserve">  </v>
      </c>
      <c r="J24" s="255"/>
      <c r="K24" s="255"/>
      <c r="L24" s="255"/>
      <c r="N24" s="119" t="s">
        <v>101</v>
      </c>
      <c r="O24" s="132">
        <f>IF($V$21=FALSE,IF($H$27&gt;R24,IF($H$27&lt;S24,1,0),0),0)</f>
        <v>0</v>
      </c>
      <c r="P24" s="132">
        <f>IF($V$21=TRUE,IF($H$27&gt;V24,IF($H$27&lt;W24,1.5,0),0),0)</f>
        <v>0</v>
      </c>
      <c r="Q24" s="119"/>
      <c r="R24" s="718">
        <v>2200</v>
      </c>
      <c r="S24" s="718">
        <v>4200</v>
      </c>
      <c r="V24" s="718">
        <v>3300</v>
      </c>
      <c r="W24" s="718">
        <v>6300</v>
      </c>
      <c r="X24" s="718"/>
      <c r="Y24" s="164" t="str">
        <f>CenAVS!A69</f>
        <v xml:space="preserve">Aventos HK top słaby Tip-on      </v>
      </c>
      <c r="Z24" s="164" t="str">
        <f>CenAVS!B69</f>
        <v>22K2300T</v>
      </c>
      <c r="AA24" s="301" t="str">
        <f>CenAVS!C69</f>
        <v>ZN</v>
      </c>
      <c r="AB24" s="165">
        <f t="shared" si="2"/>
        <v>0</v>
      </c>
      <c r="AC24" s="395">
        <f>CenAVS!F69</f>
        <v>172.91319999999999</v>
      </c>
      <c r="AD24" s="167">
        <f t="shared" si="3"/>
        <v>0</v>
      </c>
      <c r="AE24" s="407">
        <f>IF(AND($U$16=3,$N$44=1),ROUNDUP(SUM(O11:P11)*$M$17,0),0)</f>
        <v>0</v>
      </c>
      <c r="AF24" s="168">
        <f t="shared" si="0"/>
        <v>0</v>
      </c>
      <c r="AG24" s="407">
        <f>IF(AND($U$27=3,$N$44=1),ROUNDUP(SUM(O22:P22)*$M$28,0),0)</f>
        <v>0</v>
      </c>
      <c r="AH24" s="168">
        <f t="shared" si="1"/>
        <v>0</v>
      </c>
      <c r="AL24" s="108"/>
      <c r="AM24" s="108"/>
      <c r="AN24" s="137"/>
      <c r="AP24" s="137"/>
      <c r="AQ24" s="137"/>
      <c r="AR24" s="137"/>
      <c r="AS24" s="137"/>
      <c r="AT24" s="137"/>
      <c r="AU24" s="137"/>
      <c r="AV24" s="137"/>
    </row>
    <row r="25" spans="1:49" s="37" customFormat="1" ht="16.149999999999999" customHeight="1" x14ac:dyDescent="0.2">
      <c r="B25" s="1055"/>
      <c r="C25" s="1055"/>
      <c r="D25" s="1053" t="str">
        <f>ListAVS!$B$83&amp;" [kg] "</f>
        <v xml:space="preserve">Waga uchwytu [kg] </v>
      </c>
      <c r="E25" s="1053"/>
      <c r="F25" s="1053"/>
      <c r="G25" s="1054"/>
      <c r="H25" s="258"/>
      <c r="I25" s="256" t="str">
        <f>IF(H28=0, " ", IF(AND(H23=0, U27=1, H25=0), " ● "&amp;ListAVS!$B$130," "))</f>
        <v xml:space="preserve"> </v>
      </c>
      <c r="J25" s="255"/>
      <c r="K25" s="255"/>
      <c r="L25" s="255"/>
      <c r="M25" s="118"/>
      <c r="N25" s="119" t="s">
        <v>103</v>
      </c>
      <c r="O25" s="132">
        <f>IF($V$21=FALSE,IF($H$27&gt;R25,IF($H$27&lt;S25,1,0),0),0)</f>
        <v>0</v>
      </c>
      <c r="P25" s="132">
        <f>IF($V$21=TRUE,IF($H$27&gt;V25,IF($H$27&lt;W25,1.5,0),0),0)</f>
        <v>0</v>
      </c>
      <c r="Q25" s="119"/>
      <c r="R25" s="718">
        <v>4200</v>
      </c>
      <c r="S25" s="718">
        <v>9001</v>
      </c>
      <c r="V25" s="718">
        <v>6300</v>
      </c>
      <c r="W25" s="718">
        <v>13501</v>
      </c>
      <c r="X25" s="718"/>
      <c r="Y25" s="164" t="str">
        <f>CenAVS!A70</f>
        <v xml:space="preserve">Aventos HK top średni Tip-on      </v>
      </c>
      <c r="Z25" s="164" t="str">
        <f>CenAVS!B70</f>
        <v>22K2500T</v>
      </c>
      <c r="AA25" s="301" t="str">
        <f>CenAVS!C70</f>
        <v>ZN</v>
      </c>
      <c r="AB25" s="165">
        <f t="shared" si="2"/>
        <v>0</v>
      </c>
      <c r="AC25" s="395">
        <f>CenAVS!F70</f>
        <v>172.91319999999999</v>
      </c>
      <c r="AD25" s="167">
        <f t="shared" si="3"/>
        <v>0</v>
      </c>
      <c r="AE25" s="407">
        <f>IF(AND($U$16=3,$N$44=1),ROUNDUP(SUM(O12:P12)*$M$17,0),0)</f>
        <v>0</v>
      </c>
      <c r="AF25" s="168">
        <f t="shared" si="0"/>
        <v>0</v>
      </c>
      <c r="AG25" s="407">
        <f>IF(AND($U$27=3,$N$44=1),ROUNDUP(SUM(O23:P23)*$M$28,0),0)</f>
        <v>0</v>
      </c>
      <c r="AH25" s="168">
        <f t="shared" si="1"/>
        <v>0</v>
      </c>
      <c r="AL25" s="108"/>
      <c r="AM25" s="108"/>
      <c r="AN25" s="137"/>
      <c r="AO25" s="137"/>
      <c r="AP25" s="137"/>
      <c r="AQ25" s="137"/>
      <c r="AR25" s="137"/>
      <c r="AS25" s="137"/>
      <c r="AT25" s="137"/>
      <c r="AU25" s="137"/>
      <c r="AV25" s="137"/>
    </row>
    <row r="26" spans="1:49" s="37" customFormat="1" ht="16.149999999999999" customHeight="1" x14ac:dyDescent="0.2">
      <c r="B26" s="1055"/>
      <c r="C26" s="1055"/>
      <c r="D26" s="1053" t="str">
        <f>ListAVS!$B$79&amp;" [kg] "</f>
        <v xml:space="preserve">Obliczona waga frontu [kg] </v>
      </c>
      <c r="E26" s="1053"/>
      <c r="F26" s="1053"/>
      <c r="G26" s="1054"/>
      <c r="H26" s="432">
        <f>$T$91</f>
        <v>0</v>
      </c>
      <c r="I26" s="227" t="str">
        <f>IF(AND($H28&gt;0,$H26&gt;0,$H23=0,$M28&gt;0), $N$37," ")&amp;IF(AND(H28&gt;0, H23=0, Z88=3, $J$4=0), $N$35, " ")</f>
        <v xml:space="preserve">  </v>
      </c>
      <c r="J26" s="255"/>
      <c r="K26" s="255"/>
      <c r="L26" s="255"/>
      <c r="T26" s="132"/>
      <c r="U26" s="174" t="str">
        <f>IF(U27=1,$V$46,IF(U27=2,$V$47,$V$48))</f>
        <v>Standard</v>
      </c>
      <c r="Y26" s="164" t="str">
        <f>CenAVS!A71</f>
        <v xml:space="preserve">Aventos HK top mocny Tip-on      </v>
      </c>
      <c r="Z26" s="164" t="str">
        <f>CenAVS!B71</f>
        <v>22K2700T</v>
      </c>
      <c r="AA26" s="301" t="str">
        <f>CenAVS!C71</f>
        <v>ZN</v>
      </c>
      <c r="AB26" s="165">
        <f t="shared" si="2"/>
        <v>0</v>
      </c>
      <c r="AC26" s="395">
        <f>CenAVS!F71</f>
        <v>183.9254</v>
      </c>
      <c r="AD26" s="167">
        <f t="shared" si="3"/>
        <v>0</v>
      </c>
      <c r="AE26" s="407">
        <f>IF(AND($U$16=3,$N$44=1),ROUNDUP(SUM(O13:P13)*$M$17,0),0)</f>
        <v>0</v>
      </c>
      <c r="AF26" s="168">
        <f t="shared" si="0"/>
        <v>0</v>
      </c>
      <c r="AG26" s="407">
        <f>IF(AND($U$27=3,$N$44=1),ROUNDUP(SUM(O24:P24)*$M$28,0),0)</f>
        <v>0</v>
      </c>
      <c r="AH26" s="168">
        <f t="shared" si="1"/>
        <v>0</v>
      </c>
      <c r="AL26" s="108"/>
      <c r="AM26" s="108"/>
      <c r="AN26" s="108"/>
      <c r="AO26" s="137"/>
      <c r="AP26" s="137"/>
      <c r="AQ26" s="137"/>
      <c r="AR26" s="137"/>
      <c r="AS26" s="137"/>
      <c r="AT26" s="137"/>
      <c r="AU26" s="137"/>
      <c r="AV26" s="137"/>
      <c r="AW26" s="137"/>
    </row>
    <row r="27" spans="1:49" s="37" customFormat="1" ht="16.149999999999999" customHeight="1" thickBot="1" x14ac:dyDescent="0.25">
      <c r="B27" s="1011" t="str">
        <f>ListAVS!$B$87&amp;" *      "</f>
        <v xml:space="preserve">Trzeci podnośnik *      </v>
      </c>
      <c r="C27" s="1012"/>
      <c r="D27" s="1011" t="str">
        <f>ListAVS!$B$86&amp;" LF "</f>
        <v xml:space="preserve">Współczynnik mocy LF </v>
      </c>
      <c r="E27" s="1012"/>
      <c r="F27" s="1012"/>
      <c r="G27" s="1013"/>
      <c r="H27" s="438">
        <f>IF(H23&gt;0,H22*H23,H22*H26)</f>
        <v>0</v>
      </c>
      <c r="I27" s="256" t="str">
        <f>IF(H28=0," ",IF($H27&lt;420,$N$39,IF($H27&gt;13500,$N$40,IF($H27&gt;9000,IF(V21=FALSE,$N$41," ")," "))))</f>
        <v xml:space="preserve"> </v>
      </c>
      <c r="J27" s="255"/>
      <c r="K27" s="248"/>
      <c r="L27" s="255"/>
      <c r="N27" s="137"/>
      <c r="O27" s="137"/>
      <c r="P27" s="137"/>
      <c r="Q27" s="137"/>
      <c r="T27" s="202"/>
      <c r="U27" s="131">
        <v>1</v>
      </c>
      <c r="Y27" s="164" t="str">
        <f>CenAVS!A72</f>
        <v xml:space="preserve">Aventos HK top najmocniejszy Tip-on      </v>
      </c>
      <c r="Z27" s="164" t="str">
        <f>CenAVS!B72</f>
        <v>22K2900T</v>
      </c>
      <c r="AA27" s="301" t="str">
        <f>CenAVS!C72</f>
        <v>ZN</v>
      </c>
      <c r="AB27" s="165">
        <f t="shared" si="2"/>
        <v>0</v>
      </c>
      <c r="AC27" s="395">
        <f>CenAVS!F72</f>
        <v>211.45676</v>
      </c>
      <c r="AD27" s="167">
        <f t="shared" si="3"/>
        <v>0</v>
      </c>
      <c r="AE27" s="407">
        <f>IF(AND($U$16=3,$N$44=1),ROUNDUP(SUM(O14:P14)*$M$17,0),0)</f>
        <v>0</v>
      </c>
      <c r="AF27" s="168">
        <f t="shared" si="0"/>
        <v>0</v>
      </c>
      <c r="AG27" s="407">
        <f>IF(AND($U$27=3,$N$44=1),ROUNDUP(SUM(O25:P25)*$M$28,0),0)</f>
        <v>0</v>
      </c>
      <c r="AH27" s="168">
        <f t="shared" si="1"/>
        <v>0</v>
      </c>
      <c r="AI27" s="118"/>
      <c r="AJ27" s="118"/>
      <c r="AK27" s="118"/>
      <c r="AL27" s="108"/>
      <c r="AM27" s="108"/>
      <c r="AN27" s="693"/>
      <c r="AO27" s="137"/>
      <c r="AP27" s="137"/>
      <c r="AQ27" s="137"/>
      <c r="AR27" s="137"/>
      <c r="AS27" s="137"/>
      <c r="AT27" s="137"/>
      <c r="AU27" s="137"/>
      <c r="AV27" s="137"/>
      <c r="AW27" s="137"/>
    </row>
    <row r="28" spans="1:49" ht="16.149999999999999" customHeight="1" thickBot="1" x14ac:dyDescent="0.25">
      <c r="B28" s="1011" t="str">
        <f>ListAVS!$B$71&amp;" "</f>
        <v xml:space="preserve">Ilość szafek </v>
      </c>
      <c r="C28" s="1012"/>
      <c r="D28" s="1012"/>
      <c r="E28" s="1012"/>
      <c r="F28" s="1012"/>
      <c r="G28" s="1012"/>
      <c r="H28" s="437"/>
      <c r="I28" s="256" t="str">
        <f>IF(OR(H28=0, $H27&gt;13500)," ",IF($H27&gt;9000,IF(V21=FALSE,$N$42," ")," "))</f>
        <v xml:space="preserve"> </v>
      </c>
      <c r="J28" s="264"/>
      <c r="K28" s="396"/>
      <c r="L28" s="265"/>
      <c r="M28" s="315">
        <f>IF($H21*$H22*$T28=0,0,IF($H22&lt;210,0,IF(H27&lt;420,0,IF($H27&gt;13500,0,IF(AND($H23=0,$H24&lt;14),0,IF(H27&gt;9000,IF(V21=FALSE,0,$H28),$H28))))))</f>
        <v>0</v>
      </c>
      <c r="N28" s="39"/>
      <c r="O28" s="39"/>
      <c r="P28" s="39"/>
      <c r="Q28" s="39"/>
      <c r="R28" s="137"/>
      <c r="S28" s="690" t="s">
        <v>51</v>
      </c>
      <c r="T28" s="691">
        <f>IF(H23&gt;0,H23,H26)</f>
        <v>0</v>
      </c>
      <c r="U28" s="37">
        <f>IF(SUM(H23,H26)=0,0,IF(H23&gt;0,1,2))</f>
        <v>0</v>
      </c>
      <c r="V28" s="571" t="s">
        <v>52</v>
      </c>
      <c r="Y28" s="164" t="str">
        <f>CenAVS!A73</f>
        <v xml:space="preserve">Aventos HK top słaby Tip-on z eurowkrętami    </v>
      </c>
      <c r="Z28" s="164" t="str">
        <f>CenAVS!B73</f>
        <v>22K2310T</v>
      </c>
      <c r="AA28" s="301" t="str">
        <f>CenAVS!C73</f>
        <v>ZN</v>
      </c>
      <c r="AB28" s="165">
        <f t="shared" si="2"/>
        <v>0</v>
      </c>
      <c r="AC28" s="395">
        <f>CenAVS!F73</f>
        <v>189.85409999999999</v>
      </c>
      <c r="AD28" s="167">
        <f t="shared" si="3"/>
        <v>0</v>
      </c>
      <c r="AE28" s="407">
        <f>IF(AND($U$16=3,$N$44=2),ROUNDUP(SUM(O11:P11)*$M$17,0),0)</f>
        <v>0</v>
      </c>
      <c r="AF28" s="168">
        <f t="shared" si="0"/>
        <v>0</v>
      </c>
      <c r="AG28" s="407">
        <f>IF(AND($U$27=3,$N$44=2),ROUNDUP(SUM(O22:P22)*$M$28,0),0)</f>
        <v>0</v>
      </c>
      <c r="AH28" s="168">
        <f t="shared" si="1"/>
        <v>0</v>
      </c>
      <c r="AN28" s="693"/>
    </row>
    <row r="29" spans="1:49" ht="16.149999999999999" customHeight="1" x14ac:dyDescent="0.2">
      <c r="A29" s="137"/>
      <c r="B29" s="255" t="str">
        <f>IF(H28&gt;0,IF(OR(U28=0,M28=0), " ",IF(U28=1, $N$49, $N$50))," ")&amp;IF(H28&gt;0,IF(OR(U28=0, M28=0), " ",IF(U28=1, $N$51, $N$52))," ")</f>
        <v xml:space="preserve">  </v>
      </c>
      <c r="C29" s="255"/>
      <c r="D29" s="255"/>
      <c r="E29" s="255"/>
      <c r="F29" s="255"/>
      <c r="G29" s="255"/>
      <c r="H29" s="273"/>
      <c r="I29" s="273"/>
      <c r="J29" s="266"/>
      <c r="K29" s="266"/>
      <c r="L29" s="266"/>
      <c r="X29" s="118"/>
      <c r="Y29" s="164" t="str">
        <f>CenAVS!A74</f>
        <v xml:space="preserve">Aventos HK top średni Tip-on z eurowkrętami    </v>
      </c>
      <c r="Z29" s="164" t="str">
        <f>CenAVS!B74</f>
        <v>22K2510T</v>
      </c>
      <c r="AA29" s="301" t="str">
        <f>CenAVS!C74</f>
        <v>ZN</v>
      </c>
      <c r="AB29" s="165">
        <f t="shared" si="2"/>
        <v>0</v>
      </c>
      <c r="AC29" s="395">
        <f>CenAVS!F74</f>
        <v>189.85409999999999</v>
      </c>
      <c r="AD29" s="167">
        <f t="shared" si="3"/>
        <v>0</v>
      </c>
      <c r="AE29" s="407">
        <f>IF(AND($U$16=3,$N$44=2),ROUNDUP(SUM(O12:P12)*$M$17,0),0)</f>
        <v>0</v>
      </c>
      <c r="AF29" s="168">
        <f t="shared" si="0"/>
        <v>0</v>
      </c>
      <c r="AG29" s="407">
        <f>IF(AND($U$27=3,$N$44=2),ROUNDUP(SUM(O23:P23)*$M$28,0),0)</f>
        <v>0</v>
      </c>
      <c r="AH29" s="168">
        <f t="shared" si="1"/>
        <v>0</v>
      </c>
      <c r="AN29" s="693"/>
    </row>
    <row r="30" spans="1:49" ht="16.149999999999999" customHeight="1" x14ac:dyDescent="0.2">
      <c r="B30" s="396"/>
      <c r="C30" s="248"/>
      <c r="D30" s="396"/>
      <c r="E30" s="396"/>
      <c r="F30" s="274"/>
      <c r="G30" s="274"/>
      <c r="H30" s="396"/>
      <c r="I30" s="264"/>
      <c r="J30" s="264"/>
      <c r="K30" s="396"/>
      <c r="L30" s="265"/>
      <c r="S30" s="138">
        <f>IF($T$30=FALSE,2,1)</f>
        <v>2</v>
      </c>
      <c r="T30" s="1063" t="b">
        <v>0</v>
      </c>
      <c r="U30" s="1064"/>
      <c r="V30" s="139" t="s">
        <v>56</v>
      </c>
      <c r="W30" s="140"/>
      <c r="Y30" s="164" t="str">
        <f>CenAVS!A75</f>
        <v xml:space="preserve">Aventos HK top mocny Tip-on z eurowkrętami    </v>
      </c>
      <c r="Z30" s="164" t="str">
        <f>CenAVS!B75</f>
        <v>22K2710T</v>
      </c>
      <c r="AA30" s="301" t="str">
        <f>CenAVS!C75</f>
        <v>ZN</v>
      </c>
      <c r="AB30" s="165">
        <f t="shared" si="2"/>
        <v>0</v>
      </c>
      <c r="AC30" s="395">
        <f>CenAVS!F75</f>
        <v>201.94534999999999</v>
      </c>
      <c r="AD30" s="167">
        <f t="shared" ref="AD30:AD37" si="4">AB30*AC30</f>
        <v>0</v>
      </c>
      <c r="AE30" s="407">
        <f>IF(AND($U$16=3,$N$44=2),ROUNDUP(SUM(O13:P13)*$M$17,0),0)</f>
        <v>0</v>
      </c>
      <c r="AF30" s="168">
        <f t="shared" ref="AF30:AF37" si="5">$AC30*AE30</f>
        <v>0</v>
      </c>
      <c r="AG30" s="407">
        <f>IF(AND($U$27=3,$N$44=2),ROUNDUP(SUM(O24:P24)*$M$28,0),0)</f>
        <v>0</v>
      </c>
      <c r="AH30" s="168">
        <f t="shared" ref="AH30:AH37" si="6">$AC30*AG30</f>
        <v>0</v>
      </c>
    </row>
    <row r="31" spans="1:49" ht="16.149999999999999" customHeight="1" x14ac:dyDescent="0.2">
      <c r="B31" s="1109" t="str">
        <f>IF(OR(AND($U$16=2, $M$17&gt;0), AND($U$27=2, $M$28&gt;0)), ListAVS!$B$176, " ")</f>
        <v xml:space="preserve"> </v>
      </c>
      <c r="C31" s="1109"/>
      <c r="D31" s="1109"/>
      <c r="E31" s="1109"/>
      <c r="F31" s="1109"/>
      <c r="G31" s="1109"/>
      <c r="H31" s="1109"/>
      <c r="I31" s="1109"/>
      <c r="J31" s="1109"/>
      <c r="K31" s="397"/>
      <c r="L31" s="397"/>
      <c r="Y31" s="164" t="str">
        <f>CenAVS!A76</f>
        <v xml:space="preserve">Aventos HK top najmocniejszy Tip-on z eurowkrętami    </v>
      </c>
      <c r="Z31" s="164" t="str">
        <f>CenAVS!B76</f>
        <v>22K2910T</v>
      </c>
      <c r="AA31" s="301" t="str">
        <f>CenAVS!C76</f>
        <v>ZN</v>
      </c>
      <c r="AB31" s="165">
        <f t="shared" si="2"/>
        <v>0</v>
      </c>
      <c r="AC31" s="395">
        <f>CenAVS!F76</f>
        <v>232.17408</v>
      </c>
      <c r="AD31" s="167">
        <f t="shared" si="4"/>
        <v>0</v>
      </c>
      <c r="AE31" s="407">
        <f>IF(AND($U$16=3,$N$44=2),ROUNDUP(SUM(O14:P14)*$M$17,0),0)</f>
        <v>0</v>
      </c>
      <c r="AF31" s="168">
        <f t="shared" si="5"/>
        <v>0</v>
      </c>
      <c r="AG31" s="407">
        <f>IF(AND($U$27=3,$N$44=2),ROUNDUP(SUM(O25:P25)*$M$28,0),0)</f>
        <v>0</v>
      </c>
      <c r="AH31" s="168">
        <f t="shared" si="6"/>
        <v>0</v>
      </c>
      <c r="AN31" s="710"/>
    </row>
    <row r="32" spans="1:49" ht="16.149999999999999" customHeight="1" x14ac:dyDescent="0.2">
      <c r="B32" s="1109"/>
      <c r="C32" s="1109"/>
      <c r="D32" s="1109"/>
      <c r="E32" s="1109"/>
      <c r="F32" s="1109"/>
      <c r="G32" s="1109"/>
      <c r="H32" s="1109"/>
      <c r="I32" s="1109"/>
      <c r="J32" s="1109"/>
      <c r="K32" s="397"/>
      <c r="L32" s="397"/>
      <c r="N32" s="142"/>
      <c r="Y32" s="164" t="str">
        <f>CenAVS!A77</f>
        <v xml:space="preserve">          </v>
      </c>
      <c r="Z32" s="164">
        <f>CenAVS!B77</f>
        <v>0</v>
      </c>
      <c r="AA32" s="301">
        <f>CenAVS!C77</f>
        <v>0</v>
      </c>
      <c r="AB32" s="165">
        <f t="shared" si="2"/>
        <v>0</v>
      </c>
      <c r="AC32" s="395">
        <f>CenAVS!F77</f>
        <v>0</v>
      </c>
      <c r="AD32" s="167">
        <f t="shared" si="4"/>
        <v>0</v>
      </c>
      <c r="AE32" s="407"/>
      <c r="AF32" s="168">
        <f t="shared" si="5"/>
        <v>0</v>
      </c>
      <c r="AG32" s="407"/>
      <c r="AH32" s="168">
        <f t="shared" si="6"/>
        <v>0</v>
      </c>
    </row>
    <row r="33" spans="2:49" ht="16.149999999999999" customHeight="1" x14ac:dyDescent="0.2">
      <c r="B33" s="1109"/>
      <c r="C33" s="1109"/>
      <c r="D33" s="1109"/>
      <c r="E33" s="1109"/>
      <c r="F33" s="1109"/>
      <c r="G33" s="1109"/>
      <c r="H33" s="1109"/>
      <c r="I33" s="1109"/>
      <c r="J33" s="1109"/>
      <c r="K33" s="266"/>
      <c r="L33" s="255"/>
      <c r="Y33" s="164" t="str">
        <f>CenAVS!A78</f>
        <v xml:space="preserve">mocowanie frontu do HK Top, HS/Top, HL/Top    </v>
      </c>
      <c r="Z33" s="164" t="str">
        <f>CenAVS!B78</f>
        <v>20S4200</v>
      </c>
      <c r="AA33" s="301" t="str">
        <f>CenAVS!C78</f>
        <v>NI</v>
      </c>
      <c r="AB33" s="165">
        <f t="shared" si="2"/>
        <v>0</v>
      </c>
      <c r="AC33" s="395">
        <f>CenAVS!F78</f>
        <v>9.9925899999999999</v>
      </c>
      <c r="AD33" s="167">
        <f t="shared" si="4"/>
        <v>0</v>
      </c>
      <c r="AE33" s="407">
        <f>IF($R$44=2,SUM(AE$9:AE$16, $AE$24:$AE$31),0)</f>
        <v>0</v>
      </c>
      <c r="AF33" s="168">
        <f t="shared" si="5"/>
        <v>0</v>
      </c>
      <c r="AG33" s="407">
        <f>IF($R$44=2,SUM(AG$9:AG$16, $AG$24:$AG$31),0)</f>
        <v>0</v>
      </c>
      <c r="AH33" s="168">
        <f t="shared" si="6"/>
        <v>0</v>
      </c>
    </row>
    <row r="34" spans="2:49" ht="16.149999999999999" customHeight="1" x14ac:dyDescent="0.2">
      <c r="B34" s="272"/>
      <c r="C34" s="255"/>
      <c r="D34" s="266"/>
      <c r="E34" s="266"/>
      <c r="F34" s="266"/>
      <c r="G34" s="266"/>
      <c r="H34" s="266"/>
      <c r="I34" s="255"/>
      <c r="J34" s="266"/>
      <c r="K34" s="266"/>
      <c r="L34" s="255"/>
      <c r="N34" s="37" t="str">
        <f>ListAVS!B177</f>
        <v>Cena bez zasilacza!</v>
      </c>
      <c r="Y34" s="164" t="str">
        <f>CenAVS!A79</f>
        <v xml:space="preserve">mocowanie frontu HS, HK top, HL Expando    </v>
      </c>
      <c r="Z34" s="164" t="str">
        <f>CenAVS!B79</f>
        <v>20S42E1</v>
      </c>
      <c r="AA34" s="301" t="str">
        <f>CenAVS!C79</f>
        <v>NI</v>
      </c>
      <c r="AB34" s="165">
        <f t="shared" si="2"/>
        <v>0</v>
      </c>
      <c r="AC34" s="395">
        <f>CenAVS!F79</f>
        <v>6.2138699999999991</v>
      </c>
      <c r="AD34" s="167">
        <f t="shared" si="4"/>
        <v>0</v>
      </c>
      <c r="AE34" s="407">
        <f>IF($R$44=1,SUM(AE$9:AE$16, $AE$24:$AE$31)*2,0)</f>
        <v>0</v>
      </c>
      <c r="AF34" s="168">
        <f t="shared" si="5"/>
        <v>0</v>
      </c>
      <c r="AG34" s="407">
        <f>IF($R$44=1,SUM(AG$9:AG$16, $AG$24:$AG$31)*2,0)</f>
        <v>0</v>
      </c>
      <c r="AH34" s="168">
        <f t="shared" si="6"/>
        <v>0</v>
      </c>
    </row>
    <row r="35" spans="2:49" ht="16.149999999999999" customHeight="1" x14ac:dyDescent="0.2">
      <c r="B35" s="272"/>
      <c r="C35" s="273" t="str">
        <f>IF(OR($V$10=TRUE, $V$21=TRUE), ListAVS!$B$183, " ")</f>
        <v xml:space="preserve"> </v>
      </c>
      <c r="D35" s="266"/>
      <c r="E35" s="266"/>
      <c r="F35" s="266"/>
      <c r="G35" s="266"/>
      <c r="H35" s="266"/>
      <c r="I35" s="255"/>
      <c r="J35" s="266"/>
      <c r="K35" s="266"/>
      <c r="L35" s="255"/>
      <c r="N35" s="37" t="str">
        <f>" "&amp;ListAVS!$B$118</f>
        <v xml:space="preserve"> Wprowadź na górze masę objętościową </v>
      </c>
      <c r="Y35" s="164" t="str">
        <f>CenAVS!A80</f>
        <v>mocow. frontu do cienkich materiałów Aventos HK, HL, HS, Expando T</v>
      </c>
      <c r="Z35" s="164" t="str">
        <f>CenAVS!B80</f>
        <v>20S42T1</v>
      </c>
      <c r="AA35" s="301" t="str">
        <f>CenAVS!C80</f>
        <v>NI</v>
      </c>
      <c r="AB35" s="165">
        <f t="shared" si="2"/>
        <v>0</v>
      </c>
      <c r="AC35" s="395">
        <f>CenAVS!F80</f>
        <v>31.992830000000005</v>
      </c>
      <c r="AD35" s="167">
        <f t="shared" si="4"/>
        <v>0</v>
      </c>
      <c r="AE35" s="407"/>
      <c r="AF35" s="168">
        <f t="shared" si="5"/>
        <v>0</v>
      </c>
      <c r="AG35" s="407"/>
      <c r="AH35" s="168">
        <f t="shared" si="6"/>
        <v>0</v>
      </c>
    </row>
    <row r="36" spans="2:49" ht="16.149999999999999" customHeight="1" x14ac:dyDescent="0.2">
      <c r="B36" s="272"/>
      <c r="C36" s="255"/>
      <c r="D36" s="266"/>
      <c r="E36" s="266"/>
      <c r="F36" s="266"/>
      <c r="G36" s="266"/>
      <c r="H36" s="266"/>
      <c r="I36" s="255"/>
      <c r="J36" s="266"/>
      <c r="K36" s="266"/>
      <c r="L36" s="255"/>
      <c r="N36" s="37" t="str">
        <f>" "&amp;ListAVS!$B$116</f>
        <v xml:space="preserve"> Wprowadź wagę lub wypełnij wszystkie komórki</v>
      </c>
      <c r="Y36" s="164" t="str">
        <f>CenAVS!A81</f>
        <v xml:space="preserve">mocowanie frontu alu HK Top, HS/Top, HL/Top    </v>
      </c>
      <c r="Z36" s="164" t="str">
        <f>CenAVS!B81</f>
        <v>20S4200A</v>
      </c>
      <c r="AA36" s="301" t="str">
        <f>CenAVS!C81</f>
        <v>NI</v>
      </c>
      <c r="AB36" s="165">
        <f t="shared" si="2"/>
        <v>0</v>
      </c>
      <c r="AC36" s="395">
        <f>CenAVS!F81</f>
        <v>43.392219999999995</v>
      </c>
      <c r="AD36" s="167">
        <f t="shared" si="4"/>
        <v>0</v>
      </c>
      <c r="AE36" s="407"/>
      <c r="AF36" s="168">
        <f t="shared" si="5"/>
        <v>0</v>
      </c>
      <c r="AG36" s="407"/>
      <c r="AH36" s="168">
        <f t="shared" si="6"/>
        <v>0</v>
      </c>
    </row>
    <row r="37" spans="2:49" ht="16.149999999999999" customHeight="1" x14ac:dyDescent="0.2">
      <c r="B37" s="274" t="s">
        <v>63</v>
      </c>
      <c r="C37" s="1044" t="str">
        <f>ListAVS!$B$231&amp;" "&amp;ListAVS!$B$232</f>
        <v>Przy szerokich korpusach zalecamy trzeci siłownik. Powodem tego jest wyginanie się frontu w pozycji otwartej. Również współczynnik mocy LF i waga frontów mogą być zwiększone o 50%.</v>
      </c>
      <c r="D37" s="1044"/>
      <c r="E37" s="1044"/>
      <c r="F37" s="1044"/>
      <c r="G37" s="1044"/>
      <c r="H37" s="1044"/>
      <c r="I37" s="1044"/>
      <c r="J37" s="1044"/>
      <c r="K37" s="1044"/>
      <c r="L37" s="255"/>
      <c r="N37" s="37" t="str">
        <f>"◄ "&amp;ListAVS!$B$112</f>
        <v>◄ wartość będzie wykorzystana do obliczenia LF</v>
      </c>
      <c r="Y37" s="164" t="str">
        <f>CenAVS!A82</f>
        <v xml:space="preserve">          </v>
      </c>
      <c r="Z37" s="164">
        <f>CenAVS!B82</f>
        <v>0</v>
      </c>
      <c r="AA37" s="301">
        <f>CenAVS!C82</f>
        <v>0</v>
      </c>
      <c r="AB37" s="165">
        <f t="shared" si="2"/>
        <v>0</v>
      </c>
      <c r="AC37" s="395">
        <f>CenAVS!F82</f>
        <v>0</v>
      </c>
      <c r="AD37" s="167">
        <f t="shared" si="4"/>
        <v>0</v>
      </c>
      <c r="AE37" s="407"/>
      <c r="AF37" s="168">
        <f t="shared" si="5"/>
        <v>0</v>
      </c>
      <c r="AG37" s="407"/>
      <c r="AH37" s="168">
        <f t="shared" si="6"/>
        <v>0</v>
      </c>
      <c r="AP37" s="37"/>
      <c r="AQ37" s="37"/>
      <c r="AR37" s="37"/>
      <c r="AS37" s="37"/>
      <c r="AT37" s="37"/>
      <c r="AU37" s="37"/>
      <c r="AV37" s="37"/>
    </row>
    <row r="38" spans="2:49" ht="16.149999999999999" customHeight="1" x14ac:dyDescent="0.2">
      <c r="B38" s="255"/>
      <c r="C38" s="1044"/>
      <c r="D38" s="1044"/>
      <c r="E38" s="1044"/>
      <c r="F38" s="1044"/>
      <c r="G38" s="1044"/>
      <c r="H38" s="1044"/>
      <c r="I38" s="1044"/>
      <c r="J38" s="1044"/>
      <c r="K38" s="1044"/>
      <c r="L38" s="255"/>
      <c r="N38" s="37" t="str">
        <f>" * "&amp;ListAVS!$B$128</f>
        <v xml:space="preserve"> * Wypełnij wartości</v>
      </c>
      <c r="Y38" s="164" t="str">
        <f>CenAVS!A185</f>
        <v xml:space="preserve">Tip-on do zawiasu 50mm PG, szary     </v>
      </c>
      <c r="Z38" s="164" t="str">
        <f>CenAVS!B185</f>
        <v>956.1004</v>
      </c>
      <c r="AA38" s="301" t="str">
        <f>CenAVS!C185</f>
        <v>R7036</v>
      </c>
      <c r="AB38" s="165">
        <f t="shared" ref="AB38:AB43" si="7">SUM(AE38,AG38)</f>
        <v>0</v>
      </c>
      <c r="AC38" s="395">
        <f>CenAVS!F185</f>
        <v>12.830769999999999</v>
      </c>
      <c r="AD38" s="167">
        <f t="shared" ref="AD38:AD43" si="8">AB38*AC38</f>
        <v>0</v>
      </c>
      <c r="AE38" s="407">
        <f>IF(AND($T$44&lt;3,$U$16=3),IF($H$11&lt;=500,$M$17,0),0)</f>
        <v>0</v>
      </c>
      <c r="AF38" s="168">
        <f t="shared" ref="AF38:AF43" si="9">$AC38*AE38</f>
        <v>0</v>
      </c>
      <c r="AG38" s="407">
        <f>IF(AND($T$44&lt;3,$U$27=3),IF($H$22&lt;=500,$M$28,0),0)</f>
        <v>0</v>
      </c>
      <c r="AH38" s="168">
        <f t="shared" ref="AH38:AH43" si="10">$AC38*AG38</f>
        <v>0</v>
      </c>
      <c r="AP38" s="37"/>
      <c r="AQ38" s="37"/>
      <c r="AR38" s="37"/>
      <c r="AS38" s="37"/>
      <c r="AT38" s="37"/>
      <c r="AU38" s="37"/>
      <c r="AV38" s="37"/>
    </row>
    <row r="39" spans="2:49" ht="16.149999999999999" customHeight="1" x14ac:dyDescent="0.2">
      <c r="B39" s="255"/>
      <c r="C39" s="1044"/>
      <c r="D39" s="1044"/>
      <c r="E39" s="1044"/>
      <c r="F39" s="1044"/>
      <c r="G39" s="1044"/>
      <c r="H39" s="1044"/>
      <c r="I39" s="1044"/>
      <c r="J39" s="1044"/>
      <c r="K39" s="1044"/>
      <c r="L39" s="255"/>
      <c r="N39" s="37" t="str">
        <f>" min. 420! "&amp;ListAVS!$B$122</f>
        <v xml:space="preserve"> min. 420! Popraw wagę albo wysokość</v>
      </c>
      <c r="Y39" s="164" t="str">
        <f>CenAVS!A186</f>
        <v xml:space="preserve">Tip-on do zawiasu 50mm SW, biały     </v>
      </c>
      <c r="Z39" s="164" t="str">
        <f>CenAVS!B186</f>
        <v>956.1004</v>
      </c>
      <c r="AA39" s="301" t="str">
        <f>CenAVS!C186</f>
        <v>SW</v>
      </c>
      <c r="AB39" s="165">
        <f t="shared" si="7"/>
        <v>0</v>
      </c>
      <c r="AC39" s="395">
        <f>CenAVS!F186</f>
        <v>12.830769999999999</v>
      </c>
      <c r="AD39" s="167">
        <f t="shared" si="8"/>
        <v>0</v>
      </c>
      <c r="AE39" s="407">
        <f>IF(AND($T$44=3,$U$16=3),IF($H$11&lt;=500,$M$17,0),0)</f>
        <v>0</v>
      </c>
      <c r="AF39" s="168">
        <f t="shared" si="9"/>
        <v>0</v>
      </c>
      <c r="AG39" s="407">
        <f>IF(AND($T$44=3,$U$27=3),IF($H$22&lt;=500,$M$28,0),0)</f>
        <v>0</v>
      </c>
      <c r="AH39" s="168">
        <f t="shared" si="10"/>
        <v>0</v>
      </c>
      <c r="AO39" s="37"/>
      <c r="AP39" s="37"/>
      <c r="AQ39" s="37"/>
      <c r="AR39" s="37"/>
      <c r="AS39" s="37"/>
      <c r="AT39" s="37"/>
      <c r="AU39" s="37"/>
      <c r="AV39" s="37"/>
    </row>
    <row r="40" spans="2:49" ht="16.149999999999999" customHeight="1" x14ac:dyDescent="0.2">
      <c r="B40" s="255"/>
      <c r="C40" s="1044"/>
      <c r="D40" s="1044"/>
      <c r="E40" s="1044"/>
      <c r="F40" s="1044"/>
      <c r="G40" s="1044"/>
      <c r="H40" s="1044"/>
      <c r="I40" s="1044"/>
      <c r="J40" s="1044"/>
      <c r="K40" s="1044"/>
      <c r="L40" s="255"/>
      <c r="N40" s="37" t="str">
        <f>" max. 13.500! "&amp;ListAVS!$B$122</f>
        <v xml:space="preserve"> max. 13.500! Popraw wagę albo wysokość</v>
      </c>
      <c r="O40" s="37"/>
      <c r="Q40" s="37"/>
      <c r="Y40" s="164" t="str">
        <f>CenAVS!A187</f>
        <v xml:space="preserve">Tip-on do zawiasu krótki 50mm z magnesem,komplet, karbon czarny CS </v>
      </c>
      <c r="Z40" s="164" t="str">
        <f>CenAVS!B187</f>
        <v>956.1004</v>
      </c>
      <c r="AA40" s="301" t="str">
        <f>CenAVS!C187</f>
        <v>CS</v>
      </c>
      <c r="AB40" s="165">
        <f t="shared" si="7"/>
        <v>0</v>
      </c>
      <c r="AC40" s="395">
        <f>CenAVS!F187</f>
        <v>12.830769999999999</v>
      </c>
      <c r="AD40" s="167">
        <f t="shared" si="8"/>
        <v>0</v>
      </c>
      <c r="AE40" s="407"/>
      <c r="AF40" s="168">
        <f t="shared" si="9"/>
        <v>0</v>
      </c>
      <c r="AG40" s="407"/>
      <c r="AH40" s="168">
        <f t="shared" si="10"/>
        <v>0</v>
      </c>
      <c r="AO40" s="37"/>
      <c r="AW40" s="37"/>
    </row>
    <row r="41" spans="2:49" ht="16.149999999999999" customHeight="1" x14ac:dyDescent="0.2">
      <c r="B41" s="274" t="s">
        <v>83</v>
      </c>
      <c r="C41" s="255" t="str">
        <f>ListAVS!$B$187</f>
        <v>Jeżeli znasz wagę i nie chcesz skorzystać z "obliczenie wagi"</v>
      </c>
      <c r="D41" s="255"/>
      <c r="E41" s="255"/>
      <c r="F41" s="255"/>
      <c r="G41" s="255"/>
      <c r="H41" s="255"/>
      <c r="I41" s="255"/>
      <c r="J41" s="255"/>
      <c r="K41" s="255"/>
      <c r="L41" s="255"/>
      <c r="N41" s="37" t="str">
        <f>" max. 9 000! "&amp;ListAVS!$B$122</f>
        <v xml:space="preserve"> max. 9 000! Popraw wagę albo wysokość</v>
      </c>
      <c r="Y41" s="164" t="str">
        <f>CenAVS!A188</f>
        <v xml:space="preserve">Tip-on do zawiasu 76mm, PG, szary     </v>
      </c>
      <c r="Z41" s="164" t="str">
        <f>CenAVS!B188</f>
        <v>956A1004</v>
      </c>
      <c r="AA41" s="301" t="str">
        <f>CenAVS!C188</f>
        <v>R7036</v>
      </c>
      <c r="AB41" s="165">
        <f t="shared" si="7"/>
        <v>0</v>
      </c>
      <c r="AC41" s="395">
        <f>CenAVS!F188</f>
        <v>16.100000000000001</v>
      </c>
      <c r="AD41" s="167">
        <f t="shared" si="8"/>
        <v>0</v>
      </c>
      <c r="AE41" s="407">
        <f>IF(AND($T$44&lt;3,$U$16=3),IF($H$11&gt;500,$M$17,0),0)</f>
        <v>0</v>
      </c>
      <c r="AF41" s="168">
        <f t="shared" si="9"/>
        <v>0</v>
      </c>
      <c r="AG41" s="407">
        <f>IF(AND($T$44&lt;3,$U$27=3),IF($H$22&gt;500,$M$28,0),0)</f>
        <v>0</v>
      </c>
      <c r="AH41" s="168">
        <f t="shared" si="10"/>
        <v>0</v>
      </c>
      <c r="AO41" s="37"/>
      <c r="AW41" s="37"/>
    </row>
    <row r="42" spans="2:49" s="37" customFormat="1" ht="16.149999999999999" customHeight="1" x14ac:dyDescent="0.2">
      <c r="B42" s="255"/>
      <c r="C42" s="255"/>
      <c r="D42" s="255"/>
      <c r="E42" s="255"/>
      <c r="F42" s="255"/>
      <c r="G42" s="255"/>
      <c r="H42" s="255"/>
      <c r="I42" s="255"/>
      <c r="J42" s="398"/>
      <c r="K42" s="398"/>
      <c r="L42" s="255"/>
      <c r="N42" s="149" t="str">
        <f>"                       "&amp;ListAVS!$B$123</f>
        <v xml:space="preserve">                       lub dodaj trzeci siłownik</v>
      </c>
      <c r="O42" s="118"/>
      <c r="Q42" s="118"/>
      <c r="Y42" s="164" t="str">
        <f>CenAVS!A189</f>
        <v xml:space="preserve">Tip-on do zawiasu 76mm, SW, biały     </v>
      </c>
      <c r="Z42" s="164" t="str">
        <f>CenAVS!B189</f>
        <v>956A1004</v>
      </c>
      <c r="AA42" s="301" t="str">
        <f>CenAVS!C189</f>
        <v>WA</v>
      </c>
      <c r="AB42" s="165">
        <f t="shared" si="7"/>
        <v>0</v>
      </c>
      <c r="AC42" s="395">
        <f>CenAVS!F189</f>
        <v>16.100000000000001</v>
      </c>
      <c r="AD42" s="167">
        <f t="shared" si="8"/>
        <v>0</v>
      </c>
      <c r="AE42" s="407">
        <f>IF(AND($T$44=3,$U$16=3),IF($H$11&gt;500,$M$17,0),0)</f>
        <v>0</v>
      </c>
      <c r="AF42" s="168">
        <f t="shared" si="9"/>
        <v>0</v>
      </c>
      <c r="AG42" s="407">
        <f>IF(AND($T$44=3,$U$27=3),IF($H$22&gt;500,$M$28,0),0)</f>
        <v>0</v>
      </c>
      <c r="AH42" s="168">
        <f t="shared" si="10"/>
        <v>0</v>
      </c>
      <c r="AL42" s="108"/>
      <c r="AM42" s="108"/>
      <c r="AN42" s="108"/>
      <c r="AO42" s="137"/>
      <c r="AP42" s="137"/>
      <c r="AQ42" s="137"/>
      <c r="AR42" s="137"/>
      <c r="AS42" s="137"/>
      <c r="AT42" s="137"/>
      <c r="AU42" s="137"/>
      <c r="AV42" s="137"/>
    </row>
    <row r="43" spans="2:49" s="37" customFormat="1" ht="16.149999999999999" customHeight="1" x14ac:dyDescent="0.2">
      <c r="B43" s="440"/>
      <c r="C43" s="442"/>
      <c r="D43" s="442"/>
      <c r="E43" s="442"/>
      <c r="F43" s="442"/>
      <c r="G43" s="442"/>
      <c r="H43" s="442"/>
      <c r="I43" s="442"/>
      <c r="J43" s="442"/>
      <c r="K43" s="442"/>
      <c r="L43" s="255"/>
      <c r="O43" s="118"/>
      <c r="Q43" s="118"/>
      <c r="Y43" s="164" t="str">
        <f>CenAVS!A190</f>
        <v>Tip-on do zawiasu długi 76mm z magnesem, komplet, karbon czarny CS</v>
      </c>
      <c r="Z43" s="164" t="str">
        <f>CenAVS!B190</f>
        <v>956A1004</v>
      </c>
      <c r="AA43" s="301" t="str">
        <f>CenAVS!C190</f>
        <v>CS</v>
      </c>
      <c r="AB43" s="165">
        <f t="shared" si="7"/>
        <v>0</v>
      </c>
      <c r="AC43" s="395">
        <f>CenAVS!F190</f>
        <v>16.100000000000001</v>
      </c>
      <c r="AD43" s="167">
        <f t="shared" si="8"/>
        <v>0</v>
      </c>
      <c r="AE43" s="407"/>
      <c r="AF43" s="168">
        <f t="shared" si="9"/>
        <v>0</v>
      </c>
      <c r="AG43" s="407"/>
      <c r="AH43" s="168">
        <f t="shared" si="10"/>
        <v>0</v>
      </c>
      <c r="AL43" s="108"/>
      <c r="AM43" s="108"/>
      <c r="AN43" s="108"/>
      <c r="AO43" s="137"/>
      <c r="AP43" s="137"/>
      <c r="AQ43" s="137"/>
      <c r="AR43" s="137"/>
      <c r="AS43" s="137"/>
      <c r="AT43" s="137"/>
      <c r="AU43" s="137"/>
      <c r="AV43" s="137"/>
      <c r="AW43" s="137"/>
    </row>
    <row r="44" spans="2:49" s="37" customFormat="1" ht="16.149999999999999" customHeight="1" x14ac:dyDescent="0.2">
      <c r="B44" s="273"/>
      <c r="C44" s="442"/>
      <c r="D44" s="442"/>
      <c r="E44" s="442"/>
      <c r="F44" s="442"/>
      <c r="G44" s="442"/>
      <c r="H44" s="442"/>
      <c r="I44" s="442"/>
      <c r="J44" s="442"/>
      <c r="K44" s="442"/>
      <c r="L44" s="255"/>
      <c r="N44" s="151">
        <f>HK!$P$26</f>
        <v>1</v>
      </c>
      <c r="O44" s="182"/>
      <c r="P44" s="117">
        <v>1</v>
      </c>
      <c r="Q44" s="182"/>
      <c r="R44" s="117">
        <f>HK!$N$26</f>
        <v>2</v>
      </c>
      <c r="S44" s="182"/>
      <c r="T44" s="117">
        <f>MenuAVS!$P$28</f>
        <v>1</v>
      </c>
      <c r="V44" s="151">
        <v>1</v>
      </c>
      <c r="Y44" s="164"/>
      <c r="Z44" s="164"/>
      <c r="AA44" s="301"/>
      <c r="AB44" s="165"/>
      <c r="AC44" s="395"/>
      <c r="AD44" s="167"/>
      <c r="AE44" s="408"/>
      <c r="AF44" s="168"/>
      <c r="AG44" s="408"/>
      <c r="AH44" s="168"/>
      <c r="AL44" s="108"/>
      <c r="AM44" s="108"/>
      <c r="AN44" s="108"/>
      <c r="AO44" s="137"/>
      <c r="AP44" s="137"/>
      <c r="AQ44" s="137"/>
      <c r="AR44" s="137"/>
      <c r="AS44" s="137"/>
      <c r="AT44" s="137"/>
      <c r="AU44" s="137"/>
      <c r="AV44" s="137"/>
      <c r="AW44" s="137"/>
    </row>
    <row r="45" spans="2:49" ht="16.149999999999999" customHeight="1" x14ac:dyDescent="0.2">
      <c r="B45" s="441"/>
      <c r="C45" s="442"/>
      <c r="D45" s="442"/>
      <c r="E45" s="442"/>
      <c r="F45" s="442"/>
      <c r="G45" s="442"/>
      <c r="H45" s="442"/>
      <c r="I45" s="442"/>
      <c r="J45" s="442"/>
      <c r="K45" s="442"/>
      <c r="L45" s="255"/>
      <c r="N45" s="153" t="s">
        <v>104</v>
      </c>
      <c r="P45" s="153" t="s">
        <v>8</v>
      </c>
      <c r="R45" s="153" t="s">
        <v>84</v>
      </c>
      <c r="S45" s="39"/>
      <c r="T45" s="153" t="s">
        <v>6</v>
      </c>
      <c r="V45" s="203" t="s">
        <v>18</v>
      </c>
      <c r="Y45" s="164"/>
      <c r="Z45" s="164"/>
      <c r="AA45" s="301"/>
      <c r="AB45" s="165"/>
      <c r="AC45" s="395"/>
      <c r="AD45" s="167"/>
      <c r="AE45" s="408"/>
      <c r="AF45" s="168"/>
      <c r="AG45" s="408"/>
      <c r="AH45" s="168"/>
    </row>
    <row r="46" spans="2:49" ht="16.149999999999999" customHeight="1" x14ac:dyDescent="0.2">
      <c r="B46" s="350"/>
      <c r="C46" s="148"/>
      <c r="D46" s="148"/>
      <c r="E46" s="148"/>
      <c r="F46" s="148"/>
      <c r="G46" s="148"/>
      <c r="H46" s="148"/>
      <c r="I46" s="148"/>
      <c r="J46" s="148"/>
      <c r="K46" s="148"/>
      <c r="N46" s="37" t="s">
        <v>105</v>
      </c>
      <c r="R46" s="118" t="str">
        <f>ListAVS!$B$143</f>
        <v>Expando</v>
      </c>
      <c r="T46" s="37" t="str">
        <f>ListAVS!$B$146</f>
        <v>Jasnoszary (HGR)</v>
      </c>
      <c r="V46" s="37" t="s">
        <v>58</v>
      </c>
      <c r="Y46" s="164" t="str">
        <f>CenAVS!A172</f>
        <v xml:space="preserve">Aventos Servo-drive do HK top      </v>
      </c>
      <c r="Z46" s="164" t="str">
        <f>CenAVS!B172</f>
        <v>23KA000</v>
      </c>
      <c r="AA46" s="301" t="str">
        <f>CenAVS!C172</f>
        <v>R7037</v>
      </c>
      <c r="AB46" s="165">
        <f>SUM(AE46,AG46)</f>
        <v>0</v>
      </c>
      <c r="AC46" s="395">
        <f>CenAVS!F172</f>
        <v>905.30219999999997</v>
      </c>
      <c r="AD46" s="167">
        <f>AB46*AC46</f>
        <v>0</v>
      </c>
      <c r="AE46" s="408">
        <f>IF($U$16=2, $M$17, 0)+IF(AND($U$16=2, $V$10=TRUE), $M$17, 0)</f>
        <v>0</v>
      </c>
      <c r="AF46" s="168">
        <f>$AC46*AE46</f>
        <v>0</v>
      </c>
      <c r="AG46" s="408">
        <f>IF($U$27=2, $M$28, 0)+IF(AND($U$27=2, $V$21=TRUE), $M$28, 0)</f>
        <v>0</v>
      </c>
      <c r="AH46" s="168">
        <f>$AC46*AG46</f>
        <v>0</v>
      </c>
    </row>
    <row r="47" spans="2:49" ht="16.149999999999999" customHeight="1" x14ac:dyDescent="0.2">
      <c r="B47" s="316"/>
      <c r="C47" s="317"/>
      <c r="D47" s="317"/>
      <c r="E47" s="317"/>
      <c r="F47" s="317"/>
      <c r="G47" s="317"/>
      <c r="I47" s="317"/>
      <c r="J47" s="317"/>
      <c r="N47" s="37" t="s">
        <v>106</v>
      </c>
      <c r="R47" s="118" t="str">
        <f>ListAVS!$B$144</f>
        <v>na wkręty</v>
      </c>
      <c r="T47" s="37" t="str">
        <f>ListAVS!$B$147</f>
        <v>Ciemnoszary (TGR)</v>
      </c>
      <c r="V47" s="37" t="s">
        <v>59</v>
      </c>
      <c r="AG47" s="118"/>
    </row>
    <row r="48" spans="2:49" ht="16.149999999999999" customHeight="1" x14ac:dyDescent="0.2">
      <c r="B48" s="317"/>
      <c r="C48" s="317"/>
      <c r="D48" s="317"/>
      <c r="E48" s="317"/>
      <c r="F48" s="317"/>
      <c r="G48" s="317"/>
      <c r="I48" s="317"/>
      <c r="J48" s="317"/>
      <c r="T48" s="37" t="str">
        <f>ListAVS!$B$148</f>
        <v>Jedwabiście biały (SW)</v>
      </c>
      <c r="V48" s="37" t="s">
        <v>107</v>
      </c>
      <c r="AC48" s="144" t="str">
        <f>ListAVS!$B$61&amp;" "</f>
        <v xml:space="preserve">Cena całkowita bez VAT </v>
      </c>
      <c r="AD48" s="171">
        <f>SUM(AD9:AD46)</f>
        <v>0</v>
      </c>
      <c r="AF48" s="201">
        <f>SUM(AF9:AF47)</f>
        <v>0</v>
      </c>
      <c r="AH48" s="201">
        <f>SUM(AH9:AH47)</f>
        <v>0</v>
      </c>
    </row>
    <row r="49" spans="2:48" ht="16.149999999999999" customHeight="1" x14ac:dyDescent="0.2">
      <c r="B49" s="316"/>
      <c r="C49" s="317"/>
      <c r="D49" s="317"/>
      <c r="E49" s="317"/>
      <c r="F49" s="317"/>
      <c r="G49" s="317"/>
      <c r="I49" s="317"/>
      <c r="J49" s="317"/>
      <c r="N49" s="37" t="str">
        <f>ListAVS!B188&amp;". "</f>
        <v xml:space="preserve">W celu określenia rodzaju siłownika będzie wykorzystana podana waga. </v>
      </c>
    </row>
    <row r="50" spans="2:48" ht="16.149999999999999" customHeight="1" x14ac:dyDescent="0.2">
      <c r="B50" s="144"/>
      <c r="C50" s="317"/>
      <c r="N50" s="37" t="str">
        <f>ListAVS!B189&amp;". "</f>
        <v xml:space="preserve">W celu określenia rodzaju siłownika będzie wykorzystana obliczona waga. </v>
      </c>
    </row>
    <row r="51" spans="2:48" ht="20.100000000000001" customHeight="1" x14ac:dyDescent="0.2">
      <c r="B51" s="144"/>
      <c r="N51" s="37" t="str">
        <f>ListAVS!B190</f>
        <v>Jeżeli chcesz wykorzystać obliczoną wagę, zmaż podaną wartość</v>
      </c>
    </row>
    <row r="52" spans="2:48" x14ac:dyDescent="0.2">
      <c r="B52" s="155"/>
      <c r="D52" s="155"/>
      <c r="E52" s="155"/>
      <c r="F52" s="155"/>
      <c r="G52" s="155"/>
      <c r="I52" s="155"/>
      <c r="J52" s="155"/>
      <c r="N52" s="37" t="str">
        <f>ListAVS!B191</f>
        <v>Jeżeli chcesz wykorzystać podaną wagą, wpisz ją w pole</v>
      </c>
    </row>
    <row r="54" spans="2:48" x14ac:dyDescent="0.2">
      <c r="AQ54" s="37"/>
      <c r="AR54" s="37"/>
      <c r="AS54" s="37"/>
      <c r="AT54" s="37"/>
      <c r="AU54" s="37"/>
      <c r="AV54" s="37"/>
    </row>
    <row r="55" spans="2:48" x14ac:dyDescent="0.2">
      <c r="AQ55" s="37"/>
      <c r="AR55" s="37"/>
      <c r="AS55" s="37"/>
      <c r="AT55" s="37"/>
      <c r="AU55" s="37"/>
      <c r="AV55" s="37"/>
    </row>
    <row r="68" spans="1:49" ht="12.75" x14ac:dyDescent="0.2">
      <c r="A68" s="255"/>
      <c r="N68" s="255"/>
      <c r="O68" s="255"/>
      <c r="P68" s="255"/>
      <c r="Q68" s="255"/>
      <c r="R68" s="255"/>
      <c r="S68" s="255"/>
      <c r="T68" s="255"/>
      <c r="U68" s="255"/>
      <c r="V68" s="255"/>
      <c r="W68" s="255"/>
    </row>
    <row r="69" spans="1:49" ht="12.75" x14ac:dyDescent="0.2">
      <c r="A69" s="255"/>
      <c r="N69" s="517" t="str">
        <f>ListAVS!$B$73</f>
        <v>Obliczanie wagi frontów</v>
      </c>
      <c r="O69" s="518"/>
      <c r="P69" s="518"/>
      <c r="Q69" s="518"/>
      <c r="R69" s="518"/>
      <c r="S69" s="255"/>
      <c r="T69" s="255"/>
      <c r="U69" s="255"/>
      <c r="V69" s="255"/>
      <c r="W69" s="255"/>
    </row>
    <row r="70" spans="1:49" ht="15.75" customHeight="1" x14ac:dyDescent="0.2">
      <c r="A70" s="255"/>
      <c r="N70" s="255"/>
      <c r="O70" s="137"/>
      <c r="P70" s="269" t="str">
        <f>ListAVS!$B$180&amp;"  "</f>
        <v xml:space="preserve">Wykonanie frontów  </v>
      </c>
      <c r="Q70" s="255"/>
      <c r="R70" s="255"/>
      <c r="S70" s="255"/>
      <c r="T70" s="829">
        <f>J4</f>
        <v>0</v>
      </c>
      <c r="U70" s="262" t="str">
        <f>IF(Z77=3,IF(T70=0,Y72," "),IF(T70&gt;0,Y73," "))</f>
        <v xml:space="preserve"> </v>
      </c>
      <c r="V70" s="255"/>
      <c r="W70" s="255"/>
      <c r="Y70" s="149" t="str">
        <f>IF($Z$77=1,$Z$78,IF($Z$77=2,$Z$79,$Z$80&amp;" "&amp;$Y$80&amp;"kg/m3"))&amp;" A~"&amp;$T$78&amp;"/ B~"&amp;$T$89&amp;"mm"</f>
        <v>MDF (760 kg/m3) A~0/ B~0mm</v>
      </c>
      <c r="Z70" s="118"/>
      <c r="AB70" s="118"/>
    </row>
    <row r="71" spans="1:49" ht="13.5" customHeight="1" x14ac:dyDescent="0.2">
      <c r="A71" s="255"/>
      <c r="N71" s="255"/>
      <c r="O71" s="255"/>
      <c r="P71" s="1151" t="str">
        <f>IF($Z$77&lt;&gt;3,$Y$71," ")&amp;"      "</f>
        <v xml:space="preserve"> Możesz zmienić wartości we Wstępie do planowania      </v>
      </c>
      <c r="Q71" s="1151"/>
      <c r="R71" s="1151"/>
      <c r="S71" s="1151"/>
      <c r="T71" s="1151"/>
      <c r="U71" s="255"/>
      <c r="V71" s="255"/>
      <c r="W71" s="255"/>
      <c r="Y71" s="37" t="str">
        <f>" "&amp;ListAVS!$B$410</f>
        <v xml:space="preserve"> Możesz zmienić wartości we Wstępie do planowania</v>
      </c>
      <c r="Z71" s="118"/>
      <c r="AB71" s="118"/>
      <c r="AQ71" s="118"/>
      <c r="AR71" s="118"/>
      <c r="AS71" s="118"/>
      <c r="AT71" s="118"/>
      <c r="AU71" s="118"/>
      <c r="AV71" s="118"/>
    </row>
    <row r="72" spans="1:49" ht="15" customHeight="1" x14ac:dyDescent="0.2">
      <c r="A72" s="255"/>
      <c r="N72" s="266"/>
      <c r="O72" s="255"/>
      <c r="P72" s="255"/>
      <c r="Q72" s="255"/>
      <c r="R72" s="255"/>
      <c r="S72" s="255"/>
      <c r="T72" s="255"/>
      <c r="U72" s="255"/>
      <c r="V72" s="255"/>
      <c r="W72" s="255"/>
      <c r="Y72" s="37" t="str">
        <f>" "&amp;ListAVS!$B$245&amp;" [kg/m3]"</f>
        <v xml:space="preserve"> Podaj masę objętościową [kg/m3]</v>
      </c>
      <c r="Z72" s="118"/>
      <c r="AB72" s="118"/>
      <c r="AQ72" s="118"/>
      <c r="AR72" s="118"/>
      <c r="AS72" s="118"/>
      <c r="AT72" s="118"/>
      <c r="AU72" s="118"/>
      <c r="AV72" s="118"/>
    </row>
    <row r="73" spans="1:49" ht="15" customHeight="1" x14ac:dyDescent="0.2">
      <c r="A73" s="255"/>
      <c r="N73" s="266"/>
      <c r="O73" s="255"/>
      <c r="P73" s="255"/>
      <c r="Q73" s="255"/>
      <c r="R73" s="255"/>
      <c r="S73" s="255"/>
      <c r="T73" s="255"/>
      <c r="U73" s="255"/>
      <c r="V73" s="255"/>
      <c r="W73" s="255"/>
      <c r="Y73" s="37" t="str">
        <f>" "&amp;ListAVS!$B$241&amp;" '"&amp;ListAVS!$B$92&amp;"'"</f>
        <v xml:space="preserve"> Wartość obowiązuje tylko dla opcji 'Inne – wybrana gęstość materiału'</v>
      </c>
      <c r="Z73" s="118"/>
      <c r="AB73" s="118"/>
      <c r="AQ73" s="118"/>
      <c r="AR73" s="118"/>
      <c r="AS73" s="118"/>
      <c r="AT73" s="118"/>
      <c r="AU73" s="118"/>
      <c r="AV73" s="118"/>
    </row>
    <row r="74" spans="1:49" ht="15" customHeight="1" x14ac:dyDescent="0.2">
      <c r="A74" s="255"/>
      <c r="N74" s="255"/>
      <c r="O74" s="255"/>
      <c r="P74" s="255"/>
      <c r="Q74" s="255"/>
      <c r="R74" s="255"/>
      <c r="S74" s="255"/>
      <c r="T74" s="255"/>
      <c r="U74" s="255"/>
      <c r="V74" s="255"/>
      <c r="W74" s="255"/>
      <c r="Z74" s="118"/>
      <c r="AB74" s="118"/>
      <c r="AQ74" s="118"/>
      <c r="AR74" s="118"/>
      <c r="AS74" s="118"/>
      <c r="AT74" s="118"/>
      <c r="AU74" s="118"/>
      <c r="AV74" s="118"/>
      <c r="AW74" s="118"/>
    </row>
    <row r="75" spans="1:49" ht="15" customHeight="1" x14ac:dyDescent="0.2">
      <c r="A75" s="255"/>
      <c r="N75" s="266"/>
      <c r="O75" s="266"/>
      <c r="P75" s="266"/>
      <c r="Q75" s="255"/>
      <c r="R75" s="1148" t="str">
        <f>D9</f>
        <v xml:space="preserve"> </v>
      </c>
      <c r="S75" s="1149"/>
      <c r="T75" s="1150"/>
      <c r="U75" s="255"/>
      <c r="V75" s="255"/>
      <c r="W75" s="255"/>
      <c r="Z75" s="118"/>
      <c r="AB75" s="118"/>
      <c r="AQ75" s="118"/>
      <c r="AR75" s="118"/>
      <c r="AS75" s="118"/>
      <c r="AT75" s="118"/>
      <c r="AU75" s="118"/>
      <c r="AV75" s="118"/>
      <c r="AW75" s="118"/>
    </row>
    <row r="76" spans="1:49" s="118" customFormat="1" ht="15" customHeight="1" x14ac:dyDescent="0.2">
      <c r="A76" s="255"/>
      <c r="N76" s="1138" t="str">
        <f>ListAVS!$B$74&amp;" KB [mm]       "</f>
        <v xml:space="preserve">Szerokość korpusu KB [mm]       </v>
      </c>
      <c r="O76" s="1139"/>
      <c r="P76" s="1139"/>
      <c r="Q76" s="1139"/>
      <c r="R76" s="1139"/>
      <c r="S76" s="1140"/>
      <c r="T76" s="829">
        <f>H10</f>
        <v>0</v>
      </c>
      <c r="U76" s="670"/>
      <c r="V76" s="248"/>
      <c r="W76" s="255"/>
      <c r="X76" s="37"/>
      <c r="Y76" s="37">
        <f>T76*T77*T78</f>
        <v>0</v>
      </c>
      <c r="Z76" s="37"/>
      <c r="AA76" s="37"/>
      <c r="AC76" s="37"/>
      <c r="AD76" s="37">
        <v>3.51</v>
      </c>
      <c r="AE76" s="149" t="s">
        <v>67</v>
      </c>
      <c r="AF76" s="37"/>
      <c r="AG76" s="37"/>
      <c r="AH76" s="37"/>
      <c r="AJ76" s="37"/>
      <c r="AK76" s="37"/>
      <c r="AL76" s="108"/>
      <c r="AM76" s="108"/>
      <c r="AN76" s="108"/>
      <c r="AO76" s="137"/>
      <c r="AP76" s="137"/>
      <c r="AQ76" s="137"/>
      <c r="AR76" s="137"/>
      <c r="AS76" s="137"/>
      <c r="AT76" s="137"/>
      <c r="AU76" s="137"/>
      <c r="AV76" s="137"/>
    </row>
    <row r="77" spans="1:49" s="118" customFormat="1" ht="15" customHeight="1" x14ac:dyDescent="0.2">
      <c r="A77" s="255"/>
      <c r="N77" s="1138" t="str">
        <f>ListAVS!$B$75&amp;" KH [mm]       "</f>
        <v xml:space="preserve">Wysokość korpusu KH [mm]       </v>
      </c>
      <c r="O77" s="1139"/>
      <c r="P77" s="1139"/>
      <c r="Q77" s="1139"/>
      <c r="R77" s="1139"/>
      <c r="S77" s="1140"/>
      <c r="T77" s="829">
        <f>H11</f>
        <v>0</v>
      </c>
      <c r="U77" s="670"/>
      <c r="V77" s="248"/>
      <c r="W77" s="255"/>
      <c r="X77" s="37"/>
      <c r="Y77" s="37">
        <f>Y76/1000000000</f>
        <v>0</v>
      </c>
      <c r="Z77" s="117">
        <v>1</v>
      </c>
      <c r="AC77" s="37"/>
      <c r="AD77" s="144" t="s">
        <v>71</v>
      </c>
      <c r="AE77" s="37">
        <f>SUM(T76*2,T77*2)*AD76/10000</f>
        <v>0</v>
      </c>
      <c r="AF77" s="117">
        <v>3</v>
      </c>
      <c r="AG77" s="37"/>
      <c r="AH77" s="37"/>
      <c r="AJ77" s="37"/>
      <c r="AK77" s="37"/>
      <c r="AL77" s="108"/>
      <c r="AM77" s="108"/>
      <c r="AN77" s="108"/>
      <c r="AO77" s="137"/>
      <c r="AP77" s="137"/>
      <c r="AQ77" s="137"/>
      <c r="AR77" s="137"/>
      <c r="AS77" s="137"/>
      <c r="AT77" s="137"/>
      <c r="AU77" s="137"/>
      <c r="AV77" s="137"/>
    </row>
    <row r="78" spans="1:49" s="118" customFormat="1" ht="15" customHeight="1" x14ac:dyDescent="0.2">
      <c r="A78" s="255"/>
      <c r="N78" s="1143" t="str">
        <f>ListAVS!$B$80&amp;" TS [mm] "</f>
        <v xml:space="preserve">Grubość frontu TS [mm] </v>
      </c>
      <c r="O78" s="1144"/>
      <c r="P78" s="1144"/>
      <c r="Q78" s="1144"/>
      <c r="R78" s="1144"/>
      <c r="S78" s="1145"/>
      <c r="T78" s="829">
        <f>H13</f>
        <v>0</v>
      </c>
      <c r="U78" s="256" t="str">
        <f>IF(SUM(T76,T77)=0," ",IF(T78=0," ● "&amp;ListAVS!$B$129," "))</f>
        <v xml:space="preserve"> </v>
      </c>
      <c r="V78" s="248"/>
      <c r="W78" s="255"/>
      <c r="X78" s="37"/>
      <c r="Y78" s="319">
        <f>MenuAVS!$C$31</f>
        <v>760</v>
      </c>
      <c r="Z78" s="175" t="str">
        <f>ListAVS!$B$90&amp;" ("&amp;Y78&amp;" kg/m3)"</f>
        <v>MDF (760 kg/m3)</v>
      </c>
      <c r="AC78" s="37"/>
      <c r="AD78" s="37">
        <v>10</v>
      </c>
      <c r="AE78" s="37">
        <f>SUM($T$76*$T$77*$AD78)/1000000</f>
        <v>0</v>
      </c>
      <c r="AF78" s="149" t="str">
        <f>ListAVS!$B$93</f>
        <v>Ramki aluminiowe z 4mm szkłem</v>
      </c>
      <c r="AG78" s="37"/>
      <c r="AH78" s="37"/>
      <c r="AJ78" s="37"/>
      <c r="AK78" s="37"/>
      <c r="AL78" s="108"/>
      <c r="AM78" s="108"/>
      <c r="AN78" s="108"/>
      <c r="AO78" s="137"/>
      <c r="AP78" s="137"/>
    </row>
    <row r="79" spans="1:49" s="118" customFormat="1" ht="15" customHeight="1" x14ac:dyDescent="0.2">
      <c r="A79" s="255"/>
      <c r="N79" s="1143" t="str">
        <f>ListAVS!$B$83&amp;" [kg] "</f>
        <v xml:space="preserve">Waga uchwytu [kg] </v>
      </c>
      <c r="O79" s="1144"/>
      <c r="P79" s="1144"/>
      <c r="Q79" s="1144"/>
      <c r="R79" s="1144"/>
      <c r="S79" s="1145"/>
      <c r="T79" s="829">
        <f>H14</f>
        <v>0</v>
      </c>
      <c r="U79" s="256" t="str">
        <f>IF($U$16=3," ",IF(SUM(T76,T77)=0," ",IF(T79=0," ● "&amp;ListAVS!$B$130," ")))</f>
        <v xml:space="preserve"> </v>
      </c>
      <c r="V79" s="248"/>
      <c r="W79" s="255"/>
      <c r="X79" s="37"/>
      <c r="Y79" s="319">
        <f>MenuAVS!$C$32</f>
        <v>680</v>
      </c>
      <c r="Z79" s="175" t="str">
        <f>ListAVS!$B$91&amp;" ("&amp;Y79&amp;" kg/m3)"</f>
        <v>Płyta wiórowa (680 kg/m3)</v>
      </c>
      <c r="AC79" s="37"/>
      <c r="AD79" s="37">
        <v>15</v>
      </c>
      <c r="AE79" s="37">
        <f>SUM($T$76*$T$77*$AD79)/1000000</f>
        <v>0</v>
      </c>
      <c r="AF79" s="149" t="str">
        <f>ListAVS!$B$94</f>
        <v>Ramki aluminiowe z 5mm szkłem</v>
      </c>
      <c r="AG79" s="37"/>
      <c r="AH79" s="37"/>
      <c r="AJ79" s="37"/>
      <c r="AK79" s="37"/>
      <c r="AL79" s="108"/>
      <c r="AM79" s="108"/>
      <c r="AN79" s="108"/>
      <c r="AO79" s="137"/>
      <c r="AP79" s="137"/>
      <c r="AW79" s="137"/>
    </row>
    <row r="80" spans="1:49" s="118" customFormat="1" ht="15" customHeight="1" x14ac:dyDescent="0.2">
      <c r="A80" s="255"/>
      <c r="N80" s="1143" t="str">
        <f>ListAVS!$B$79&amp;" [kg] "</f>
        <v xml:space="preserve">Obliczona waga frontu [kg] </v>
      </c>
      <c r="O80" s="1144"/>
      <c r="P80" s="1144"/>
      <c r="Q80" s="1144"/>
      <c r="R80" s="1144"/>
      <c r="S80" s="1145"/>
      <c r="T80" s="534">
        <f>IF(X80=0,0,X80+2*T79)</f>
        <v>0</v>
      </c>
      <c r="U80" s="227"/>
      <c r="V80" s="248"/>
      <c r="W80" s="255"/>
      <c r="X80" s="186">
        <f>IF(T76*T77*T78=0,0,IF(Z77=1,Y77*Y78,IF(Z77=2,Y77*Y79,Y77*Y80)))</f>
        <v>0</v>
      </c>
      <c r="Y80" s="37">
        <f>$T$70</f>
        <v>0</v>
      </c>
      <c r="Z80" s="175" t="str">
        <f>ListAVS!$B$92</f>
        <v>Inne – wybrana gęstość materiału</v>
      </c>
      <c r="AC80" s="37"/>
      <c r="AD80" s="334">
        <f>2.5*$T$70</f>
        <v>0</v>
      </c>
      <c r="AE80" s="37">
        <f>SUM($T$76*$T$77*$AD80)/1000000</f>
        <v>0</v>
      </c>
      <c r="AF80" s="149" t="str">
        <f>ListAVS!$B$95</f>
        <v>Ramki aluminiowe z innym szkłem</v>
      </c>
      <c r="AG80" s="37"/>
      <c r="AH80" s="37"/>
      <c r="AJ80" s="37"/>
      <c r="AK80" s="37"/>
      <c r="AL80" s="108"/>
      <c r="AM80" s="108"/>
      <c r="AN80" s="108"/>
      <c r="AO80" s="137"/>
      <c r="AP80" s="137"/>
      <c r="AW80" s="137"/>
    </row>
    <row r="81" spans="1:49" ht="15" customHeight="1" x14ac:dyDescent="0.2">
      <c r="A81" s="255"/>
      <c r="N81" s="255"/>
      <c r="O81" s="273" t="str">
        <f>IF((U16=3)*AND(T80&gt;0)*AND(T79&gt;0),$Z$96&amp;" "&amp;$Z$97,IF((U16&lt;&gt;3)*AND(T80&gt;0),IF(T79=0,$Z$95," ")," "))</f>
        <v xml:space="preserve"> </v>
      </c>
      <c r="P81" s="255"/>
      <c r="Q81" s="255"/>
      <c r="R81" s="255"/>
      <c r="S81" s="255"/>
      <c r="T81" s="255"/>
      <c r="U81" s="255"/>
      <c r="V81" s="255"/>
      <c r="W81" s="255"/>
      <c r="Z81" s="118"/>
      <c r="AB81" s="118"/>
      <c r="AD81" s="186">
        <f>IF(AF77=1,AE78,IF(AF77=2,AE79,AE80))</f>
        <v>0</v>
      </c>
      <c r="AQ81" s="118"/>
      <c r="AR81" s="118"/>
      <c r="AS81" s="118"/>
      <c r="AT81" s="118"/>
      <c r="AU81" s="118"/>
      <c r="AV81" s="118"/>
      <c r="AW81" s="118"/>
    </row>
    <row r="82" spans="1:49" ht="15" customHeight="1" x14ac:dyDescent="0.2">
      <c r="A82" s="255"/>
      <c r="N82" s="255"/>
      <c r="O82" s="273"/>
      <c r="P82" s="255"/>
      <c r="Q82" s="255"/>
      <c r="R82" s="255"/>
      <c r="S82" s="255"/>
      <c r="T82" s="255"/>
      <c r="U82" s="255"/>
      <c r="V82" s="255"/>
      <c r="W82" s="255"/>
      <c r="Z82" s="118"/>
      <c r="AB82" s="118"/>
      <c r="AQ82" s="118"/>
      <c r="AR82" s="118"/>
      <c r="AS82" s="118"/>
      <c r="AT82" s="118"/>
      <c r="AU82" s="118"/>
      <c r="AV82" s="118"/>
      <c r="AW82" s="118"/>
    </row>
    <row r="83" spans="1:49" ht="15" customHeight="1" x14ac:dyDescent="0.2">
      <c r="A83" s="255"/>
      <c r="N83" s="255"/>
      <c r="O83" s="273"/>
      <c r="P83" s="255"/>
      <c r="Q83" s="255"/>
      <c r="R83" s="255"/>
      <c r="S83" s="255"/>
      <c r="T83" s="255"/>
      <c r="U83" s="255"/>
      <c r="V83" s="255"/>
      <c r="W83" s="255"/>
      <c r="Z83" s="118"/>
      <c r="AB83" s="118"/>
      <c r="AQ83" s="118"/>
      <c r="AR83" s="118"/>
      <c r="AS83" s="118"/>
      <c r="AT83" s="118"/>
      <c r="AU83" s="118"/>
      <c r="AV83" s="118"/>
      <c r="AW83" s="118"/>
    </row>
    <row r="84" spans="1:49" ht="15" customHeight="1" x14ac:dyDescent="0.2">
      <c r="A84" s="255"/>
      <c r="N84" s="255"/>
      <c r="O84" s="255"/>
      <c r="P84" s="255"/>
      <c r="Q84" s="255"/>
      <c r="R84" s="255"/>
      <c r="S84" s="255"/>
      <c r="T84" s="255"/>
      <c r="U84" s="255"/>
      <c r="V84" s="255"/>
      <c r="W84" s="255"/>
      <c r="Z84" s="118"/>
      <c r="AB84" s="118"/>
      <c r="AQ84" s="118"/>
      <c r="AR84" s="118"/>
      <c r="AS84" s="118"/>
      <c r="AT84" s="118"/>
      <c r="AU84" s="118"/>
      <c r="AV84" s="118"/>
      <c r="AW84" s="118"/>
    </row>
    <row r="85" spans="1:49" s="118" customFormat="1" ht="15" customHeight="1" x14ac:dyDescent="0.2">
      <c r="A85" s="255"/>
      <c r="N85" s="255"/>
      <c r="O85" s="255"/>
      <c r="P85" s="255"/>
      <c r="Q85" s="255"/>
      <c r="R85" s="255"/>
      <c r="S85" s="255"/>
      <c r="T85" s="255"/>
      <c r="U85" s="255"/>
      <c r="V85" s="255"/>
      <c r="W85" s="255"/>
      <c r="X85" s="37"/>
      <c r="Y85" s="37"/>
      <c r="AA85" s="37"/>
      <c r="AC85" s="37"/>
      <c r="AD85" s="37"/>
      <c r="AE85" s="37"/>
      <c r="AF85" s="37"/>
      <c r="AG85" s="37"/>
      <c r="AH85" s="37"/>
      <c r="AJ85" s="37"/>
      <c r="AK85" s="37"/>
      <c r="AL85" s="108"/>
      <c r="AM85" s="108"/>
      <c r="AN85" s="108"/>
      <c r="AO85" s="137"/>
      <c r="AP85" s="137"/>
    </row>
    <row r="86" spans="1:49" s="118" customFormat="1" ht="15" customHeight="1" x14ac:dyDescent="0.2">
      <c r="A86" s="255"/>
      <c r="N86" s="248"/>
      <c r="O86" s="248"/>
      <c r="P86" s="248"/>
      <c r="Q86" s="255"/>
      <c r="R86" s="1148" t="str">
        <f>D20</f>
        <v xml:space="preserve"> </v>
      </c>
      <c r="S86" s="1149"/>
      <c r="T86" s="1150"/>
      <c r="U86" s="255"/>
      <c r="V86" s="255"/>
      <c r="W86" s="255"/>
      <c r="X86" s="37"/>
      <c r="AA86" s="37"/>
      <c r="AC86" s="37"/>
      <c r="AD86" s="37"/>
      <c r="AE86" s="37"/>
      <c r="AF86" s="37"/>
      <c r="AG86" s="37"/>
      <c r="AH86" s="37"/>
      <c r="AJ86" s="37"/>
      <c r="AK86" s="37"/>
      <c r="AL86" s="108"/>
      <c r="AM86" s="108"/>
      <c r="AN86" s="108"/>
      <c r="AO86" s="137"/>
      <c r="AP86" s="137"/>
    </row>
    <row r="87" spans="1:49" s="118" customFormat="1" ht="15" customHeight="1" x14ac:dyDescent="0.2">
      <c r="A87" s="255"/>
      <c r="N87" s="1138" t="str">
        <f>ListAVS!$B$74&amp;" KB [mm]       "</f>
        <v xml:space="preserve">Szerokość korpusu KB [mm]       </v>
      </c>
      <c r="O87" s="1139"/>
      <c r="P87" s="1139"/>
      <c r="Q87" s="1139"/>
      <c r="R87" s="1139"/>
      <c r="S87" s="1140"/>
      <c r="T87" s="829">
        <f>H21</f>
        <v>0</v>
      </c>
      <c r="U87" s="670"/>
      <c r="V87" s="255"/>
      <c r="W87" s="255"/>
      <c r="X87" s="37"/>
      <c r="Y87" s="37">
        <f>T87*T88*T89</f>
        <v>0</v>
      </c>
      <c r="Z87" s="37"/>
      <c r="AA87" s="37"/>
      <c r="AC87" s="37"/>
      <c r="AD87" s="37">
        <f>AD76</f>
        <v>3.51</v>
      </c>
      <c r="AE87" s="149" t="s">
        <v>67</v>
      </c>
      <c r="AF87" s="37"/>
      <c r="AG87" s="37"/>
      <c r="AH87" s="37"/>
      <c r="AJ87" s="37"/>
      <c r="AK87" s="37"/>
      <c r="AL87" s="108"/>
      <c r="AM87" s="108"/>
      <c r="AN87" s="108"/>
      <c r="AO87" s="137"/>
      <c r="AP87" s="137"/>
    </row>
    <row r="88" spans="1:49" s="118" customFormat="1" ht="15" customHeight="1" x14ac:dyDescent="0.2">
      <c r="A88" s="255"/>
      <c r="N88" s="1138" t="str">
        <f>ListAVS!$B$75&amp;" KH [mm]       "</f>
        <v xml:space="preserve">Wysokość korpusu KH [mm]       </v>
      </c>
      <c r="O88" s="1139"/>
      <c r="P88" s="1139"/>
      <c r="Q88" s="1139"/>
      <c r="R88" s="1139"/>
      <c r="S88" s="1140"/>
      <c r="T88" s="829">
        <f>H22</f>
        <v>0</v>
      </c>
      <c r="U88" s="670"/>
      <c r="V88" s="255"/>
      <c r="W88" s="255"/>
      <c r="X88" s="37"/>
      <c r="Y88" s="37">
        <f>Y87/1000000000</f>
        <v>0</v>
      </c>
      <c r="Z88" s="182">
        <f>Z77</f>
        <v>1</v>
      </c>
      <c r="AC88" s="37"/>
      <c r="AD88" s="144" t="s">
        <v>71</v>
      </c>
      <c r="AE88" s="37">
        <f>SUM(T87*2,T88*2)*AD87/10000</f>
        <v>0</v>
      </c>
      <c r="AF88" s="117">
        <f>AF77</f>
        <v>3</v>
      </c>
      <c r="AG88" s="37"/>
      <c r="AH88" s="37"/>
      <c r="AJ88" s="37"/>
      <c r="AK88" s="37"/>
      <c r="AL88" s="108"/>
      <c r="AM88" s="108"/>
      <c r="AN88" s="108"/>
      <c r="AO88" s="137"/>
      <c r="AP88" s="137"/>
    </row>
    <row r="89" spans="1:49" s="118" customFormat="1" ht="15" customHeight="1" x14ac:dyDescent="0.2">
      <c r="A89" s="255"/>
      <c r="N89" s="1143" t="str">
        <f>ListAVS!$B$80&amp;" TS [mm] "</f>
        <v xml:space="preserve">Grubość frontu TS [mm] </v>
      </c>
      <c r="O89" s="1144"/>
      <c r="P89" s="1144"/>
      <c r="Q89" s="1144"/>
      <c r="R89" s="1144"/>
      <c r="S89" s="1145"/>
      <c r="T89" s="829">
        <f>H24</f>
        <v>0</v>
      </c>
      <c r="U89" s="256" t="str">
        <f>IF(SUM(T87,T88)=0," ",IF(T89=0," ● "&amp;ListAVS!$B$129," "))</f>
        <v xml:space="preserve"> </v>
      </c>
      <c r="V89" s="248"/>
      <c r="W89" s="248"/>
      <c r="X89" s="37"/>
      <c r="Y89" s="319">
        <f>$Y$78</f>
        <v>760</v>
      </c>
      <c r="Z89" s="37" t="str">
        <f>$Z$78</f>
        <v>MDF (760 kg/m3)</v>
      </c>
      <c r="AC89" s="37"/>
      <c r="AD89" s="37">
        <f>AD78</f>
        <v>10</v>
      </c>
      <c r="AE89" s="37">
        <f>SUM($T$87*$T$88*$AD89)/1000000</f>
        <v>0</v>
      </c>
      <c r="AF89" s="149" t="str">
        <f>ListAVS!$B$93</f>
        <v>Ramki aluminiowe z 4mm szkłem</v>
      </c>
      <c r="AG89" s="37"/>
      <c r="AH89" s="37"/>
      <c r="AJ89" s="37"/>
      <c r="AK89" s="37"/>
      <c r="AL89" s="108"/>
      <c r="AM89" s="108"/>
      <c r="AN89" s="108"/>
      <c r="AO89" s="137"/>
      <c r="AP89" s="137"/>
    </row>
    <row r="90" spans="1:49" s="118" customFormat="1" ht="15" customHeight="1" x14ac:dyDescent="0.2">
      <c r="A90" s="255"/>
      <c r="N90" s="1143" t="str">
        <f>ListAVS!$B$83&amp;" [kg] "</f>
        <v xml:space="preserve">Waga uchwytu [kg] </v>
      </c>
      <c r="O90" s="1144"/>
      <c r="P90" s="1144"/>
      <c r="Q90" s="1144"/>
      <c r="R90" s="1144"/>
      <c r="S90" s="1145"/>
      <c r="T90" s="829">
        <f>H25</f>
        <v>0</v>
      </c>
      <c r="U90" s="256" t="str">
        <f>IF($U$27=3," ",IF(SUM(T87,T88)=0," ",IF(T90=0," ● "&amp;ListAVS!$B$130," ")))</f>
        <v xml:space="preserve"> </v>
      </c>
      <c r="V90" s="248"/>
      <c r="W90" s="248"/>
      <c r="X90" s="37"/>
      <c r="Y90" s="319">
        <f>$Y$79</f>
        <v>680</v>
      </c>
      <c r="Z90" s="37" t="str">
        <f>$Z$79</f>
        <v>Płyta wiórowa (680 kg/m3)</v>
      </c>
      <c r="AC90" s="37"/>
      <c r="AD90" s="37">
        <f>AD79</f>
        <v>15</v>
      </c>
      <c r="AE90" s="37">
        <f>SUM($T$87*$T$88*$AD90)/1000000</f>
        <v>0</v>
      </c>
      <c r="AF90" s="149" t="str">
        <f>ListAVS!$B$94</f>
        <v>Ramki aluminiowe z 5mm szkłem</v>
      </c>
      <c r="AG90" s="37"/>
      <c r="AH90" s="37"/>
      <c r="AJ90" s="37"/>
      <c r="AK90" s="37"/>
      <c r="AL90" s="108"/>
      <c r="AM90" s="108"/>
      <c r="AN90" s="108"/>
      <c r="AO90" s="137"/>
      <c r="AP90" s="137"/>
    </row>
    <row r="91" spans="1:49" s="118" customFormat="1" ht="15" customHeight="1" x14ac:dyDescent="0.2">
      <c r="A91" s="255"/>
      <c r="N91" s="1143" t="str">
        <f>ListAVS!$B$79&amp;" [kg] "</f>
        <v xml:space="preserve">Obliczona waga frontu [kg] </v>
      </c>
      <c r="O91" s="1144"/>
      <c r="P91" s="1144"/>
      <c r="Q91" s="1144"/>
      <c r="R91" s="1144"/>
      <c r="S91" s="1145"/>
      <c r="T91" s="534">
        <f>IF(X91=0,0,X91+2*T90)</f>
        <v>0</v>
      </c>
      <c r="U91" s="227"/>
      <c r="V91" s="248"/>
      <c r="W91" s="248"/>
      <c r="X91" s="186">
        <f>IF(T87*T88*T89=0,0,IF(Z88=1,Y88*Y89,IF(Z88=2,Y88*Y90,Y88*Y91)))</f>
        <v>0</v>
      </c>
      <c r="Y91" s="37">
        <f>$Y$80</f>
        <v>0</v>
      </c>
      <c r="Z91" s="37" t="str">
        <f>$Z$80</f>
        <v>Inne – wybrana gęstość materiału</v>
      </c>
      <c r="AC91" s="37"/>
      <c r="AD91" s="334">
        <f>AD80</f>
        <v>0</v>
      </c>
      <c r="AE91" s="37">
        <f>SUM($T$87*$T$88*$AD91)/1000000</f>
        <v>0</v>
      </c>
      <c r="AF91" s="149" t="str">
        <f>ListAVS!$B$95</f>
        <v>Ramki aluminiowe z innym szkłem</v>
      </c>
      <c r="AG91" s="37"/>
      <c r="AH91" s="37"/>
      <c r="AJ91" s="37"/>
      <c r="AK91" s="37"/>
      <c r="AL91" s="108"/>
      <c r="AM91" s="108"/>
      <c r="AN91" s="108"/>
      <c r="AO91" s="137"/>
      <c r="AP91" s="137"/>
    </row>
    <row r="92" spans="1:49" s="118" customFormat="1" ht="15" customHeight="1" x14ac:dyDescent="0.2">
      <c r="A92" s="255"/>
      <c r="N92" s="255"/>
      <c r="O92" s="273" t="str">
        <f>IF((U27=3)*AND(T91&gt;0)*AND(T90&gt;0),$Z$96&amp;" "&amp;$Z$97,IF((U27&lt;&gt;3)*AND(T91&gt;0),IF(T90=0,$Z$95," ")," "))</f>
        <v xml:space="preserve"> </v>
      </c>
      <c r="P92" s="255"/>
      <c r="Q92" s="255"/>
      <c r="R92" s="255"/>
      <c r="S92" s="255"/>
      <c r="T92" s="255"/>
      <c r="U92" s="255"/>
      <c r="V92" s="255"/>
      <c r="W92" s="255"/>
      <c r="X92" s="37"/>
      <c r="Y92" s="37"/>
      <c r="AA92" s="37"/>
      <c r="AC92" s="37"/>
      <c r="AD92" s="186">
        <f>IF(AF88=1,AE89,IF(AF88=2,AE90,AE91))</f>
        <v>0</v>
      </c>
      <c r="AE92" s="37"/>
      <c r="AF92" s="37"/>
      <c r="AG92" s="37"/>
      <c r="AH92" s="37"/>
      <c r="AJ92" s="37"/>
      <c r="AK92" s="37"/>
      <c r="AL92" s="108"/>
      <c r="AM92" s="108"/>
      <c r="AN92" s="108"/>
      <c r="AO92" s="137"/>
      <c r="AP92" s="137"/>
    </row>
    <row r="93" spans="1:49" s="118" customFormat="1" ht="15" customHeight="1" x14ac:dyDescent="0.2">
      <c r="A93" s="255"/>
      <c r="N93" s="255"/>
      <c r="O93" s="255"/>
      <c r="P93" s="255"/>
      <c r="Q93" s="255"/>
      <c r="R93" s="255"/>
      <c r="S93" s="255"/>
      <c r="T93" s="255"/>
      <c r="U93" s="255"/>
      <c r="V93" s="255"/>
      <c r="W93" s="255"/>
      <c r="X93" s="37"/>
      <c r="Y93" s="37"/>
      <c r="AA93" s="37"/>
      <c r="AC93" s="37"/>
      <c r="AD93" s="37"/>
      <c r="AE93" s="37"/>
      <c r="AF93" s="37"/>
      <c r="AG93" s="37"/>
      <c r="AH93" s="37"/>
      <c r="AJ93" s="37"/>
      <c r="AK93" s="37"/>
      <c r="AL93" s="108"/>
      <c r="AM93" s="108"/>
      <c r="AN93" s="108"/>
      <c r="AO93" s="137"/>
      <c r="AP93" s="137"/>
    </row>
    <row r="94" spans="1:49" s="118" customFormat="1" ht="15" customHeight="1" x14ac:dyDescent="0.2">
      <c r="A94" s="255"/>
      <c r="N94" s="255"/>
      <c r="O94" s="255"/>
      <c r="P94" s="255"/>
      <c r="Q94" s="255"/>
      <c r="R94" s="255"/>
      <c r="S94" s="255"/>
      <c r="T94" s="255"/>
      <c r="U94" s="255"/>
      <c r="V94" s="255"/>
      <c r="W94" s="255"/>
      <c r="X94" s="37"/>
      <c r="Y94" s="37"/>
      <c r="AA94" s="37"/>
      <c r="AC94" s="37"/>
      <c r="AD94" s="37"/>
      <c r="AE94" s="37"/>
      <c r="AF94" s="37"/>
      <c r="AG94" s="37"/>
      <c r="AH94" s="37"/>
      <c r="AJ94" s="37"/>
      <c r="AK94" s="37"/>
      <c r="AL94" s="108"/>
      <c r="AM94" s="108"/>
      <c r="AN94" s="108"/>
      <c r="AO94" s="137"/>
      <c r="AP94" s="137"/>
    </row>
    <row r="95" spans="1:49" s="118" customFormat="1" ht="15" customHeight="1" x14ac:dyDescent="0.2">
      <c r="A95" s="255"/>
      <c r="N95" s="255"/>
      <c r="O95" s="255"/>
      <c r="P95" s="255"/>
      <c r="Q95" s="255"/>
      <c r="R95" s="255"/>
      <c r="S95" s="255"/>
      <c r="T95" s="255"/>
      <c r="U95" s="255"/>
      <c r="V95" s="255"/>
      <c r="W95" s="255"/>
      <c r="X95" s="37"/>
      <c r="Z95" s="37" t="str">
        <f>ListAVS!$B$103&amp;"!"</f>
        <v>Bez wagi uchwytu!</v>
      </c>
      <c r="AA95" s="37"/>
      <c r="AC95" s="37"/>
      <c r="AD95" s="37"/>
      <c r="AE95" s="37"/>
      <c r="AF95" s="37"/>
      <c r="AG95" s="37"/>
      <c r="AH95" s="37"/>
      <c r="AJ95" s="37"/>
      <c r="AK95" s="37"/>
      <c r="AL95" s="108"/>
      <c r="AM95" s="108"/>
      <c r="AN95" s="108"/>
      <c r="AO95" s="137"/>
      <c r="AP95" s="137"/>
    </row>
    <row r="96" spans="1:49" s="118" customFormat="1" ht="15" customHeight="1" x14ac:dyDescent="0.2">
      <c r="A96" s="255"/>
      <c r="N96" s="255"/>
      <c r="O96" s="255"/>
      <c r="P96" s="255"/>
      <c r="Q96" s="255"/>
      <c r="R96" s="255"/>
      <c r="S96" s="1128"/>
      <c r="T96" s="1128"/>
      <c r="U96" s="255"/>
      <c r="V96" s="255"/>
      <c r="W96" s="255"/>
      <c r="X96" s="37"/>
      <c r="Z96" s="37" t="str">
        <f>ListAVS!B104</f>
        <v>Na pewno masz uchwyt do wersji TIP-ON?</v>
      </c>
      <c r="AA96" s="37"/>
      <c r="AC96" s="37"/>
      <c r="AD96" s="37"/>
      <c r="AE96" s="37"/>
      <c r="AF96" s="37"/>
      <c r="AG96" s="37"/>
      <c r="AH96" s="37"/>
      <c r="AJ96" s="37"/>
      <c r="AK96" s="37"/>
      <c r="AL96" s="108"/>
      <c r="AM96" s="108"/>
      <c r="AN96" s="108"/>
      <c r="AO96" s="137"/>
      <c r="AP96" s="137"/>
      <c r="AQ96" s="37"/>
      <c r="AR96" s="37"/>
      <c r="AS96" s="37"/>
      <c r="AT96" s="37"/>
      <c r="AU96" s="37"/>
      <c r="AV96" s="37"/>
    </row>
    <row r="97" spans="1:48" s="118" customFormat="1" ht="15" customHeight="1" x14ac:dyDescent="0.2">
      <c r="A97" s="255"/>
      <c r="N97" s="255"/>
      <c r="O97" s="255"/>
      <c r="P97" s="255"/>
      <c r="Q97" s="255"/>
      <c r="R97" s="255"/>
      <c r="S97" s="255"/>
      <c r="T97" s="255"/>
      <c r="U97" s="255"/>
      <c r="V97" s="255"/>
      <c r="W97" s="255"/>
      <c r="X97" s="37"/>
      <c r="Z97" s="37" t="str">
        <f>ListAVS!B105&amp;"!"</f>
        <v>Jeśli nie wymaż wagę uchwytu!</v>
      </c>
      <c r="AA97" s="37"/>
      <c r="AC97" s="37"/>
      <c r="AD97" s="37"/>
      <c r="AE97" s="37"/>
      <c r="AF97" s="37"/>
      <c r="AG97" s="37"/>
      <c r="AH97" s="37"/>
      <c r="AJ97" s="37"/>
      <c r="AK97" s="37"/>
      <c r="AL97" s="108"/>
      <c r="AM97" s="108"/>
      <c r="AN97" s="108"/>
      <c r="AO97" s="137"/>
      <c r="AP97" s="137"/>
      <c r="AQ97" s="37"/>
      <c r="AR97" s="37"/>
      <c r="AS97" s="37"/>
      <c r="AT97" s="37"/>
      <c r="AU97" s="37"/>
      <c r="AV97" s="37"/>
    </row>
    <row r="98" spans="1:48" s="118" customFormat="1" ht="15" customHeight="1" x14ac:dyDescent="0.2">
      <c r="A98" s="255"/>
      <c r="N98" s="255"/>
      <c r="O98" s="255"/>
      <c r="P98" s="255"/>
      <c r="Q98" s="255"/>
      <c r="R98" s="255"/>
      <c r="S98" s="248"/>
      <c r="T98" s="248"/>
      <c r="U98" s="255"/>
      <c r="V98" s="255"/>
      <c r="W98" s="255"/>
      <c r="X98" s="37"/>
      <c r="Y98" s="37"/>
      <c r="AA98" s="37"/>
      <c r="AC98" s="37"/>
      <c r="AD98" s="37"/>
      <c r="AE98" s="37"/>
      <c r="AF98" s="37"/>
      <c r="AG98" s="37"/>
      <c r="AH98" s="37"/>
      <c r="AJ98" s="37"/>
      <c r="AK98" s="37"/>
      <c r="AL98" s="108"/>
      <c r="AM98" s="108"/>
      <c r="AN98" s="108"/>
      <c r="AO98" s="137"/>
      <c r="AP98" s="137"/>
      <c r="AQ98" s="137"/>
      <c r="AR98" s="137"/>
      <c r="AS98" s="137"/>
      <c r="AT98" s="137"/>
      <c r="AU98" s="137"/>
      <c r="AV98" s="137"/>
    </row>
    <row r="99" spans="1:48" x14ac:dyDescent="0.2">
      <c r="A99" s="1045"/>
    </row>
    <row r="100" spans="1:48" ht="15" customHeight="1" x14ac:dyDescent="0.2">
      <c r="A100" s="1045"/>
      <c r="B100" s="308" t="s">
        <v>19</v>
      </c>
      <c r="C100" s="321"/>
      <c r="D100" s="308"/>
      <c r="E100" s="308"/>
      <c r="F100" s="308"/>
      <c r="G100" s="308"/>
      <c r="H100" s="308"/>
      <c r="I100" s="308"/>
      <c r="J100" s="308"/>
      <c r="K100" s="308"/>
      <c r="L100" s="308"/>
    </row>
    <row r="101" spans="1:48" x14ac:dyDescent="0.2">
      <c r="A101" s="1045"/>
    </row>
    <row r="102" spans="1:48" ht="15" customHeight="1" x14ac:dyDescent="0.2">
      <c r="A102" s="1045"/>
      <c r="B102" s="255" t="str">
        <f>ListAVS!$B$303</f>
        <v>Odpowiedni siłownik będzie określony za pomocą współczynnika mocy</v>
      </c>
      <c r="C102" s="255"/>
      <c r="D102" s="255"/>
      <c r="E102" s="255"/>
      <c r="F102" s="255"/>
      <c r="G102" s="255"/>
      <c r="H102" s="255"/>
      <c r="I102" s="255"/>
      <c r="J102" s="255"/>
      <c r="K102" s="255"/>
      <c r="L102" s="255"/>
    </row>
    <row r="103" spans="1:48" ht="15" customHeight="1" x14ac:dyDescent="0.2">
      <c r="A103" s="1045"/>
      <c r="B103" s="255" t="str">
        <f>ListAVS!$B$341</f>
        <v>Współczynnik mocy zależy od wagi frontu (wraz z podwójną wagą uchwytu) i od wysokości korpusu.</v>
      </c>
      <c r="C103" s="255"/>
      <c r="D103" s="255"/>
      <c r="E103" s="255"/>
      <c r="F103" s="255"/>
      <c r="G103" s="255"/>
      <c r="H103" s="255"/>
      <c r="I103" s="255"/>
      <c r="J103" s="255"/>
      <c r="K103" s="255"/>
      <c r="L103" s="255"/>
    </row>
    <row r="104" spans="1:48" ht="15" customHeight="1" x14ac:dyDescent="0.2">
      <c r="A104" s="1045"/>
      <c r="B104" s="255"/>
      <c r="C104" s="695"/>
      <c r="D104" s="695"/>
      <c r="E104" s="695"/>
      <c r="F104" s="695"/>
      <c r="G104" s="695"/>
      <c r="H104" s="695"/>
      <c r="I104" s="695"/>
      <c r="J104" s="695"/>
      <c r="K104" s="695"/>
      <c r="L104" s="695"/>
    </row>
    <row r="105" spans="1:48" ht="15" customHeight="1" x14ac:dyDescent="0.2">
      <c r="A105" s="1045"/>
      <c r="B105" s="696"/>
      <c r="C105" s="696"/>
      <c r="D105" s="696"/>
      <c r="E105" s="696"/>
      <c r="F105" s="696"/>
      <c r="G105" s="696"/>
      <c r="H105" s="696"/>
      <c r="I105" s="696"/>
      <c r="J105" s="696"/>
      <c r="K105" s="696"/>
      <c r="L105" s="696"/>
    </row>
    <row r="106" spans="1:48" ht="30" customHeight="1" x14ac:dyDescent="0.2">
      <c r="A106" s="1045"/>
      <c r="B106" s="746"/>
      <c r="C106" s="746"/>
      <c r="D106" s="698" t="str">
        <f>ListAVS!$B$86&amp;" = "</f>
        <v xml:space="preserve">Współczynnik mocy = </v>
      </c>
      <c r="E106" s="1068" t="str">
        <f>ListAVS!$B$342&amp;" [kg]"</f>
        <v>wysokość korpusu (KH) [mm] x waga frontu wraz z podwójną wagą uchwytu [kg]</v>
      </c>
      <c r="F106" s="1068"/>
      <c r="G106" s="1068"/>
      <c r="H106" s="1068"/>
      <c r="I106" s="1068"/>
      <c r="J106" s="1068"/>
      <c r="K106" s="1068"/>
      <c r="L106" s="1068"/>
      <c r="N106" s="108"/>
    </row>
    <row r="107" spans="1:48" ht="15" customHeight="1" x14ac:dyDescent="0.2">
      <c r="A107" s="1045"/>
      <c r="B107" s="255"/>
      <c r="C107" s="255"/>
      <c r="D107" s="255"/>
      <c r="E107" s="255"/>
      <c r="F107" s="255"/>
      <c r="G107" s="255"/>
      <c r="H107" s="255"/>
      <c r="I107" s="255"/>
      <c r="J107" s="255"/>
      <c r="K107" s="255"/>
      <c r="L107" s="255"/>
    </row>
    <row r="108" spans="1:48" ht="15" customHeight="1" x14ac:dyDescent="0.2">
      <c r="A108" s="1045"/>
      <c r="B108" s="255" t="str">
        <f>ListAVS!$B$355</f>
        <v>W razie wykorzystania trzeciego siłownika współczynnik mocy oraz waga frontu mogą się zwiększyć o 50 %.</v>
      </c>
      <c r="C108" s="255"/>
      <c r="D108" s="255"/>
      <c r="E108" s="255"/>
      <c r="F108" s="255"/>
      <c r="G108" s="255"/>
      <c r="H108" s="255"/>
      <c r="I108" s="255"/>
      <c r="J108" s="255"/>
      <c r="K108" s="255"/>
      <c r="L108" s="255"/>
    </row>
    <row r="109" spans="1:48" ht="15" customHeight="1" x14ac:dyDescent="0.2">
      <c r="A109" s="1045"/>
      <c r="B109" s="255"/>
      <c r="C109" s="255"/>
      <c r="D109" s="255"/>
      <c r="E109" s="255"/>
      <c r="F109" s="255"/>
      <c r="G109" s="255"/>
      <c r="H109" s="255"/>
      <c r="I109" s="255"/>
      <c r="J109" s="255"/>
      <c r="K109" s="255"/>
      <c r="L109" s="255"/>
    </row>
    <row r="110" spans="1:48" ht="15" customHeight="1" x14ac:dyDescent="0.2">
      <c r="A110" s="1045"/>
      <c r="B110" s="273" t="str">
        <f>ListAVS!$B$183</f>
        <v>Dodatkowy trzeci siłownik można zastosować jedynie z pełnym frontem!</v>
      </c>
      <c r="C110" s="255"/>
      <c r="D110" s="255"/>
      <c r="E110" s="255"/>
      <c r="F110" s="255"/>
      <c r="G110" s="255"/>
      <c r="H110" s="255"/>
      <c r="I110" s="255"/>
      <c r="J110" s="255"/>
      <c r="K110" s="255"/>
      <c r="L110" s="255"/>
    </row>
    <row r="111" spans="1:48" ht="15" customHeight="1" x14ac:dyDescent="0.2">
      <c r="A111" s="1045"/>
      <c r="B111" s="255"/>
      <c r="C111" s="255"/>
      <c r="D111" s="255"/>
      <c r="E111" s="255"/>
      <c r="F111" s="255"/>
      <c r="G111" s="255"/>
      <c r="H111" s="255"/>
      <c r="I111" s="255"/>
      <c r="J111" s="255"/>
      <c r="K111" s="255"/>
      <c r="L111" s="255"/>
    </row>
    <row r="112" spans="1:48" ht="15" customHeight="1" x14ac:dyDescent="0.2">
      <c r="A112" s="1045"/>
      <c r="B112" s="255" t="str">
        <f>ListAVS!$B$312</f>
        <v>Jeśli znasz wagę frontu, możesz ją wprowadzić, w przeciwnym razie skorzystaj z „Obliczenia wagi”.</v>
      </c>
      <c r="C112" s="255"/>
      <c r="D112" s="255"/>
      <c r="E112" s="255"/>
      <c r="F112" s="255"/>
      <c r="G112" s="255"/>
      <c r="H112" s="255"/>
      <c r="I112" s="255"/>
      <c r="J112" s="255"/>
      <c r="K112" s="255"/>
      <c r="L112" s="255"/>
    </row>
    <row r="113" spans="1:12" ht="15" customHeight="1" x14ac:dyDescent="0.2">
      <c r="A113" s="1045"/>
      <c r="B113" s="255" t="str">
        <f>ListAVS!$B$313</f>
        <v>W tabeli wprowadzona wartość ma pierwszeństwo aby skorzystać z wagi obliczeniowej, należy usunąć wprowadzoną wartość.</v>
      </c>
      <c r="C113" s="255"/>
      <c r="D113" s="255"/>
      <c r="E113" s="255"/>
      <c r="F113" s="255"/>
      <c r="G113" s="255"/>
      <c r="H113" s="255"/>
      <c r="I113" s="255"/>
      <c r="J113" s="255"/>
      <c r="K113" s="255"/>
      <c r="L113" s="255"/>
    </row>
    <row r="114" spans="1:12" ht="15" customHeight="1" x14ac:dyDescent="0.2">
      <c r="A114" s="1045"/>
      <c r="B114" s="255"/>
      <c r="C114" s="255"/>
      <c r="D114" s="255"/>
      <c r="E114" s="255"/>
      <c r="F114" s="255"/>
      <c r="G114" s="255"/>
      <c r="H114" s="255"/>
      <c r="I114" s="255"/>
      <c r="J114" s="255"/>
      <c r="K114" s="255"/>
      <c r="L114" s="255"/>
    </row>
    <row r="115" spans="1:12" ht="15" customHeight="1" x14ac:dyDescent="0.2">
      <c r="A115" s="1045"/>
      <c r="B115" s="255"/>
      <c r="C115" s="255"/>
      <c r="D115" s="255"/>
      <c r="E115" s="255"/>
      <c r="F115" s="255"/>
      <c r="G115" s="255"/>
      <c r="H115" s="255"/>
      <c r="I115" s="255"/>
      <c r="J115" s="255"/>
      <c r="K115" s="255"/>
      <c r="L115" s="255"/>
    </row>
    <row r="116" spans="1:12" ht="15" customHeight="1" x14ac:dyDescent="0.2">
      <c r="A116" s="1045"/>
      <c r="B116" s="255" t="str">
        <f>ListAVS!$B$306</f>
        <v>Aby zmienić kolor zaślepek przejdź do „Wprowadzenie do planowania”</v>
      </c>
      <c r="C116" s="255"/>
      <c r="D116" s="255"/>
      <c r="E116" s="255"/>
      <c r="F116" s="255"/>
      <c r="G116" s="255"/>
      <c r="H116" s="255"/>
      <c r="I116" s="255"/>
      <c r="J116" s="255"/>
      <c r="K116" s="255"/>
      <c r="L116" s="255"/>
    </row>
    <row r="117" spans="1:12" ht="15" customHeight="1" x14ac:dyDescent="0.2">
      <c r="A117" s="1045"/>
      <c r="B117" s="255"/>
      <c r="C117" s="255"/>
      <c r="D117" s="255"/>
      <c r="E117" s="255"/>
      <c r="F117" s="255"/>
      <c r="G117" s="255"/>
      <c r="H117" s="255"/>
      <c r="I117" s="255"/>
      <c r="J117" s="255"/>
      <c r="K117" s="255"/>
      <c r="L117" s="255"/>
    </row>
    <row r="118" spans="1:12" ht="15" customHeight="1" x14ac:dyDescent="0.2">
      <c r="A118" s="1045"/>
      <c r="B118" s="255"/>
      <c r="C118" s="255"/>
      <c r="D118" s="255"/>
      <c r="E118" s="255"/>
      <c r="F118" s="255"/>
      <c r="G118" s="255"/>
      <c r="H118" s="255"/>
      <c r="I118" s="255"/>
      <c r="J118" s="255"/>
      <c r="K118" s="255"/>
      <c r="L118" s="255"/>
    </row>
    <row r="119" spans="1:12" ht="15" customHeight="1" x14ac:dyDescent="0.2">
      <c r="A119" s="1045"/>
      <c r="B119" s="255"/>
      <c r="C119" s="255"/>
      <c r="D119" s="255"/>
      <c r="E119" s="255"/>
      <c r="F119" s="255"/>
      <c r="G119" s="255"/>
      <c r="H119" s="255"/>
      <c r="I119" s="255"/>
      <c r="J119" s="255"/>
      <c r="K119" s="255"/>
      <c r="L119" s="255"/>
    </row>
    <row r="120" spans="1:12" ht="15" customHeight="1" x14ac:dyDescent="0.2">
      <c r="A120" s="1045"/>
      <c r="B120" s="255"/>
      <c r="C120" s="255"/>
      <c r="D120" s="255"/>
      <c r="E120" s="255"/>
      <c r="F120" s="255"/>
      <c r="G120" s="255"/>
      <c r="H120" s="255"/>
      <c r="I120" s="255"/>
      <c r="J120" s="255"/>
      <c r="K120" s="255"/>
      <c r="L120" s="255"/>
    </row>
    <row r="121" spans="1:12" ht="15" customHeight="1" x14ac:dyDescent="0.2">
      <c r="A121" s="1045"/>
      <c r="B121" s="255"/>
      <c r="C121" s="255"/>
      <c r="D121" s="255"/>
      <c r="E121" s="255"/>
      <c r="F121" s="255"/>
      <c r="G121" s="255"/>
      <c r="H121" s="255"/>
      <c r="I121" s="255"/>
      <c r="J121" s="255"/>
      <c r="K121" s="255"/>
      <c r="L121" s="738" t="str">
        <f>ListAVS!$B$168</f>
        <v>Z powrotem</v>
      </c>
    </row>
    <row r="122" spans="1:12" ht="15" customHeight="1" x14ac:dyDescent="0.2">
      <c r="A122" s="1045"/>
      <c r="B122" s="255"/>
      <c r="C122" s="255"/>
      <c r="D122" s="255"/>
      <c r="E122" s="255"/>
      <c r="F122" s="255"/>
      <c r="G122" s="255"/>
      <c r="H122" s="255"/>
      <c r="I122" s="255"/>
      <c r="J122" s="255"/>
      <c r="K122" s="255"/>
      <c r="L122" s="255"/>
    </row>
    <row r="123" spans="1:12" ht="15" customHeight="1" x14ac:dyDescent="0.2">
      <c r="A123" s="1045"/>
      <c r="B123" s="255"/>
      <c r="C123" s="255"/>
      <c r="D123" s="255"/>
      <c r="E123" s="255"/>
      <c r="F123" s="255"/>
      <c r="G123" s="255"/>
      <c r="H123" s="255"/>
      <c r="I123" s="255"/>
      <c r="J123" s="255"/>
      <c r="K123" s="255"/>
      <c r="L123" s="255"/>
    </row>
    <row r="124" spans="1:12" ht="12.75" x14ac:dyDescent="0.2">
      <c r="A124" s="1045"/>
      <c r="B124" s="255"/>
      <c r="C124" s="255"/>
      <c r="D124" s="255"/>
      <c r="E124" s="255"/>
      <c r="F124" s="255"/>
      <c r="G124" s="255"/>
      <c r="H124" s="255"/>
      <c r="I124" s="255"/>
      <c r="J124" s="255"/>
      <c r="K124" s="255"/>
      <c r="L124" s="255"/>
    </row>
    <row r="125" spans="1:12" ht="12.75" x14ac:dyDescent="0.2">
      <c r="A125" s="1045"/>
      <c r="B125" s="255"/>
      <c r="C125" s="255"/>
      <c r="D125" s="255"/>
      <c r="E125" s="255"/>
      <c r="F125" s="255"/>
      <c r="G125" s="255"/>
      <c r="H125" s="255"/>
      <c r="I125" s="255"/>
      <c r="J125" s="255"/>
      <c r="K125" s="255"/>
      <c r="L125" s="255"/>
    </row>
    <row r="126" spans="1:12" ht="12.75" x14ac:dyDescent="0.2">
      <c r="A126" s="1045"/>
      <c r="B126" s="255"/>
      <c r="C126" s="255"/>
      <c r="D126" s="255"/>
      <c r="E126" s="255"/>
      <c r="F126" s="255"/>
      <c r="G126" s="255"/>
      <c r="H126" s="255"/>
      <c r="I126" s="255"/>
      <c r="J126" s="255"/>
      <c r="K126" s="255"/>
      <c r="L126" s="255"/>
    </row>
    <row r="127" spans="1:12" ht="12.75" x14ac:dyDescent="0.2">
      <c r="A127" s="1045"/>
      <c r="B127" s="255"/>
      <c r="C127" s="255"/>
      <c r="D127" s="255"/>
      <c r="E127" s="255"/>
      <c r="F127" s="255"/>
      <c r="G127" s="255"/>
      <c r="H127" s="255"/>
      <c r="I127" s="255"/>
      <c r="J127" s="255"/>
      <c r="K127" s="255"/>
      <c r="L127" s="255"/>
    </row>
    <row r="128" spans="1:12" ht="12.75" x14ac:dyDescent="0.2">
      <c r="A128" s="1045"/>
      <c r="B128" s="255"/>
      <c r="C128" s="255"/>
      <c r="D128" s="255"/>
      <c r="E128" s="255"/>
      <c r="F128" s="255"/>
      <c r="G128" s="255"/>
      <c r="H128" s="255"/>
      <c r="I128" s="255"/>
      <c r="J128" s="255"/>
      <c r="K128" s="255"/>
      <c r="L128" s="255"/>
    </row>
    <row r="129" spans="1:12" ht="12.75" x14ac:dyDescent="0.2">
      <c r="A129" s="1045"/>
      <c r="B129" s="255"/>
      <c r="C129" s="255"/>
      <c r="D129" s="255"/>
      <c r="E129" s="255"/>
      <c r="F129" s="255"/>
      <c r="G129" s="255"/>
      <c r="H129" s="255"/>
      <c r="I129" s="255"/>
      <c r="J129" s="255"/>
      <c r="K129" s="255"/>
      <c r="L129" s="255"/>
    </row>
    <row r="130" spans="1:12" x14ac:dyDescent="0.2">
      <c r="A130" s="1045"/>
    </row>
    <row r="131" spans="1:12" x14ac:dyDescent="0.2">
      <c r="A131" s="1045"/>
    </row>
    <row r="132" spans="1:12" x14ac:dyDescent="0.2">
      <c r="A132" s="1045"/>
    </row>
    <row r="133" spans="1:12" x14ac:dyDescent="0.2">
      <c r="A133" s="1045"/>
    </row>
    <row r="134" spans="1:12" x14ac:dyDescent="0.2">
      <c r="A134" s="1045"/>
    </row>
    <row r="135" spans="1:12" x14ac:dyDescent="0.2">
      <c r="A135" s="1045"/>
    </row>
    <row r="136" spans="1:12" x14ac:dyDescent="0.2">
      <c r="A136" s="1045"/>
    </row>
    <row r="137" spans="1:12" x14ac:dyDescent="0.2">
      <c r="A137" s="1045"/>
    </row>
    <row r="138" spans="1:12" x14ac:dyDescent="0.2">
      <c r="A138" s="1045"/>
    </row>
    <row r="139" spans="1:12" x14ac:dyDescent="0.2">
      <c r="A139" s="1045"/>
    </row>
    <row r="140" spans="1:12" x14ac:dyDescent="0.2">
      <c r="A140" s="1045"/>
    </row>
  </sheetData>
  <sheetProtection algorithmName="SHA-512" hashValue="Im9QeOYHOIBbVjjf5wDxi/rX+a3dPv6Nrg58kgfgbUmqE/xkOl5q4pPVQRNO6su8OuFDaO/YyGEsAVHsc9+I0w==" saltValue="IhfZwXniYZYLWpxE/qKZ6A==" spinCount="100000" sheet="1" objects="1" scenarios="1"/>
  <mergeCells count="57">
    <mergeCell ref="N89:S89"/>
    <mergeCell ref="N76:S76"/>
    <mergeCell ref="N77:S77"/>
    <mergeCell ref="N88:S88"/>
    <mergeCell ref="N79:S79"/>
    <mergeCell ref="N80:S80"/>
    <mergeCell ref="R86:T86"/>
    <mergeCell ref="N87:S87"/>
    <mergeCell ref="A99:A140"/>
    <mergeCell ref="E106:L106"/>
    <mergeCell ref="N90:S90"/>
    <mergeCell ref="N91:S91"/>
    <mergeCell ref="S96:T96"/>
    <mergeCell ref="B22:G22"/>
    <mergeCell ref="B23:G23"/>
    <mergeCell ref="B27:C27"/>
    <mergeCell ref="D27:G27"/>
    <mergeCell ref="N78:S78"/>
    <mergeCell ref="P71:T71"/>
    <mergeCell ref="R75:T75"/>
    <mergeCell ref="B31:J33"/>
    <mergeCell ref="T30:U30"/>
    <mergeCell ref="C37:K40"/>
    <mergeCell ref="D26:G26"/>
    <mergeCell ref="B24:C26"/>
    <mergeCell ref="D24:G24"/>
    <mergeCell ref="D25:G25"/>
    <mergeCell ref="B28:G28"/>
    <mergeCell ref="B16:C16"/>
    <mergeCell ref="D16:G16"/>
    <mergeCell ref="B17:G17"/>
    <mergeCell ref="AQ18:AU19"/>
    <mergeCell ref="B13:C15"/>
    <mergeCell ref="D13:G13"/>
    <mergeCell ref="D14:G14"/>
    <mergeCell ref="D15:G15"/>
    <mergeCell ref="AQ20:AU21"/>
    <mergeCell ref="R20:S20"/>
    <mergeCell ref="V20:W20"/>
    <mergeCell ref="B21:G21"/>
    <mergeCell ref="V21:W21"/>
    <mergeCell ref="B20:C20"/>
    <mergeCell ref="F20:H20"/>
    <mergeCell ref="B12:G12"/>
    <mergeCell ref="B2:D2"/>
    <mergeCell ref="R9:S9"/>
    <mergeCell ref="V9:W9"/>
    <mergeCell ref="AQ1:AY1"/>
    <mergeCell ref="F9:H9"/>
    <mergeCell ref="F5:J5"/>
    <mergeCell ref="K4:L5"/>
    <mergeCell ref="B7:C7"/>
    <mergeCell ref="G7:H7"/>
    <mergeCell ref="B10:G10"/>
    <mergeCell ref="V10:W10"/>
    <mergeCell ref="B11:G11"/>
    <mergeCell ref="B9:C9"/>
  </mergeCells>
  <phoneticPr fontId="117" type="noConversion"/>
  <conditionalFormatting sqref="B16:C16">
    <cfRule type="expression" dxfId="185" priority="19" stopIfTrue="1">
      <formula>$V$10=TRUE</formula>
    </cfRule>
  </conditionalFormatting>
  <conditionalFormatting sqref="B27:C27">
    <cfRule type="expression" dxfId="184" priority="20" stopIfTrue="1">
      <formula>$V$21=TRUE</formula>
    </cfRule>
  </conditionalFormatting>
  <conditionalFormatting sqref="I23">
    <cfRule type="containsText" dxfId="183" priority="12" operator="containsText" text="Doplňte">
      <formula>NOT(ISERROR(SEARCH("Doplňte",I23)))</formula>
    </cfRule>
  </conditionalFormatting>
  <conditionalFormatting sqref="I26">
    <cfRule type="containsText" dxfId="182" priority="4" operator="containsText" text="Doplňte">
      <formula>NOT(ISERROR(SEARCH("Doplňte",I26)))</formula>
    </cfRule>
  </conditionalFormatting>
  <conditionalFormatting sqref="E9">
    <cfRule type="expression" dxfId="181" priority="62">
      <formula>$M$17&gt;0</formula>
    </cfRule>
  </conditionalFormatting>
  <conditionalFormatting sqref="I15">
    <cfRule type="expression" dxfId="180" priority="63">
      <formula>$M$17=0</formula>
    </cfRule>
    <cfRule type="containsText" dxfId="179" priority="64" operator="containsText" text="Doplňte">
      <formula>NOT(ISERROR(SEARCH("Doplňte",I15)))</formula>
    </cfRule>
  </conditionalFormatting>
  <conditionalFormatting sqref="E20">
    <cfRule type="expression" dxfId="178" priority="74">
      <formula>$M$28&gt;0</formula>
    </cfRule>
  </conditionalFormatting>
  <conditionalFormatting sqref="I23 I26">
    <cfRule type="expression" dxfId="177" priority="75">
      <formula>$M$28=0</formula>
    </cfRule>
  </conditionalFormatting>
  <conditionalFormatting sqref="I12">
    <cfRule type="expression" dxfId="176" priority="1">
      <formula>$M$17=0</formula>
    </cfRule>
    <cfRule type="containsText" dxfId="175" priority="2" operator="containsText" text="Doplňte">
      <formula>NOT(ISERROR(SEARCH("Doplňte",I12)))</formula>
    </cfRule>
  </conditionalFormatting>
  <hyperlinks>
    <hyperlink ref="N76:S76" location="HKw!H10" tooltip=" " display="HKw!H10" xr:uid="{D741B13A-4C81-484E-BC0B-B555AC2C6367}"/>
    <hyperlink ref="N77:S77" location="HKw!H11" tooltip=" " display="HKw!H11" xr:uid="{1F89771C-FC48-4F45-A73D-E885FDA91707}"/>
    <hyperlink ref="N87:S87" location="HKw!H19" tooltip=" " display="HKw!H19" xr:uid="{FD508DB6-6959-4F20-9EF5-3B3932004F77}"/>
    <hyperlink ref="N88:S88" location="HKw!H20" tooltip=" " display="HKw!H20" xr:uid="{A5852E1A-21DA-43FC-B7DE-6587ACC9708C}"/>
    <hyperlink ref="AN5" location="HKw!A100" tooltip=" " display="HKw!A100" xr:uid="{F0C61A8D-4217-46DD-9DE7-EE7B5DD9346C}"/>
    <hyperlink ref="L121" location="HKw!A1" tooltip=" " display="HKw!A1" xr:uid="{C5BECF81-3273-422C-AE92-5D37C4D371C0}"/>
    <hyperlink ref="AN9" location="SumAVS!A1" tooltip=" " display="SumAVS!A1" xr:uid="{CF8E4F7F-64B9-47CC-AEBB-A956777CA253}"/>
    <hyperlink ref="AN10" location="OrdAVS!A1" tooltip=" " display="OrdAVS!A1" xr:uid="{1819D027-5B07-4D4C-B5ED-90DEF4B714AE}"/>
    <hyperlink ref="AN7" location="AcsAVS!A1" tooltip=" " display="AcsAVS!A1" xr:uid="{F705F18D-C133-4BAE-A57A-C44CE8F65209}"/>
    <hyperlink ref="AN4" location="MenuAVS!A1" tooltip=" " display="MenuAVS!A1" xr:uid="{08B7F5C4-FDDB-4AC6-9EE6-0E292D02A7AC}"/>
    <hyperlink ref="B2:C2" location="HK!A1" tooltip=" " display="AVENTOS HK top" xr:uid="{F919EEE6-DB20-42DF-953F-D57A72C9E959}"/>
  </hyperlinks>
  <pageMargins left="0.62992125984251968" right="0.23622047244094488" top="0.74803149606299213" bottom="0.74803149606299213" header="0.31496062992125984" footer="0.31496062992125984"/>
  <pageSetup paperSize="9" orientation="portrait" horizontalDpi="4294967293"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68961" r:id="rId4" name="Drop Down 1">
              <controlPr defaultSize="0" autoLine="0" autoPict="0">
                <anchor moveWithCells="1">
                  <from>
                    <xdr:col>3</xdr:col>
                    <xdr:colOff>19050</xdr:colOff>
                    <xdr:row>6</xdr:row>
                    <xdr:rowOff>9525</xdr:rowOff>
                  </from>
                  <to>
                    <xdr:col>5</xdr:col>
                    <xdr:colOff>571500</xdr:colOff>
                    <xdr:row>7</xdr:row>
                    <xdr:rowOff>0</xdr:rowOff>
                  </to>
                </anchor>
              </controlPr>
            </control>
          </mc:Choice>
        </mc:AlternateContent>
        <mc:AlternateContent xmlns:mc="http://schemas.openxmlformats.org/markup-compatibility/2006">
          <mc:Choice Requires="x14">
            <control shapeId="168963" r:id="rId5" name="Check Box 3">
              <controlPr defaultSize="0" autoFill="0" autoLine="0" autoPict="0">
                <anchor moveWithCells="1">
                  <from>
                    <xdr:col>2</xdr:col>
                    <xdr:colOff>409575</xdr:colOff>
                    <xdr:row>14</xdr:row>
                    <xdr:rowOff>180975</xdr:rowOff>
                  </from>
                  <to>
                    <xdr:col>3</xdr:col>
                    <xdr:colOff>95250</xdr:colOff>
                    <xdr:row>16</xdr:row>
                    <xdr:rowOff>0</xdr:rowOff>
                  </to>
                </anchor>
              </controlPr>
            </control>
          </mc:Choice>
        </mc:AlternateContent>
        <mc:AlternateContent xmlns:mc="http://schemas.openxmlformats.org/markup-compatibility/2006">
          <mc:Choice Requires="x14">
            <control shapeId="168964" r:id="rId6" name="Check Box 4">
              <controlPr defaultSize="0" autoFill="0" autoLine="0" autoPict="0">
                <anchor moveWithCells="1">
                  <from>
                    <xdr:col>2</xdr:col>
                    <xdr:colOff>409575</xdr:colOff>
                    <xdr:row>25</xdr:row>
                    <xdr:rowOff>180975</xdr:rowOff>
                  </from>
                  <to>
                    <xdr:col>3</xdr:col>
                    <xdr:colOff>95250</xdr:colOff>
                    <xdr:row>27</xdr:row>
                    <xdr:rowOff>0</xdr:rowOff>
                  </to>
                </anchor>
              </controlPr>
            </control>
          </mc:Choice>
        </mc:AlternateContent>
        <mc:AlternateContent xmlns:mc="http://schemas.openxmlformats.org/markup-compatibility/2006">
          <mc:Choice Requires="x14">
            <control shapeId="168965" r:id="rId7" name="Drop Down 5">
              <controlPr defaultSize="0" autoLine="0" autoPict="0">
                <anchor moveWithCells="1">
                  <from>
                    <xdr:col>1</xdr:col>
                    <xdr:colOff>0</xdr:colOff>
                    <xdr:row>9</xdr:row>
                    <xdr:rowOff>0</xdr:rowOff>
                  </from>
                  <to>
                    <xdr:col>2</xdr:col>
                    <xdr:colOff>571500</xdr:colOff>
                    <xdr:row>10</xdr:row>
                    <xdr:rowOff>0</xdr:rowOff>
                  </to>
                </anchor>
              </controlPr>
            </control>
          </mc:Choice>
        </mc:AlternateContent>
        <mc:AlternateContent xmlns:mc="http://schemas.openxmlformats.org/markup-compatibility/2006">
          <mc:Choice Requires="x14">
            <control shapeId="168966" r:id="rId8" name="Drop Down 6">
              <controlPr defaultSize="0" autoLine="0" autoPict="0">
                <anchor moveWithCells="1">
                  <from>
                    <xdr:col>1</xdr:col>
                    <xdr:colOff>0</xdr:colOff>
                    <xdr:row>20</xdr:row>
                    <xdr:rowOff>0</xdr:rowOff>
                  </from>
                  <to>
                    <xdr:col>2</xdr:col>
                    <xdr:colOff>571500</xdr:colOff>
                    <xdr:row>21</xdr:row>
                    <xdr:rowOff>0</xdr:rowOff>
                  </to>
                </anchor>
              </controlPr>
            </control>
          </mc:Choice>
        </mc:AlternateContent>
        <mc:AlternateContent xmlns:mc="http://schemas.openxmlformats.org/markup-compatibility/2006">
          <mc:Choice Requires="x14">
            <control shapeId="168967" r:id="rId9" name="Drop Down 7">
              <controlPr defaultSize="0" autoLine="0" autoPict="0">
                <anchor moveWithCells="1">
                  <from>
                    <xdr:col>6</xdr:col>
                    <xdr:colOff>9525</xdr:colOff>
                    <xdr:row>3</xdr:row>
                    <xdr:rowOff>0</xdr:rowOff>
                  </from>
                  <to>
                    <xdr:col>9</xdr:col>
                    <xdr:colOff>0</xdr:colOff>
                    <xdr:row>4</xdr:row>
                    <xdr:rowOff>0</xdr:rowOff>
                  </to>
                </anchor>
              </controlPr>
            </control>
          </mc:Choice>
        </mc:AlternateContent>
      </controls>
    </mc:Choice>
  </mc:AlternateConten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8A734-DEDA-42B6-824C-CE0B52B3D280}">
  <sheetPr codeName="Sheet47">
    <tabColor indexed="60"/>
  </sheetPr>
  <dimension ref="A1:AU140"/>
  <sheetViews>
    <sheetView showGridLines="0" showRowColHeaders="0" zoomScaleNormal="100" workbookViewId="0">
      <selection activeCell="J11" sqref="J11"/>
    </sheetView>
  </sheetViews>
  <sheetFormatPr defaultColWidth="8.28515625" defaultRowHeight="12" x14ac:dyDescent="0.2"/>
  <cols>
    <col min="1" max="1" width="1.28515625" style="37" customWidth="1"/>
    <col min="2" max="9" width="8.5703125" style="37" customWidth="1"/>
    <col min="10" max="10" width="6.7109375" style="37" customWidth="1"/>
    <col min="11" max="11" width="10.42578125" style="37" customWidth="1"/>
    <col min="12" max="12" width="17.28515625" style="37" customWidth="1"/>
    <col min="13" max="14" width="6.42578125" style="37" hidden="1" customWidth="1"/>
    <col min="15" max="15" width="6.42578125" style="118" hidden="1" customWidth="1"/>
    <col min="16" max="16" width="6.42578125" style="37" hidden="1" customWidth="1"/>
    <col min="17" max="17" width="6" style="118" hidden="1" customWidth="1"/>
    <col min="18" max="18" width="6.42578125" style="37" hidden="1" customWidth="1"/>
    <col min="19" max="19" width="7.7109375" style="37" hidden="1" customWidth="1"/>
    <col min="20" max="20" width="9.5703125" style="37" hidden="1" customWidth="1"/>
    <col min="21" max="24" width="6.42578125" style="37" hidden="1" customWidth="1"/>
    <col min="25" max="25" width="37.28515625" style="37" hidden="1" customWidth="1"/>
    <col min="26" max="26" width="13.5703125" style="37" hidden="1" customWidth="1"/>
    <col min="27" max="29" width="6.7109375" style="37" hidden="1" customWidth="1"/>
    <col min="30" max="30" width="9.42578125" style="37" hidden="1" customWidth="1"/>
    <col min="31" max="34" width="6.7109375" style="37" hidden="1" customWidth="1"/>
    <col min="35" max="37" width="6.42578125" style="37" hidden="1" customWidth="1"/>
    <col min="38" max="38" width="3.28515625" style="108" hidden="1" customWidth="1"/>
    <col min="39" max="39" width="5.28515625" style="108" customWidth="1"/>
    <col min="40" max="40" width="23.42578125" style="108" customWidth="1"/>
    <col min="41" max="42" width="8.28515625" style="137"/>
    <col min="43" max="43" width="16" style="137" customWidth="1"/>
    <col min="44" max="45" width="19.7109375" style="137" customWidth="1"/>
    <col min="46" max="16384" width="8.28515625" style="137"/>
  </cols>
  <sheetData>
    <row r="1" spans="2:47" ht="4.5" customHeight="1" thickBot="1" x14ac:dyDescent="0.25">
      <c r="L1" s="137"/>
      <c r="AQ1" s="1121"/>
      <c r="AR1" s="1121"/>
      <c r="AS1" s="1121"/>
      <c r="AT1" s="1121"/>
    </row>
    <row r="2" spans="2:47" s="108" customFormat="1" ht="19.5" customHeight="1" thickBot="1" x14ac:dyDescent="0.25">
      <c r="B2" s="1048" t="s">
        <v>3</v>
      </c>
      <c r="C2" s="1048"/>
      <c r="D2" s="1048"/>
      <c r="E2" s="884"/>
      <c r="F2" s="884"/>
      <c r="G2" s="884"/>
      <c r="H2" s="884"/>
      <c r="I2" s="884"/>
      <c r="J2" s="884"/>
      <c r="K2" s="884"/>
      <c r="L2" s="884"/>
      <c r="O2" s="108" t="s">
        <v>64</v>
      </c>
      <c r="S2" s="117">
        <v>3</v>
      </c>
      <c r="AN2" s="379" t="str">
        <f>ListAVS!$B$153</f>
        <v>Przejdź do</v>
      </c>
    </row>
    <row r="3" spans="2:47" ht="3.75" customHeight="1" x14ac:dyDescent="0.2">
      <c r="B3" s="312"/>
      <c r="C3" s="306"/>
      <c r="D3" s="306"/>
      <c r="E3" s="306"/>
      <c r="F3" s="306"/>
      <c r="G3" s="306"/>
      <c r="H3" s="306"/>
      <c r="I3" s="306"/>
      <c r="J3" s="306"/>
      <c r="K3" s="306"/>
      <c r="L3" s="137"/>
      <c r="AL3" s="137"/>
    </row>
    <row r="4" spans="2:47" ht="16.149999999999999" customHeight="1" thickBot="1" x14ac:dyDescent="0.25">
      <c r="B4" s="313" t="str">
        <f>ListAVS!$B$20&amp;" ***"</f>
        <v>Szeroka ramka aluminiowa ***</v>
      </c>
      <c r="C4" s="313"/>
      <c r="D4" s="266"/>
      <c r="E4" s="313"/>
      <c r="F4" s="269" t="str">
        <f>ListAVS!$B$180&amp;"  "</f>
        <v xml:space="preserve">Wykonanie frontów  </v>
      </c>
      <c r="G4" s="255"/>
      <c r="H4" s="255"/>
      <c r="I4" s="255"/>
      <c r="J4" s="260"/>
      <c r="K4" s="1187" t="str">
        <f>U70</f>
        <v xml:space="preserve"> </v>
      </c>
      <c r="L4" s="1187"/>
      <c r="O4" s="117">
        <v>1</v>
      </c>
      <c r="S4" s="37" t="str">
        <f>" "&amp;ListAVS!$B$41&amp;" A "</f>
        <v xml:space="preserve"> Cena za korpus A </v>
      </c>
      <c r="AL4" s="137"/>
      <c r="AN4" s="383" t="s">
        <v>77</v>
      </c>
    </row>
    <row r="5" spans="2:47" ht="16.149999999999999" customHeight="1" x14ac:dyDescent="0.2">
      <c r="B5" s="266"/>
      <c r="C5" s="313"/>
      <c r="D5" s="313"/>
      <c r="E5" s="313"/>
      <c r="F5" s="1016" t="str">
        <f>IF($AF$76&lt;&gt;3,$Y$71," ")&amp;"      "</f>
        <v xml:space="preserve"> Możesz zmienić wartości we Wstępie do planowania      </v>
      </c>
      <c r="G5" s="1016"/>
      <c r="H5" s="1016"/>
      <c r="I5" s="1016"/>
      <c r="J5" s="1016"/>
      <c r="K5" s="1187"/>
      <c r="L5" s="1187"/>
      <c r="O5" s="118" t="s">
        <v>65</v>
      </c>
      <c r="S5" s="37" t="str">
        <f>" "&amp;ListAVS!$B$41&amp;" B "</f>
        <v xml:space="preserve"> Cena za korpus B </v>
      </c>
      <c r="AL5" s="137"/>
      <c r="AN5" s="634" t="str">
        <f>" "&amp;ListAVS!$B$155</f>
        <v xml:space="preserve"> Pomoc</v>
      </c>
    </row>
    <row r="6" spans="2:47" ht="22.5" customHeight="1" x14ac:dyDescent="0.2">
      <c r="B6" s="313"/>
      <c r="C6" s="313"/>
      <c r="D6" s="313"/>
      <c r="E6" s="313"/>
      <c r="F6" s="266"/>
      <c r="G6" s="434"/>
      <c r="H6" s="434"/>
      <c r="I6" s="434"/>
      <c r="J6" s="434"/>
      <c r="K6" s="434"/>
      <c r="L6" s="266"/>
      <c r="O6" s="323" t="s">
        <v>66</v>
      </c>
      <c r="S6" s="37" t="str">
        <f>" "&amp;ListAVS!$B$61</f>
        <v xml:space="preserve"> Cena całkowita bez VAT</v>
      </c>
      <c r="AL6" s="137"/>
      <c r="AN6" s="736"/>
    </row>
    <row r="7" spans="2:47" ht="16.149999999999999" customHeight="1" x14ac:dyDescent="0.2">
      <c r="B7" s="1059" t="str">
        <f>ListAVS!$B$51&amp;":   "</f>
        <v xml:space="preserve">Cena okucia:   </v>
      </c>
      <c r="C7" s="1060"/>
      <c r="D7" s="255"/>
      <c r="E7" s="266"/>
      <c r="F7" s="266"/>
      <c r="G7" s="1061">
        <f>IF(S2=1,$AF$48,IF($S$2=2,$AH$48,IF($S$2=3,$AD$48,0)))</f>
        <v>0</v>
      </c>
      <c r="H7" s="1062"/>
      <c r="I7" s="255"/>
      <c r="J7" s="255"/>
      <c r="K7" s="255"/>
      <c r="L7" s="255"/>
      <c r="Y7" s="156" t="str">
        <f>$B$2</f>
        <v>AVENTOS HK top</v>
      </c>
      <c r="Z7" s="157">
        <f>B5</f>
        <v>0</v>
      </c>
      <c r="AA7" s="157"/>
      <c r="AB7" s="157"/>
      <c r="AC7" s="157"/>
      <c r="AD7" s="158"/>
      <c r="AG7" s="118"/>
      <c r="AN7" s="675" t="str">
        <f>" "&amp;ListAVS!$B$160</f>
        <v xml:space="preserve"> Dodatki</v>
      </c>
    </row>
    <row r="8" spans="2:47" ht="25.15" customHeight="1" thickBot="1" x14ac:dyDescent="0.25">
      <c r="B8" s="255"/>
      <c r="C8" s="255"/>
      <c r="D8" s="255"/>
      <c r="E8" s="255"/>
      <c r="F8" s="255"/>
      <c r="G8" s="255"/>
      <c r="H8" s="579" t="str">
        <f>IF(AND(OR($U$16=2, $U$27=2), $AD$48&gt;0), $N$34, " ")</f>
        <v xml:space="preserve"> </v>
      </c>
      <c r="I8" s="255"/>
      <c r="J8" s="255"/>
      <c r="K8" s="255"/>
      <c r="L8" s="255"/>
      <c r="Y8" s="159" t="str">
        <f>ListAVS!B52</f>
        <v>Nazwa</v>
      </c>
      <c r="Z8" s="160" t="str">
        <f>ListAVS!$B$53</f>
        <v>Kod asortymentu</v>
      </c>
      <c r="AA8" s="161" t="str">
        <f>ListAVS!B54</f>
        <v>Kolor</v>
      </c>
      <c r="AB8" s="161" t="str">
        <f>ListAVS!B56</f>
        <v>Sztuka</v>
      </c>
      <c r="AC8" s="162" t="str">
        <f>ListAVS!B58</f>
        <v>Cena za sztukę</v>
      </c>
      <c r="AD8" s="161" t="str">
        <f>ListAVS!B59</f>
        <v>W sumie</v>
      </c>
      <c r="AE8" s="204" t="s">
        <v>29</v>
      </c>
      <c r="AF8" s="163" t="s">
        <v>30</v>
      </c>
      <c r="AG8" s="163" t="s">
        <v>31</v>
      </c>
      <c r="AH8" s="163" t="s">
        <v>30</v>
      </c>
      <c r="AN8" s="671"/>
      <c r="AQ8" s="950" t="str">
        <f>"  "&amp;ListAVS!$B$86&amp;" LF "</f>
        <v xml:space="preserve">  Współczynnik mocy LF </v>
      </c>
      <c r="AR8" s="953" t="str">
        <f>ListAVS!$B$84&amp;" "&amp;ListAVS!$B$350</f>
        <v>Mechanizm podnoszący wkręty</v>
      </c>
      <c r="AS8" s="953" t="str">
        <f>ListAVS!$B$84&amp;" "&amp;ListAVS!$B$351</f>
        <v>Mechanizm podnoszący wstępnie zamontowane eurowkręty</v>
      </c>
      <c r="AT8" s="266"/>
      <c r="AU8" s="266"/>
    </row>
    <row r="9" spans="2:47" ht="16.149999999999999" customHeight="1" thickBot="1" x14ac:dyDescent="0.25">
      <c r="B9" s="1051" t="str">
        <f>"▼ "&amp;ListAVS!$B$318</f>
        <v>▼ Sposób otwierania</v>
      </c>
      <c r="C9" s="1052"/>
      <c r="D9" s="406" t="str">
        <f>IF($M$17&gt;0, ListAVS!$B$37&amp;": ", " ")</f>
        <v xml:space="preserve"> </v>
      </c>
      <c r="E9" s="688" t="str">
        <f>IF(OR($AE$9&gt;0, $AE$13&gt;0), "23", IF(OR($AE$10&gt;0, $AE$14&gt;0), "25", IF(OR($AE$11&gt;0, $AE$15&gt;0), "27", IF(OR($AE$12&gt;0, $AE$16&gt;0), "29", IF(OR($AE$24&gt;0, $AE$28&gt;0), "23T", IF(OR($AE$25&gt;0, $AE$29&gt;0), "25T", IF(OR($AE$26&gt;0, $AE$30&gt;0), "27T", IF(OR($AE$27&gt;0, $AE$31&gt;0), "29T", " "))))))))</f>
        <v xml:space="preserve"> </v>
      </c>
      <c r="F9" s="1056" t="str">
        <f>ListAVS!$B$64&amp;" A"</f>
        <v>Korpus A</v>
      </c>
      <c r="G9" s="1057"/>
      <c r="H9" s="1058"/>
      <c r="I9" s="256"/>
      <c r="J9" s="255"/>
      <c r="K9" s="255"/>
      <c r="L9" s="255"/>
      <c r="N9" s="119"/>
      <c r="O9" s="132"/>
      <c r="P9" s="119"/>
      <c r="Q9" s="132"/>
      <c r="R9" s="1181" t="s">
        <v>89</v>
      </c>
      <c r="S9" s="1182"/>
      <c r="T9" s="747">
        <v>2000</v>
      </c>
      <c r="U9" s="748">
        <f>T9-1</f>
        <v>1999</v>
      </c>
      <c r="V9" s="1181" t="s">
        <v>90</v>
      </c>
      <c r="W9" s="1182"/>
      <c r="X9" s="749"/>
      <c r="Y9" s="164" t="str">
        <f>CenAVS!A54</f>
        <v xml:space="preserve">Aventos HK top słaby       </v>
      </c>
      <c r="Z9" s="164" t="str">
        <f>CenAVS!B54</f>
        <v>22K2300</v>
      </c>
      <c r="AA9" s="301" t="str">
        <f>CenAVS!C54</f>
        <v>ZN</v>
      </c>
      <c r="AB9" s="165">
        <f>SUM(AE9,AG9)</f>
        <v>0</v>
      </c>
      <c r="AC9" s="395">
        <f>CenAVS!F54</f>
        <v>161.11304000000001</v>
      </c>
      <c r="AD9" s="167">
        <f>AB9*AC9</f>
        <v>0</v>
      </c>
      <c r="AE9" s="407">
        <f>IF(AND($U$16&lt;&gt;3,$N$44=1),ROUNDUP(SUM(O11:P11)*$M$17,0),0)</f>
        <v>0</v>
      </c>
      <c r="AF9" s="168">
        <f t="shared" ref="AF9:AF37" si="0">$AC9*AE9</f>
        <v>0</v>
      </c>
      <c r="AG9" s="407">
        <f>IF(AND($U$27&lt;&gt;3,$N$44=1),ROUNDUP(SUM(O22:P22)*$M$28,0),0)</f>
        <v>0</v>
      </c>
      <c r="AH9" s="168">
        <f t="shared" ref="AH9:AH29" si="1">$AC9*AG9</f>
        <v>0</v>
      </c>
      <c r="AI9" s="749"/>
      <c r="AJ9" s="749"/>
      <c r="AK9" s="749"/>
      <c r="AN9" s="383" t="str">
        <f>" "&amp;ListAVS!$B$157</f>
        <v xml:space="preserve"> Rodzaje korpusów</v>
      </c>
      <c r="AQ9" s="949" t="s">
        <v>96</v>
      </c>
      <c r="AR9" s="753" t="s">
        <v>547</v>
      </c>
      <c r="AS9" s="753" t="s">
        <v>551</v>
      </c>
      <c r="AT9" s="255"/>
      <c r="AU9" s="255"/>
    </row>
    <row r="10" spans="2:47" s="37" customFormat="1" ht="16.149999999999999" customHeight="1" thickBot="1" x14ac:dyDescent="0.25">
      <c r="B10" s="1011" t="str">
        <f>ListAVS!$B$74&amp;" KB [mm] "</f>
        <v xml:space="preserve">Szerokość korpusu KB [mm] </v>
      </c>
      <c r="C10" s="1012"/>
      <c r="D10" s="1012"/>
      <c r="E10" s="1012"/>
      <c r="F10" s="1012"/>
      <c r="G10" s="1013"/>
      <c r="H10" s="435"/>
      <c r="I10" s="256" t="str">
        <f>IF($H10=0," ",IF($H10&lt;220," min. 220mm",IF($H10&gt;1800," max. 1 800mm"," ")))&amp;IF(H17&gt;0,IF(H10=0,"● "&amp;ListAVS!$B$129," ")," ")</f>
        <v xml:space="preserve">  </v>
      </c>
      <c r="J10" s="255"/>
      <c r="K10" s="255"/>
      <c r="L10" s="255"/>
      <c r="N10" s="198" t="s">
        <v>32</v>
      </c>
      <c r="O10" s="199" t="s">
        <v>91</v>
      </c>
      <c r="P10" s="200" t="s">
        <v>92</v>
      </c>
      <c r="Q10" s="119"/>
      <c r="R10" s="750" t="s">
        <v>93</v>
      </c>
      <c r="S10" s="750" t="s">
        <v>76</v>
      </c>
      <c r="T10" s="751" t="s">
        <v>94</v>
      </c>
      <c r="U10" s="751" t="s">
        <v>95</v>
      </c>
      <c r="V10" s="1183" t="b">
        <v>0</v>
      </c>
      <c r="W10" s="1184"/>
      <c r="X10" s="444"/>
      <c r="Y10" s="164" t="str">
        <f>CenAVS!A55</f>
        <v xml:space="preserve">Aventos HK top średni       </v>
      </c>
      <c r="Z10" s="164" t="str">
        <f>CenAVS!B55</f>
        <v>22K2500</v>
      </c>
      <c r="AA10" s="301" t="str">
        <f>CenAVS!C55</f>
        <v>ZN</v>
      </c>
      <c r="AB10" s="165">
        <f t="shared" ref="AB10:AB37" si="2">SUM(AE10,AG10)</f>
        <v>0</v>
      </c>
      <c r="AC10" s="395">
        <f>CenAVS!F55</f>
        <v>161.11304000000001</v>
      </c>
      <c r="AD10" s="167">
        <f t="shared" ref="AD10:AD44" si="3">AB10*AC10</f>
        <v>0</v>
      </c>
      <c r="AE10" s="407">
        <f>IF(AND($U$16&lt;&gt;3,$N$44=1),ROUNDUP(SUM(O12:P12)*$M$17,0),0)</f>
        <v>0</v>
      </c>
      <c r="AF10" s="168">
        <f t="shared" si="0"/>
        <v>0</v>
      </c>
      <c r="AG10" s="407">
        <f>IF(AND($U$27&lt;&gt;3,$N$44=1),ROUNDUP(SUM(O23:P23)*$M$28,0),0)</f>
        <v>0</v>
      </c>
      <c r="AH10" s="168">
        <f t="shared" si="1"/>
        <v>0</v>
      </c>
      <c r="AI10" s="444"/>
      <c r="AJ10" s="444"/>
      <c r="AK10" s="444"/>
      <c r="AL10" s="108"/>
      <c r="AM10" s="108"/>
      <c r="AN10" s="383" t="str">
        <f>" "&amp;ListAVS!$B$158</f>
        <v xml:space="preserve"> Zamówienie</v>
      </c>
      <c r="AO10" s="137"/>
      <c r="AP10" s="137"/>
      <c r="AQ10" s="949" t="s">
        <v>98</v>
      </c>
      <c r="AR10" s="753" t="s">
        <v>548</v>
      </c>
      <c r="AS10" s="753" t="s">
        <v>552</v>
      </c>
      <c r="AT10" s="255"/>
      <c r="AU10" s="255"/>
    </row>
    <row r="11" spans="2:47" s="37" customFormat="1" ht="16.149999999999999" customHeight="1" x14ac:dyDescent="0.2">
      <c r="B11" s="1011" t="str">
        <f>ListAVS!$B$75&amp;" KH [mm]  "</f>
        <v xml:space="preserve">Wysokość korpusu KH [mm]  </v>
      </c>
      <c r="C11" s="1012"/>
      <c r="D11" s="1012"/>
      <c r="E11" s="1012"/>
      <c r="F11" s="1012"/>
      <c r="G11" s="1013"/>
      <c r="H11" s="435"/>
      <c r="I11" s="256" t="str">
        <f>IF($H11=0," ",IF($H11&lt;205," min. 205 mm",IF($H11&gt;600," max. 600 mm"," ")))&amp;IF(H17&gt;0,IF(H11=0,"● "&amp;ListAVS!$B$129," ")," ")</f>
        <v xml:space="preserve">  </v>
      </c>
      <c r="J11" s="255"/>
      <c r="K11" s="255"/>
      <c r="L11" s="255"/>
      <c r="N11" s="119" t="s">
        <v>97</v>
      </c>
      <c r="O11" s="132">
        <f>IF($V$10=FALSE,IF($H$16&gt;R11,IF($H$16&lt;S11,1,0),0),0)</f>
        <v>0</v>
      </c>
      <c r="P11" s="132">
        <f>IF($V$10=TRUE,IF($H$16&gt;V11,IF($H$16&lt;W11,1.5,0),0),0)</f>
        <v>0</v>
      </c>
      <c r="Q11" s="119"/>
      <c r="R11" s="718">
        <v>419</v>
      </c>
      <c r="S11" s="718">
        <v>1200</v>
      </c>
      <c r="T11" s="752"/>
      <c r="U11" s="119"/>
      <c r="V11" s="718">
        <v>629</v>
      </c>
      <c r="W11" s="718">
        <v>1800</v>
      </c>
      <c r="X11" s="718"/>
      <c r="Y11" s="164" t="str">
        <f>CenAVS!A56</f>
        <v xml:space="preserve">Aventos HK top mocny       </v>
      </c>
      <c r="Z11" s="164" t="str">
        <f>CenAVS!B56</f>
        <v>22K2700</v>
      </c>
      <c r="AA11" s="301" t="str">
        <f>CenAVS!C56</f>
        <v>ZN</v>
      </c>
      <c r="AB11" s="165">
        <f t="shared" si="2"/>
        <v>0</v>
      </c>
      <c r="AC11" s="395">
        <f>CenAVS!F56</f>
        <v>161.90012999999999</v>
      </c>
      <c r="AD11" s="167">
        <f t="shared" si="3"/>
        <v>0</v>
      </c>
      <c r="AE11" s="407">
        <f>IF(AND($U$16&lt;&gt;3,$N$44=1),ROUNDUP(SUM(O13:P13)*$M$17,0),0)</f>
        <v>0</v>
      </c>
      <c r="AF11" s="168">
        <f t="shared" si="0"/>
        <v>0</v>
      </c>
      <c r="AG11" s="407">
        <f>IF(AND($U$27&lt;&gt;3,$N$44=1),ROUNDUP(SUM(O24:P24)*$M$28,0),0)</f>
        <v>0</v>
      </c>
      <c r="AH11" s="168">
        <f t="shared" si="1"/>
        <v>0</v>
      </c>
      <c r="AI11" s="718"/>
      <c r="AJ11" s="718"/>
      <c r="AK11" s="718"/>
      <c r="AL11" s="108"/>
      <c r="AM11" s="108"/>
      <c r="AN11" s="255"/>
      <c r="AO11" s="137"/>
      <c r="AP11" s="137"/>
      <c r="AQ11" s="949" t="s">
        <v>100</v>
      </c>
      <c r="AR11" s="753" t="s">
        <v>549</v>
      </c>
      <c r="AS11" s="753" t="s">
        <v>553</v>
      </c>
      <c r="AT11" s="255"/>
      <c r="AU11" s="255"/>
    </row>
    <row r="12" spans="2:47" s="37" customFormat="1" ht="16.149999999999999" customHeight="1" x14ac:dyDescent="0.2">
      <c r="B12" s="1011" t="str">
        <f>ListAVS!$B$78&amp;" [kg] ** "</f>
        <v xml:space="preserve">Waga frontu wraz z 2 uchwytami [kg] ** </v>
      </c>
      <c r="C12" s="1012"/>
      <c r="D12" s="1012"/>
      <c r="E12" s="1012"/>
      <c r="F12" s="1012"/>
      <c r="G12" s="1013"/>
      <c r="H12" s="258"/>
      <c r="I12" s="227" t="str">
        <f>IF($H17=0," ",IF(SUM($H12,$H15)=0,$N$35," "))&amp;IF(AND($H17&gt;0,$M17&gt;0), IF($H12&gt;0,$N$37," ")," ")</f>
        <v xml:space="preserve">  </v>
      </c>
      <c r="J12" s="255"/>
      <c r="K12" s="255"/>
      <c r="L12" s="255"/>
      <c r="N12" s="119" t="s">
        <v>99</v>
      </c>
      <c r="O12" s="132">
        <f>IF($V$10=FALSE,IF($H$16&gt;R12,IF($H$16&lt;S12,1,0),0),0)</f>
        <v>0</v>
      </c>
      <c r="P12" s="132">
        <f>IF($V$10=TRUE,IF($H$16&gt;V12,IF($H$16&lt;W12,1.5,0),0),0)</f>
        <v>0</v>
      </c>
      <c r="Q12" s="119"/>
      <c r="R12" s="718">
        <v>1200</v>
      </c>
      <c r="S12" s="718">
        <v>2200</v>
      </c>
      <c r="T12" s="752"/>
      <c r="U12" s="130"/>
      <c r="V12" s="718">
        <v>1800</v>
      </c>
      <c r="W12" s="718">
        <v>3300</v>
      </c>
      <c r="X12" s="718"/>
      <c r="Y12" s="164" t="str">
        <f>CenAVS!A57</f>
        <v xml:space="preserve">Aventos HK top najmocnieszy       </v>
      </c>
      <c r="Z12" s="164" t="str">
        <f>CenAVS!B57</f>
        <v>22K2900</v>
      </c>
      <c r="AA12" s="301" t="str">
        <f>CenAVS!C57</f>
        <v>ZN</v>
      </c>
      <c r="AB12" s="165">
        <f t="shared" si="2"/>
        <v>0</v>
      </c>
      <c r="AC12" s="395">
        <f>CenAVS!F57</f>
        <v>189.43150000000003</v>
      </c>
      <c r="AD12" s="167">
        <f t="shared" si="3"/>
        <v>0</v>
      </c>
      <c r="AE12" s="407">
        <f>IF(AND($U$16&lt;&gt;3,$N$44=1),ROUNDUP(SUM(O14:P14)*$M$17,0),0)</f>
        <v>0</v>
      </c>
      <c r="AF12" s="168">
        <f t="shared" si="0"/>
        <v>0</v>
      </c>
      <c r="AG12" s="407">
        <f>IF(AND($U$27&lt;&gt;3,$N$44=1),ROUNDUP(SUM(O25:P25)*$M$28,0),0)</f>
        <v>0</v>
      </c>
      <c r="AH12" s="168">
        <f t="shared" si="1"/>
        <v>0</v>
      </c>
      <c r="AI12" s="718"/>
      <c r="AJ12" s="718"/>
      <c r="AK12" s="718"/>
      <c r="AL12" s="108"/>
      <c r="AM12" s="108"/>
      <c r="AN12" s="670"/>
      <c r="AO12" s="137"/>
      <c r="AP12" s="137"/>
      <c r="AQ12" s="949" t="s">
        <v>102</v>
      </c>
      <c r="AR12" s="753" t="s">
        <v>550</v>
      </c>
      <c r="AS12" s="753" t="s">
        <v>554</v>
      </c>
      <c r="AT12" s="255"/>
      <c r="AU12" s="255"/>
    </row>
    <row r="13" spans="2:47" s="37" customFormat="1" ht="16.149999999999999" customHeight="1" x14ac:dyDescent="0.2">
      <c r="B13" s="1055" t="str">
        <f>ListAVS!$B$293</f>
        <v>Obliczenie wagi</v>
      </c>
      <c r="C13" s="1055"/>
      <c r="D13" s="1153" t="str">
        <f>ListAVS!$B$80&amp;" TS [mm] "</f>
        <v xml:space="preserve">Grubość frontu TS [mm] </v>
      </c>
      <c r="E13" s="1153"/>
      <c r="F13" s="1153"/>
      <c r="G13" s="1154"/>
      <c r="H13" s="259"/>
      <c r="I13" s="256"/>
      <c r="J13" s="255"/>
      <c r="K13" s="255"/>
      <c r="L13" s="255"/>
      <c r="N13" s="119" t="s">
        <v>101</v>
      </c>
      <c r="O13" s="132">
        <f>IF($V$10=FALSE,IF($H$16&gt;R13,IF($H$16&lt;S13,1,0),0),0)</f>
        <v>0</v>
      </c>
      <c r="P13" s="132">
        <f>IF($V$10=TRUE,IF($H$16&gt;V13,IF($H$16&lt;W13,1.5,0),0),0)</f>
        <v>0</v>
      </c>
      <c r="Q13" s="119"/>
      <c r="R13" s="718">
        <v>2200</v>
      </c>
      <c r="S13" s="718">
        <v>4200</v>
      </c>
      <c r="V13" s="718">
        <v>3300</v>
      </c>
      <c r="W13" s="718">
        <v>6300</v>
      </c>
      <c r="X13" s="718"/>
      <c r="Y13" s="164" t="str">
        <f>CenAVS!A58</f>
        <v xml:space="preserve">Aventos HK top słaby z eurowkrętami     </v>
      </c>
      <c r="Z13" s="164" t="str">
        <f>CenAVS!B58</f>
        <v>22K2310</v>
      </c>
      <c r="AA13" s="301" t="str">
        <f>CenAVS!C58</f>
        <v>ZN</v>
      </c>
      <c r="AB13" s="165">
        <f t="shared" si="2"/>
        <v>0</v>
      </c>
      <c r="AC13" s="395">
        <f>CenAVS!F58</f>
        <v>176.89797999999999</v>
      </c>
      <c r="AD13" s="167">
        <f t="shared" si="3"/>
        <v>0</v>
      </c>
      <c r="AE13" s="407">
        <f>IF(AND($U$16&lt;&gt;3,$N$44=2),ROUNDUP(SUM(O11:P11)*$M$17,0),0)</f>
        <v>0</v>
      </c>
      <c r="AF13" s="168">
        <f t="shared" si="0"/>
        <v>0</v>
      </c>
      <c r="AG13" s="407">
        <f>IF(AND($U$27&lt;&gt;3,$N$44=2),ROUNDUP(SUM(O22:P22)*$M$28,0),0)</f>
        <v>0</v>
      </c>
      <c r="AH13" s="168">
        <f t="shared" si="1"/>
        <v>0</v>
      </c>
      <c r="AI13" s="718"/>
      <c r="AJ13" s="718"/>
      <c r="AK13" s="718"/>
      <c r="AL13" s="108"/>
      <c r="AM13" s="108"/>
      <c r="AN13" s="670"/>
      <c r="AO13" s="137"/>
      <c r="AP13" s="137"/>
      <c r="AQ13" s="255"/>
      <c r="AR13" s="255"/>
      <c r="AS13" s="255"/>
      <c r="AT13" s="255"/>
      <c r="AU13" s="255"/>
    </row>
    <row r="14" spans="2:47" s="37" customFormat="1" ht="16.149999999999999" customHeight="1" x14ac:dyDescent="0.2">
      <c r="B14" s="1055"/>
      <c r="C14" s="1055"/>
      <c r="D14" s="1053" t="str">
        <f>ListAVS!$B$83&amp;" [kg] "</f>
        <v xml:space="preserve">Waga uchwytu [kg] </v>
      </c>
      <c r="E14" s="1053"/>
      <c r="F14" s="1053"/>
      <c r="G14" s="1054"/>
      <c r="H14" s="258"/>
      <c r="I14" s="256" t="str">
        <f>IF(OR(H17=0, $M17=0), " ", IF(AND(H12=0, U16=1, H14=0), " ● "&amp;ListAVS!$B$130," "))</f>
        <v xml:space="preserve"> </v>
      </c>
      <c r="J14" s="255"/>
      <c r="K14" s="255"/>
      <c r="L14" s="255"/>
      <c r="N14" s="119" t="s">
        <v>103</v>
      </c>
      <c r="O14" s="132">
        <f>IF($V$10=FALSE,IF($H$16&gt;R14,IF($H$16&lt;S14,1,0),0),0)</f>
        <v>0</v>
      </c>
      <c r="P14" s="132">
        <f>IF($V$10=TRUE,IF($H$16&gt;V14,IF($H$16&lt;W14,1.5,0),0),0)</f>
        <v>0</v>
      </c>
      <c r="Q14" s="119"/>
      <c r="R14" s="718">
        <v>4200</v>
      </c>
      <c r="S14" s="718">
        <v>9001</v>
      </c>
      <c r="V14" s="718">
        <v>6300</v>
      </c>
      <c r="W14" s="718">
        <v>13501</v>
      </c>
      <c r="X14" s="718"/>
      <c r="Y14" s="164" t="str">
        <f>CenAVS!A59</f>
        <v xml:space="preserve">Aventos HK top średni z eurowkrętami     </v>
      </c>
      <c r="Z14" s="164" t="str">
        <f>CenAVS!B59</f>
        <v>22K2510</v>
      </c>
      <c r="AA14" s="301" t="str">
        <f>CenAVS!C59</f>
        <v>ZN</v>
      </c>
      <c r="AB14" s="165">
        <f t="shared" si="2"/>
        <v>0</v>
      </c>
      <c r="AC14" s="395">
        <f>CenAVS!F59</f>
        <v>176.89797999999999</v>
      </c>
      <c r="AD14" s="167">
        <f t="shared" si="3"/>
        <v>0</v>
      </c>
      <c r="AE14" s="407">
        <f>IF(AND($U$16&lt;&gt;3,$N$44=2),ROUNDUP(SUM(O12:P12)*$M$17,0),0)</f>
        <v>0</v>
      </c>
      <c r="AF14" s="168">
        <f t="shared" si="0"/>
        <v>0</v>
      </c>
      <c r="AG14" s="407">
        <f>IF(AND($U$27&lt;&gt;3,$N$44=2),ROUNDUP(SUM(O23:P23)*$M$28,0),0)</f>
        <v>0</v>
      </c>
      <c r="AH14" s="168">
        <f t="shared" si="1"/>
        <v>0</v>
      </c>
      <c r="AI14" s="718"/>
      <c r="AJ14" s="718"/>
      <c r="AK14" s="718"/>
      <c r="AL14" s="108"/>
      <c r="AM14" s="108"/>
      <c r="AN14" s="670"/>
      <c r="AO14" s="137"/>
      <c r="AP14" s="137"/>
      <c r="AQ14" s="545" t="str">
        <f>ListAVS!$B$350&amp;" = "&amp;ListAVS!$B$352</f>
        <v>wkręty = podnośniki z zintegrowanym szablonem (nie ma potrzeby mierzenia)</v>
      </c>
    </row>
    <row r="15" spans="2:47" s="37" customFormat="1" ht="16.149999999999999" customHeight="1" x14ac:dyDescent="0.2">
      <c r="B15" s="1055"/>
      <c r="C15" s="1055"/>
      <c r="D15" s="1053" t="str">
        <f>ListAVS!$B$79&amp;" [kg] "</f>
        <v xml:space="preserve">Obliczona waga frontu [kg] </v>
      </c>
      <c r="E15" s="1053"/>
      <c r="F15" s="1053"/>
      <c r="G15" s="1054"/>
      <c r="H15" s="259">
        <f>$T$80</f>
        <v>0</v>
      </c>
      <c r="I15" s="227" t="str">
        <f>IF(AND($H17&gt;0,$M17&gt;0), IF($H15&gt;0,IF($H12=0,$N$37," ")," ")," ")</f>
        <v xml:space="preserve"> </v>
      </c>
      <c r="J15" s="255"/>
      <c r="K15" s="255"/>
      <c r="L15" s="255"/>
      <c r="U15" s="174" t="str">
        <f>IF(U16=1,$V$46,IF(U16=2,$V$47,$V$48))</f>
        <v>Standard</v>
      </c>
      <c r="Y15" s="164" t="str">
        <f>CenAVS!A60</f>
        <v xml:space="preserve">Aventos HK top mocny z eurowkrętami     </v>
      </c>
      <c r="Z15" s="164" t="str">
        <f>CenAVS!B60</f>
        <v>22K2710</v>
      </c>
      <c r="AA15" s="301" t="str">
        <f>CenAVS!C60</f>
        <v>ZN</v>
      </c>
      <c r="AB15" s="165">
        <f t="shared" si="2"/>
        <v>0</v>
      </c>
      <c r="AC15" s="395">
        <f>CenAVS!F60</f>
        <v>177.76220000000001</v>
      </c>
      <c r="AD15" s="167">
        <f t="shared" si="3"/>
        <v>0</v>
      </c>
      <c r="AE15" s="407">
        <f>IF(AND($U$16&lt;&gt;3,$N$44=2),ROUNDUP(SUM(O13:P13)*$M$17,0),0)</f>
        <v>0</v>
      </c>
      <c r="AF15" s="168">
        <f t="shared" si="0"/>
        <v>0</v>
      </c>
      <c r="AG15" s="407">
        <f>IF(AND($U$27&lt;&gt;3,$N$44=2),ROUNDUP(SUM(O24:P24)*$M$28,0),0)</f>
        <v>0</v>
      </c>
      <c r="AH15" s="168">
        <f t="shared" si="1"/>
        <v>0</v>
      </c>
      <c r="AL15" s="108"/>
      <c r="AM15" s="108"/>
      <c r="AN15" s="255"/>
      <c r="AO15" s="137"/>
      <c r="AP15" s="137"/>
      <c r="AQ15" s="545" t="str">
        <f>ListAVS!$B$351&amp;" = "&amp;ListAVS!$B$353</f>
        <v>wstępnie zamontowane eurowkręty = podnośniki ze wstępnie zamontowanymi wkrętami (wymagane wstępne nawiercenie)</v>
      </c>
    </row>
    <row r="16" spans="2:47" s="37" customFormat="1" ht="16.149999999999999" customHeight="1" thickBot="1" x14ac:dyDescent="0.25">
      <c r="B16" s="1011"/>
      <c r="C16" s="1013"/>
      <c r="D16" s="1011" t="str">
        <f>ListAVS!$B$86&amp;" LF "</f>
        <v xml:space="preserve">Współczynnik mocy LF </v>
      </c>
      <c r="E16" s="1012"/>
      <c r="F16" s="1012"/>
      <c r="G16" s="1013"/>
      <c r="H16" s="400">
        <f>IF(H12&gt;0,H11*H12,H11*H15)</f>
        <v>0</v>
      </c>
      <c r="I16" s="256" t="str">
        <f>IF(H17=0," ",IF($H16&lt;420,$N$39,IF($H16&gt;13500,$N$40,IF($H16&gt;9000,IF(V10=FALSE,$N$41," ")," "))))</f>
        <v xml:space="preserve"> </v>
      </c>
      <c r="J16" s="255"/>
      <c r="K16" s="255"/>
      <c r="L16" s="255"/>
      <c r="M16" s="118"/>
      <c r="N16" s="119"/>
      <c r="O16" s="132"/>
      <c r="P16" s="132"/>
      <c r="Q16" s="119"/>
      <c r="R16" s="718"/>
      <c r="S16" s="718"/>
      <c r="T16" s="202"/>
      <c r="U16" s="131">
        <v>1</v>
      </c>
      <c r="V16" s="718"/>
      <c r="W16" s="718"/>
      <c r="X16" s="718"/>
      <c r="Y16" s="164" t="str">
        <f>CenAVS!A61</f>
        <v xml:space="preserve">Aventos HK top najmocniejszy z eurowkrętami     </v>
      </c>
      <c r="Z16" s="164" t="str">
        <f>CenAVS!B61</f>
        <v>22K2910</v>
      </c>
      <c r="AA16" s="301" t="str">
        <f>CenAVS!C61</f>
        <v>ZN</v>
      </c>
      <c r="AB16" s="165">
        <f t="shared" si="2"/>
        <v>0</v>
      </c>
      <c r="AC16" s="395">
        <f>CenAVS!F61</f>
        <v>207.99098000000001</v>
      </c>
      <c r="AD16" s="167">
        <f t="shared" si="3"/>
        <v>0</v>
      </c>
      <c r="AE16" s="407">
        <f>IF(AND($U$16&lt;&gt;3,$N$44=2),ROUNDUP(SUM(O14:P14)*$M$17,0),0)</f>
        <v>0</v>
      </c>
      <c r="AF16" s="168">
        <f t="shared" si="0"/>
        <v>0</v>
      </c>
      <c r="AG16" s="407">
        <f>IF(AND($U$27&lt;&gt;3,$N$44=2),ROUNDUP(SUM(O25:P25)*$M$28,0),0)</f>
        <v>0</v>
      </c>
      <c r="AH16" s="168">
        <f t="shared" si="1"/>
        <v>0</v>
      </c>
      <c r="AI16" s="718"/>
      <c r="AJ16" s="718"/>
      <c r="AK16" s="718"/>
      <c r="AL16" s="108"/>
      <c r="AM16" s="108"/>
      <c r="AN16" s="255"/>
      <c r="AO16" s="137"/>
      <c r="AP16" s="137"/>
    </row>
    <row r="17" spans="1:47" s="37" customFormat="1" ht="16.149999999999999" customHeight="1" thickBot="1" x14ac:dyDescent="0.25">
      <c r="B17" s="1011" t="str">
        <f>ListAVS!$B$71&amp;" "</f>
        <v xml:space="preserve">Ilość szafek </v>
      </c>
      <c r="C17" s="1012"/>
      <c r="D17" s="1012"/>
      <c r="E17" s="1012"/>
      <c r="F17" s="1012"/>
      <c r="G17" s="1012"/>
      <c r="H17" s="437"/>
      <c r="I17" s="256"/>
      <c r="J17" s="255"/>
      <c r="K17" s="255"/>
      <c r="L17" s="255"/>
      <c r="M17" s="315">
        <f>IF($H10*$H11*$T17=0,0,IF(OR($H11&lt;210,$H11&gt;600,$H16&lt;420,$H16&gt;13500),0,IF(AND(H16&gt;9000,V10=FALSE),0,$H17)))</f>
        <v>0</v>
      </c>
      <c r="N17" s="119"/>
      <c r="O17" s="132"/>
      <c r="P17" s="132"/>
      <c r="Q17" s="119"/>
      <c r="R17" s="718"/>
      <c r="S17" s="690" t="s">
        <v>51</v>
      </c>
      <c r="T17" s="691">
        <f>IF(H12&gt;0,H12,H15)</f>
        <v>0</v>
      </c>
      <c r="U17" s="37">
        <f>IF(SUM(H12,H15)=0,0,IF(H12&gt;0,1,2))</f>
        <v>0</v>
      </c>
      <c r="V17" s="571" t="s">
        <v>52</v>
      </c>
      <c r="X17" s="718"/>
      <c r="Y17" s="164" t="str">
        <f>CenAVS!A62</f>
        <v xml:space="preserve">zaślepki HK top bez S-D szare     </v>
      </c>
      <c r="Z17" s="164" t="str">
        <f>CenAVS!B62</f>
        <v>22K8000</v>
      </c>
      <c r="AA17" s="301" t="str">
        <f>CenAVS!C62</f>
        <v xml:space="preserve">HG </v>
      </c>
      <c r="AB17" s="165">
        <f t="shared" si="2"/>
        <v>0</v>
      </c>
      <c r="AC17" s="395">
        <f>CenAVS!F62</f>
        <v>23.190790000000003</v>
      </c>
      <c r="AD17" s="167">
        <f t="shared" si="3"/>
        <v>0</v>
      </c>
      <c r="AE17" s="407">
        <f>IF($U$16&lt;&gt;2,IF($T$44=1,SUM($AE$9:$AE$16, $AE$24:$AE$31),0),0)</f>
        <v>0</v>
      </c>
      <c r="AF17" s="168">
        <f t="shared" si="0"/>
        <v>0</v>
      </c>
      <c r="AG17" s="407">
        <f>IF($U$27&lt;&gt;2,IF($T$44=1,SUM($AG$9:$AG$16, $AG$24:$AG$31),0),0)</f>
        <v>0</v>
      </c>
      <c r="AH17" s="168">
        <f t="shared" si="1"/>
        <v>0</v>
      </c>
      <c r="AI17" s="718"/>
      <c r="AJ17" s="718"/>
      <c r="AK17" s="718"/>
      <c r="AL17" s="108"/>
      <c r="AM17" s="108"/>
      <c r="AN17" s="692"/>
      <c r="AO17" s="137"/>
      <c r="AP17" s="137"/>
    </row>
    <row r="18" spans="1:47" s="37" customFormat="1" ht="16.149999999999999" customHeight="1" x14ac:dyDescent="0.2">
      <c r="B18" s="255" t="str">
        <f>IF(H17&gt;0,IF(U17=0," ",IF(U17=1,$N$49,$N$50))," ")&amp;IF(H17&gt;0,IF(U17=0," ",IF(U17=1,$N$51,$N$52))," ")</f>
        <v xml:space="preserve">  </v>
      </c>
      <c r="C18" s="255"/>
      <c r="D18" s="255"/>
      <c r="E18" s="255"/>
      <c r="F18" s="433"/>
      <c r="G18" s="433"/>
      <c r="H18" s="255"/>
      <c r="I18" s="255"/>
      <c r="J18" s="255"/>
      <c r="K18" s="255"/>
      <c r="L18" s="255"/>
      <c r="M18" s="118"/>
      <c r="N18" s="119"/>
      <c r="O18" s="132"/>
      <c r="P18" s="132"/>
      <c r="Q18" s="119"/>
      <c r="R18" s="718"/>
      <c r="S18" s="718"/>
      <c r="T18" s="119"/>
      <c r="U18" s="151"/>
      <c r="V18" s="718"/>
      <c r="W18" s="718"/>
      <c r="X18" s="718"/>
      <c r="Y18" s="164" t="str">
        <f>CenAVS!A63</f>
        <v xml:space="preserve">zaślepki HK top bez S-D ciemnoszare metalowe    </v>
      </c>
      <c r="Z18" s="164" t="str">
        <f>CenAVS!B63</f>
        <v>22K8000</v>
      </c>
      <c r="AA18" s="301" t="str">
        <f>CenAVS!C63</f>
        <v>TGR</v>
      </c>
      <c r="AB18" s="165">
        <f t="shared" si="2"/>
        <v>0</v>
      </c>
      <c r="AC18" s="395">
        <f>CenAVS!F63</f>
        <v>25.393930000000001</v>
      </c>
      <c r="AD18" s="167">
        <f t="shared" si="3"/>
        <v>0</v>
      </c>
      <c r="AE18" s="407">
        <f>IF($U$16&lt;&gt;2,IF($T$44=2,SUM($AE$9:$AE$16, $AE$24:$AE$31),0),0)</f>
        <v>0</v>
      </c>
      <c r="AF18" s="168">
        <f t="shared" si="0"/>
        <v>0</v>
      </c>
      <c r="AG18" s="407">
        <f>IF($U$27&lt;&gt;2,IF($T$44=2,SUM($AG$9:$AG$16, $AG$24:$AG$31),0),0)</f>
        <v>0</v>
      </c>
      <c r="AH18" s="168">
        <f t="shared" si="1"/>
        <v>0</v>
      </c>
      <c r="AI18" s="749"/>
      <c r="AJ18" s="749"/>
      <c r="AK18" s="749"/>
      <c r="AL18" s="108"/>
      <c r="AM18" s="108"/>
      <c r="AN18" s="670"/>
      <c r="AO18" s="137"/>
      <c r="AP18" s="137"/>
      <c r="AQ18" s="1044" t="str">
        <f>ListAVS!$B$86&amp;" LF = "&amp;ListAVS!$B$75&amp;" KH [mm] x "&amp;ListAVS!$B$78&amp;" [kg]"</f>
        <v>Współczynnik mocy LF = Wysokość korpusu KH [mm] x Waga frontu wraz z 2 uchwytami [kg]</v>
      </c>
      <c r="AR18" s="1044"/>
      <c r="AS18" s="1044"/>
      <c r="AT18" s="1044"/>
      <c r="AU18" s="1044"/>
    </row>
    <row r="19" spans="1:47" s="37" customFormat="1" ht="25.15" customHeight="1" thickBot="1" x14ac:dyDescent="0.25">
      <c r="B19" s="255"/>
      <c r="C19" s="255"/>
      <c r="D19" s="255"/>
      <c r="E19" s="255"/>
      <c r="F19" s="433"/>
      <c r="G19" s="433"/>
      <c r="H19" s="255"/>
      <c r="I19" s="255"/>
      <c r="J19" s="255"/>
      <c r="K19" s="255"/>
      <c r="L19" s="255"/>
      <c r="M19" s="118"/>
      <c r="N19" s="119"/>
      <c r="O19" s="132"/>
      <c r="P19" s="132"/>
      <c r="Q19" s="119"/>
      <c r="R19" s="718"/>
      <c r="S19" s="718"/>
      <c r="T19" s="119"/>
      <c r="U19" s="151"/>
      <c r="V19" s="718"/>
      <c r="W19" s="718"/>
      <c r="X19" s="718"/>
      <c r="Y19" s="164" t="str">
        <f>CenAVS!A64</f>
        <v xml:space="preserve">zaślepki HK top bez S-D jedwabiście białe    </v>
      </c>
      <c r="Z19" s="164" t="str">
        <f>CenAVS!B64</f>
        <v>22K8000</v>
      </c>
      <c r="AA19" s="301" t="str">
        <f>CenAVS!C64</f>
        <v xml:space="preserve">SW </v>
      </c>
      <c r="AB19" s="165">
        <f t="shared" si="2"/>
        <v>0</v>
      </c>
      <c r="AC19" s="395">
        <f>CenAVS!F64</f>
        <v>25.393930000000001</v>
      </c>
      <c r="AD19" s="167">
        <f t="shared" si="3"/>
        <v>0</v>
      </c>
      <c r="AE19" s="407">
        <f>IF($U$16&lt;&gt;2,IF($T$44=3,SUM($AE$9:$AE$16, $AE$24:$AE$31),0),0)</f>
        <v>0</v>
      </c>
      <c r="AF19" s="168">
        <f t="shared" si="0"/>
        <v>0</v>
      </c>
      <c r="AG19" s="407">
        <f>IF($U$27&lt;&gt;2,IF($T$44=3,SUM($AG$9:$AG$16, $AG$24:$AG$31),0),0)</f>
        <v>0</v>
      </c>
      <c r="AH19" s="168">
        <f t="shared" si="1"/>
        <v>0</v>
      </c>
      <c r="AI19" s="444"/>
      <c r="AJ19" s="444"/>
      <c r="AK19" s="444"/>
      <c r="AL19" s="108"/>
      <c r="AM19" s="108"/>
      <c r="AN19" s="255"/>
      <c r="AO19" s="137"/>
      <c r="AP19" s="137"/>
      <c r="AQ19" s="1044"/>
      <c r="AR19" s="1044"/>
      <c r="AS19" s="1044"/>
      <c r="AT19" s="1044"/>
      <c r="AU19" s="1044"/>
    </row>
    <row r="20" spans="1:47" s="37" customFormat="1" ht="16.149999999999999" customHeight="1" thickBot="1" x14ac:dyDescent="0.25">
      <c r="B20" s="1051" t="str">
        <f>"▼ "&amp;ListAVS!$B$318</f>
        <v>▼ Sposób otwierania</v>
      </c>
      <c r="C20" s="1052"/>
      <c r="D20" s="406" t="str">
        <f>IF($M$28&gt;0, ListAVS!$B$37&amp;": ", " ")</f>
        <v xml:space="preserve"> </v>
      </c>
      <c r="E20" s="688" t="str">
        <f>IF(OR($AG$9&gt;0, $AG$13&gt;0), "23", IF(OR($AG$10&gt;0, $AG$14&gt;0), "25", IF(OR($AG$11&gt;0, $AG$15&gt;0), "27", IF(OR($AG$12&gt;0, $AG$16&gt;0), "29", IF(OR($AG$24&gt;0, $AG$28&gt;0), "23T", IF(OR($AG$25&gt;0, $AG$29&gt;0), "25T", IF(OR($AG$26&gt;0, $AG$30&gt;0), "27T", IF(OR($AG$27&gt;0, $AG$31&gt;0), "29T", " "))))))))</f>
        <v xml:space="preserve"> </v>
      </c>
      <c r="F20" s="1056" t="str">
        <f>ListAVS!$B$64&amp;" B"</f>
        <v>Korpus B</v>
      </c>
      <c r="G20" s="1057"/>
      <c r="H20" s="1058"/>
      <c r="I20" s="256"/>
      <c r="J20" s="255"/>
      <c r="K20" s="255"/>
      <c r="L20" s="255"/>
      <c r="N20" s="119"/>
      <c r="O20" s="132"/>
      <c r="P20" s="119"/>
      <c r="Q20" s="132"/>
      <c r="R20" s="1181" t="s">
        <v>89</v>
      </c>
      <c r="S20" s="1182"/>
      <c r="T20" s="119"/>
      <c r="U20" s="119"/>
      <c r="V20" s="1181" t="s">
        <v>90</v>
      </c>
      <c r="W20" s="1182"/>
      <c r="X20" s="749"/>
      <c r="Y20" s="164" t="str">
        <f>CenAVS!A65</f>
        <v xml:space="preserve">zaślepki HK top do S-D jasnoszare     </v>
      </c>
      <c r="Z20" s="164" t="str">
        <f>CenAVS!B65</f>
        <v>23K8000</v>
      </c>
      <c r="AA20" s="301" t="str">
        <f>CenAVS!C65</f>
        <v xml:space="preserve">HG </v>
      </c>
      <c r="AB20" s="165">
        <f t="shared" si="2"/>
        <v>0</v>
      </c>
      <c r="AC20" s="395">
        <f>CenAVS!F65</f>
        <v>273.56473</v>
      </c>
      <c r="AD20" s="167">
        <f t="shared" si="3"/>
        <v>0</v>
      </c>
      <c r="AE20" s="407">
        <f>IF($U$16=2,IF($T$44=1,SUM($AE$9:$AE$16),0),0)</f>
        <v>0</v>
      </c>
      <c r="AF20" s="168">
        <f t="shared" si="0"/>
        <v>0</v>
      </c>
      <c r="AG20" s="407">
        <f>IF($U$27=2,IF($T$44=1,SUM($AG$9:$AG$16),0),0)</f>
        <v>0</v>
      </c>
      <c r="AH20" s="168">
        <f t="shared" si="1"/>
        <v>0</v>
      </c>
      <c r="AI20" s="718"/>
      <c r="AJ20" s="718"/>
      <c r="AK20" s="718"/>
      <c r="AL20" s="108"/>
      <c r="AM20" s="108"/>
      <c r="AN20" s="255"/>
      <c r="AO20" s="137"/>
      <c r="AP20" s="137"/>
      <c r="AQ20" s="1044"/>
      <c r="AR20" s="1044"/>
      <c r="AS20" s="1044"/>
      <c r="AT20" s="1044"/>
      <c r="AU20" s="1044"/>
    </row>
    <row r="21" spans="1:47" s="37" customFormat="1" ht="16.149999999999999" customHeight="1" x14ac:dyDescent="0.2">
      <c r="B21" s="1011" t="str">
        <f>ListAVS!$B$74&amp;" KB [mm] "</f>
        <v xml:space="preserve">Szerokość korpusu KB [mm] </v>
      </c>
      <c r="C21" s="1012"/>
      <c r="D21" s="1012"/>
      <c r="E21" s="1012"/>
      <c r="F21" s="1012"/>
      <c r="G21" s="1013"/>
      <c r="H21" s="435"/>
      <c r="I21" s="256" t="str">
        <f>IF($H21=0," ",IF($H21&lt;220," min. 220mm",IF($H21&gt;1800," max. 1 800mm"," ")))&amp;IF(H28&gt;0,IF(H21=0,"● "&amp;ListAVS!$B$129," ")," ")</f>
        <v xml:space="preserve">  </v>
      </c>
      <c r="J21" s="255"/>
      <c r="K21" s="255"/>
      <c r="L21" s="255"/>
      <c r="N21" s="198" t="s">
        <v>53</v>
      </c>
      <c r="O21" s="199" t="s">
        <v>91</v>
      </c>
      <c r="P21" s="200" t="s">
        <v>92</v>
      </c>
      <c r="Q21" s="119"/>
      <c r="R21" s="750" t="s">
        <v>93</v>
      </c>
      <c r="S21" s="750" t="s">
        <v>76</v>
      </c>
      <c r="T21" s="751"/>
      <c r="U21" s="751"/>
      <c r="V21" s="1185" t="b">
        <v>0</v>
      </c>
      <c r="W21" s="1186"/>
      <c r="X21" s="444"/>
      <c r="Y21" s="164" t="str">
        <f>CenAVS!A66</f>
        <v xml:space="preserve">zaślepki HK top do S-D ciemnoszare metalowe    </v>
      </c>
      <c r="Z21" s="164" t="str">
        <f>CenAVS!B66</f>
        <v>23K8000</v>
      </c>
      <c r="AA21" s="301" t="str">
        <f>CenAVS!C66</f>
        <v>TGR</v>
      </c>
      <c r="AB21" s="165">
        <f t="shared" si="2"/>
        <v>0</v>
      </c>
      <c r="AC21" s="395">
        <f>CenAVS!F66</f>
        <v>284.75036999999998</v>
      </c>
      <c r="AD21" s="167">
        <f t="shared" si="3"/>
        <v>0</v>
      </c>
      <c r="AE21" s="407">
        <f>IF($U$16=2,IF($T$44=2,SUM($AE$9:$AE$16),0),0)</f>
        <v>0</v>
      </c>
      <c r="AF21" s="168">
        <f t="shared" si="0"/>
        <v>0</v>
      </c>
      <c r="AG21" s="407">
        <f>IF($U$27=2,IF($T$44=2,SUM($AG$9:$AG$16),0),0)</f>
        <v>0</v>
      </c>
      <c r="AH21" s="168">
        <f t="shared" si="1"/>
        <v>0</v>
      </c>
      <c r="AI21" s="718"/>
      <c r="AJ21" s="718"/>
      <c r="AK21" s="718"/>
      <c r="AL21" s="108"/>
      <c r="AM21" s="108"/>
      <c r="AN21" s="255"/>
      <c r="AO21" s="137"/>
      <c r="AP21" s="137"/>
      <c r="AQ21" s="1044"/>
      <c r="AR21" s="1044"/>
      <c r="AS21" s="1044"/>
      <c r="AT21" s="1044"/>
      <c r="AU21" s="1044"/>
    </row>
    <row r="22" spans="1:47" s="37" customFormat="1" ht="16.149999999999999" customHeight="1" x14ac:dyDescent="0.2">
      <c r="B22" s="1011" t="str">
        <f>ListAVS!$B$75&amp;" KH [mm] "</f>
        <v xml:space="preserve">Wysokość korpusu KH [mm] </v>
      </c>
      <c r="C22" s="1012"/>
      <c r="D22" s="1012"/>
      <c r="E22" s="1012"/>
      <c r="F22" s="1012"/>
      <c r="G22" s="1013"/>
      <c r="H22" s="435"/>
      <c r="I22" s="256" t="str">
        <f>IF($H22=0," ",IF($H22&lt;205," min. 205 mm",IF($H22&gt;600," max. 600 mm"," ")))&amp;IF(H28&gt;0,IF(H22=0,"● "&amp;ListAVS!$B$129," ")," ")</f>
        <v xml:space="preserve">  </v>
      </c>
      <c r="J22" s="255"/>
      <c r="K22" s="255"/>
      <c r="L22" s="255"/>
      <c r="N22" s="119" t="s">
        <v>97</v>
      </c>
      <c r="O22" s="132">
        <f>IF($V$21=FALSE,IF($H$27&gt;R22,IF($H$27&lt;S22,1,0),0),0)</f>
        <v>0</v>
      </c>
      <c r="P22" s="132">
        <f>IF($V$21=TRUE,IF($H$27&gt;V22,IF($H$27&lt;W22,1.5,0),0),0)</f>
        <v>0</v>
      </c>
      <c r="Q22" s="119"/>
      <c r="R22" s="718">
        <v>419</v>
      </c>
      <c r="S22" s="718">
        <v>1200</v>
      </c>
      <c r="T22" s="752"/>
      <c r="U22" s="119"/>
      <c r="V22" s="718">
        <v>629</v>
      </c>
      <c r="W22" s="718">
        <v>1800</v>
      </c>
      <c r="X22" s="718"/>
      <c r="Y22" s="164" t="str">
        <f>CenAVS!A67</f>
        <v xml:space="preserve">zaślepki HK top do S-D jedwabiście białe    </v>
      </c>
      <c r="Z22" s="164" t="str">
        <f>CenAVS!B67</f>
        <v>23K8000</v>
      </c>
      <c r="AA22" s="301" t="str">
        <f>CenAVS!C67</f>
        <v xml:space="preserve">SW </v>
      </c>
      <c r="AB22" s="165">
        <f t="shared" si="2"/>
        <v>0</v>
      </c>
      <c r="AC22" s="395">
        <f>CenAVS!F67</f>
        <v>284.75036999999998</v>
      </c>
      <c r="AD22" s="167">
        <f t="shared" si="3"/>
        <v>0</v>
      </c>
      <c r="AE22" s="407">
        <f>IF($U$16=2,IF($T$44=3,SUM($AE$9:$AE$16),0),0)</f>
        <v>0</v>
      </c>
      <c r="AF22" s="168">
        <f t="shared" si="0"/>
        <v>0</v>
      </c>
      <c r="AG22" s="407">
        <f>IF($U$27=2,IF($T$44=3,SUM($AG$9:$AG$16),0),0)</f>
        <v>0</v>
      </c>
      <c r="AH22" s="168">
        <f t="shared" si="1"/>
        <v>0</v>
      </c>
      <c r="AI22" s="718"/>
      <c r="AJ22" s="718"/>
      <c r="AK22" s="718"/>
      <c r="AL22" s="108"/>
      <c r="AM22" s="108"/>
      <c r="AN22" s="255"/>
      <c r="AO22" s="137"/>
      <c r="AP22" s="137"/>
    </row>
    <row r="23" spans="1:47" s="37" customFormat="1" ht="16.149999999999999" customHeight="1" x14ac:dyDescent="0.2">
      <c r="B23" s="1011" t="str">
        <f>ListAVS!$B$78&amp;" [kg] ** "</f>
        <v xml:space="preserve">Waga frontu wraz z 2 uchwytami [kg] ** </v>
      </c>
      <c r="C23" s="1012"/>
      <c r="D23" s="1012"/>
      <c r="E23" s="1012"/>
      <c r="F23" s="1012"/>
      <c r="G23" s="1013"/>
      <c r="H23" s="258"/>
      <c r="I23" s="227" t="str">
        <f>IF($H28=0," ",IF(AND($H23=0, $H26=0,$AF$87=3), $N$35," "))&amp;IF(AND($H28&gt;0,M28&gt;0), IF($H23&gt;0,$N$37," ")," ")</f>
        <v xml:space="preserve">  </v>
      </c>
      <c r="J23" s="255"/>
      <c r="K23" s="255"/>
      <c r="L23" s="255"/>
      <c r="N23" s="119" t="s">
        <v>99</v>
      </c>
      <c r="O23" s="132">
        <f>IF($V$21=FALSE,IF($H$27&gt;R23,IF($H$27&lt;S23,1,0),0),0)</f>
        <v>0</v>
      </c>
      <c r="P23" s="132">
        <f>IF($V$21=TRUE,IF($H$27&gt;V23,IF($H$27&lt;W23,1.5,0),0),0)</f>
        <v>0</v>
      </c>
      <c r="Q23" s="119"/>
      <c r="R23" s="718">
        <v>1200</v>
      </c>
      <c r="S23" s="718">
        <v>2200</v>
      </c>
      <c r="T23" s="752"/>
      <c r="U23" s="130"/>
      <c r="V23" s="718">
        <v>1800</v>
      </c>
      <c r="W23" s="718">
        <v>3300</v>
      </c>
      <c r="X23" s="718"/>
      <c r="Y23" s="164" t="str">
        <f>CenAVS!A68</f>
        <v xml:space="preserve">          </v>
      </c>
      <c r="Z23" s="164">
        <f>CenAVS!B68</f>
        <v>0</v>
      </c>
      <c r="AA23" s="301">
        <f>CenAVS!C68</f>
        <v>0</v>
      </c>
      <c r="AB23" s="165">
        <f t="shared" si="2"/>
        <v>0</v>
      </c>
      <c r="AC23" s="395">
        <f>CenAVS!F68</f>
        <v>0</v>
      </c>
      <c r="AD23" s="167">
        <f t="shared" si="3"/>
        <v>0</v>
      </c>
      <c r="AE23" s="408"/>
      <c r="AF23" s="168">
        <f t="shared" si="0"/>
        <v>0</v>
      </c>
      <c r="AG23" s="408"/>
      <c r="AH23" s="168">
        <f t="shared" si="1"/>
        <v>0</v>
      </c>
      <c r="AI23" s="718"/>
      <c r="AJ23" s="718"/>
      <c r="AK23" s="718"/>
      <c r="AL23" s="108"/>
      <c r="AM23" s="108"/>
      <c r="AN23" s="255"/>
      <c r="AO23" s="137"/>
    </row>
    <row r="24" spans="1:47" s="37" customFormat="1" ht="16.149999999999999" customHeight="1" x14ac:dyDescent="0.2">
      <c r="B24" s="1055" t="str">
        <f>ListAVS!$B$293</f>
        <v>Obliczenie wagi</v>
      </c>
      <c r="C24" s="1055"/>
      <c r="D24" s="1153" t="str">
        <f>ListAVS!$B$80&amp;" TS [mm] "</f>
        <v xml:space="preserve">Grubość frontu TS [mm] </v>
      </c>
      <c r="E24" s="1153"/>
      <c r="F24" s="1153"/>
      <c r="G24" s="1154"/>
      <c r="H24" s="259"/>
      <c r="I24" s="227"/>
      <c r="J24" s="255"/>
      <c r="K24" s="255"/>
      <c r="L24" s="255"/>
      <c r="N24" s="119" t="s">
        <v>101</v>
      </c>
      <c r="O24" s="132">
        <f>IF($V$21=FALSE,IF($H$27&gt;R24,IF($H$27&lt;S24,1,0),0),0)</f>
        <v>0</v>
      </c>
      <c r="P24" s="132">
        <f>IF($V$21=TRUE,IF($H$27&gt;V24,IF($H$27&lt;W24,1.5,0),0),0)</f>
        <v>0</v>
      </c>
      <c r="Q24" s="119"/>
      <c r="R24" s="718">
        <v>2200</v>
      </c>
      <c r="S24" s="718">
        <v>4200</v>
      </c>
      <c r="V24" s="718">
        <v>3300</v>
      </c>
      <c r="W24" s="718">
        <v>6300</v>
      </c>
      <c r="X24" s="718"/>
      <c r="Y24" s="164" t="str">
        <f>CenAVS!A69</f>
        <v xml:space="preserve">Aventos HK top słaby Tip-on      </v>
      </c>
      <c r="Z24" s="164" t="str">
        <f>CenAVS!B69</f>
        <v>22K2300T</v>
      </c>
      <c r="AA24" s="301" t="str">
        <f>CenAVS!C69</f>
        <v>ZN</v>
      </c>
      <c r="AB24" s="165">
        <f t="shared" si="2"/>
        <v>0</v>
      </c>
      <c r="AC24" s="395">
        <f>CenAVS!F69</f>
        <v>172.91319999999999</v>
      </c>
      <c r="AD24" s="167">
        <f t="shared" si="3"/>
        <v>0</v>
      </c>
      <c r="AE24" s="407">
        <f>IF(AND($U$16=3,$N$44=1),ROUNDUP(SUM(O11:P11)*$M$17,0),0)</f>
        <v>0</v>
      </c>
      <c r="AF24" s="168">
        <f t="shared" si="0"/>
        <v>0</v>
      </c>
      <c r="AG24" s="407">
        <f>IF(AND($U$27=3,$N$44=1),ROUNDUP(SUM(O22:P22)*$M$28,0),0)</f>
        <v>0</v>
      </c>
      <c r="AH24" s="168">
        <f t="shared" si="1"/>
        <v>0</v>
      </c>
      <c r="AL24" s="108"/>
      <c r="AM24" s="108"/>
      <c r="AN24" s="137"/>
      <c r="AP24" s="137"/>
      <c r="AQ24" s="137"/>
    </row>
    <row r="25" spans="1:47" s="37" customFormat="1" ht="16.149999999999999" customHeight="1" x14ac:dyDescent="0.2">
      <c r="B25" s="1055"/>
      <c r="C25" s="1055"/>
      <c r="D25" s="1053" t="str">
        <f>ListAVS!$B$83&amp;" [kg] "</f>
        <v xml:space="preserve">Waga uchwytu [kg] </v>
      </c>
      <c r="E25" s="1053"/>
      <c r="F25" s="1053"/>
      <c r="G25" s="1054"/>
      <c r="H25" s="258"/>
      <c r="I25" s="256" t="str">
        <f>IF(OR(H28=0, $M28=0), " ", IF(AND(H23=0, U27=1, H25=0), " ● "&amp;ListAVS!$B$130," "))</f>
        <v xml:space="preserve"> </v>
      </c>
      <c r="J25" s="255"/>
      <c r="K25" s="255"/>
      <c r="L25" s="255"/>
      <c r="M25" s="118"/>
      <c r="N25" s="119" t="s">
        <v>103</v>
      </c>
      <c r="O25" s="132">
        <f>IF($V$21=FALSE,IF($H$27&gt;R25,IF($H$27&lt;S25,1,0),0),0)</f>
        <v>0</v>
      </c>
      <c r="P25" s="132">
        <f>IF($V$21=TRUE,IF($H$27&gt;V25,IF($H$27&lt;W25,1.5,0),0),0)</f>
        <v>0</v>
      </c>
      <c r="Q25" s="119"/>
      <c r="R25" s="718">
        <v>4200</v>
      </c>
      <c r="S25" s="718">
        <v>9001</v>
      </c>
      <c r="V25" s="718">
        <v>6300</v>
      </c>
      <c r="W25" s="718">
        <v>13501</v>
      </c>
      <c r="X25" s="718"/>
      <c r="Y25" s="164" t="str">
        <f>CenAVS!A70</f>
        <v xml:space="preserve">Aventos HK top średni Tip-on      </v>
      </c>
      <c r="Z25" s="164" t="str">
        <f>CenAVS!B70</f>
        <v>22K2500T</v>
      </c>
      <c r="AA25" s="301" t="str">
        <f>CenAVS!C70</f>
        <v>ZN</v>
      </c>
      <c r="AB25" s="165">
        <f t="shared" si="2"/>
        <v>0</v>
      </c>
      <c r="AC25" s="395">
        <f>CenAVS!F70</f>
        <v>172.91319999999999</v>
      </c>
      <c r="AD25" s="167">
        <f t="shared" si="3"/>
        <v>0</v>
      </c>
      <c r="AE25" s="407">
        <f>IF(AND($U$16=3,$N$44=1),ROUNDUP(SUM(O12:P12)*$M$17,0),0)</f>
        <v>0</v>
      </c>
      <c r="AF25" s="168">
        <f t="shared" si="0"/>
        <v>0</v>
      </c>
      <c r="AG25" s="407">
        <f>IF(AND($U$27=3,$N$44=1),ROUNDUP(SUM(O23:P23)*$M$28,0),0)</f>
        <v>0</v>
      </c>
      <c r="AH25" s="168">
        <f t="shared" si="1"/>
        <v>0</v>
      </c>
      <c r="AL25" s="108"/>
      <c r="AM25" s="108"/>
      <c r="AN25" s="137"/>
      <c r="AO25" s="137"/>
      <c r="AP25" s="137"/>
      <c r="AQ25" s="137"/>
    </row>
    <row r="26" spans="1:47" s="37" customFormat="1" ht="16.149999999999999" customHeight="1" x14ac:dyDescent="0.2">
      <c r="B26" s="1055"/>
      <c r="C26" s="1055"/>
      <c r="D26" s="1053" t="str">
        <f>ListAVS!$B$79&amp;" [kg] "</f>
        <v xml:space="preserve">Obliczona waga frontu [kg] </v>
      </c>
      <c r="E26" s="1053"/>
      <c r="F26" s="1053"/>
      <c r="G26" s="1054"/>
      <c r="H26" s="259">
        <f>$T$91</f>
        <v>0</v>
      </c>
      <c r="I26" s="227" t="str">
        <f>IF(AND($H28&gt;0, $M28&gt;0), IF($H26&gt;0,IF($H23=0,$N$37," ")," ")," ")</f>
        <v xml:space="preserve"> </v>
      </c>
      <c r="J26" s="255"/>
      <c r="K26" s="255"/>
      <c r="L26" s="255"/>
      <c r="T26" s="132"/>
      <c r="U26" s="174" t="str">
        <f>IF(U27=1,$V$46,IF(U27=2,$V$47,$V$48))</f>
        <v>Standard</v>
      </c>
      <c r="Y26" s="164" t="str">
        <f>CenAVS!A71</f>
        <v xml:space="preserve">Aventos HK top mocny Tip-on      </v>
      </c>
      <c r="Z26" s="164" t="str">
        <f>CenAVS!B71</f>
        <v>22K2700T</v>
      </c>
      <c r="AA26" s="301" t="str">
        <f>CenAVS!C71</f>
        <v>ZN</v>
      </c>
      <c r="AB26" s="165">
        <f t="shared" si="2"/>
        <v>0</v>
      </c>
      <c r="AC26" s="395">
        <f>CenAVS!F71</f>
        <v>183.9254</v>
      </c>
      <c r="AD26" s="167">
        <f t="shared" si="3"/>
        <v>0</v>
      </c>
      <c r="AE26" s="407">
        <f>IF(AND($U$16=3,$N$44=1),ROUNDUP(SUM(O13:P13)*$M$17,0),0)</f>
        <v>0</v>
      </c>
      <c r="AF26" s="168">
        <f t="shared" si="0"/>
        <v>0</v>
      </c>
      <c r="AG26" s="407">
        <f>IF(AND($U$27=3,$N$44=1),ROUNDUP(SUM(O24:P24)*$M$28,0),0)</f>
        <v>0</v>
      </c>
      <c r="AH26" s="168">
        <f t="shared" si="1"/>
        <v>0</v>
      </c>
      <c r="AL26" s="108"/>
      <c r="AM26" s="108"/>
      <c r="AN26" s="108"/>
      <c r="AO26" s="137"/>
      <c r="AP26" s="137"/>
      <c r="AQ26" s="137"/>
      <c r="AR26" s="137"/>
    </row>
    <row r="27" spans="1:47" s="37" customFormat="1" ht="16.149999999999999" customHeight="1" thickBot="1" x14ac:dyDescent="0.25">
      <c r="B27" s="1011"/>
      <c r="C27" s="1013"/>
      <c r="D27" s="1011" t="str">
        <f>ListAVS!$B$86&amp;" LF "</f>
        <v xml:space="preserve">Współczynnik mocy LF </v>
      </c>
      <c r="E27" s="1012"/>
      <c r="F27" s="1012"/>
      <c r="G27" s="1013"/>
      <c r="H27" s="400">
        <f>IF(H23&gt;0,H22*H23,H22*H26)</f>
        <v>0</v>
      </c>
      <c r="I27" s="256" t="str">
        <f>IF(H28=0," ",IF($H27&lt;420,$N$39,IF($H27&gt;13500,$N$40,IF($H27&gt;9000,IF(V21=FALSE,$N$41," ")," "))))</f>
        <v xml:space="preserve"> </v>
      </c>
      <c r="J27" s="255"/>
      <c r="K27" s="248"/>
      <c r="L27" s="255"/>
      <c r="N27" s="137"/>
      <c r="O27" s="137"/>
      <c r="P27" s="137"/>
      <c r="Q27" s="137"/>
      <c r="T27" s="202"/>
      <c r="U27" s="131">
        <v>1</v>
      </c>
      <c r="Y27" s="164" t="str">
        <f>CenAVS!A72</f>
        <v xml:space="preserve">Aventos HK top najmocniejszy Tip-on      </v>
      </c>
      <c r="Z27" s="164" t="str">
        <f>CenAVS!B72</f>
        <v>22K2900T</v>
      </c>
      <c r="AA27" s="301" t="str">
        <f>CenAVS!C72</f>
        <v>ZN</v>
      </c>
      <c r="AB27" s="165">
        <f t="shared" si="2"/>
        <v>0</v>
      </c>
      <c r="AC27" s="395">
        <f>CenAVS!F72</f>
        <v>211.45676</v>
      </c>
      <c r="AD27" s="167">
        <f t="shared" si="3"/>
        <v>0</v>
      </c>
      <c r="AE27" s="407">
        <f>IF(AND($U$16=3,$N$44=1),ROUNDUP(SUM(O14:P14)*$M$17,0),0)</f>
        <v>0</v>
      </c>
      <c r="AF27" s="168">
        <f t="shared" si="0"/>
        <v>0</v>
      </c>
      <c r="AG27" s="407">
        <f>IF(AND($U$27=3,$N$44=1),ROUNDUP(SUM(O25:P25)*$M$28,0),0)</f>
        <v>0</v>
      </c>
      <c r="AH27" s="168">
        <f t="shared" si="1"/>
        <v>0</v>
      </c>
      <c r="AI27" s="118"/>
      <c r="AJ27" s="118"/>
      <c r="AK27" s="118"/>
      <c r="AL27" s="108"/>
      <c r="AM27" s="108"/>
      <c r="AN27" s="693"/>
      <c r="AO27" s="137"/>
      <c r="AP27" s="137"/>
      <c r="AQ27" s="137"/>
      <c r="AR27" s="137"/>
    </row>
    <row r="28" spans="1:47" ht="16.149999999999999" customHeight="1" thickBot="1" x14ac:dyDescent="0.25">
      <c r="B28" s="1011" t="str">
        <f>ListAVS!$B$71&amp;" "</f>
        <v xml:space="preserve">Ilość szafek </v>
      </c>
      <c r="C28" s="1012"/>
      <c r="D28" s="1012"/>
      <c r="E28" s="1012"/>
      <c r="F28" s="1012"/>
      <c r="G28" s="1012"/>
      <c r="H28" s="437"/>
      <c r="I28" s="256"/>
      <c r="J28" s="264"/>
      <c r="K28" s="396"/>
      <c r="L28" s="265"/>
      <c r="M28" s="315">
        <f>IF($H21*$H22*$T28=0,0,IF(OR($H22&lt;210,$H22&gt;600,$H27&lt;420,$H27&gt;13500),0,IF(AND(H27&gt;9000,V21=FALSE),0,$H28)))</f>
        <v>0</v>
      </c>
      <c r="N28" s="39"/>
      <c r="O28" s="39"/>
      <c r="P28" s="39"/>
      <c r="Q28" s="39"/>
      <c r="R28" s="137"/>
      <c r="S28" s="690" t="s">
        <v>51</v>
      </c>
      <c r="T28" s="691">
        <f>IF(H23&gt;0,H23,H26)</f>
        <v>0</v>
      </c>
      <c r="U28" s="37">
        <f>IF(SUM(H23,H26)=0,0,IF(H23&gt;0,1,2))</f>
        <v>0</v>
      </c>
      <c r="V28" s="571" t="s">
        <v>52</v>
      </c>
      <c r="Y28" s="164" t="str">
        <f>CenAVS!A73</f>
        <v xml:space="preserve">Aventos HK top słaby Tip-on z eurowkrętami    </v>
      </c>
      <c r="Z28" s="164" t="str">
        <f>CenAVS!B73</f>
        <v>22K2310T</v>
      </c>
      <c r="AA28" s="301" t="str">
        <f>CenAVS!C73</f>
        <v>ZN</v>
      </c>
      <c r="AB28" s="165">
        <f t="shared" si="2"/>
        <v>0</v>
      </c>
      <c r="AC28" s="395">
        <f>CenAVS!F73</f>
        <v>189.85409999999999</v>
      </c>
      <c r="AD28" s="167">
        <f t="shared" si="3"/>
        <v>0</v>
      </c>
      <c r="AE28" s="407">
        <f>IF(AND($U$16=3,$N$44=2),ROUNDUP(SUM(O11:P11)*$M$17,0),0)</f>
        <v>0</v>
      </c>
      <c r="AF28" s="168">
        <f t="shared" si="0"/>
        <v>0</v>
      </c>
      <c r="AG28" s="407">
        <f>IF(AND($U$27=3,$N$44=2),ROUNDUP(SUM(O22:P22)*$M$28,0),0)</f>
        <v>0</v>
      </c>
      <c r="AH28" s="168">
        <f t="shared" si="1"/>
        <v>0</v>
      </c>
      <c r="AN28" s="693"/>
    </row>
    <row r="29" spans="1:47" ht="16.149999999999999" customHeight="1" x14ac:dyDescent="0.2">
      <c r="A29" s="137"/>
      <c r="B29" s="255" t="str">
        <f>IF(H28&gt;0,IF(U28=0," ",IF(U28=1,$N$49,$N$50))," ")&amp;IF(H28&gt;0,IF(U28=0," ",IF(U28=1,$N$51,$N$52))," ")</f>
        <v xml:space="preserve">  </v>
      </c>
      <c r="C29" s="255"/>
      <c r="D29" s="255"/>
      <c r="E29" s="255"/>
      <c r="F29" s="255"/>
      <c r="G29" s="255"/>
      <c r="H29" s="273"/>
      <c r="I29" s="273"/>
      <c r="J29" s="266"/>
      <c r="K29" s="266"/>
      <c r="L29" s="266"/>
      <c r="X29" s="118"/>
      <c r="Y29" s="164" t="str">
        <f>CenAVS!A74</f>
        <v xml:space="preserve">Aventos HK top średni Tip-on z eurowkrętami    </v>
      </c>
      <c r="Z29" s="164" t="str">
        <f>CenAVS!B74</f>
        <v>22K2510T</v>
      </c>
      <c r="AA29" s="301" t="str">
        <f>CenAVS!C74</f>
        <v>ZN</v>
      </c>
      <c r="AB29" s="165">
        <f t="shared" si="2"/>
        <v>0</v>
      </c>
      <c r="AC29" s="395">
        <f>CenAVS!F74</f>
        <v>189.85409999999999</v>
      </c>
      <c r="AD29" s="167">
        <f t="shared" si="3"/>
        <v>0</v>
      </c>
      <c r="AE29" s="407">
        <f>IF(AND($U$16=3,$N$44=2),ROUNDUP(SUM(O12:P12)*$M$17,0),0)</f>
        <v>0</v>
      </c>
      <c r="AF29" s="168">
        <f t="shared" si="0"/>
        <v>0</v>
      </c>
      <c r="AG29" s="407">
        <f>IF(AND($U$27=3,$N$44=2),ROUNDUP(SUM(O23:P23)*$M$28,0),0)</f>
        <v>0</v>
      </c>
      <c r="AH29" s="168">
        <f t="shared" si="1"/>
        <v>0</v>
      </c>
      <c r="AN29" s="693"/>
    </row>
    <row r="30" spans="1:47" ht="16.149999999999999" customHeight="1" x14ac:dyDescent="0.2">
      <c r="B30" s="396"/>
      <c r="C30" s="248"/>
      <c r="D30" s="396"/>
      <c r="E30" s="396"/>
      <c r="F30" s="274"/>
      <c r="G30" s="274"/>
      <c r="H30" s="396"/>
      <c r="I30" s="264"/>
      <c r="J30" s="264"/>
      <c r="K30" s="396"/>
      <c r="L30" s="265"/>
      <c r="S30" s="138">
        <f>IF($T$30=FALSE,2,1)</f>
        <v>2</v>
      </c>
      <c r="T30" s="1063" t="b">
        <v>0</v>
      </c>
      <c r="U30" s="1064"/>
      <c r="V30" s="139" t="s">
        <v>56</v>
      </c>
      <c r="W30" s="140"/>
      <c r="Y30" s="164" t="str">
        <f>CenAVS!A75</f>
        <v xml:space="preserve">Aventos HK top mocny Tip-on z eurowkrętami    </v>
      </c>
      <c r="Z30" s="164" t="str">
        <f>CenAVS!B75</f>
        <v>22K2710T</v>
      </c>
      <c r="AA30" s="301" t="str">
        <f>CenAVS!C75</f>
        <v>ZN</v>
      </c>
      <c r="AB30" s="165">
        <f t="shared" si="2"/>
        <v>0</v>
      </c>
      <c r="AC30" s="395">
        <f>CenAVS!F75</f>
        <v>201.94534999999999</v>
      </c>
      <c r="AD30" s="167">
        <f t="shared" ref="AD30:AD37" si="4">AB30*AC30</f>
        <v>0</v>
      </c>
      <c r="AE30" s="407">
        <f>IF(AND($U$16=3,$N$44=2),ROUNDUP(SUM(O13:P13)*$M$17,0),0)</f>
        <v>0</v>
      </c>
      <c r="AF30" s="168">
        <f t="shared" si="0"/>
        <v>0</v>
      </c>
      <c r="AG30" s="407">
        <f>IF(AND($U$27=3,$N$44=2),ROUNDUP(SUM(O24:P24)*$M$28,0),0)</f>
        <v>0</v>
      </c>
      <c r="AH30" s="168">
        <f t="shared" ref="AH30:AH37" si="5">$AC30*AG30</f>
        <v>0</v>
      </c>
    </row>
    <row r="31" spans="1:47" ht="16.149999999999999" customHeight="1" x14ac:dyDescent="0.2">
      <c r="B31" s="1109" t="str">
        <f>IF(OR(AND($U$16=2, $M$17&gt;0), AND($U$27=2, $M$28&gt;0)), ListAVS!$B$176, " ")</f>
        <v xml:space="preserve"> </v>
      </c>
      <c r="C31" s="1109"/>
      <c r="D31" s="1109"/>
      <c r="E31" s="1109"/>
      <c r="F31" s="1109"/>
      <c r="G31" s="1109"/>
      <c r="H31" s="1109"/>
      <c r="I31" s="1109"/>
      <c r="J31" s="1109"/>
      <c r="K31" s="397"/>
      <c r="L31" s="397"/>
      <c r="Y31" s="164" t="str">
        <f>CenAVS!A76</f>
        <v xml:space="preserve">Aventos HK top najmocniejszy Tip-on z eurowkrętami    </v>
      </c>
      <c r="Z31" s="164" t="str">
        <f>CenAVS!B76</f>
        <v>22K2910T</v>
      </c>
      <c r="AA31" s="301" t="str">
        <f>CenAVS!C76</f>
        <v>ZN</v>
      </c>
      <c r="AB31" s="165">
        <f t="shared" si="2"/>
        <v>0</v>
      </c>
      <c r="AC31" s="395">
        <f>CenAVS!F76</f>
        <v>232.17408</v>
      </c>
      <c r="AD31" s="167">
        <f t="shared" si="4"/>
        <v>0</v>
      </c>
      <c r="AE31" s="407">
        <f>IF(AND($U$16=3,$N$44=2),ROUNDUP(SUM(O14:P14)*$M$17,0),0)</f>
        <v>0</v>
      </c>
      <c r="AF31" s="168">
        <f t="shared" si="0"/>
        <v>0</v>
      </c>
      <c r="AG31" s="407">
        <f>IF(AND($U$27=3,$N$44=2),ROUNDUP(SUM(O25:P25)*$M$28,0),0)</f>
        <v>0</v>
      </c>
      <c r="AH31" s="168">
        <f t="shared" si="5"/>
        <v>0</v>
      </c>
      <c r="AN31" s="710"/>
    </row>
    <row r="32" spans="1:47" ht="16.149999999999999" customHeight="1" x14ac:dyDescent="0.2">
      <c r="B32" s="1109"/>
      <c r="C32" s="1109"/>
      <c r="D32" s="1109"/>
      <c r="E32" s="1109"/>
      <c r="F32" s="1109"/>
      <c r="G32" s="1109"/>
      <c r="H32" s="1109"/>
      <c r="I32" s="1109"/>
      <c r="J32" s="1109"/>
      <c r="K32" s="397"/>
      <c r="L32" s="397"/>
      <c r="N32" s="142"/>
      <c r="Y32" s="164" t="str">
        <f>CenAVS!A77</f>
        <v xml:space="preserve">          </v>
      </c>
      <c r="Z32" s="164">
        <f>CenAVS!B77</f>
        <v>0</v>
      </c>
      <c r="AA32" s="301">
        <f>CenAVS!C77</f>
        <v>0</v>
      </c>
      <c r="AB32" s="165">
        <f t="shared" si="2"/>
        <v>0</v>
      </c>
      <c r="AC32" s="395">
        <f>CenAVS!F77</f>
        <v>0</v>
      </c>
      <c r="AD32" s="167">
        <f t="shared" si="4"/>
        <v>0</v>
      </c>
      <c r="AE32" s="407"/>
      <c r="AF32" s="168">
        <f t="shared" si="0"/>
        <v>0</v>
      </c>
      <c r="AG32" s="407"/>
      <c r="AH32" s="168">
        <f t="shared" si="5"/>
        <v>0</v>
      </c>
    </row>
    <row r="33" spans="2:44" ht="16.149999999999999" customHeight="1" x14ac:dyDescent="0.2">
      <c r="B33" s="1109"/>
      <c r="C33" s="1109"/>
      <c r="D33" s="1109"/>
      <c r="E33" s="1109"/>
      <c r="F33" s="1109"/>
      <c r="G33" s="1109"/>
      <c r="H33" s="1109"/>
      <c r="I33" s="1109"/>
      <c r="J33" s="1109"/>
      <c r="K33" s="266"/>
      <c r="L33" s="255"/>
      <c r="Y33" s="164" t="str">
        <f>CenAVS!A78</f>
        <v xml:space="preserve">mocowanie frontu do HK Top, HS/Top, HL/Top    </v>
      </c>
      <c r="Z33" s="164" t="str">
        <f>CenAVS!B78</f>
        <v>20S4200</v>
      </c>
      <c r="AA33" s="301" t="str">
        <f>CenAVS!C78</f>
        <v>NI</v>
      </c>
      <c r="AB33" s="165">
        <f t="shared" si="2"/>
        <v>0</v>
      </c>
      <c r="AC33" s="395">
        <f>CenAVS!F78</f>
        <v>9.9925899999999999</v>
      </c>
      <c r="AD33" s="167">
        <f t="shared" si="4"/>
        <v>0</v>
      </c>
      <c r="AE33" s="407">
        <f>SUM(AE$9:AE$16, $AE$24:$AE$31)</f>
        <v>0</v>
      </c>
      <c r="AF33" s="168">
        <f t="shared" si="0"/>
        <v>0</v>
      </c>
      <c r="AG33" s="407">
        <f>SUM(AG$9:AG$16, $AG$24:$AG$31)</f>
        <v>0</v>
      </c>
      <c r="AH33" s="168">
        <f t="shared" si="5"/>
        <v>0</v>
      </c>
    </row>
    <row r="34" spans="2:44" ht="16.149999999999999" customHeight="1" x14ac:dyDescent="0.2">
      <c r="B34" s="272"/>
      <c r="C34" s="255"/>
      <c r="D34" s="266"/>
      <c r="E34" s="266"/>
      <c r="F34" s="266"/>
      <c r="G34" s="266"/>
      <c r="H34" s="266"/>
      <c r="I34" s="255"/>
      <c r="J34" s="266"/>
      <c r="K34" s="266"/>
      <c r="L34" s="255"/>
      <c r="N34" s="37" t="str">
        <f>ListAVS!B177</f>
        <v>Cena bez zasilacza!</v>
      </c>
      <c r="Y34" s="164" t="str">
        <f>CenAVS!A79</f>
        <v xml:space="preserve">mocowanie frontu HS, HK top, HL Expando    </v>
      </c>
      <c r="Z34" s="164" t="str">
        <f>CenAVS!B79</f>
        <v>20S42E1</v>
      </c>
      <c r="AA34" s="301" t="str">
        <f>CenAVS!C79</f>
        <v>NI</v>
      </c>
      <c r="AB34" s="165">
        <f t="shared" si="2"/>
        <v>0</v>
      </c>
      <c r="AC34" s="395">
        <f>CenAVS!F79</f>
        <v>6.2138699999999991</v>
      </c>
      <c r="AD34" s="167">
        <f t="shared" si="4"/>
        <v>0</v>
      </c>
      <c r="AE34" s="407"/>
      <c r="AF34" s="168">
        <f t="shared" si="0"/>
        <v>0</v>
      </c>
      <c r="AG34" s="407"/>
      <c r="AH34" s="168">
        <f t="shared" si="5"/>
        <v>0</v>
      </c>
    </row>
    <row r="35" spans="2:44" ht="16.149999999999999" customHeight="1" x14ac:dyDescent="0.2">
      <c r="B35" s="272"/>
      <c r="C35" s="273"/>
      <c r="D35" s="266"/>
      <c r="E35" s="266"/>
      <c r="F35" s="266"/>
      <c r="G35" s="266"/>
      <c r="H35" s="266"/>
      <c r="I35" s="255"/>
      <c r="J35" s="266"/>
      <c r="K35" s="266"/>
      <c r="L35" s="255"/>
      <c r="N35" s="37" t="str">
        <f>" "&amp;ListAVS!$B$117</f>
        <v xml:space="preserve"> Wprowadź wagę lub wypełnij na górze grubość szkła</v>
      </c>
      <c r="Y35" s="164" t="str">
        <f>CenAVS!A80</f>
        <v>mocow. frontu do cienkich materiałów Aventos HK, HL, HS, Expando T</v>
      </c>
      <c r="Z35" s="164" t="str">
        <f>CenAVS!B80</f>
        <v>20S42T1</v>
      </c>
      <c r="AA35" s="301" t="str">
        <f>CenAVS!C80</f>
        <v>NI</v>
      </c>
      <c r="AB35" s="165">
        <f t="shared" si="2"/>
        <v>0</v>
      </c>
      <c r="AC35" s="395">
        <f>CenAVS!F80</f>
        <v>31.992830000000005</v>
      </c>
      <c r="AD35" s="167">
        <f t="shared" si="4"/>
        <v>0</v>
      </c>
      <c r="AE35" s="407"/>
      <c r="AF35" s="168">
        <f t="shared" si="0"/>
        <v>0</v>
      </c>
      <c r="AG35" s="407"/>
      <c r="AH35" s="168">
        <f t="shared" si="5"/>
        <v>0</v>
      </c>
    </row>
    <row r="36" spans="2:44" ht="16.149999999999999" customHeight="1" x14ac:dyDescent="0.2">
      <c r="B36" s="272"/>
      <c r="C36" s="255" t="str">
        <f>"** "&amp;ListAVS!$B$187</f>
        <v>** Jeżeli znasz wagę i nie chcesz skorzystać z "obliczenie wagi"</v>
      </c>
      <c r="D36" s="266"/>
      <c r="E36" s="266"/>
      <c r="F36" s="266"/>
      <c r="G36" s="266"/>
      <c r="H36" s="266"/>
      <c r="I36" s="255"/>
      <c r="J36" s="266"/>
      <c r="K36" s="266"/>
      <c r="L36" s="255"/>
      <c r="N36" s="37" t="str">
        <f>" "&amp;ListAVS!$B$116</f>
        <v xml:space="preserve"> Wprowadź wagę lub wypełnij wszystkie komórki</v>
      </c>
      <c r="Y36" s="164" t="str">
        <f>CenAVS!A81</f>
        <v xml:space="preserve">mocowanie frontu alu HK Top, HS/Top, HL/Top    </v>
      </c>
      <c r="Z36" s="164" t="str">
        <f>CenAVS!B81</f>
        <v>20S4200A</v>
      </c>
      <c r="AA36" s="301" t="str">
        <f>CenAVS!C81</f>
        <v>NI</v>
      </c>
      <c r="AB36" s="165">
        <f t="shared" si="2"/>
        <v>0</v>
      </c>
      <c r="AC36" s="395">
        <f>CenAVS!F81</f>
        <v>43.392219999999995</v>
      </c>
      <c r="AD36" s="167">
        <f t="shared" si="4"/>
        <v>0</v>
      </c>
      <c r="AE36" s="407"/>
      <c r="AF36" s="168">
        <f t="shared" si="0"/>
        <v>0</v>
      </c>
      <c r="AG36" s="407"/>
      <c r="AH36" s="168">
        <f t="shared" si="5"/>
        <v>0</v>
      </c>
    </row>
    <row r="37" spans="2:44" ht="16.149999999999999" customHeight="1" x14ac:dyDescent="0.2">
      <c r="B37" s="274"/>
      <c r="C37" s="273" t="str">
        <f>"*** "&amp;ListAVS!$B$403</f>
        <v>*** Wybierz rodzaj ramki aluminiowej!</v>
      </c>
      <c r="D37" s="255"/>
      <c r="E37" s="255"/>
      <c r="F37" s="255"/>
      <c r="G37" s="255"/>
      <c r="H37" s="276"/>
      <c r="I37" s="276"/>
      <c r="J37" s="276"/>
      <c r="K37" s="276"/>
      <c r="L37" s="255"/>
      <c r="N37" s="37" t="str">
        <f>"◄ "&amp;ListAVS!$B$112</f>
        <v>◄ wartość będzie wykorzystana do obliczenia LF</v>
      </c>
      <c r="Y37" s="164" t="str">
        <f>CenAVS!A82</f>
        <v xml:space="preserve">          </v>
      </c>
      <c r="Z37" s="164">
        <f>CenAVS!B82</f>
        <v>0</v>
      </c>
      <c r="AA37" s="301">
        <f>CenAVS!C82</f>
        <v>0</v>
      </c>
      <c r="AB37" s="165">
        <f t="shared" si="2"/>
        <v>0</v>
      </c>
      <c r="AC37" s="395">
        <f>CenAVS!F82</f>
        <v>0</v>
      </c>
      <c r="AD37" s="167">
        <f t="shared" si="4"/>
        <v>0</v>
      </c>
      <c r="AE37" s="407"/>
      <c r="AF37" s="168">
        <f t="shared" si="0"/>
        <v>0</v>
      </c>
      <c r="AG37" s="407"/>
      <c r="AH37" s="168">
        <f t="shared" si="5"/>
        <v>0</v>
      </c>
    </row>
    <row r="38" spans="2:44" ht="16.149999999999999" customHeight="1" x14ac:dyDescent="0.2">
      <c r="B38" s="274"/>
      <c r="C38" s="670" t="str">
        <f>"      "&amp;ListAVS!$B$404</f>
        <v xml:space="preserve">      Więcej informacji o wyborze ramki aluminiowej w Pomocy</v>
      </c>
      <c r="D38" s="399"/>
      <c r="E38" s="399"/>
      <c r="F38" s="399"/>
      <c r="G38" s="399"/>
      <c r="H38" s="255"/>
      <c r="I38" s="276"/>
      <c r="J38" s="276"/>
      <c r="K38" s="276"/>
      <c r="L38" s="255"/>
      <c r="N38" s="37" t="str">
        <f>" * "&amp;ListAVS!$B$128</f>
        <v xml:space="preserve"> * Wypełnij wartości</v>
      </c>
      <c r="Y38" s="164" t="str">
        <f>CenAVS!A185</f>
        <v xml:space="preserve">Tip-on do zawiasu 50mm PG, szary     </v>
      </c>
      <c r="Z38" s="164" t="str">
        <f>CenAVS!B185</f>
        <v>956.1004</v>
      </c>
      <c r="AA38" s="301" t="str">
        <f>CenAVS!C185</f>
        <v>R7036</v>
      </c>
      <c r="AB38" s="165">
        <f t="shared" ref="AB38:AB43" si="6">SUM(AE38,AG38)</f>
        <v>0</v>
      </c>
      <c r="AC38" s="395">
        <f>CenAVS!F185</f>
        <v>12.830769999999999</v>
      </c>
      <c r="AD38" s="167">
        <f t="shared" ref="AD38:AD43" si="7">AB38*AC38</f>
        <v>0</v>
      </c>
      <c r="AE38" s="407">
        <f>IF(AND($T$44&lt;3,$U$16=3),IF($H$11&lt;=500,$M$17,0),0)</f>
        <v>0</v>
      </c>
      <c r="AF38" s="168">
        <f t="shared" ref="AF38:AF44" si="8">$AC38*AE38</f>
        <v>0</v>
      </c>
      <c r="AG38" s="407">
        <f>IF(AND($T$44&lt;3,$U$27=3),IF($H$22&lt;=500,$M$28,0),0)</f>
        <v>0</v>
      </c>
      <c r="AH38" s="168">
        <f t="shared" ref="AH38:AH44" si="9">$AC38*AG38</f>
        <v>0</v>
      </c>
      <c r="AP38" s="37"/>
      <c r="AQ38" s="37"/>
    </row>
    <row r="39" spans="2:44" ht="16.149999999999999" customHeight="1" x14ac:dyDescent="0.2">
      <c r="B39" s="440"/>
      <c r="C39" s="442"/>
      <c r="D39" s="442"/>
      <c r="E39" s="442"/>
      <c r="F39" s="442"/>
      <c r="G39" s="442"/>
      <c r="H39" s="442"/>
      <c r="I39" s="442"/>
      <c r="J39" s="442"/>
      <c r="K39" s="442"/>
      <c r="L39" s="255"/>
      <c r="N39" s="37" t="str">
        <f>" min. 420! "&amp;ListAVS!$B$122</f>
        <v xml:space="preserve"> min. 420! Popraw wagę albo wysokość</v>
      </c>
      <c r="Y39" s="164" t="str">
        <f>CenAVS!A186</f>
        <v xml:space="preserve">Tip-on do zawiasu 50mm SW, biały     </v>
      </c>
      <c r="Z39" s="164" t="str">
        <f>CenAVS!B186</f>
        <v>956.1004</v>
      </c>
      <c r="AA39" s="301" t="str">
        <f>CenAVS!C186</f>
        <v>SW</v>
      </c>
      <c r="AB39" s="165">
        <f t="shared" si="6"/>
        <v>0</v>
      </c>
      <c r="AC39" s="395">
        <f>CenAVS!F186</f>
        <v>12.830769999999999</v>
      </c>
      <c r="AD39" s="167">
        <f t="shared" si="7"/>
        <v>0</v>
      </c>
      <c r="AE39" s="407">
        <f>IF(AND($T$44=3,$U$16=3),IF($H$11&lt;=500,$M$17,0),0)</f>
        <v>0</v>
      </c>
      <c r="AF39" s="168">
        <f t="shared" si="8"/>
        <v>0</v>
      </c>
      <c r="AG39" s="407">
        <f>IF(AND($T$44=3,$U$27=3),IF($H$22&lt;=500,$M$28,0),0)</f>
        <v>0</v>
      </c>
      <c r="AH39" s="168">
        <f t="shared" si="9"/>
        <v>0</v>
      </c>
      <c r="AO39" s="37"/>
      <c r="AP39" s="37"/>
      <c r="AQ39" s="37"/>
    </row>
    <row r="40" spans="2:44" ht="16.149999999999999" customHeight="1" x14ac:dyDescent="0.2">
      <c r="B40" s="273"/>
      <c r="C40" s="442"/>
      <c r="D40" s="442"/>
      <c r="E40" s="442"/>
      <c r="F40" s="442"/>
      <c r="G40" s="442"/>
      <c r="H40" s="442"/>
      <c r="I40" s="442"/>
      <c r="J40" s="442"/>
      <c r="K40" s="442"/>
      <c r="L40" s="255"/>
      <c r="N40" s="37" t="str">
        <f>" max. 9 000! "&amp;ListAVS!$B$122</f>
        <v xml:space="preserve"> max. 9 000! Popraw wagę albo wysokość</v>
      </c>
      <c r="O40" s="37"/>
      <c r="Q40" s="37"/>
      <c r="Y40" s="164" t="str">
        <f>CenAVS!A187</f>
        <v xml:space="preserve">Tip-on do zawiasu krótki 50mm z magnesem,komplet, karbon czarny CS </v>
      </c>
      <c r="Z40" s="164" t="str">
        <f>CenAVS!B187</f>
        <v>956.1004</v>
      </c>
      <c r="AA40" s="301" t="str">
        <f>CenAVS!C187</f>
        <v>CS</v>
      </c>
      <c r="AB40" s="165">
        <f t="shared" si="6"/>
        <v>0</v>
      </c>
      <c r="AC40" s="395">
        <f>CenAVS!F187</f>
        <v>12.830769999999999</v>
      </c>
      <c r="AD40" s="167">
        <f t="shared" si="7"/>
        <v>0</v>
      </c>
      <c r="AE40" s="407"/>
      <c r="AF40" s="168">
        <f t="shared" si="8"/>
        <v>0</v>
      </c>
      <c r="AG40" s="407"/>
      <c r="AH40" s="168">
        <f t="shared" si="9"/>
        <v>0</v>
      </c>
      <c r="AO40" s="37"/>
      <c r="AP40" s="37"/>
      <c r="AQ40" s="37"/>
      <c r="AR40" s="37"/>
    </row>
    <row r="41" spans="2:44" ht="16.149999999999999" customHeight="1" x14ac:dyDescent="0.2">
      <c r="B41" s="441"/>
      <c r="C41" s="442"/>
      <c r="D41" s="442"/>
      <c r="E41" s="442"/>
      <c r="F41" s="442"/>
      <c r="G41" s="442"/>
      <c r="H41" s="442"/>
      <c r="I41" s="442"/>
      <c r="J41" s="442"/>
      <c r="K41" s="442"/>
      <c r="L41" s="255"/>
      <c r="N41" s="37" t="str">
        <f>" max. 9 000! "&amp;ListAVS!$B$122</f>
        <v xml:space="preserve"> max. 9 000! Popraw wagę albo wysokość</v>
      </c>
      <c r="Y41" s="164" t="str">
        <f>CenAVS!A188</f>
        <v xml:space="preserve">Tip-on do zawiasu 76mm, PG, szary     </v>
      </c>
      <c r="Z41" s="164" t="str">
        <f>CenAVS!B188</f>
        <v>956A1004</v>
      </c>
      <c r="AA41" s="301" t="str">
        <f>CenAVS!C188</f>
        <v>R7036</v>
      </c>
      <c r="AB41" s="165">
        <f t="shared" si="6"/>
        <v>0</v>
      </c>
      <c r="AC41" s="395">
        <f>CenAVS!F188</f>
        <v>16.100000000000001</v>
      </c>
      <c r="AD41" s="167">
        <f t="shared" si="7"/>
        <v>0</v>
      </c>
      <c r="AE41" s="407">
        <f>IF(AND($T$44&lt;3,$U$16=3),IF($H$11&gt;500,$M$17,0),0)</f>
        <v>0</v>
      </c>
      <c r="AF41" s="168">
        <f t="shared" si="8"/>
        <v>0</v>
      </c>
      <c r="AG41" s="407">
        <f>IF(AND($T$44&lt;3,$U$27=3),IF($H$22&gt;500,$M$28,0),0)</f>
        <v>0</v>
      </c>
      <c r="AH41" s="168">
        <f t="shared" si="9"/>
        <v>0</v>
      </c>
      <c r="AO41" s="37"/>
      <c r="AR41" s="37"/>
    </row>
    <row r="42" spans="2:44" s="37" customFormat="1" ht="16.149999999999999" customHeight="1" x14ac:dyDescent="0.2">
      <c r="B42" s="255"/>
      <c r="C42" s="255"/>
      <c r="D42" s="255"/>
      <c r="E42" s="255"/>
      <c r="F42" s="255"/>
      <c r="G42" s="255"/>
      <c r="H42" s="255"/>
      <c r="I42" s="255"/>
      <c r="J42" s="398"/>
      <c r="K42" s="398"/>
      <c r="L42" s="255"/>
      <c r="N42" s="149" t="str">
        <f>"                       "&amp;ListAVS!$B$123</f>
        <v xml:space="preserve">                       lub dodaj trzeci siłownik</v>
      </c>
      <c r="O42" s="118"/>
      <c r="Q42" s="118"/>
      <c r="Y42" s="164" t="str">
        <f>CenAVS!A189</f>
        <v xml:space="preserve">Tip-on do zawiasu 76mm, SW, biały     </v>
      </c>
      <c r="Z42" s="164" t="str">
        <f>CenAVS!B189</f>
        <v>956A1004</v>
      </c>
      <c r="AA42" s="301" t="str">
        <f>CenAVS!C189</f>
        <v>WA</v>
      </c>
      <c r="AB42" s="165">
        <f t="shared" si="6"/>
        <v>0</v>
      </c>
      <c r="AC42" s="395">
        <f>CenAVS!F189</f>
        <v>16.100000000000001</v>
      </c>
      <c r="AD42" s="167">
        <f t="shared" si="7"/>
        <v>0</v>
      </c>
      <c r="AE42" s="407">
        <f>IF(AND($T$44=3,$U$16=3),IF($H$11&gt;500,$M$17,0),0)</f>
        <v>0</v>
      </c>
      <c r="AF42" s="168">
        <f t="shared" si="8"/>
        <v>0</v>
      </c>
      <c r="AG42" s="407">
        <f>IF(AND($T$44=3,$U$27=3),IF($H$22&gt;500,$M$28,0),0)</f>
        <v>0</v>
      </c>
      <c r="AH42" s="168">
        <f t="shared" si="9"/>
        <v>0</v>
      </c>
      <c r="AL42" s="108"/>
      <c r="AM42" s="108"/>
      <c r="AN42" s="108"/>
      <c r="AO42" s="137"/>
      <c r="AP42" s="137"/>
      <c r="AQ42" s="137"/>
    </row>
    <row r="43" spans="2:44" s="37" customFormat="1" ht="16.149999999999999" customHeight="1" x14ac:dyDescent="0.2">
      <c r="B43" s="255"/>
      <c r="C43" s="255"/>
      <c r="D43" s="255"/>
      <c r="E43" s="255"/>
      <c r="F43" s="255"/>
      <c r="G43" s="255"/>
      <c r="H43" s="255"/>
      <c r="I43" s="255"/>
      <c r="J43" s="255"/>
      <c r="K43" s="255"/>
      <c r="L43" s="255"/>
      <c r="O43" s="118"/>
      <c r="Q43" s="118"/>
      <c r="Y43" s="164" t="str">
        <f>CenAVS!A190</f>
        <v>Tip-on do zawiasu długi 76mm z magnesem, komplet, karbon czarny CS</v>
      </c>
      <c r="Z43" s="164" t="str">
        <f>CenAVS!B190</f>
        <v>956A1004</v>
      </c>
      <c r="AA43" s="301" t="str">
        <f>CenAVS!C190</f>
        <v>CS</v>
      </c>
      <c r="AB43" s="165">
        <f t="shared" si="6"/>
        <v>0</v>
      </c>
      <c r="AC43" s="395">
        <f>CenAVS!F190</f>
        <v>16.100000000000001</v>
      </c>
      <c r="AD43" s="167">
        <f t="shared" si="7"/>
        <v>0</v>
      </c>
      <c r="AE43" s="407"/>
      <c r="AF43" s="168">
        <f t="shared" si="8"/>
        <v>0</v>
      </c>
      <c r="AG43" s="407"/>
      <c r="AH43" s="168">
        <f t="shared" si="9"/>
        <v>0</v>
      </c>
      <c r="AL43" s="108"/>
      <c r="AM43" s="108"/>
      <c r="AN43" s="108"/>
      <c r="AO43" s="137"/>
      <c r="AP43" s="137"/>
      <c r="AQ43" s="137"/>
      <c r="AR43" s="137"/>
    </row>
    <row r="44" spans="2:44" s="37" customFormat="1" ht="16.149999999999999" customHeight="1" x14ac:dyDescent="0.2">
      <c r="B44" s="255"/>
      <c r="C44" s="255"/>
      <c r="D44" s="255"/>
      <c r="E44" s="255"/>
      <c r="F44" s="255"/>
      <c r="G44" s="255"/>
      <c r="H44" s="255"/>
      <c r="I44" s="255"/>
      <c r="J44" s="255"/>
      <c r="K44" s="255"/>
      <c r="L44" s="255"/>
      <c r="N44" s="151">
        <f>HK!$P$26</f>
        <v>1</v>
      </c>
      <c r="O44" s="182"/>
      <c r="P44" s="117">
        <v>1</v>
      </c>
      <c r="Q44" s="182"/>
      <c r="R44" s="117">
        <f>HK!$N$26</f>
        <v>2</v>
      </c>
      <c r="S44" s="298">
        <v>2</v>
      </c>
      <c r="T44" s="117">
        <f>MenuAVS!$P$28</f>
        <v>1</v>
      </c>
      <c r="V44" s="151"/>
      <c r="Y44" s="164">
        <f>CenAVS!A169</f>
        <v>0</v>
      </c>
      <c r="Z44" s="164">
        <f>CenAVS!B169</f>
        <v>0</v>
      </c>
      <c r="AA44" s="301">
        <f>CenAVS!C169</f>
        <v>0</v>
      </c>
      <c r="AB44" s="165"/>
      <c r="AC44" s="395">
        <f>CenAVS!F169</f>
        <v>0</v>
      </c>
      <c r="AD44" s="167">
        <f t="shared" si="3"/>
        <v>0</v>
      </c>
      <c r="AE44" s="408"/>
      <c r="AF44" s="168">
        <f t="shared" si="8"/>
        <v>0</v>
      </c>
      <c r="AG44" s="408"/>
      <c r="AH44" s="168">
        <f t="shared" si="9"/>
        <v>0</v>
      </c>
      <c r="AL44" s="108"/>
      <c r="AM44" s="108"/>
      <c r="AN44" s="108"/>
      <c r="AO44" s="137"/>
      <c r="AP44" s="137"/>
      <c r="AQ44" s="137"/>
      <c r="AR44" s="137"/>
    </row>
    <row r="45" spans="2:44" ht="16.149999999999999" customHeight="1" x14ac:dyDescent="0.2">
      <c r="B45" s="255"/>
      <c r="C45" s="255"/>
      <c r="D45" s="255"/>
      <c r="E45" s="255"/>
      <c r="F45" s="255"/>
      <c r="G45" s="255"/>
      <c r="H45" s="255"/>
      <c r="I45" s="255"/>
      <c r="J45" s="255"/>
      <c r="K45" s="255"/>
      <c r="L45" s="255"/>
      <c r="N45" s="153" t="s">
        <v>104</v>
      </c>
      <c r="P45" s="153" t="s">
        <v>8</v>
      </c>
      <c r="R45" s="153" t="s">
        <v>84</v>
      </c>
      <c r="S45" s="39" t="s">
        <v>67</v>
      </c>
      <c r="T45" s="153" t="s">
        <v>6</v>
      </c>
      <c r="V45" s="203" t="s">
        <v>18</v>
      </c>
      <c r="Y45" s="164"/>
      <c r="Z45" s="164"/>
      <c r="AA45" s="301"/>
      <c r="AB45" s="165"/>
      <c r="AC45" s="395"/>
      <c r="AD45" s="167"/>
      <c r="AE45" s="408"/>
      <c r="AF45" s="168"/>
      <c r="AG45" s="408"/>
      <c r="AH45" s="168"/>
    </row>
    <row r="46" spans="2:44" ht="16.149999999999999" customHeight="1" x14ac:dyDescent="0.2">
      <c r="B46" s="350"/>
      <c r="C46" s="148"/>
      <c r="D46" s="148"/>
      <c r="E46" s="148"/>
      <c r="F46" s="148"/>
      <c r="G46" s="148"/>
      <c r="H46" s="148"/>
      <c r="I46" s="148"/>
      <c r="J46" s="148"/>
      <c r="K46" s="148"/>
      <c r="N46" s="37" t="s">
        <v>105</v>
      </c>
      <c r="R46" s="118" t="str">
        <f>ListAVS!$B$143</f>
        <v>Expando</v>
      </c>
      <c r="T46" s="37" t="str">
        <f>ListAVS!$B$146</f>
        <v>Jasnoszary (HGR)</v>
      </c>
      <c r="V46" s="37" t="s">
        <v>58</v>
      </c>
      <c r="Y46" s="164" t="str">
        <f>CenAVS!A172</f>
        <v xml:space="preserve">Aventos Servo-drive do HK top      </v>
      </c>
      <c r="Z46" s="164" t="str">
        <f>CenAVS!B172</f>
        <v>23KA000</v>
      </c>
      <c r="AA46" s="301" t="str">
        <f>CenAVS!C172</f>
        <v>R7037</v>
      </c>
      <c r="AB46" s="165">
        <f>SUM(AE46,AG46)</f>
        <v>0</v>
      </c>
      <c r="AC46" s="395">
        <f>CenAVS!F172</f>
        <v>905.30219999999997</v>
      </c>
      <c r="AD46" s="167">
        <f>AB46*AC46</f>
        <v>0</v>
      </c>
      <c r="AE46" s="408">
        <f>IF($U$16=2, $M$17, 0)</f>
        <v>0</v>
      </c>
      <c r="AF46" s="168">
        <f>$AC46*AE46</f>
        <v>0</v>
      </c>
      <c r="AG46" s="408">
        <f>IF($U$27=2, $M$28, 0)</f>
        <v>0</v>
      </c>
      <c r="AH46" s="168">
        <f>$AC46*AG46</f>
        <v>0</v>
      </c>
    </row>
    <row r="47" spans="2:44" ht="16.149999999999999" customHeight="1" x14ac:dyDescent="0.2">
      <c r="B47" s="316"/>
      <c r="C47" s="317"/>
      <c r="D47" s="317"/>
      <c r="E47" s="317"/>
      <c r="F47" s="317"/>
      <c r="G47" s="317"/>
      <c r="I47" s="317"/>
      <c r="J47" s="317"/>
      <c r="N47" s="37" t="s">
        <v>106</v>
      </c>
      <c r="R47" s="118" t="str">
        <f>ListAVS!$B$144</f>
        <v>na wkręty</v>
      </c>
      <c r="T47" s="37" t="str">
        <f>ListAVS!$B$147</f>
        <v>Ciemnoszary (TGR)</v>
      </c>
      <c r="V47" s="37" t="s">
        <v>59</v>
      </c>
      <c r="AG47" s="118"/>
    </row>
    <row r="48" spans="2:44" ht="16.149999999999999" customHeight="1" x14ac:dyDescent="0.2">
      <c r="B48" s="317"/>
      <c r="C48" s="317"/>
      <c r="D48" s="317"/>
      <c r="E48" s="317"/>
      <c r="F48" s="317"/>
      <c r="G48" s="317"/>
      <c r="I48" s="317"/>
      <c r="J48" s="317"/>
      <c r="T48" s="37" t="str">
        <f>ListAVS!$B$148</f>
        <v>Jedwabiście biały (SW)</v>
      </c>
      <c r="V48" s="37" t="s">
        <v>107</v>
      </c>
      <c r="AC48" s="144" t="str">
        <f>ListAVS!$B$61&amp;" "</f>
        <v xml:space="preserve">Cena całkowita bez VAT </v>
      </c>
      <c r="AD48" s="171">
        <f>SUM(AD9:AD47)</f>
        <v>0</v>
      </c>
      <c r="AF48" s="201">
        <f>SUM(AF9:AF47)</f>
        <v>0</v>
      </c>
      <c r="AH48" s="201">
        <f>SUM(AH9:AH47)</f>
        <v>0</v>
      </c>
    </row>
    <row r="49" spans="2:43" ht="16.149999999999999" customHeight="1" x14ac:dyDescent="0.2">
      <c r="B49" s="316"/>
      <c r="C49" s="317"/>
      <c r="D49" s="317"/>
      <c r="E49" s="317"/>
      <c r="F49" s="317"/>
      <c r="G49" s="317"/>
      <c r="I49" s="317"/>
      <c r="J49" s="317"/>
      <c r="N49" s="37" t="str">
        <f>ListAVS!B188&amp;". "</f>
        <v xml:space="preserve">W celu określenia rodzaju siłownika będzie wykorzystana podana waga. </v>
      </c>
    </row>
    <row r="50" spans="2:43" ht="16.149999999999999" customHeight="1" x14ac:dyDescent="0.2">
      <c r="B50" s="144"/>
      <c r="C50" s="317"/>
      <c r="N50" s="37" t="str">
        <f>ListAVS!B189&amp;". "</f>
        <v xml:space="preserve">W celu określenia rodzaju siłownika będzie wykorzystana obliczona waga. </v>
      </c>
    </row>
    <row r="51" spans="2:43" ht="20.100000000000001" customHeight="1" x14ac:dyDescent="0.2">
      <c r="B51" s="144"/>
      <c r="N51" s="37" t="str">
        <f>ListAVS!B190</f>
        <v>Jeżeli chcesz wykorzystać obliczoną wagę, zmaż podaną wartość</v>
      </c>
    </row>
    <row r="52" spans="2:43" x14ac:dyDescent="0.2">
      <c r="B52" s="155"/>
      <c r="D52" s="155"/>
      <c r="E52" s="155"/>
      <c r="F52" s="155"/>
      <c r="G52" s="155"/>
      <c r="I52" s="155"/>
      <c r="J52" s="155"/>
      <c r="N52" s="37" t="str">
        <f>ListAVS!B191</f>
        <v>Jeżeli chcesz wykorzystać podaną wagą, wpisz ją w pole</v>
      </c>
    </row>
    <row r="55" spans="2:43" x14ac:dyDescent="0.2">
      <c r="AQ55" s="37"/>
    </row>
    <row r="56" spans="2:43" x14ac:dyDescent="0.2">
      <c r="AQ56" s="37"/>
    </row>
    <row r="68" spans="1:44" ht="12.75" x14ac:dyDescent="0.2">
      <c r="A68" s="255"/>
      <c r="N68" s="255"/>
      <c r="O68" s="255"/>
      <c r="P68" s="255"/>
      <c r="Q68" s="255"/>
      <c r="R68" s="255"/>
      <c r="S68" s="255"/>
      <c r="T68" s="255"/>
      <c r="U68" s="255"/>
      <c r="V68" s="255"/>
      <c r="W68" s="255"/>
    </row>
    <row r="69" spans="1:44" ht="12.75" x14ac:dyDescent="0.2">
      <c r="A69" s="255"/>
      <c r="N69" s="517" t="str">
        <f>ListAVS!$B$73</f>
        <v>Obliczanie wagi frontów</v>
      </c>
      <c r="O69" s="518"/>
      <c r="P69" s="518"/>
      <c r="Q69" s="518"/>
      <c r="R69" s="518"/>
      <c r="S69" s="255"/>
      <c r="T69" s="255"/>
      <c r="U69" s="255"/>
      <c r="V69" s="255"/>
      <c r="W69" s="255"/>
    </row>
    <row r="70" spans="1:44" ht="15.75" customHeight="1" x14ac:dyDescent="0.2">
      <c r="A70" s="255"/>
      <c r="N70" s="255"/>
      <c r="O70" s="37"/>
      <c r="P70" s="269" t="str">
        <f>ListAVS!$B$180&amp;"  "</f>
        <v xml:space="preserve">Wykonanie frontów  </v>
      </c>
      <c r="Q70" s="255"/>
      <c r="R70" s="255"/>
      <c r="S70" s="255"/>
      <c r="T70" s="833">
        <f>J4</f>
        <v>0</v>
      </c>
      <c r="U70" s="262" t="str">
        <f>IF(AF76=3,IF(T70=0,Y72," "),IF(T70&gt;0,Y73," "))</f>
        <v xml:space="preserve"> </v>
      </c>
      <c r="V70" s="255"/>
      <c r="W70" s="255"/>
      <c r="Y70" s="335" t="str">
        <f>IF($AF$76=1,$AF$95,IF($AF$76=2,$AF$96,$AF$97&amp;" - "&amp;$Y$80&amp;"mm"))</f>
        <v>Ramki aluminiowe z 4mm szkłem</v>
      </c>
      <c r="Z70" s="118"/>
      <c r="AB70" s="118"/>
      <c r="AD70" s="598">
        <f>MenuAVS!$Q$81</f>
        <v>2500</v>
      </c>
    </row>
    <row r="71" spans="1:44" ht="15.75" customHeight="1" x14ac:dyDescent="0.2">
      <c r="A71" s="255"/>
      <c r="N71" s="255"/>
      <c r="O71" s="255"/>
      <c r="P71" s="255"/>
      <c r="Q71" s="255"/>
      <c r="R71" s="255"/>
      <c r="S71" s="255"/>
      <c r="T71" s="255"/>
      <c r="U71" s="255"/>
      <c r="V71" s="255"/>
      <c r="W71" s="255"/>
      <c r="Y71" s="37" t="str">
        <f>" "&amp;ListAVS!$B$410</f>
        <v xml:space="preserve"> Możesz zmienić wartości we Wstępie do planowania</v>
      </c>
      <c r="Z71" s="118"/>
      <c r="AB71" s="118"/>
    </row>
    <row r="72" spans="1:44" ht="15" customHeight="1" x14ac:dyDescent="0.2">
      <c r="A72" s="255"/>
      <c r="N72" s="266"/>
      <c r="O72" s="255"/>
      <c r="P72" s="255"/>
      <c r="Q72" s="255"/>
      <c r="R72" s="255"/>
      <c r="S72" s="255"/>
      <c r="T72" s="255"/>
      <c r="U72" s="255"/>
      <c r="V72" s="255"/>
      <c r="W72" s="255"/>
      <c r="Y72" s="37" t="str">
        <f>" "&amp;ListAVS!$B$246&amp;" [mm]"</f>
        <v xml:space="preserve"> Podaj grubość szkła [mm]</v>
      </c>
      <c r="Z72" s="118"/>
      <c r="AB72" s="118"/>
      <c r="AQ72" s="118"/>
    </row>
    <row r="73" spans="1:44" ht="15" customHeight="1" x14ac:dyDescent="0.2">
      <c r="A73" s="255"/>
      <c r="N73" s="266"/>
      <c r="O73" s="255"/>
      <c r="P73" s="255"/>
      <c r="Q73" s="255"/>
      <c r="R73" s="255"/>
      <c r="S73" s="255"/>
      <c r="T73" s="255"/>
      <c r="U73" s="255"/>
      <c r="V73" s="255"/>
      <c r="W73" s="255"/>
      <c r="Y73" s="37" t="str">
        <f>" "&amp;ListAVS!$B$241&amp;" '"&amp;ListAVS!$B$95&amp;"'"</f>
        <v xml:space="preserve"> Wartość obowiązuje tylko dla opcji 'Ramki aluminiowe z innym szkłem'</v>
      </c>
      <c r="Z73" s="118"/>
      <c r="AB73" s="118"/>
      <c r="AQ73" s="118"/>
    </row>
    <row r="74" spans="1:44" ht="15" customHeight="1" x14ac:dyDescent="0.2">
      <c r="A74" s="255"/>
      <c r="N74" s="255"/>
      <c r="O74" s="255"/>
      <c r="P74" s="255"/>
      <c r="Q74" s="255"/>
      <c r="R74" s="255"/>
      <c r="S74" s="255"/>
      <c r="T74" s="255"/>
      <c r="U74" s="255"/>
      <c r="V74" s="255"/>
      <c r="W74" s="255"/>
      <c r="Z74" s="118"/>
      <c r="AB74" s="118"/>
      <c r="AJ74" s="203"/>
      <c r="AK74" s="203"/>
      <c r="AQ74" s="118"/>
      <c r="AR74" s="118"/>
    </row>
    <row r="75" spans="1:44" ht="15" customHeight="1" x14ac:dyDescent="0.2">
      <c r="A75" s="255"/>
      <c r="N75" s="266"/>
      <c r="O75" s="266"/>
      <c r="P75" s="266"/>
      <c r="Q75" s="255"/>
      <c r="R75" s="1148" t="str">
        <f>D9</f>
        <v xml:space="preserve"> </v>
      </c>
      <c r="S75" s="1149"/>
      <c r="T75" s="1150"/>
      <c r="U75" s="255"/>
      <c r="V75" s="255"/>
      <c r="W75" s="255"/>
      <c r="Z75" s="118"/>
      <c r="AB75" s="118"/>
      <c r="AD75" s="209"/>
      <c r="AE75" s="601" t="s">
        <v>68</v>
      </c>
      <c r="AF75" s="601" t="s">
        <v>69</v>
      </c>
      <c r="AG75" s="601" t="s">
        <v>70</v>
      </c>
      <c r="AJ75" s="203"/>
      <c r="AK75" s="203"/>
      <c r="AQ75" s="118"/>
      <c r="AR75" s="118"/>
    </row>
    <row r="76" spans="1:44" s="118" customFormat="1" ht="15" customHeight="1" x14ac:dyDescent="0.2">
      <c r="A76" s="255"/>
      <c r="N76" s="1138" t="str">
        <f>ListAVS!$B$74&amp;" KB [mm]       "</f>
        <v xml:space="preserve">Szerokość korpusu KB [mm]       </v>
      </c>
      <c r="O76" s="1139"/>
      <c r="P76" s="1139"/>
      <c r="Q76" s="1139"/>
      <c r="R76" s="1139"/>
      <c r="S76" s="1140"/>
      <c r="T76" s="829">
        <f>H10</f>
        <v>0</v>
      </c>
      <c r="U76" s="670"/>
      <c r="V76" s="248"/>
      <c r="W76" s="255"/>
      <c r="X76" s="37"/>
      <c r="Y76" s="37">
        <f>T76*T77*T78</f>
        <v>0</v>
      </c>
      <c r="Z76" s="37"/>
      <c r="AA76" s="37"/>
      <c r="AC76" s="37"/>
      <c r="AD76" s="325">
        <f>IF($AG$76=1,$X$95,$X$96)</f>
        <v>0.62</v>
      </c>
      <c r="AE76" s="339">
        <f>$X$97</f>
        <v>0.61</v>
      </c>
      <c r="AF76" s="327">
        <v>1</v>
      </c>
      <c r="AG76" s="328">
        <f>$O$4</f>
        <v>1</v>
      </c>
      <c r="AH76" s="37"/>
      <c r="AJ76" s="203"/>
      <c r="AK76" s="203"/>
      <c r="AL76" s="108"/>
      <c r="AM76" s="108"/>
      <c r="AN76" s="108"/>
      <c r="AO76" s="137"/>
      <c r="AP76" s="137"/>
    </row>
    <row r="77" spans="1:44" s="118" customFormat="1" ht="15" customHeight="1" x14ac:dyDescent="0.2">
      <c r="A77" s="255"/>
      <c r="N77" s="1138" t="str">
        <f>ListAVS!$B$75&amp;" KH [mm]       "</f>
        <v xml:space="preserve">Wysokość korpusu KH [mm]       </v>
      </c>
      <c r="O77" s="1139"/>
      <c r="P77" s="1139"/>
      <c r="Q77" s="1139"/>
      <c r="R77" s="1139"/>
      <c r="S77" s="1140"/>
      <c r="T77" s="829">
        <f>H11</f>
        <v>0</v>
      </c>
      <c r="U77" s="670"/>
      <c r="V77" s="248"/>
      <c r="W77" s="255"/>
      <c r="X77" s="37"/>
      <c r="Y77" s="37">
        <f>Y76/1000000000</f>
        <v>0</v>
      </c>
      <c r="Z77" s="117">
        <v>1</v>
      </c>
      <c r="AC77" s="37"/>
      <c r="AD77" s="153" t="s">
        <v>71</v>
      </c>
      <c r="AE77" s="209">
        <f>SUM(T76*2,(T77-90)*2)*AD76/1000</f>
        <v>-0.11159999999999999</v>
      </c>
      <c r="AF77" s="601" t="s">
        <v>72</v>
      </c>
      <c r="AG77" s="601"/>
      <c r="AH77" s="37"/>
      <c r="AJ77" s="37"/>
      <c r="AK77" s="37"/>
      <c r="AL77" s="108"/>
      <c r="AM77" s="108"/>
      <c r="AN77" s="108"/>
      <c r="AO77" s="137"/>
      <c r="AP77" s="137"/>
      <c r="AQ77" s="137"/>
    </row>
    <row r="78" spans="1:44" s="118" customFormat="1" ht="15" customHeight="1" x14ac:dyDescent="0.2">
      <c r="A78" s="255"/>
      <c r="N78" s="1173" t="str">
        <f>ListAVS!$B$80&amp;" TS [mm] "</f>
        <v xml:space="preserve">Grubość frontu TS [mm] </v>
      </c>
      <c r="O78" s="1174"/>
      <c r="P78" s="1174"/>
      <c r="Q78" s="1174"/>
      <c r="R78" s="1174"/>
      <c r="S78" s="1175"/>
      <c r="T78" s="829"/>
      <c r="U78" s="227"/>
      <c r="V78" s="248"/>
      <c r="W78" s="255"/>
      <c r="X78" s="37"/>
      <c r="Y78" s="319">
        <f>MenuAVS!$C$31</f>
        <v>760</v>
      </c>
      <c r="Z78" s="175" t="str">
        <f>ListAVS!$B$90&amp;" ("&amp;Y78&amp;" kg/m3)"</f>
        <v>MDF (760 kg/m3)</v>
      </c>
      <c r="AC78" s="37"/>
      <c r="AD78" s="209">
        <f>$AD$70*4/1000</f>
        <v>10</v>
      </c>
      <c r="AE78" s="330">
        <f>IF($AG$76=1,AF78*AD78,AG78*AD78)</f>
        <v>6.4000000000000001E-2</v>
      </c>
      <c r="AF78" s="209">
        <f>SUM(($T$76-80)*($T$77-80)/1000000)</f>
        <v>6.4000000000000003E-3</v>
      </c>
      <c r="AG78" s="351">
        <f>SUM(($T$76-6)*($T$77-6)/1000000)</f>
        <v>3.6000000000000001E-5</v>
      </c>
      <c r="AH78" s="208" t="s">
        <v>73</v>
      </c>
      <c r="AJ78" s="37"/>
      <c r="AK78" s="37"/>
      <c r="AL78" s="108"/>
      <c r="AM78" s="108"/>
      <c r="AN78" s="108"/>
      <c r="AO78" s="137"/>
      <c r="AP78" s="137"/>
      <c r="AQ78" s="137"/>
    </row>
    <row r="79" spans="1:44" s="118" customFormat="1" ht="15" customHeight="1" x14ac:dyDescent="0.2">
      <c r="A79" s="255"/>
      <c r="N79" s="1143" t="str">
        <f>ListAVS!$B$83&amp;" [kg] "</f>
        <v xml:space="preserve">Waga uchwytu [kg] </v>
      </c>
      <c r="O79" s="1144"/>
      <c r="P79" s="1144"/>
      <c r="Q79" s="1144"/>
      <c r="R79" s="1144"/>
      <c r="S79" s="1145"/>
      <c r="T79" s="831">
        <f>H14</f>
        <v>0</v>
      </c>
      <c r="U79" s="256" t="str">
        <f>IF($U$16=3," ",IF(SUM(T76,T77)=0," ",IF(T79=0," ● "&amp;ListAVS!$B$130," ")))</f>
        <v xml:space="preserve"> </v>
      </c>
      <c r="V79" s="248"/>
      <c r="W79" s="255"/>
      <c r="X79" s="37"/>
      <c r="Y79" s="319">
        <f>MenuAVS!$C$32</f>
        <v>680</v>
      </c>
      <c r="Z79" s="175" t="str">
        <f>ListAVS!$B$91&amp;" ("&amp;Y79&amp;" kg/m3)"</f>
        <v>Płyta wiórowa (680 kg/m3)</v>
      </c>
      <c r="AC79" s="37"/>
      <c r="AD79" s="209">
        <f>$AD$70*5/1000</f>
        <v>12.5</v>
      </c>
      <c r="AE79" s="330">
        <f>IF($AG$76=1,AF79*AD79,AG79*AD79)</f>
        <v>0.08</v>
      </c>
      <c r="AF79" s="209">
        <f>SUM(($T$76-80)*($T$77-80)/1000000)</f>
        <v>6.4000000000000003E-3</v>
      </c>
      <c r="AG79" s="351">
        <f>SUM(($T$76-6)*($T$77-6)/1000000)</f>
        <v>3.6000000000000001E-5</v>
      </c>
      <c r="AH79" s="208" t="s">
        <v>74</v>
      </c>
      <c r="AJ79" s="37"/>
      <c r="AK79" s="37"/>
      <c r="AL79" s="108"/>
      <c r="AM79" s="108"/>
      <c r="AN79" s="108"/>
      <c r="AO79" s="137"/>
      <c r="AP79" s="137"/>
      <c r="AR79" s="137"/>
    </row>
    <row r="80" spans="1:44" s="118" customFormat="1" ht="15" customHeight="1" x14ac:dyDescent="0.2">
      <c r="A80" s="255"/>
      <c r="N80" s="1143" t="str">
        <f>ListAVS!$B$79&amp;" [kg] "</f>
        <v xml:space="preserve">Obliczona waga frontu [kg] </v>
      </c>
      <c r="O80" s="1144"/>
      <c r="P80" s="1144"/>
      <c r="Q80" s="1144"/>
      <c r="R80" s="1144"/>
      <c r="S80" s="1145"/>
      <c r="T80" s="534">
        <f>IF(AD81=0,0,AD81+2*T79)</f>
        <v>0</v>
      </c>
      <c r="U80" s="227"/>
      <c r="V80" s="248"/>
      <c r="W80" s="255"/>
      <c r="X80" s="186">
        <f>IF(T76*T77*T78=0,0,IF(Z77=1,Y77*Y78,IF(Z77=2,Y77*Y79,Y77*Y80)))</f>
        <v>0</v>
      </c>
      <c r="Y80" s="37">
        <f>$T$70</f>
        <v>0</v>
      </c>
      <c r="Z80" s="175" t="str">
        <f>ListAVS!$B$92</f>
        <v>Inne – wybrana gęstość materiału</v>
      </c>
      <c r="AC80" s="37"/>
      <c r="AD80" s="209">
        <f>$AD$70*$T$70/1000</f>
        <v>0</v>
      </c>
      <c r="AE80" s="330">
        <f>IF($AG$76=1,AF80*AD80,AG80*AD80)</f>
        <v>0</v>
      </c>
      <c r="AF80" s="209">
        <f>SUM(($T$76-80)*($T$77-80)/1000000)</f>
        <v>6.4000000000000003E-3</v>
      </c>
      <c r="AG80" s="351">
        <f>SUM(($T$76-6)*($T$77-6)/1000000)</f>
        <v>3.6000000000000001E-5</v>
      </c>
      <c r="AH80" s="208" t="s">
        <v>75</v>
      </c>
      <c r="AJ80" s="37"/>
      <c r="AK80" s="37"/>
      <c r="AL80" s="108"/>
      <c r="AM80" s="108"/>
      <c r="AN80" s="108"/>
      <c r="AO80" s="137"/>
      <c r="AP80" s="137"/>
      <c r="AR80" s="137"/>
    </row>
    <row r="81" spans="1:44" ht="15" customHeight="1" x14ac:dyDescent="0.2">
      <c r="A81" s="255"/>
      <c r="N81" s="255"/>
      <c r="O81" s="273" t="str">
        <f>IF((U16=3)*AND(T80&gt;0)*AND(T79&gt;0),$Z$96&amp;" "&amp;$Z$97,IF((U16&lt;&gt;3)*AND(T80&gt;0),IF(T79=0,$Z$95," ")," "))</f>
        <v xml:space="preserve"> </v>
      </c>
      <c r="P81" s="255"/>
      <c r="Q81" s="255"/>
      <c r="R81" s="255"/>
      <c r="S81" s="255"/>
      <c r="T81" s="255"/>
      <c r="U81" s="255"/>
      <c r="V81" s="255"/>
      <c r="W81" s="255"/>
      <c r="Z81" s="118"/>
      <c r="AB81" s="118"/>
      <c r="AD81" s="332">
        <f>IF(OR(AND(AF76=3, $T$70=0), T76*T77=0), 0, SUM(IF(AF76=1,AE78,IF(AF76=2,AE79,AE80)),AE77,AE76))</f>
        <v>0</v>
      </c>
      <c r="AQ81" s="118"/>
      <c r="AR81" s="118"/>
    </row>
    <row r="82" spans="1:44" ht="15" customHeight="1" x14ac:dyDescent="0.2">
      <c r="A82" s="255"/>
      <c r="N82" s="255"/>
      <c r="O82" s="273"/>
      <c r="P82" s="255"/>
      <c r="Q82" s="255"/>
      <c r="R82" s="255"/>
      <c r="S82" s="255"/>
      <c r="T82" s="255"/>
      <c r="U82" s="255"/>
      <c r="V82" s="255"/>
      <c r="W82" s="255"/>
      <c r="Z82" s="118"/>
      <c r="AB82" s="118"/>
      <c r="AQ82" s="118"/>
      <c r="AR82" s="118"/>
    </row>
    <row r="83" spans="1:44" ht="15" customHeight="1" x14ac:dyDescent="0.2">
      <c r="A83" s="255"/>
      <c r="N83" s="255"/>
      <c r="O83" s="273"/>
      <c r="P83" s="255"/>
      <c r="Q83" s="255"/>
      <c r="R83" s="255"/>
      <c r="S83" s="255"/>
      <c r="T83" s="255"/>
      <c r="U83" s="255"/>
      <c r="V83" s="255"/>
      <c r="W83" s="255"/>
      <c r="Z83" s="118"/>
      <c r="AB83" s="118"/>
      <c r="AQ83" s="118"/>
      <c r="AR83" s="118"/>
    </row>
    <row r="84" spans="1:44" ht="15" customHeight="1" x14ac:dyDescent="0.2">
      <c r="A84" s="255"/>
      <c r="N84" s="255"/>
      <c r="O84" s="255"/>
      <c r="P84" s="255"/>
      <c r="Q84" s="255"/>
      <c r="R84" s="255"/>
      <c r="S84" s="255"/>
      <c r="T84" s="255"/>
      <c r="U84" s="255"/>
      <c r="V84" s="255"/>
      <c r="W84" s="255"/>
      <c r="Z84" s="118"/>
      <c r="AB84" s="118"/>
      <c r="AQ84" s="118"/>
      <c r="AR84" s="118"/>
    </row>
    <row r="85" spans="1:44" s="118" customFormat="1" ht="15" customHeight="1" x14ac:dyDescent="0.2">
      <c r="A85" s="255"/>
      <c r="N85" s="255"/>
      <c r="O85" s="255"/>
      <c r="P85" s="255"/>
      <c r="Q85" s="255"/>
      <c r="R85" s="255"/>
      <c r="S85" s="255"/>
      <c r="T85" s="255"/>
      <c r="U85" s="255"/>
      <c r="V85" s="255"/>
      <c r="W85" s="255"/>
      <c r="X85" s="37"/>
      <c r="Y85" s="37"/>
      <c r="AA85" s="37"/>
      <c r="AC85" s="37"/>
      <c r="AD85" s="37"/>
      <c r="AE85" s="37"/>
      <c r="AF85" s="37"/>
      <c r="AG85" s="37"/>
      <c r="AH85" s="37"/>
      <c r="AJ85" s="203"/>
      <c r="AK85" s="203"/>
      <c r="AL85" s="108"/>
      <c r="AM85" s="108"/>
      <c r="AN85" s="108"/>
      <c r="AO85" s="137"/>
      <c r="AP85" s="137"/>
    </row>
    <row r="86" spans="1:44" s="118" customFormat="1" ht="15" customHeight="1" x14ac:dyDescent="0.2">
      <c r="A86" s="255"/>
      <c r="N86" s="248"/>
      <c r="O86" s="248"/>
      <c r="P86" s="248"/>
      <c r="Q86" s="255"/>
      <c r="R86" s="1148" t="str">
        <f>D20</f>
        <v xml:space="preserve"> </v>
      </c>
      <c r="S86" s="1149"/>
      <c r="T86" s="1150"/>
      <c r="U86" s="255"/>
      <c r="V86" s="255"/>
      <c r="W86" s="255"/>
      <c r="X86" s="37"/>
      <c r="AA86" s="37"/>
      <c r="AC86" s="37"/>
      <c r="AD86" s="209"/>
      <c r="AE86" s="601" t="s">
        <v>68</v>
      </c>
      <c r="AF86" s="601" t="s">
        <v>69</v>
      </c>
      <c r="AG86" s="601" t="s">
        <v>70</v>
      </c>
      <c r="AH86" s="37"/>
      <c r="AJ86" s="203"/>
      <c r="AK86" s="203"/>
      <c r="AL86" s="108"/>
      <c r="AM86" s="108"/>
      <c r="AN86" s="108"/>
      <c r="AO86" s="137"/>
      <c r="AP86" s="137"/>
    </row>
    <row r="87" spans="1:44" s="118" customFormat="1" ht="15" customHeight="1" x14ac:dyDescent="0.2">
      <c r="A87" s="255"/>
      <c r="N87" s="1138" t="str">
        <f>ListAVS!$B$74&amp;" KB [mm]       "</f>
        <v xml:space="preserve">Szerokość korpusu KB [mm]       </v>
      </c>
      <c r="O87" s="1139"/>
      <c r="P87" s="1139"/>
      <c r="Q87" s="1139"/>
      <c r="R87" s="1139"/>
      <c r="S87" s="1140"/>
      <c r="T87" s="829">
        <f>H21</f>
        <v>0</v>
      </c>
      <c r="U87" s="670"/>
      <c r="V87" s="255"/>
      <c r="W87" s="255"/>
      <c r="X87" s="37"/>
      <c r="Y87" s="37">
        <f>T87*T88*T89</f>
        <v>0</v>
      </c>
      <c r="Z87" s="37"/>
      <c r="AA87" s="37"/>
      <c r="AC87" s="37"/>
      <c r="AD87" s="325">
        <f>IF($AG$76=1,$X$95,$X$96)</f>
        <v>0.62</v>
      </c>
      <c r="AE87" s="339">
        <f>$X$97</f>
        <v>0.61</v>
      </c>
      <c r="AF87" s="333">
        <f>$AF$76</f>
        <v>1</v>
      </c>
      <c r="AG87" s="328">
        <f>$AG$76</f>
        <v>1</v>
      </c>
      <c r="AH87" s="37"/>
      <c r="AJ87" s="203"/>
      <c r="AK87" s="203"/>
      <c r="AL87" s="108"/>
      <c r="AM87" s="108"/>
      <c r="AN87" s="108"/>
      <c r="AO87" s="137"/>
      <c r="AP87" s="137"/>
    </row>
    <row r="88" spans="1:44" s="118" customFormat="1" ht="15" customHeight="1" x14ac:dyDescent="0.2">
      <c r="A88" s="255"/>
      <c r="N88" s="1138" t="str">
        <f>ListAVS!$B$75&amp;" KH [mm]       "</f>
        <v xml:space="preserve">Wysokość korpusu KH [mm]       </v>
      </c>
      <c r="O88" s="1139"/>
      <c r="P88" s="1139"/>
      <c r="Q88" s="1139"/>
      <c r="R88" s="1139"/>
      <c r="S88" s="1140"/>
      <c r="T88" s="829">
        <f>H22</f>
        <v>0</v>
      </c>
      <c r="U88" s="670"/>
      <c r="V88" s="255"/>
      <c r="W88" s="255"/>
      <c r="X88" s="37"/>
      <c r="Y88" s="37">
        <f>Y87/1000000000</f>
        <v>0</v>
      </c>
      <c r="Z88" s="182">
        <f>Z77</f>
        <v>1</v>
      </c>
      <c r="AC88" s="37"/>
      <c r="AD88" s="144" t="s">
        <v>71</v>
      </c>
      <c r="AE88" s="209">
        <f>SUM(T87*2,(T88-90)*2)*AD87/1000</f>
        <v>-0.11159999999999999</v>
      </c>
      <c r="AF88" s="601" t="s">
        <v>72</v>
      </c>
      <c r="AG88" s="601"/>
      <c r="AH88" s="37"/>
      <c r="AJ88" s="37"/>
      <c r="AK88" s="37"/>
      <c r="AL88" s="108"/>
      <c r="AM88" s="108"/>
      <c r="AN88" s="108"/>
      <c r="AO88" s="137"/>
      <c r="AP88" s="137"/>
    </row>
    <row r="89" spans="1:44" s="118" customFormat="1" ht="15" customHeight="1" x14ac:dyDescent="0.2">
      <c r="A89" s="255"/>
      <c r="N89" s="1173" t="str">
        <f>ListAVS!$B$80&amp;" TS [mm] "</f>
        <v xml:space="preserve">Grubość frontu TS [mm] </v>
      </c>
      <c r="O89" s="1174"/>
      <c r="P89" s="1174"/>
      <c r="Q89" s="1174"/>
      <c r="R89" s="1174"/>
      <c r="S89" s="1175"/>
      <c r="T89" s="829"/>
      <c r="U89" s="227"/>
      <c r="V89" s="248"/>
      <c r="W89" s="248"/>
      <c r="X89" s="37"/>
      <c r="Y89" s="319">
        <f>$Y$78</f>
        <v>760</v>
      </c>
      <c r="Z89" s="37" t="str">
        <f>$Z$78</f>
        <v>MDF (760 kg/m3)</v>
      </c>
      <c r="AC89" s="37"/>
      <c r="AD89" s="37">
        <f>AD78</f>
        <v>10</v>
      </c>
      <c r="AE89" s="330">
        <f>IF($AG$76=1,AF89*AD89,AG89*AD89)</f>
        <v>6.4000000000000001E-2</v>
      </c>
      <c r="AF89" s="209">
        <f>SUM(($T$87-80)*($T$88-80)/1000000)</f>
        <v>6.4000000000000003E-3</v>
      </c>
      <c r="AG89" s="209">
        <f>SUM(($T$87-6)*($T$88-6)/1000000)</f>
        <v>3.6000000000000001E-5</v>
      </c>
      <c r="AH89" s="208" t="s">
        <v>73</v>
      </c>
      <c r="AJ89" s="37"/>
      <c r="AK89" s="37"/>
      <c r="AL89" s="108"/>
      <c r="AM89" s="108"/>
      <c r="AN89" s="108"/>
      <c r="AO89" s="137"/>
      <c r="AP89" s="137"/>
    </row>
    <row r="90" spans="1:44" s="118" customFormat="1" ht="15" customHeight="1" x14ac:dyDescent="0.2">
      <c r="A90" s="255"/>
      <c r="N90" s="1143" t="str">
        <f>ListAVS!$B$83&amp;" [kg] "</f>
        <v xml:space="preserve">Waga uchwytu [kg] </v>
      </c>
      <c r="O90" s="1144"/>
      <c r="P90" s="1144"/>
      <c r="Q90" s="1144"/>
      <c r="R90" s="1144"/>
      <c r="S90" s="1145"/>
      <c r="T90" s="831">
        <f>H25</f>
        <v>0</v>
      </c>
      <c r="U90" s="256" t="str">
        <f>IF($U$27=3," ",IF(SUM(T87,T88)=0," ",IF(T90=0," ● "&amp;ListAVS!$B$130," ")))</f>
        <v xml:space="preserve"> </v>
      </c>
      <c r="V90" s="248"/>
      <c r="W90" s="248"/>
      <c r="X90" s="37"/>
      <c r="Y90" s="319">
        <f>$Y$79</f>
        <v>680</v>
      </c>
      <c r="Z90" s="37" t="str">
        <f>$Z$79</f>
        <v>Płyta wiórowa (680 kg/m3)</v>
      </c>
      <c r="AC90" s="37"/>
      <c r="AD90" s="37">
        <f>AD79</f>
        <v>12.5</v>
      </c>
      <c r="AE90" s="330">
        <f>IF($AG$76=1,AF90*AD90,AG90*AD90)</f>
        <v>0.08</v>
      </c>
      <c r="AF90" s="209">
        <f>SUM(($T$87-80)*($T$88-80)/1000000)</f>
        <v>6.4000000000000003E-3</v>
      </c>
      <c r="AG90" s="209">
        <f>SUM(($T$87-6)*($T$88-6)/1000000)</f>
        <v>3.6000000000000001E-5</v>
      </c>
      <c r="AH90" s="208" t="s">
        <v>74</v>
      </c>
      <c r="AJ90" s="37"/>
      <c r="AK90" s="37"/>
      <c r="AL90" s="108"/>
      <c r="AM90" s="108"/>
      <c r="AN90" s="108"/>
      <c r="AO90" s="137"/>
      <c r="AP90" s="137"/>
    </row>
    <row r="91" spans="1:44" s="118" customFormat="1" ht="15" customHeight="1" x14ac:dyDescent="0.2">
      <c r="A91" s="255"/>
      <c r="N91" s="1143" t="str">
        <f>ListAVS!$B$79&amp;" [kg] "</f>
        <v xml:space="preserve">Obliczona waga frontu [kg] </v>
      </c>
      <c r="O91" s="1144"/>
      <c r="P91" s="1144"/>
      <c r="Q91" s="1144"/>
      <c r="R91" s="1144"/>
      <c r="S91" s="1145"/>
      <c r="T91" s="534">
        <f>IF(AD92=0,0,AD92+2*T90)</f>
        <v>0</v>
      </c>
      <c r="U91" s="227"/>
      <c r="V91" s="248"/>
      <c r="W91" s="248"/>
      <c r="X91" s="186">
        <f>IF(T87*T88*T89=0,0,IF(Z88=1,Y88*Y89,IF(Z88=2,Y88*Y90,Y88*Y91)))</f>
        <v>0</v>
      </c>
      <c r="Y91" s="37">
        <f>$Y$80</f>
        <v>0</v>
      </c>
      <c r="Z91" s="37" t="str">
        <f>$Z$80</f>
        <v>Inne – wybrana gęstość materiału</v>
      </c>
      <c r="AC91" s="37"/>
      <c r="AD91" s="340">
        <f>AD80</f>
        <v>0</v>
      </c>
      <c r="AE91" s="330">
        <f>IF($AG$76=1,AF91*AD91,AG91*AD91)</f>
        <v>0</v>
      </c>
      <c r="AF91" s="209">
        <f>SUM(($T$87-80)*($T$88-80)/1000000)</f>
        <v>6.4000000000000003E-3</v>
      </c>
      <c r="AG91" s="209">
        <f>SUM(($T$87-6)*($T$88-6)/1000000)</f>
        <v>3.6000000000000001E-5</v>
      </c>
      <c r="AH91" s="208" t="s">
        <v>75</v>
      </c>
      <c r="AJ91" s="37"/>
      <c r="AK91" s="37"/>
      <c r="AL91" s="108"/>
      <c r="AM91" s="108"/>
      <c r="AN91" s="108"/>
      <c r="AO91" s="137"/>
      <c r="AP91" s="137"/>
    </row>
    <row r="92" spans="1:44" s="118" customFormat="1" ht="15" customHeight="1" x14ac:dyDescent="0.2">
      <c r="A92" s="255"/>
      <c r="N92" s="255"/>
      <c r="O92" s="273" t="str">
        <f>IF((U27=3)*AND(T91&gt;0)*AND(T90&gt;0),$Z$96&amp;" "&amp;$Z$97,IF((U27&lt;&gt;3)*AND(T91&gt;0),IF(T90=0,$Z$95," ")," "))</f>
        <v xml:space="preserve"> </v>
      </c>
      <c r="P92" s="255"/>
      <c r="Q92" s="255"/>
      <c r="R92" s="255"/>
      <c r="S92" s="255"/>
      <c r="T92" s="255"/>
      <c r="U92" s="255"/>
      <c r="V92" s="255"/>
      <c r="W92" s="255"/>
      <c r="X92" s="37"/>
      <c r="Y92" s="37"/>
      <c r="AA92" s="37"/>
      <c r="AC92" s="37"/>
      <c r="AD92" s="332">
        <f>IF(OR(AND(AF87=3, $T$70=0), T87*T88=0), 0, SUM(IF(AF87=1,AE89,IF(AF87=2,AE90,AE91)),AE88,AE87))</f>
        <v>0</v>
      </c>
      <c r="AE92" s="37"/>
      <c r="AF92" s="37"/>
      <c r="AG92" s="37"/>
      <c r="AH92" s="37"/>
      <c r="AJ92" s="37"/>
      <c r="AK92" s="37"/>
      <c r="AL92" s="108"/>
      <c r="AM92" s="108"/>
      <c r="AN92" s="108"/>
      <c r="AO92" s="137"/>
      <c r="AP92" s="137"/>
    </row>
    <row r="93" spans="1:44" s="118" customFormat="1" ht="15" customHeight="1" x14ac:dyDescent="0.2">
      <c r="A93" s="255"/>
      <c r="N93" s="255"/>
      <c r="O93" s="255"/>
      <c r="P93" s="255"/>
      <c r="Q93" s="255"/>
      <c r="R93" s="255"/>
      <c r="S93" s="255"/>
      <c r="T93" s="255"/>
      <c r="U93" s="255"/>
      <c r="V93" s="255"/>
      <c r="W93" s="255"/>
      <c r="X93" s="37"/>
      <c r="Y93" s="37"/>
      <c r="AA93" s="37"/>
      <c r="AC93" s="37"/>
      <c r="AD93" s="37"/>
      <c r="AE93" s="37"/>
      <c r="AF93" s="37"/>
      <c r="AG93" s="37"/>
      <c r="AH93" s="37"/>
      <c r="AJ93" s="37"/>
      <c r="AK93" s="37"/>
      <c r="AL93" s="108"/>
      <c r="AM93" s="108"/>
      <c r="AN93" s="108"/>
      <c r="AO93" s="137"/>
      <c r="AP93" s="137"/>
    </row>
    <row r="94" spans="1:44" s="118" customFormat="1" ht="15" customHeight="1" x14ac:dyDescent="0.2">
      <c r="A94" s="255"/>
      <c r="N94" s="255"/>
      <c r="O94" s="255"/>
      <c r="P94" s="255"/>
      <c r="Q94" s="255"/>
      <c r="R94" s="255"/>
      <c r="S94" s="255"/>
      <c r="T94" s="255"/>
      <c r="U94" s="255"/>
      <c r="V94" s="255"/>
      <c r="W94" s="255"/>
      <c r="X94" s="37"/>
      <c r="Y94" s="37"/>
      <c r="AA94" s="37"/>
      <c r="AC94" s="37"/>
      <c r="AD94" s="37"/>
      <c r="AE94" s="37"/>
      <c r="AF94" s="37"/>
      <c r="AG94" s="37"/>
      <c r="AH94" s="37"/>
      <c r="AJ94" s="37"/>
      <c r="AK94" s="37"/>
      <c r="AL94" s="108"/>
      <c r="AM94" s="108"/>
      <c r="AN94" s="108"/>
      <c r="AO94" s="137"/>
      <c r="AP94" s="137"/>
    </row>
    <row r="95" spans="1:44" s="118" customFormat="1" ht="15" customHeight="1" x14ac:dyDescent="0.2">
      <c r="A95" s="255"/>
      <c r="N95" s="255"/>
      <c r="O95" s="255"/>
      <c r="P95" s="255"/>
      <c r="Q95" s="255"/>
      <c r="R95" s="255"/>
      <c r="S95" s="255"/>
      <c r="T95" s="255"/>
      <c r="U95" s="255"/>
      <c r="V95" s="255"/>
      <c r="W95" s="816" t="str">
        <f>ListAVS!$B$422&amp;"  "</f>
        <v xml:space="preserve">z wpuszczanym szkłem  </v>
      </c>
      <c r="X95" s="711">
        <f>MenuAVS!$I$86</f>
        <v>0.62</v>
      </c>
      <c r="Y95" s="37"/>
      <c r="Z95" s="37" t="str">
        <f>ListAVS!$B$103&amp;"!"</f>
        <v>Bez wagi uchwytu!</v>
      </c>
      <c r="AA95" s="37"/>
      <c r="AC95" s="37"/>
      <c r="AD95" s="37"/>
      <c r="AE95" s="37"/>
      <c r="AF95" s="335" t="str">
        <f>ListAVS!$B$93</f>
        <v>Ramki aluminiowe z 4mm szkłem</v>
      </c>
      <c r="AG95" s="37"/>
      <c r="AH95" s="37"/>
      <c r="AJ95" s="37"/>
      <c r="AK95" s="37"/>
      <c r="AL95" s="108"/>
      <c r="AM95" s="108"/>
      <c r="AN95" s="108"/>
      <c r="AO95" s="137"/>
      <c r="AP95" s="137"/>
    </row>
    <row r="96" spans="1:44" s="118" customFormat="1" ht="15" customHeight="1" x14ac:dyDescent="0.2">
      <c r="A96" s="255"/>
      <c r="N96" s="255"/>
      <c r="O96" s="255"/>
      <c r="P96" s="255"/>
      <c r="Q96" s="255"/>
      <c r="R96" s="255"/>
      <c r="S96" s="255"/>
      <c r="T96" s="255"/>
      <c r="U96" s="255"/>
      <c r="V96" s="255"/>
      <c r="W96" s="816" t="str">
        <f>ListAVS!$B$423&amp;"  "</f>
        <v xml:space="preserve">ze szkłem nakładanym lub przyklejanym  </v>
      </c>
      <c r="X96" s="711">
        <f>MenuAVS!$I$87</f>
        <v>0.63</v>
      </c>
      <c r="Y96" s="37"/>
      <c r="Z96" s="37" t="str">
        <f>ListAVS!B104</f>
        <v>Na pewno masz uchwyt do wersji TIP-ON?</v>
      </c>
      <c r="AA96" s="37"/>
      <c r="AC96" s="37"/>
      <c r="AD96" s="37"/>
      <c r="AE96" s="37"/>
      <c r="AF96" s="335" t="str">
        <f>ListAVS!$B$94</f>
        <v>Ramki aluminiowe z 5mm szkłem</v>
      </c>
      <c r="AG96" s="37"/>
      <c r="AH96" s="37"/>
      <c r="AJ96" s="37"/>
      <c r="AK96" s="37"/>
      <c r="AL96" s="108"/>
      <c r="AM96" s="108"/>
      <c r="AN96" s="108"/>
      <c r="AO96" s="137"/>
      <c r="AP96" s="137"/>
    </row>
    <row r="97" spans="1:43" s="118" customFormat="1" ht="15" customHeight="1" x14ac:dyDescent="0.2">
      <c r="A97" s="255"/>
      <c r="N97" s="255"/>
      <c r="O97" s="255"/>
      <c r="P97" s="255"/>
      <c r="Q97" s="255"/>
      <c r="R97" s="255"/>
      <c r="S97" s="255"/>
      <c r="T97" s="255"/>
      <c r="U97" s="255"/>
      <c r="V97" s="255"/>
      <c r="W97" s="816" t="str">
        <f>ListAVS!$B$405&amp;" [kg/set] *  "</f>
        <v xml:space="preserve">Waga materiału łączącego  [kg/set] *  </v>
      </c>
      <c r="X97" s="711">
        <f>MenuAVS!$I$88</f>
        <v>0.61</v>
      </c>
      <c r="Y97" s="37"/>
      <c r="Z97" s="37" t="str">
        <f>ListAVS!B105&amp;"!"</f>
        <v>Jeśli nie wymaż wagę uchwytu!</v>
      </c>
      <c r="AA97" s="37"/>
      <c r="AC97" s="37"/>
      <c r="AD97" s="37"/>
      <c r="AE97" s="37"/>
      <c r="AF97" s="335" t="str">
        <f>ListAVS!$B$95</f>
        <v>Ramki aluminiowe z innym szkłem</v>
      </c>
      <c r="AG97" s="37"/>
      <c r="AH97" s="37"/>
      <c r="AJ97" s="37"/>
      <c r="AK97" s="37"/>
      <c r="AL97" s="108"/>
      <c r="AM97" s="108"/>
      <c r="AN97" s="108"/>
      <c r="AO97" s="137"/>
      <c r="AP97" s="137"/>
      <c r="AQ97" s="37"/>
    </row>
    <row r="98" spans="1:43" s="118" customFormat="1" ht="15" customHeight="1" x14ac:dyDescent="0.2">
      <c r="A98" s="255"/>
      <c r="N98" s="255"/>
      <c r="O98" s="255"/>
      <c r="P98" s="255"/>
      <c r="Q98" s="255"/>
      <c r="R98" s="255"/>
      <c r="S98" s="248"/>
      <c r="T98" s="248"/>
      <c r="U98" s="255"/>
      <c r="V98" s="255"/>
      <c r="W98" s="255"/>
      <c r="X98" s="37"/>
      <c r="Y98" s="37"/>
      <c r="AA98" s="37"/>
      <c r="AC98" s="37"/>
      <c r="AD98" s="37"/>
      <c r="AE98" s="37"/>
      <c r="AF98" s="37"/>
      <c r="AG98" s="37"/>
      <c r="AH98" s="37"/>
      <c r="AJ98" s="37"/>
      <c r="AK98" s="37"/>
      <c r="AL98" s="108"/>
      <c r="AM98" s="108"/>
      <c r="AN98" s="108"/>
      <c r="AO98" s="137"/>
      <c r="AP98" s="137"/>
      <c r="AQ98" s="37"/>
    </row>
    <row r="99" spans="1:43" x14ac:dyDescent="0.2">
      <c r="A99" s="1045"/>
    </row>
    <row r="100" spans="1:43" ht="18" x14ac:dyDescent="0.2">
      <c r="A100" s="1045"/>
      <c r="B100" s="308" t="s">
        <v>19</v>
      </c>
      <c r="C100" s="321"/>
      <c r="D100" s="308"/>
      <c r="E100" s="308"/>
      <c r="F100" s="308"/>
      <c r="G100" s="308"/>
      <c r="H100" s="308"/>
      <c r="I100" s="308"/>
      <c r="J100" s="308"/>
      <c r="K100" s="308"/>
      <c r="L100" s="308"/>
    </row>
    <row r="101" spans="1:43" x14ac:dyDescent="0.2">
      <c r="A101" s="1045"/>
    </row>
    <row r="102" spans="1:43" ht="15" customHeight="1" x14ac:dyDescent="0.2">
      <c r="A102" s="1045"/>
      <c r="B102" s="255" t="str">
        <f>ListAVS!$B$303</f>
        <v>Odpowiedni siłownik będzie określony za pomocą współczynnika mocy</v>
      </c>
      <c r="C102" s="255"/>
      <c r="D102" s="255"/>
      <c r="E102" s="255"/>
      <c r="F102" s="255"/>
      <c r="G102" s="255"/>
      <c r="H102" s="255"/>
      <c r="I102" s="255"/>
      <c r="J102" s="255"/>
      <c r="K102" s="255"/>
      <c r="L102" s="255"/>
    </row>
    <row r="103" spans="1:43" ht="15" customHeight="1" x14ac:dyDescent="0.2">
      <c r="A103" s="1045"/>
      <c r="B103" s="255" t="str">
        <f>ListAVS!$B$341</f>
        <v>Współczynnik mocy zależy od wagi frontu (wraz z podwójną wagą uchwytu) i od wysokości korpusu.</v>
      </c>
      <c r="C103" s="255"/>
      <c r="D103" s="255"/>
      <c r="E103" s="255"/>
      <c r="F103" s="255"/>
      <c r="G103" s="255"/>
      <c r="H103" s="255"/>
      <c r="I103" s="255"/>
      <c r="J103" s="255"/>
      <c r="K103" s="255"/>
      <c r="L103" s="255"/>
    </row>
    <row r="104" spans="1:43" ht="15" customHeight="1" x14ac:dyDescent="0.2">
      <c r="A104" s="1045"/>
      <c r="B104" s="255"/>
      <c r="C104" s="695"/>
      <c r="D104" s="695"/>
      <c r="E104" s="695"/>
      <c r="F104" s="695"/>
      <c r="G104" s="695"/>
      <c r="H104" s="695"/>
      <c r="I104" s="695"/>
      <c r="J104" s="695"/>
      <c r="K104" s="695"/>
      <c r="L104" s="695"/>
    </row>
    <row r="105" spans="1:43" ht="15" customHeight="1" x14ac:dyDescent="0.2">
      <c r="A105" s="1045"/>
      <c r="B105" s="696"/>
      <c r="C105" s="696"/>
      <c r="D105" s="696"/>
      <c r="E105" s="696"/>
      <c r="F105" s="696"/>
      <c r="G105" s="696"/>
      <c r="H105" s="696"/>
      <c r="I105" s="696"/>
      <c r="J105" s="696"/>
      <c r="K105" s="696"/>
      <c r="L105" s="696"/>
    </row>
    <row r="106" spans="1:43" ht="30" customHeight="1" x14ac:dyDescent="0.2">
      <c r="A106" s="1045"/>
      <c r="B106" s="746"/>
      <c r="C106" s="746"/>
      <c r="D106" s="698" t="str">
        <f>ListAVS!$B$86&amp;" = "</f>
        <v xml:space="preserve">Współczynnik mocy = </v>
      </c>
      <c r="E106" s="1068" t="str">
        <f>ListAVS!$B$342&amp;" [kg]"</f>
        <v>wysokość korpusu (KH) [mm] x waga frontu wraz z podwójną wagą uchwytu [kg]</v>
      </c>
      <c r="F106" s="1068"/>
      <c r="G106" s="1068"/>
      <c r="H106" s="1068"/>
      <c r="I106" s="1068"/>
      <c r="J106" s="1068"/>
      <c r="K106" s="1068"/>
      <c r="L106" s="1068"/>
    </row>
    <row r="107" spans="1:43" ht="15" customHeight="1" x14ac:dyDescent="0.2">
      <c r="A107" s="1045"/>
      <c r="B107" s="255"/>
      <c r="C107" s="255"/>
      <c r="D107" s="255"/>
      <c r="E107" s="255"/>
      <c r="F107" s="255"/>
      <c r="G107" s="255"/>
      <c r="H107" s="255"/>
      <c r="I107" s="255"/>
      <c r="J107" s="255"/>
      <c r="K107" s="255"/>
      <c r="L107" s="255"/>
    </row>
    <row r="108" spans="1:43" ht="15" customHeight="1" x14ac:dyDescent="0.2">
      <c r="A108" s="1045"/>
      <c r="B108" s="255"/>
      <c r="C108" s="255"/>
      <c r="D108" s="255"/>
      <c r="E108" s="255"/>
      <c r="F108" s="255"/>
      <c r="G108" s="255"/>
      <c r="H108" s="255"/>
      <c r="I108" s="255"/>
      <c r="J108" s="255"/>
      <c r="K108" s="255"/>
      <c r="L108" s="255"/>
    </row>
    <row r="109" spans="1:43" ht="15" customHeight="1" x14ac:dyDescent="0.2">
      <c r="A109" s="1045"/>
      <c r="B109" s="255"/>
      <c r="C109" s="255"/>
      <c r="D109" s="255"/>
      <c r="E109" s="255"/>
      <c r="F109" s="255"/>
      <c r="G109" s="255"/>
      <c r="H109" s="255"/>
      <c r="I109" s="255"/>
      <c r="J109" s="255"/>
      <c r="K109" s="255"/>
      <c r="L109" s="255"/>
    </row>
    <row r="110" spans="1:43" ht="15" customHeight="1" x14ac:dyDescent="0.2">
      <c r="A110" s="1045"/>
      <c r="B110" s="273"/>
      <c r="C110" s="255"/>
      <c r="D110" s="255"/>
      <c r="E110" s="255"/>
      <c r="F110" s="255"/>
      <c r="G110" s="255"/>
      <c r="H110" s="255"/>
      <c r="I110" s="255"/>
      <c r="J110" s="255"/>
      <c r="K110" s="255"/>
      <c r="L110" s="255"/>
    </row>
    <row r="111" spans="1:43" ht="15" customHeight="1" x14ac:dyDescent="0.2">
      <c r="A111" s="1045"/>
      <c r="B111" s="255"/>
      <c r="C111" s="255"/>
      <c r="D111" s="255"/>
      <c r="E111" s="255"/>
      <c r="F111" s="255"/>
      <c r="G111" s="255"/>
      <c r="H111" s="255"/>
      <c r="I111" s="255"/>
      <c r="J111" s="255"/>
      <c r="K111" s="255"/>
      <c r="L111" s="255"/>
    </row>
    <row r="112" spans="1:43" ht="15" customHeight="1" x14ac:dyDescent="0.2">
      <c r="A112" s="1045"/>
      <c r="B112" s="255" t="str">
        <f>ListAVS!$B$312</f>
        <v>Jeśli znasz wagę frontu, możesz ją wprowadzić, w przeciwnym razie skorzystaj z „Obliczenia wagi”.</v>
      </c>
      <c r="C112" s="255"/>
      <c r="D112" s="255"/>
      <c r="E112" s="255"/>
      <c r="F112" s="255"/>
      <c r="G112" s="255"/>
      <c r="H112" s="255"/>
      <c r="I112" s="255"/>
      <c r="J112" s="255"/>
      <c r="K112" s="255"/>
      <c r="L112" s="255"/>
    </row>
    <row r="113" spans="1:12" ht="15" customHeight="1" x14ac:dyDescent="0.2">
      <c r="A113" s="1045"/>
      <c r="B113" s="255" t="str">
        <f>ListAVS!$B$313</f>
        <v>W tabeli wprowadzona wartość ma pierwszeństwo aby skorzystać z wagi obliczeniowej, należy usunąć wprowadzoną wartość.</v>
      </c>
      <c r="C113" s="255"/>
      <c r="D113" s="255"/>
      <c r="E113" s="255"/>
      <c r="F113" s="255"/>
      <c r="G113" s="255"/>
      <c r="H113" s="255"/>
      <c r="I113" s="255"/>
      <c r="J113" s="255"/>
      <c r="K113" s="255"/>
      <c r="L113" s="255"/>
    </row>
    <row r="114" spans="1:12" ht="15" customHeight="1" x14ac:dyDescent="0.2">
      <c r="A114" s="1045"/>
      <c r="B114" s="255"/>
      <c r="C114" s="255"/>
      <c r="D114" s="255"/>
      <c r="E114" s="255"/>
      <c r="F114" s="255"/>
      <c r="G114" s="255"/>
      <c r="H114" s="255"/>
      <c r="I114" s="255"/>
      <c r="J114" s="255"/>
      <c r="K114" s="255"/>
      <c r="L114" s="255"/>
    </row>
    <row r="115" spans="1:12" ht="15" customHeight="1" x14ac:dyDescent="0.2">
      <c r="A115" s="1045"/>
      <c r="B115" s="255"/>
      <c r="C115" s="255"/>
      <c r="D115" s="255"/>
      <c r="E115" s="255"/>
      <c r="F115" s="255"/>
      <c r="G115" s="255"/>
      <c r="H115" s="255"/>
      <c r="I115" s="255"/>
      <c r="J115" s="255"/>
      <c r="K115" s="255"/>
      <c r="L115" s="255"/>
    </row>
    <row r="116" spans="1:12" ht="15" customHeight="1" x14ac:dyDescent="0.2">
      <c r="A116" s="1045"/>
      <c r="B116" s="255" t="str">
        <f>ListAVS!$B$306</f>
        <v>Aby zmienić kolor zaślepek przejdź do „Wprowadzenie do planowania”</v>
      </c>
      <c r="C116" s="255"/>
      <c r="D116" s="255"/>
      <c r="E116" s="255"/>
      <c r="F116" s="255"/>
      <c r="G116" s="255"/>
      <c r="H116" s="255"/>
      <c r="I116" s="255"/>
      <c r="J116" s="255"/>
      <c r="K116" s="255"/>
      <c r="L116" s="255"/>
    </row>
    <row r="117" spans="1:12" ht="15" customHeight="1" x14ac:dyDescent="0.2">
      <c r="A117" s="1045"/>
      <c r="B117" s="255"/>
      <c r="C117" s="255"/>
      <c r="D117" s="255"/>
      <c r="E117" s="255"/>
      <c r="F117" s="255"/>
      <c r="G117" s="255"/>
      <c r="H117" s="255"/>
      <c r="I117" s="255"/>
      <c r="J117" s="255"/>
      <c r="K117" s="255"/>
      <c r="L117" s="255"/>
    </row>
    <row r="118" spans="1:12" ht="15" customHeight="1" x14ac:dyDescent="0.2">
      <c r="A118" s="1045"/>
      <c r="B118" s="255" t="str">
        <f>ListAVS!$B$411</f>
        <v>Zwróć uwagę na wybór ramek aluminiowych</v>
      </c>
      <c r="C118" s="255"/>
      <c r="D118" s="255"/>
      <c r="E118" s="255"/>
      <c r="F118" s="255"/>
      <c r="G118" s="255"/>
      <c r="H118" s="255"/>
      <c r="I118" s="255"/>
      <c r="J118" s="255"/>
      <c r="K118" s="255"/>
      <c r="L118" s="255"/>
    </row>
    <row r="119" spans="1:12" ht="15" customHeight="1" x14ac:dyDescent="0.2">
      <c r="A119" s="1045"/>
      <c r="B119" s="255" t="str">
        <f>ListAVS!$B$412</f>
        <v>Wybierz, rodzaj, który lepiej pasuje do kształtu zastosowanej ramki aluminiowej.</v>
      </c>
      <c r="C119" s="255"/>
      <c r="D119" s="255"/>
      <c r="E119" s="255"/>
      <c r="F119" s="255"/>
      <c r="G119" s="255"/>
      <c r="H119" s="255"/>
      <c r="I119" s="255"/>
      <c r="J119" s="255"/>
      <c r="K119" s="255"/>
      <c r="L119" s="255"/>
    </row>
    <row r="120" spans="1:12" ht="15" customHeight="1" x14ac:dyDescent="0.2">
      <c r="A120" s="1045"/>
      <c r="B120" s="255" t="str">
        <f>ListAVS!$B$413</f>
        <v>Sposób mocowania szkła w ramkę znacząco wpływa na powierzchnię szkła, a co za tym idzie na jego wagę!</v>
      </c>
      <c r="C120" s="255"/>
      <c r="D120" s="255"/>
      <c r="E120" s="255"/>
      <c r="F120" s="255"/>
      <c r="G120" s="255"/>
      <c r="H120" s="255"/>
      <c r="I120" s="255"/>
      <c r="J120" s="255"/>
      <c r="K120" s="255"/>
      <c r="L120" s="255"/>
    </row>
    <row r="121" spans="1:12" ht="15" customHeight="1" x14ac:dyDescent="0.2">
      <c r="A121" s="1045"/>
      <c r="B121" s="255"/>
      <c r="C121" s="255"/>
      <c r="D121" s="255"/>
      <c r="E121" s="255"/>
      <c r="F121" s="255"/>
      <c r="G121" s="255"/>
      <c r="H121" s="255"/>
      <c r="I121" s="255"/>
      <c r="J121" s="255"/>
      <c r="K121" s="255"/>
      <c r="L121" s="255"/>
    </row>
    <row r="122" spans="1:12" ht="15" customHeight="1" x14ac:dyDescent="0.2">
      <c r="A122" s="1045"/>
      <c r="B122" s="255"/>
      <c r="C122" s="796" t="str">
        <f>"  "&amp;ListAVS!$B$422&amp;"  "</f>
        <v xml:space="preserve">  z wpuszczanym szkłem  </v>
      </c>
      <c r="D122" s="255"/>
      <c r="E122" s="255"/>
      <c r="F122" s="255"/>
      <c r="G122" s="255"/>
      <c r="H122" s="255"/>
      <c r="I122" s="255"/>
      <c r="J122" s="255"/>
      <c r="K122" s="255"/>
      <c r="L122" s="255"/>
    </row>
    <row r="123" spans="1:12" ht="15" customHeight="1" x14ac:dyDescent="0.2">
      <c r="A123" s="1045"/>
      <c r="B123" s="255"/>
      <c r="C123" s="266"/>
      <c r="D123" s="255"/>
      <c r="E123" s="255"/>
      <c r="F123" s="255"/>
      <c r="G123" s="255"/>
      <c r="H123" s="255"/>
      <c r="I123" s="255"/>
      <c r="J123" s="255"/>
      <c r="K123" s="255"/>
      <c r="L123" s="255"/>
    </row>
    <row r="124" spans="1:12" ht="15" customHeight="1" x14ac:dyDescent="0.2">
      <c r="A124" s="1045"/>
      <c r="B124" s="255"/>
      <c r="C124" s="796" t="str">
        <f>"  "&amp;ListAVS!$B$423&amp;"  "</f>
        <v xml:space="preserve">  ze szkłem nakładanym lub przyklejanym  </v>
      </c>
      <c r="D124" s="255"/>
      <c r="E124" s="255"/>
      <c r="F124" s="255"/>
      <c r="G124" s="255"/>
      <c r="H124" s="255"/>
      <c r="I124" s="255"/>
      <c r="J124" s="255"/>
      <c r="K124" s="255"/>
      <c r="L124" s="255"/>
    </row>
    <row r="125" spans="1:12" ht="15" customHeight="1" x14ac:dyDescent="0.2">
      <c r="A125" s="1045"/>
      <c r="B125" s="255"/>
      <c r="C125" s="255"/>
      <c r="D125" s="255"/>
      <c r="E125" s="255"/>
      <c r="F125" s="255"/>
      <c r="G125" s="255"/>
      <c r="H125" s="255"/>
      <c r="I125" s="255"/>
      <c r="J125" s="255"/>
      <c r="K125" s="255"/>
      <c r="L125" s="255"/>
    </row>
    <row r="126" spans="1:12" ht="15" customHeight="1" x14ac:dyDescent="0.2">
      <c r="A126" s="1045"/>
      <c r="B126" s="255"/>
      <c r="C126" s="255"/>
      <c r="D126" s="255"/>
      <c r="E126" s="255"/>
      <c r="F126" s="255"/>
      <c r="G126" s="255"/>
      <c r="H126" s="255"/>
      <c r="I126" s="255"/>
      <c r="J126" s="255"/>
      <c r="K126" s="255"/>
      <c r="L126" s="738" t="str">
        <f>ListAVS!$B$168</f>
        <v>Z powrotem</v>
      </c>
    </row>
    <row r="127" spans="1:12" ht="15" customHeight="1" x14ac:dyDescent="0.2">
      <c r="A127" s="1045"/>
      <c r="B127" s="255"/>
      <c r="C127" s="255"/>
      <c r="D127" s="255"/>
      <c r="E127" s="255"/>
      <c r="F127" s="255"/>
      <c r="G127" s="255"/>
      <c r="H127" s="255"/>
      <c r="I127" s="255"/>
      <c r="J127" s="255"/>
      <c r="K127" s="255"/>
      <c r="L127" s="255"/>
    </row>
    <row r="128" spans="1:12" ht="12.75" x14ac:dyDescent="0.2">
      <c r="A128" s="1045"/>
      <c r="B128" s="255"/>
      <c r="C128" s="255"/>
      <c r="D128" s="255"/>
      <c r="E128" s="255"/>
      <c r="F128" s="255"/>
      <c r="G128" s="255"/>
      <c r="H128" s="255"/>
      <c r="I128" s="255"/>
      <c r="J128" s="255"/>
      <c r="K128" s="255"/>
      <c r="L128" s="255"/>
    </row>
    <row r="129" spans="1:12" ht="12.75" x14ac:dyDescent="0.2">
      <c r="A129" s="1045"/>
      <c r="B129" s="255"/>
      <c r="C129" s="255"/>
      <c r="D129" s="255"/>
      <c r="E129" s="255"/>
      <c r="F129" s="255"/>
      <c r="G129" s="255"/>
      <c r="H129" s="255"/>
      <c r="I129" s="255"/>
      <c r="J129" s="255"/>
      <c r="K129" s="255"/>
      <c r="L129" s="255"/>
    </row>
    <row r="130" spans="1:12" x14ac:dyDescent="0.2">
      <c r="A130" s="1045"/>
    </row>
    <row r="131" spans="1:12" x14ac:dyDescent="0.2">
      <c r="A131" s="1045"/>
    </row>
    <row r="132" spans="1:12" x14ac:dyDescent="0.2">
      <c r="A132" s="1045"/>
    </row>
    <row r="133" spans="1:12" x14ac:dyDescent="0.2">
      <c r="A133" s="1045"/>
    </row>
    <row r="134" spans="1:12" x14ac:dyDescent="0.2">
      <c r="A134" s="1045"/>
    </row>
    <row r="135" spans="1:12" x14ac:dyDescent="0.2">
      <c r="A135" s="1045"/>
    </row>
    <row r="136" spans="1:12" x14ac:dyDescent="0.2">
      <c r="A136" s="1045"/>
    </row>
    <row r="137" spans="1:12" x14ac:dyDescent="0.2">
      <c r="A137" s="1045"/>
    </row>
    <row r="138" spans="1:12" x14ac:dyDescent="0.2">
      <c r="A138" s="1045"/>
    </row>
    <row r="139" spans="1:12" x14ac:dyDescent="0.2">
      <c r="A139" s="1045"/>
    </row>
    <row r="140" spans="1:12" x14ac:dyDescent="0.2">
      <c r="A140" s="1045"/>
    </row>
  </sheetData>
  <sheetProtection algorithmName="SHA-512" hashValue="VAuWHdwEukNafboYUsXWs21SxFWjEvYY+aiyUj0vDBSKtGpieVTA1bmVF1OZqP8+TpytNGEKZfsQp60xjGfxKg==" saltValue="tYOKcNc7pWNh5ZdZv9H9Yw==" spinCount="100000" sheet="1" objects="1" scenarios="1"/>
  <mergeCells count="54">
    <mergeCell ref="AQ18:AU19"/>
    <mergeCell ref="AQ20:AU21"/>
    <mergeCell ref="N89:S89"/>
    <mergeCell ref="N90:S90"/>
    <mergeCell ref="N91:S91"/>
    <mergeCell ref="N77:S77"/>
    <mergeCell ref="N78:S78"/>
    <mergeCell ref="R20:S20"/>
    <mergeCell ref="V20:W20"/>
    <mergeCell ref="V21:W21"/>
    <mergeCell ref="A99:A140"/>
    <mergeCell ref="E106:L106"/>
    <mergeCell ref="N79:S79"/>
    <mergeCell ref="N80:S80"/>
    <mergeCell ref="R86:T86"/>
    <mergeCell ref="N87:S87"/>
    <mergeCell ref="N88:S88"/>
    <mergeCell ref="B31:J33"/>
    <mergeCell ref="T30:U30"/>
    <mergeCell ref="R75:T75"/>
    <mergeCell ref="N76:S76"/>
    <mergeCell ref="B28:G28"/>
    <mergeCell ref="B22:G22"/>
    <mergeCell ref="B23:G23"/>
    <mergeCell ref="B27:C27"/>
    <mergeCell ref="D27:G27"/>
    <mergeCell ref="B20:C20"/>
    <mergeCell ref="F20:H20"/>
    <mergeCell ref="B24:C26"/>
    <mergeCell ref="D24:G24"/>
    <mergeCell ref="D25:G25"/>
    <mergeCell ref="D26:G26"/>
    <mergeCell ref="B21:G21"/>
    <mergeCell ref="AQ1:AT1"/>
    <mergeCell ref="K4:L5"/>
    <mergeCell ref="B17:G17"/>
    <mergeCell ref="B13:C15"/>
    <mergeCell ref="D13:G13"/>
    <mergeCell ref="D14:G14"/>
    <mergeCell ref="D15:G15"/>
    <mergeCell ref="B7:C7"/>
    <mergeCell ref="G7:H7"/>
    <mergeCell ref="B10:G10"/>
    <mergeCell ref="B16:C16"/>
    <mergeCell ref="D16:G16"/>
    <mergeCell ref="B12:G12"/>
    <mergeCell ref="V10:W10"/>
    <mergeCell ref="B11:G11"/>
    <mergeCell ref="B9:C9"/>
    <mergeCell ref="B2:D2"/>
    <mergeCell ref="R9:S9"/>
    <mergeCell ref="V9:W9"/>
    <mergeCell ref="F5:J5"/>
    <mergeCell ref="F9:H9"/>
  </mergeCells>
  <conditionalFormatting sqref="I24">
    <cfRule type="containsText" dxfId="174" priority="5" operator="containsText" text="Doplňte">
      <formula>NOT(ISERROR(SEARCH("Doplňte",I24)))</formula>
    </cfRule>
  </conditionalFormatting>
  <conditionalFormatting sqref="I23">
    <cfRule type="containsText" dxfId="173" priority="2" operator="containsText" text="Doplňte">
      <formula>NOT(ISERROR(SEARCH("Doplňte",I23)))</formula>
    </cfRule>
  </conditionalFormatting>
  <conditionalFormatting sqref="E9">
    <cfRule type="expression" dxfId="172" priority="69">
      <formula>$M$17&gt;0</formula>
    </cfRule>
  </conditionalFormatting>
  <conditionalFormatting sqref="I12">
    <cfRule type="expression" dxfId="171" priority="70">
      <formula>$M$17=0</formula>
    </cfRule>
    <cfRule type="containsText" dxfId="170" priority="71" operator="containsText" text="Doplňte">
      <formula>NOT(ISERROR(SEARCH("Doplňte",I12)))</formula>
    </cfRule>
  </conditionalFormatting>
  <conditionalFormatting sqref="E20">
    <cfRule type="expression" dxfId="169" priority="78">
      <formula>$M$28&gt;0</formula>
    </cfRule>
  </conditionalFormatting>
  <conditionalFormatting sqref="I23">
    <cfRule type="expression" dxfId="168" priority="79">
      <formula>$M$28=0</formula>
    </cfRule>
  </conditionalFormatting>
  <hyperlinks>
    <hyperlink ref="N76:S76" location="HKwa!H10" tooltip=" " display="HKwa!H10" xr:uid="{21D7237A-8416-40FF-BE72-F3CDDB128DAE}"/>
    <hyperlink ref="N77:S77" location="HKwa!H11" tooltip=" " display="HKwa!H11" xr:uid="{724D40FF-2CE6-424B-BD83-6436ADD6F62C}"/>
    <hyperlink ref="N87:S87" location="HKwa!H19" tooltip=" " display="HKwa!H19" xr:uid="{E0AAC97A-9965-40D9-B0E8-2872979507FC}"/>
    <hyperlink ref="N88:S88" location="HKwa!H20" tooltip=" " display="HKwa!H20" xr:uid="{3E41399F-5A23-4BCB-BA09-3DA8BAD18363}"/>
    <hyperlink ref="AN5" location="HKwa!A100" tooltip=" " display="HKwa!A100" xr:uid="{0D08C653-ADFF-4333-9D38-0ED3B34680FA}"/>
    <hyperlink ref="L126" location="HKwa!A1" tooltip=" " display="HKwa!A1" xr:uid="{38647632-5FDB-45F5-B216-810572E725C3}"/>
    <hyperlink ref="AN9" location="SumAVS!A1" tooltip=" " display="SumAVS!A1" xr:uid="{A112A9D1-4089-4211-B0A6-F1C5D921A095}"/>
    <hyperlink ref="AN10" location="OrdAVS!A1" tooltip=" " display="OrdAVS!A1" xr:uid="{928F1341-CCF8-49D4-A043-8756612AAEC3}"/>
    <hyperlink ref="AN7" location="AcsAVS!A1" tooltip=" " display="AcsAVS!A1" xr:uid="{AB4795CC-1AEF-49C8-B1C3-FEFE2F002B54}"/>
    <hyperlink ref="AN4" location="MenuAVS!A1" tooltip=" " display="MenuAVS!A1" xr:uid="{596CFB6E-C6EE-4704-8673-9B771E90B780}"/>
    <hyperlink ref="B2:C2" location="HK!A1" tooltip=" " display="AVENTOS HK top" xr:uid="{D89E1264-51A6-4EEF-AFF0-010B919741D1}"/>
  </hyperlinks>
  <pageMargins left="0.62992125984251968" right="0.23622047244094488" top="0.74803149606299213" bottom="0.74803149606299213" header="0.31496062992125984" footer="0.31496062992125984"/>
  <pageSetup paperSize="9" orientation="portrait" horizontalDpi="4294967293"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69985" r:id="rId4" name="Drop Down 1">
              <controlPr defaultSize="0" autoLine="0" autoPict="0">
                <anchor moveWithCells="1">
                  <from>
                    <xdr:col>3</xdr:col>
                    <xdr:colOff>9525</xdr:colOff>
                    <xdr:row>6</xdr:row>
                    <xdr:rowOff>9525</xdr:rowOff>
                  </from>
                  <to>
                    <xdr:col>5</xdr:col>
                    <xdr:colOff>571500</xdr:colOff>
                    <xdr:row>7</xdr:row>
                    <xdr:rowOff>0</xdr:rowOff>
                  </to>
                </anchor>
              </controlPr>
            </control>
          </mc:Choice>
        </mc:AlternateContent>
        <mc:AlternateContent xmlns:mc="http://schemas.openxmlformats.org/markup-compatibility/2006">
          <mc:Choice Requires="x14">
            <control shapeId="169987" r:id="rId5" name="Drop Down 3">
              <controlPr defaultSize="0" autoLine="0" autoPict="0">
                <anchor moveWithCells="1">
                  <from>
                    <xdr:col>1</xdr:col>
                    <xdr:colOff>0</xdr:colOff>
                    <xdr:row>9</xdr:row>
                    <xdr:rowOff>0</xdr:rowOff>
                  </from>
                  <to>
                    <xdr:col>2</xdr:col>
                    <xdr:colOff>571500</xdr:colOff>
                    <xdr:row>10</xdr:row>
                    <xdr:rowOff>0</xdr:rowOff>
                  </to>
                </anchor>
              </controlPr>
            </control>
          </mc:Choice>
        </mc:AlternateContent>
        <mc:AlternateContent xmlns:mc="http://schemas.openxmlformats.org/markup-compatibility/2006">
          <mc:Choice Requires="x14">
            <control shapeId="169988" r:id="rId6" name="Drop Down 4">
              <controlPr defaultSize="0" autoLine="0" autoPict="0">
                <anchor moveWithCells="1">
                  <from>
                    <xdr:col>1</xdr:col>
                    <xdr:colOff>0</xdr:colOff>
                    <xdr:row>20</xdr:row>
                    <xdr:rowOff>0</xdr:rowOff>
                  </from>
                  <to>
                    <xdr:col>2</xdr:col>
                    <xdr:colOff>571500</xdr:colOff>
                    <xdr:row>21</xdr:row>
                    <xdr:rowOff>0</xdr:rowOff>
                  </to>
                </anchor>
              </controlPr>
            </control>
          </mc:Choice>
        </mc:AlternateContent>
        <mc:AlternateContent xmlns:mc="http://schemas.openxmlformats.org/markup-compatibility/2006">
          <mc:Choice Requires="x14">
            <control shapeId="169989" r:id="rId7" name="Option Button 5">
              <controlPr defaultSize="0" autoFill="0" autoLine="0" autoPict="0">
                <anchor moveWithCells="1">
                  <from>
                    <xdr:col>1</xdr:col>
                    <xdr:colOff>400050</xdr:colOff>
                    <xdr:row>5</xdr:row>
                    <xdr:rowOff>9525</xdr:rowOff>
                  </from>
                  <to>
                    <xdr:col>2</xdr:col>
                    <xdr:colOff>85725</xdr:colOff>
                    <xdr:row>5</xdr:row>
                    <xdr:rowOff>219075</xdr:rowOff>
                  </to>
                </anchor>
              </controlPr>
            </control>
          </mc:Choice>
        </mc:AlternateContent>
        <mc:AlternateContent xmlns:mc="http://schemas.openxmlformats.org/markup-compatibility/2006">
          <mc:Choice Requires="x14">
            <control shapeId="169990" r:id="rId8" name="Option Button 6">
              <controlPr defaultSize="0" autoFill="0" autoLine="0" autoPict="0">
                <anchor moveWithCells="1">
                  <from>
                    <xdr:col>3</xdr:col>
                    <xdr:colOff>390525</xdr:colOff>
                    <xdr:row>5</xdr:row>
                    <xdr:rowOff>19050</xdr:rowOff>
                  </from>
                  <to>
                    <xdr:col>4</xdr:col>
                    <xdr:colOff>66675</xdr:colOff>
                    <xdr:row>5</xdr:row>
                    <xdr:rowOff>247650</xdr:rowOff>
                  </to>
                </anchor>
              </controlPr>
            </control>
          </mc:Choice>
        </mc:AlternateContent>
        <mc:AlternateContent xmlns:mc="http://schemas.openxmlformats.org/markup-compatibility/2006">
          <mc:Choice Requires="x14">
            <control shapeId="169991" r:id="rId9" name="Drop Down 7">
              <controlPr defaultSize="0" autoLine="0" autoPict="0">
                <anchor moveWithCells="1">
                  <from>
                    <xdr:col>6</xdr:col>
                    <xdr:colOff>0</xdr:colOff>
                    <xdr:row>3</xdr:row>
                    <xdr:rowOff>0</xdr:rowOff>
                  </from>
                  <to>
                    <xdr:col>9</xdr:col>
                    <xdr:colOff>0</xdr:colOff>
                    <xdr:row>4</xdr:row>
                    <xdr:rowOff>0</xdr:rowOff>
                  </to>
                </anchor>
              </controlPr>
            </control>
          </mc:Choice>
        </mc:AlternateContent>
      </controls>
    </mc:Choice>
  </mc:AlternateConten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5B6B1-356B-4E39-A650-F85267061820}">
  <sheetPr codeName="Sheet48">
    <tabColor indexed="60"/>
  </sheetPr>
  <dimension ref="A1:AU140"/>
  <sheetViews>
    <sheetView showGridLines="0" showRowColHeaders="0" workbookViewId="0">
      <selection activeCell="B11" sqref="B11:G11"/>
    </sheetView>
  </sheetViews>
  <sheetFormatPr defaultColWidth="8.28515625" defaultRowHeight="12" x14ac:dyDescent="0.2"/>
  <cols>
    <col min="1" max="1" width="1.28515625" style="37" customWidth="1"/>
    <col min="2" max="9" width="8.5703125" style="37" customWidth="1"/>
    <col min="10" max="10" width="6.7109375" style="37" customWidth="1"/>
    <col min="11" max="11" width="10.42578125" style="37" customWidth="1"/>
    <col min="12" max="12" width="17.28515625" style="37" customWidth="1"/>
    <col min="13" max="14" width="6.42578125" style="37" hidden="1" customWidth="1"/>
    <col min="15" max="15" width="6.42578125" style="118" hidden="1" customWidth="1"/>
    <col min="16" max="16" width="6.42578125" style="37" hidden="1" customWidth="1"/>
    <col min="17" max="17" width="6" style="118" hidden="1" customWidth="1"/>
    <col min="18" max="18" width="6.42578125" style="37" hidden="1" customWidth="1"/>
    <col min="19" max="19" width="7.7109375" style="37" hidden="1" customWidth="1"/>
    <col min="20" max="20" width="9.5703125" style="37" hidden="1" customWidth="1"/>
    <col min="21" max="24" width="6.42578125" style="37" hidden="1" customWidth="1"/>
    <col min="25" max="25" width="37.28515625" style="37" hidden="1" customWidth="1"/>
    <col min="26" max="26" width="13.5703125" style="37" hidden="1" customWidth="1"/>
    <col min="27" max="29" width="6.7109375" style="37" hidden="1" customWidth="1"/>
    <col min="30" max="30" width="9.42578125" style="37" hidden="1" customWidth="1"/>
    <col min="31" max="34" width="6.7109375" style="37" hidden="1" customWidth="1"/>
    <col min="35" max="37" width="6.42578125" style="37" hidden="1" customWidth="1"/>
    <col min="38" max="38" width="3.28515625" style="108" hidden="1" customWidth="1"/>
    <col min="39" max="39" width="5.28515625" style="108" customWidth="1"/>
    <col min="40" max="40" width="23.42578125" style="108" customWidth="1"/>
    <col min="41" max="42" width="8.28515625" style="137"/>
    <col min="43" max="43" width="16" style="137" customWidth="1"/>
    <col min="44" max="45" width="19.7109375" style="137" customWidth="1"/>
    <col min="46" max="16384" width="8.28515625" style="137"/>
  </cols>
  <sheetData>
    <row r="1" spans="2:47" ht="4.5" customHeight="1" thickBot="1" x14ac:dyDescent="0.25">
      <c r="L1" s="137"/>
      <c r="AQ1" s="1121"/>
      <c r="AR1" s="1121"/>
      <c r="AS1" s="1121"/>
      <c r="AT1" s="1121"/>
    </row>
    <row r="2" spans="2:47" s="108" customFormat="1" ht="19.5" customHeight="1" thickBot="1" x14ac:dyDescent="0.25">
      <c r="B2" s="1048" t="s">
        <v>3</v>
      </c>
      <c r="C2" s="1048"/>
      <c r="D2" s="1048"/>
      <c r="E2" s="884"/>
      <c r="F2" s="884"/>
      <c r="G2" s="884"/>
      <c r="H2" s="884"/>
      <c r="I2" s="884"/>
      <c r="J2" s="884"/>
      <c r="K2" s="884"/>
      <c r="L2" s="884"/>
      <c r="O2" s="108" t="s">
        <v>64</v>
      </c>
      <c r="S2" s="117">
        <v>3</v>
      </c>
      <c r="AN2" s="379" t="str">
        <f>ListAVS!$B$153</f>
        <v>Przejdź do</v>
      </c>
    </row>
    <row r="3" spans="2:47" ht="3.75" customHeight="1" x14ac:dyDescent="0.2">
      <c r="B3" s="312"/>
      <c r="C3" s="306"/>
      <c r="D3" s="306"/>
      <c r="E3" s="306"/>
      <c r="F3" s="306"/>
      <c r="G3" s="306"/>
      <c r="H3" s="306"/>
      <c r="I3" s="306"/>
      <c r="J3" s="306"/>
      <c r="K3" s="306"/>
      <c r="L3" s="137"/>
      <c r="AL3" s="137"/>
    </row>
    <row r="4" spans="2:47" ht="16.149999999999999" customHeight="1" thickBot="1" x14ac:dyDescent="0.25">
      <c r="B4" s="313" t="str">
        <f>ListAVS!$B$22&amp;" ***"</f>
        <v>Wąska ramka aluminiowa ***</v>
      </c>
      <c r="C4" s="313"/>
      <c r="D4" s="266"/>
      <c r="E4" s="313"/>
      <c r="F4" s="269" t="str">
        <f>ListAVS!$B$180&amp;"  "</f>
        <v xml:space="preserve">Wykonanie frontów  </v>
      </c>
      <c r="G4" s="255"/>
      <c r="H4" s="255"/>
      <c r="I4" s="255"/>
      <c r="J4" s="260"/>
      <c r="K4" s="1188" t="str">
        <f>U70</f>
        <v xml:space="preserve"> </v>
      </c>
      <c r="L4" s="1188"/>
      <c r="O4" s="117">
        <v>1</v>
      </c>
      <c r="S4" s="37" t="str">
        <f>" "&amp;ListAVS!$B$41&amp;" A "</f>
        <v xml:space="preserve"> Cena za korpus A </v>
      </c>
      <c r="AL4" s="137"/>
      <c r="AN4" s="383" t="s">
        <v>77</v>
      </c>
    </row>
    <row r="5" spans="2:47" ht="16.149999999999999" customHeight="1" x14ac:dyDescent="0.2">
      <c r="B5" s="266"/>
      <c r="C5" s="313"/>
      <c r="D5" s="313"/>
      <c r="E5" s="313"/>
      <c r="F5" s="1016" t="str">
        <f>IF($AF$76&lt;&gt;3,$Y$71," ")&amp;"      "</f>
        <v xml:space="preserve"> Możesz zmienić wartości we Wstępie do planowania      </v>
      </c>
      <c r="G5" s="1016"/>
      <c r="H5" s="1016"/>
      <c r="I5" s="1016"/>
      <c r="J5" s="1016"/>
      <c r="K5" s="1188"/>
      <c r="L5" s="1188"/>
      <c r="O5" s="118" t="s">
        <v>65</v>
      </c>
      <c r="S5" s="37" t="str">
        <f>" "&amp;ListAVS!$B$41&amp;" B "</f>
        <v xml:space="preserve"> Cena za korpus B </v>
      </c>
      <c r="AL5" s="137"/>
      <c r="AN5" s="634" t="str">
        <f>" "&amp;ListAVS!$B$155</f>
        <v xml:space="preserve"> Pomoc</v>
      </c>
    </row>
    <row r="6" spans="2:47" ht="22.5" customHeight="1" x14ac:dyDescent="0.2">
      <c r="B6" s="313"/>
      <c r="C6" s="313"/>
      <c r="D6" s="313"/>
      <c r="E6" s="313"/>
      <c r="F6" s="266"/>
      <c r="G6" s="434"/>
      <c r="H6" s="434"/>
      <c r="I6" s="434"/>
      <c r="J6" s="434"/>
      <c r="K6" s="434"/>
      <c r="L6" s="266"/>
      <c r="O6" s="323" t="s">
        <v>66</v>
      </c>
      <c r="S6" s="37" t="str">
        <f>" "&amp;ListAVS!$B$61</f>
        <v xml:space="preserve"> Cena całkowita bez VAT</v>
      </c>
      <c r="AL6" s="137"/>
      <c r="AN6" s="736"/>
    </row>
    <row r="7" spans="2:47" ht="16.149999999999999" customHeight="1" x14ac:dyDescent="0.2">
      <c r="B7" s="1059" t="str">
        <f>ListAVS!$B$51&amp;":   "</f>
        <v xml:space="preserve">Cena okucia:   </v>
      </c>
      <c r="C7" s="1060"/>
      <c r="D7" s="255"/>
      <c r="E7" s="266"/>
      <c r="F7" s="266"/>
      <c r="G7" s="1061">
        <f>IF(S2=1,$AF$48,IF($S$2=2,$AH$48,IF($S$2=3,$AD$48,0)))</f>
        <v>0</v>
      </c>
      <c r="H7" s="1062"/>
      <c r="I7" s="255"/>
      <c r="J7" s="255"/>
      <c r="K7" s="255"/>
      <c r="L7" s="255"/>
      <c r="Y7" s="156" t="str">
        <f>$B$2</f>
        <v>AVENTOS HK top</v>
      </c>
      <c r="Z7" s="157">
        <f>B5</f>
        <v>0</v>
      </c>
      <c r="AA7" s="157"/>
      <c r="AB7" s="157"/>
      <c r="AC7" s="157"/>
      <c r="AD7" s="158"/>
      <c r="AG7" s="118"/>
      <c r="AN7" s="675" t="str">
        <f>" "&amp;ListAVS!$B$160</f>
        <v xml:space="preserve"> Dodatki</v>
      </c>
    </row>
    <row r="8" spans="2:47" ht="25.15" customHeight="1" thickBot="1" x14ac:dyDescent="0.25">
      <c r="B8" s="255"/>
      <c r="C8" s="255"/>
      <c r="D8" s="255"/>
      <c r="E8" s="255"/>
      <c r="F8" s="255"/>
      <c r="G8" s="255"/>
      <c r="H8" s="579" t="str">
        <f>IF(AND(OR($U$16=2, $U$27=2), $AD$48&gt;0), $N$34, " ")</f>
        <v xml:space="preserve"> </v>
      </c>
      <c r="I8" s="255"/>
      <c r="J8" s="255"/>
      <c r="K8" s="255"/>
      <c r="L8" s="255"/>
      <c r="Y8" s="159" t="str">
        <f>ListAVS!B52</f>
        <v>Nazwa</v>
      </c>
      <c r="Z8" s="160" t="str">
        <f>ListAVS!$B$53</f>
        <v>Kod asortymentu</v>
      </c>
      <c r="AA8" s="161" t="str">
        <f>ListAVS!B54</f>
        <v>Kolor</v>
      </c>
      <c r="AB8" s="161" t="str">
        <f>ListAVS!B56</f>
        <v>Sztuka</v>
      </c>
      <c r="AC8" s="162" t="str">
        <f>ListAVS!B58</f>
        <v>Cena za sztukę</v>
      </c>
      <c r="AD8" s="161" t="str">
        <f>ListAVS!B59</f>
        <v>W sumie</v>
      </c>
      <c r="AE8" s="204" t="s">
        <v>29</v>
      </c>
      <c r="AF8" s="163" t="s">
        <v>30</v>
      </c>
      <c r="AG8" s="163" t="s">
        <v>31</v>
      </c>
      <c r="AH8" s="163" t="s">
        <v>30</v>
      </c>
      <c r="AN8" s="671"/>
      <c r="AQ8" s="950" t="str">
        <f>"  "&amp;ListAVS!$B$86&amp;" LF "</f>
        <v xml:space="preserve">  Współczynnik mocy LF </v>
      </c>
      <c r="AR8" s="953" t="str">
        <f>ListAVS!$B$84&amp;" "&amp;ListAVS!$B$350</f>
        <v>Mechanizm podnoszący wkręty</v>
      </c>
      <c r="AS8" s="953" t="str">
        <f>ListAVS!$B$84&amp;" "&amp;ListAVS!$B$351</f>
        <v>Mechanizm podnoszący wstępnie zamontowane eurowkręty</v>
      </c>
      <c r="AT8" s="266"/>
      <c r="AU8" s="266"/>
    </row>
    <row r="9" spans="2:47" ht="16.149999999999999" customHeight="1" thickBot="1" x14ac:dyDescent="0.25">
      <c r="B9" s="1051" t="str">
        <f>"▼ "&amp;ListAVS!$B$318</f>
        <v>▼ Sposób otwierania</v>
      </c>
      <c r="C9" s="1052"/>
      <c r="D9" s="406" t="str">
        <f>IF($M$17&gt;0, ListAVS!$B$37&amp;": ", " ")</f>
        <v xml:space="preserve"> </v>
      </c>
      <c r="E9" s="688" t="str">
        <f>IF(OR($AE$9&gt;0, $AE$13&gt;0), "23", IF(OR($AE$10&gt;0, $AE$14&gt;0), "25", IF(OR($AE$11&gt;0, $AE$15&gt;0), "27", IF(OR($AE$12&gt;0, $AE$16&gt;0), "29", IF(OR($AE$24&gt;0, $AE$28&gt;0), "23T", IF(OR($AE$25&gt;0, $AE$29&gt;0), "25T", IF(OR($AE$26&gt;0, $AE$30&gt;0), "27T", IF(OR($AE$27&gt;0, $AE$31&gt;0), "29T", " "))))))))</f>
        <v xml:space="preserve"> </v>
      </c>
      <c r="F9" s="1056" t="str">
        <f>ListAVS!$B$64&amp;" A"</f>
        <v>Korpus A</v>
      </c>
      <c r="G9" s="1057"/>
      <c r="H9" s="1058"/>
      <c r="I9" s="256"/>
      <c r="J9" s="255"/>
      <c r="K9" s="255"/>
      <c r="L9" s="255"/>
      <c r="N9" s="119"/>
      <c r="O9" s="132"/>
      <c r="P9" s="119"/>
      <c r="Q9" s="132"/>
      <c r="R9" s="1181" t="s">
        <v>89</v>
      </c>
      <c r="S9" s="1182"/>
      <c r="T9" s="747">
        <v>2000</v>
      </c>
      <c r="U9" s="748">
        <f>T9-1</f>
        <v>1999</v>
      </c>
      <c r="V9" s="1181" t="s">
        <v>90</v>
      </c>
      <c r="W9" s="1182"/>
      <c r="X9" s="749"/>
      <c r="Y9" s="164" t="str">
        <f>CenAVS!A54</f>
        <v xml:space="preserve">Aventos HK top słaby       </v>
      </c>
      <c r="Z9" s="164" t="str">
        <f>CenAVS!B54</f>
        <v>22K2300</v>
      </c>
      <c r="AA9" s="301" t="str">
        <f>CenAVS!C54</f>
        <v>ZN</v>
      </c>
      <c r="AB9" s="165">
        <f>SUM(AE9,AG9)</f>
        <v>0</v>
      </c>
      <c r="AC9" s="395">
        <f>CenAVS!F54</f>
        <v>161.11304000000001</v>
      </c>
      <c r="AD9" s="167">
        <f>AB9*AC9</f>
        <v>0</v>
      </c>
      <c r="AE9" s="407">
        <f>IF(AND($U$16&lt;&gt;3,$N$44=1),ROUNDUP(SUM(O11:P11)*$M$17,0),0)</f>
        <v>0</v>
      </c>
      <c r="AF9" s="168">
        <f t="shared" ref="AF9:AF37" si="0">$AC9*AE9</f>
        <v>0</v>
      </c>
      <c r="AG9" s="407">
        <f>IF(AND($U$27&lt;&gt;3,$N$44=1),ROUNDUP(SUM(O22:P22)*$M$28,0),0)</f>
        <v>0</v>
      </c>
      <c r="AH9" s="168">
        <f t="shared" ref="AH9:AH29" si="1">$AC9*AG9</f>
        <v>0</v>
      </c>
      <c r="AI9" s="749"/>
      <c r="AJ9" s="749"/>
      <c r="AK9" s="749"/>
      <c r="AN9" s="383" t="str">
        <f>" "&amp;ListAVS!$B$157</f>
        <v xml:space="preserve"> Rodzaje korpusów</v>
      </c>
      <c r="AQ9" s="949" t="s">
        <v>96</v>
      </c>
      <c r="AR9" s="753" t="s">
        <v>547</v>
      </c>
      <c r="AS9" s="753" t="s">
        <v>551</v>
      </c>
      <c r="AT9" s="255"/>
      <c r="AU9" s="255"/>
    </row>
    <row r="10" spans="2:47" s="37" customFormat="1" ht="16.149999999999999" customHeight="1" thickBot="1" x14ac:dyDescent="0.25">
      <c r="B10" s="1011" t="str">
        <f>ListAVS!$B$74&amp;" KB [mm] "</f>
        <v xml:space="preserve">Szerokość korpusu KB [mm] </v>
      </c>
      <c r="C10" s="1012"/>
      <c r="D10" s="1012"/>
      <c r="E10" s="1012"/>
      <c r="F10" s="1012"/>
      <c r="G10" s="1013"/>
      <c r="H10" s="435"/>
      <c r="I10" s="256" t="str">
        <f>IF($H10=0," ",IF($H10&lt;220," min. 220mm",IF($H10&gt;1800," max. 1 800mm"," ")))&amp;IF(H17&gt;0,IF(H10=0,"● "&amp;ListAVS!$B$129," ")," ")</f>
        <v xml:space="preserve">  </v>
      </c>
      <c r="J10" s="255"/>
      <c r="K10" s="255"/>
      <c r="L10" s="255"/>
      <c r="N10" s="198" t="s">
        <v>32</v>
      </c>
      <c r="O10" s="199" t="s">
        <v>91</v>
      </c>
      <c r="P10" s="200" t="s">
        <v>92</v>
      </c>
      <c r="Q10" s="119"/>
      <c r="R10" s="750" t="s">
        <v>93</v>
      </c>
      <c r="S10" s="750" t="s">
        <v>76</v>
      </c>
      <c r="T10" s="751" t="s">
        <v>94</v>
      </c>
      <c r="U10" s="751" t="s">
        <v>95</v>
      </c>
      <c r="V10" s="1183" t="b">
        <v>0</v>
      </c>
      <c r="W10" s="1184"/>
      <c r="X10" s="444"/>
      <c r="Y10" s="164" t="str">
        <f>CenAVS!A55</f>
        <v xml:space="preserve">Aventos HK top średni       </v>
      </c>
      <c r="Z10" s="164" t="str">
        <f>CenAVS!B55</f>
        <v>22K2500</v>
      </c>
      <c r="AA10" s="301" t="str">
        <f>CenAVS!C55</f>
        <v>ZN</v>
      </c>
      <c r="AB10" s="165">
        <f t="shared" ref="AB10:AB37" si="2">SUM(AE10,AG10)</f>
        <v>0</v>
      </c>
      <c r="AC10" s="395">
        <f>CenAVS!F55</f>
        <v>161.11304000000001</v>
      </c>
      <c r="AD10" s="167">
        <f t="shared" ref="AD10:AD44" si="3">AB10*AC10</f>
        <v>0</v>
      </c>
      <c r="AE10" s="407">
        <f>IF(AND($U$16&lt;&gt;3,$N$44=1),ROUNDUP(SUM(O12:P12)*$M$17,0),0)</f>
        <v>0</v>
      </c>
      <c r="AF10" s="168">
        <f t="shared" si="0"/>
        <v>0</v>
      </c>
      <c r="AG10" s="407">
        <f>IF(AND($U$27&lt;&gt;3,$N$44=1),ROUNDUP(SUM(O23:P23)*$M$28,0),0)</f>
        <v>0</v>
      </c>
      <c r="AH10" s="168">
        <f t="shared" si="1"/>
        <v>0</v>
      </c>
      <c r="AI10" s="444"/>
      <c r="AJ10" s="444"/>
      <c r="AK10" s="444"/>
      <c r="AL10" s="108"/>
      <c r="AM10" s="108"/>
      <c r="AN10" s="383" t="str">
        <f>" "&amp;ListAVS!$B$158</f>
        <v xml:space="preserve"> Zamówienie</v>
      </c>
      <c r="AO10" s="137"/>
      <c r="AP10" s="137"/>
      <c r="AQ10" s="949" t="s">
        <v>98</v>
      </c>
      <c r="AR10" s="753" t="s">
        <v>548</v>
      </c>
      <c r="AS10" s="753" t="s">
        <v>552</v>
      </c>
      <c r="AT10" s="255"/>
      <c r="AU10" s="255"/>
    </row>
    <row r="11" spans="2:47" s="37" customFormat="1" ht="16.149999999999999" customHeight="1" x14ac:dyDescent="0.2">
      <c r="B11" s="1011" t="str">
        <f>ListAVS!$B$75&amp;" KH [mm]  "</f>
        <v xml:space="preserve">Wysokość korpusu KH [mm]  </v>
      </c>
      <c r="C11" s="1012"/>
      <c r="D11" s="1012"/>
      <c r="E11" s="1012"/>
      <c r="F11" s="1012"/>
      <c r="G11" s="1013"/>
      <c r="H11" s="435"/>
      <c r="I11" s="256" t="str">
        <f>IF($H11=0," ",IF($H11&lt;205," min. 205 mm",IF($H11&gt;600," max. 600 mm"," ")))&amp;IF(H17&gt;0,IF(H11=0,"● "&amp;ListAVS!$B$129," ")," ")</f>
        <v xml:space="preserve">  </v>
      </c>
      <c r="J11" s="255"/>
      <c r="K11" s="255"/>
      <c r="L11" s="255"/>
      <c r="N11" s="119" t="s">
        <v>97</v>
      </c>
      <c r="O11" s="132">
        <f>IF($V$10=FALSE,IF($H$16&gt;R11,IF($H$16&lt;S11,1,0),0),0)</f>
        <v>0</v>
      </c>
      <c r="P11" s="132">
        <f>IF($V$10=TRUE,IF($H$16&gt;V11,IF($H$16&lt;W11,1.5,0),0),0)</f>
        <v>0</v>
      </c>
      <c r="Q11" s="119"/>
      <c r="R11" s="718">
        <v>419</v>
      </c>
      <c r="S11" s="718">
        <v>1200</v>
      </c>
      <c r="T11" s="752"/>
      <c r="U11" s="119"/>
      <c r="V11" s="718">
        <v>629</v>
      </c>
      <c r="W11" s="718">
        <v>1800</v>
      </c>
      <c r="X11" s="718"/>
      <c r="Y11" s="164" t="str">
        <f>CenAVS!A56</f>
        <v xml:space="preserve">Aventos HK top mocny       </v>
      </c>
      <c r="Z11" s="164" t="str">
        <f>CenAVS!B56</f>
        <v>22K2700</v>
      </c>
      <c r="AA11" s="301" t="str">
        <f>CenAVS!C56</f>
        <v>ZN</v>
      </c>
      <c r="AB11" s="165">
        <f t="shared" si="2"/>
        <v>0</v>
      </c>
      <c r="AC11" s="395">
        <f>CenAVS!F56</f>
        <v>161.90012999999999</v>
      </c>
      <c r="AD11" s="167">
        <f t="shared" si="3"/>
        <v>0</v>
      </c>
      <c r="AE11" s="407">
        <f>IF(AND($U$16&lt;&gt;3,$N$44=1),ROUNDUP(SUM(O13:P13)*$M$17,0),0)</f>
        <v>0</v>
      </c>
      <c r="AF11" s="168">
        <f t="shared" si="0"/>
        <v>0</v>
      </c>
      <c r="AG11" s="407">
        <f>IF(AND($U$27&lt;&gt;3,$N$44=1),ROUNDUP(SUM(O24:P24)*$M$28,0),0)</f>
        <v>0</v>
      </c>
      <c r="AH11" s="168">
        <f t="shared" si="1"/>
        <v>0</v>
      </c>
      <c r="AI11" s="718"/>
      <c r="AJ11" s="718"/>
      <c r="AK11" s="718"/>
      <c r="AL11" s="108"/>
      <c r="AM11" s="108"/>
      <c r="AN11" s="255"/>
      <c r="AO11" s="137"/>
      <c r="AP11" s="137"/>
      <c r="AQ11" s="949" t="s">
        <v>100</v>
      </c>
      <c r="AR11" s="753" t="s">
        <v>549</v>
      </c>
      <c r="AS11" s="753" t="s">
        <v>553</v>
      </c>
      <c r="AT11" s="255"/>
      <c r="AU11" s="255"/>
    </row>
    <row r="12" spans="2:47" s="37" customFormat="1" ht="16.149999999999999" customHeight="1" x14ac:dyDescent="0.2">
      <c r="B12" s="1011" t="str">
        <f>ListAVS!$B$78&amp;" [kg] ** "</f>
        <v xml:space="preserve">Waga frontu wraz z 2 uchwytami [kg] ** </v>
      </c>
      <c r="C12" s="1012"/>
      <c r="D12" s="1012"/>
      <c r="E12" s="1012"/>
      <c r="F12" s="1012"/>
      <c r="G12" s="1013"/>
      <c r="H12" s="258"/>
      <c r="I12" s="227" t="str">
        <f>IF($H17=0," ",IF(SUM($H12,$H15)=0,$N$35," "))&amp;IF(AND($H17&gt;0,$M17&gt;0), IF($H12&gt;0,$N$37," ")," ")</f>
        <v xml:space="preserve">  </v>
      </c>
      <c r="J12" s="255"/>
      <c r="K12" s="255"/>
      <c r="L12" s="255"/>
      <c r="N12" s="119" t="s">
        <v>99</v>
      </c>
      <c r="O12" s="132">
        <f>IF($V$10=FALSE,IF($H$16&gt;R12,IF($H$16&lt;S12,1,0),0),0)</f>
        <v>0</v>
      </c>
      <c r="P12" s="132">
        <f>IF($V$10=TRUE,IF($H$16&gt;V12,IF($H$16&lt;W12,1.5,0),0),0)</f>
        <v>0</v>
      </c>
      <c r="Q12" s="119"/>
      <c r="R12" s="718">
        <v>1200</v>
      </c>
      <c r="S12" s="718">
        <v>2200</v>
      </c>
      <c r="T12" s="752"/>
      <c r="U12" s="130"/>
      <c r="V12" s="718">
        <v>1800</v>
      </c>
      <c r="W12" s="718">
        <v>3300</v>
      </c>
      <c r="X12" s="718"/>
      <c r="Y12" s="164" t="str">
        <f>CenAVS!A57</f>
        <v xml:space="preserve">Aventos HK top najmocnieszy       </v>
      </c>
      <c r="Z12" s="164" t="str">
        <f>CenAVS!B57</f>
        <v>22K2900</v>
      </c>
      <c r="AA12" s="301" t="str">
        <f>CenAVS!C57</f>
        <v>ZN</v>
      </c>
      <c r="AB12" s="165">
        <f t="shared" si="2"/>
        <v>0</v>
      </c>
      <c r="AC12" s="395">
        <f>CenAVS!F57</f>
        <v>189.43150000000003</v>
      </c>
      <c r="AD12" s="167">
        <f t="shared" si="3"/>
        <v>0</v>
      </c>
      <c r="AE12" s="407">
        <f>IF(AND($U$16&lt;&gt;3,$N$44=1),ROUNDUP(SUM(O14:P14)*$M$17,0),0)</f>
        <v>0</v>
      </c>
      <c r="AF12" s="168">
        <f t="shared" si="0"/>
        <v>0</v>
      </c>
      <c r="AG12" s="407">
        <f>IF(AND($U$27&lt;&gt;3,$N$44=1),ROUNDUP(SUM(O25:P25)*$M$28,0),0)</f>
        <v>0</v>
      </c>
      <c r="AH12" s="168">
        <f t="shared" si="1"/>
        <v>0</v>
      </c>
      <c r="AI12" s="718"/>
      <c r="AJ12" s="718"/>
      <c r="AK12" s="718"/>
      <c r="AL12" s="108"/>
      <c r="AM12" s="108"/>
      <c r="AN12" s="670"/>
      <c r="AO12" s="137"/>
      <c r="AP12" s="137"/>
      <c r="AQ12" s="949" t="s">
        <v>102</v>
      </c>
      <c r="AR12" s="753" t="s">
        <v>550</v>
      </c>
      <c r="AS12" s="753" t="s">
        <v>554</v>
      </c>
      <c r="AT12" s="255"/>
      <c r="AU12" s="255"/>
    </row>
    <row r="13" spans="2:47" s="37" customFormat="1" ht="16.149999999999999" customHeight="1" x14ac:dyDescent="0.2">
      <c r="B13" s="1055" t="str">
        <f>ListAVS!$B$293</f>
        <v>Obliczenie wagi</v>
      </c>
      <c r="C13" s="1055"/>
      <c r="D13" s="1153" t="str">
        <f>ListAVS!$B$80&amp;" TS [mm] "</f>
        <v xml:space="preserve">Grubość frontu TS [mm] </v>
      </c>
      <c r="E13" s="1153"/>
      <c r="F13" s="1153"/>
      <c r="G13" s="1154"/>
      <c r="H13" s="259"/>
      <c r="I13" s="256"/>
      <c r="J13" s="255"/>
      <c r="K13" s="255"/>
      <c r="L13" s="255"/>
      <c r="N13" s="119" t="s">
        <v>101</v>
      </c>
      <c r="O13" s="132">
        <f>IF($V$10=FALSE,IF($H$16&gt;R13,IF($H$16&lt;S13,1,0),0),0)</f>
        <v>0</v>
      </c>
      <c r="P13" s="132">
        <f>IF($V$10=TRUE,IF($H$16&gt;V13,IF($H$16&lt;W13,1.5,0),0),0)</f>
        <v>0</v>
      </c>
      <c r="Q13" s="119"/>
      <c r="R13" s="718">
        <v>2200</v>
      </c>
      <c r="S13" s="718">
        <v>4200</v>
      </c>
      <c r="V13" s="718">
        <v>3300</v>
      </c>
      <c r="W13" s="718">
        <v>6300</v>
      </c>
      <c r="X13" s="718"/>
      <c r="Y13" s="164" t="str">
        <f>CenAVS!A58</f>
        <v xml:space="preserve">Aventos HK top słaby z eurowkrętami     </v>
      </c>
      <c r="Z13" s="164" t="str">
        <f>CenAVS!B58</f>
        <v>22K2310</v>
      </c>
      <c r="AA13" s="301" t="str">
        <f>CenAVS!C58</f>
        <v>ZN</v>
      </c>
      <c r="AB13" s="165">
        <f t="shared" si="2"/>
        <v>0</v>
      </c>
      <c r="AC13" s="395">
        <f>CenAVS!F58</f>
        <v>176.89797999999999</v>
      </c>
      <c r="AD13" s="167">
        <f t="shared" si="3"/>
        <v>0</v>
      </c>
      <c r="AE13" s="407">
        <f>IF(AND($U$16&lt;&gt;3,$N$44=2),ROUNDUP(SUM(O11:P11)*$M$17,0),0)</f>
        <v>0</v>
      </c>
      <c r="AF13" s="168">
        <f t="shared" si="0"/>
        <v>0</v>
      </c>
      <c r="AG13" s="407">
        <f>IF(AND($U$27&lt;&gt;3,$N$44=2),ROUNDUP(SUM(O22:P22)*$M$28,0),0)</f>
        <v>0</v>
      </c>
      <c r="AH13" s="168">
        <f t="shared" si="1"/>
        <v>0</v>
      </c>
      <c r="AI13" s="718"/>
      <c r="AJ13" s="718"/>
      <c r="AK13" s="718"/>
      <c r="AL13" s="108"/>
      <c r="AM13" s="108"/>
      <c r="AN13" s="670"/>
      <c r="AO13" s="137"/>
      <c r="AP13" s="137"/>
      <c r="AQ13" s="255"/>
      <c r="AR13" s="255"/>
      <c r="AS13" s="255"/>
      <c r="AT13" s="255"/>
      <c r="AU13" s="255"/>
    </row>
    <row r="14" spans="2:47" s="37" customFormat="1" ht="16.149999999999999" customHeight="1" x14ac:dyDescent="0.2">
      <c r="B14" s="1055"/>
      <c r="C14" s="1055"/>
      <c r="D14" s="1053" t="str">
        <f>ListAVS!$B$83&amp;" [kg] "</f>
        <v xml:space="preserve">Waga uchwytu [kg] </v>
      </c>
      <c r="E14" s="1053"/>
      <c r="F14" s="1053"/>
      <c r="G14" s="1054"/>
      <c r="H14" s="258"/>
      <c r="I14" s="256" t="str">
        <f>IF(OR(H17=0, $M17=0), " ", IF(AND(H12=0, U16=1, H14=0), " ● "&amp;ListAVS!$B$130," "))</f>
        <v xml:space="preserve"> </v>
      </c>
      <c r="J14" s="255"/>
      <c r="K14" s="255"/>
      <c r="L14" s="255"/>
      <c r="N14" s="119" t="s">
        <v>103</v>
      </c>
      <c r="O14" s="132">
        <f>IF($V$10=FALSE,IF($H$16&gt;R14,IF($H$16&lt;S14,1,0),0),0)</f>
        <v>0</v>
      </c>
      <c r="P14" s="132">
        <f>IF($V$10=TRUE,IF($H$16&gt;V14,IF($H$16&lt;W14,1.5,0),0),0)</f>
        <v>0</v>
      </c>
      <c r="Q14" s="119"/>
      <c r="R14" s="718">
        <v>4200</v>
      </c>
      <c r="S14" s="718">
        <v>9001</v>
      </c>
      <c r="V14" s="718">
        <v>6300</v>
      </c>
      <c r="W14" s="718">
        <v>13501</v>
      </c>
      <c r="X14" s="718"/>
      <c r="Y14" s="164" t="str">
        <f>CenAVS!A59</f>
        <v xml:space="preserve">Aventos HK top średni z eurowkrętami     </v>
      </c>
      <c r="Z14" s="164" t="str">
        <f>CenAVS!B59</f>
        <v>22K2510</v>
      </c>
      <c r="AA14" s="301" t="str">
        <f>CenAVS!C59</f>
        <v>ZN</v>
      </c>
      <c r="AB14" s="165">
        <f t="shared" si="2"/>
        <v>0</v>
      </c>
      <c r="AC14" s="395">
        <f>CenAVS!F59</f>
        <v>176.89797999999999</v>
      </c>
      <c r="AD14" s="167">
        <f t="shared" si="3"/>
        <v>0</v>
      </c>
      <c r="AE14" s="407">
        <f>IF(AND($U$16&lt;&gt;3,$N$44=2),ROUNDUP(SUM(O12:P12)*$M$17,0),0)</f>
        <v>0</v>
      </c>
      <c r="AF14" s="168">
        <f t="shared" si="0"/>
        <v>0</v>
      </c>
      <c r="AG14" s="407">
        <f>IF(AND($U$27&lt;&gt;3,$N$44=2),ROUNDUP(SUM(O23:P23)*$M$28,0),0)</f>
        <v>0</v>
      </c>
      <c r="AH14" s="168">
        <f t="shared" si="1"/>
        <v>0</v>
      </c>
      <c r="AI14" s="718"/>
      <c r="AJ14" s="718"/>
      <c r="AK14" s="718"/>
      <c r="AL14" s="108"/>
      <c r="AM14" s="108"/>
      <c r="AN14" s="670"/>
      <c r="AO14" s="137"/>
      <c r="AP14" s="137"/>
      <c r="AQ14" s="545" t="str">
        <f>ListAVS!$B$350&amp;" = "&amp;ListAVS!$B$352</f>
        <v>wkręty = podnośniki z zintegrowanym szablonem (nie ma potrzeby mierzenia)</v>
      </c>
    </row>
    <row r="15" spans="2:47" s="37" customFormat="1" ht="16.149999999999999" customHeight="1" x14ac:dyDescent="0.2">
      <c r="B15" s="1055"/>
      <c r="C15" s="1055"/>
      <c r="D15" s="1053" t="str">
        <f>ListAVS!$B$79&amp;" [kg] "</f>
        <v xml:space="preserve">Obliczona waga frontu [kg] </v>
      </c>
      <c r="E15" s="1053"/>
      <c r="F15" s="1053"/>
      <c r="G15" s="1054"/>
      <c r="H15" s="259">
        <f>$T$80</f>
        <v>0</v>
      </c>
      <c r="I15" s="227" t="str">
        <f>IF(AND($H17&gt;0,$M17&gt;0), IF($H15&gt;0,IF($H12=0,$N$37," ")," ")," ")</f>
        <v xml:space="preserve"> </v>
      </c>
      <c r="J15" s="255"/>
      <c r="K15" s="255"/>
      <c r="L15" s="255"/>
      <c r="U15" s="174" t="str">
        <f>IF(U16=1,$V$46,IF(U16=2,$V$47,$V$48))</f>
        <v>Standard</v>
      </c>
      <c r="Y15" s="164" t="str">
        <f>CenAVS!A60</f>
        <v xml:space="preserve">Aventos HK top mocny z eurowkrętami     </v>
      </c>
      <c r="Z15" s="164" t="str">
        <f>CenAVS!B60</f>
        <v>22K2710</v>
      </c>
      <c r="AA15" s="301" t="str">
        <f>CenAVS!C60</f>
        <v>ZN</v>
      </c>
      <c r="AB15" s="165">
        <f t="shared" si="2"/>
        <v>0</v>
      </c>
      <c r="AC15" s="395">
        <f>CenAVS!F60</f>
        <v>177.76220000000001</v>
      </c>
      <c r="AD15" s="167">
        <f t="shared" si="3"/>
        <v>0</v>
      </c>
      <c r="AE15" s="407">
        <f>IF(AND($U$16&lt;&gt;3,$N$44=2),ROUNDUP(SUM(O13:P13)*$M$17,0),0)</f>
        <v>0</v>
      </c>
      <c r="AF15" s="168">
        <f t="shared" si="0"/>
        <v>0</v>
      </c>
      <c r="AG15" s="407">
        <f>IF(AND($U$27&lt;&gt;3,$N$44=2),ROUNDUP(SUM(O24:P24)*$M$28,0),0)</f>
        <v>0</v>
      </c>
      <c r="AH15" s="168">
        <f t="shared" si="1"/>
        <v>0</v>
      </c>
      <c r="AL15" s="108"/>
      <c r="AM15" s="108"/>
      <c r="AN15" s="255"/>
      <c r="AO15" s="137"/>
      <c r="AP15" s="137"/>
      <c r="AQ15" s="545" t="str">
        <f>ListAVS!$B$351&amp;" = "&amp;ListAVS!$B$353</f>
        <v>wstępnie zamontowane eurowkręty = podnośniki ze wstępnie zamontowanymi wkrętami (wymagane wstępne nawiercenie)</v>
      </c>
    </row>
    <row r="16" spans="2:47" s="37" customFormat="1" ht="16.149999999999999" customHeight="1" thickBot="1" x14ac:dyDescent="0.25">
      <c r="B16" s="1011"/>
      <c r="C16" s="1013"/>
      <c r="D16" s="1011" t="str">
        <f>ListAVS!$B$86&amp;" LF "</f>
        <v xml:space="preserve">Współczynnik mocy LF </v>
      </c>
      <c r="E16" s="1012"/>
      <c r="F16" s="1012"/>
      <c r="G16" s="1013"/>
      <c r="H16" s="438">
        <f>IF(H12&gt;0,H11*H12,H11*H15)</f>
        <v>0</v>
      </c>
      <c r="I16" s="256" t="str">
        <f>IF(H17=0," ",IF($H16&lt;420,$N$39,IF($H16&gt;13500,$N$40,IF($H16&gt;9000,IF(V10=FALSE,$N$41," ")," "))))</f>
        <v xml:space="preserve"> </v>
      </c>
      <c r="J16" s="255"/>
      <c r="K16" s="255"/>
      <c r="L16" s="255"/>
      <c r="M16" s="118"/>
      <c r="N16" s="119"/>
      <c r="O16" s="132"/>
      <c r="P16" s="132"/>
      <c r="Q16" s="119"/>
      <c r="R16" s="718"/>
      <c r="S16" s="718"/>
      <c r="T16" s="202"/>
      <c r="U16" s="131">
        <v>1</v>
      </c>
      <c r="V16" s="718"/>
      <c r="W16" s="718"/>
      <c r="X16" s="718"/>
      <c r="Y16" s="164" t="str">
        <f>CenAVS!A61</f>
        <v xml:space="preserve">Aventos HK top najmocniejszy z eurowkrętami     </v>
      </c>
      <c r="Z16" s="164" t="str">
        <f>CenAVS!B61</f>
        <v>22K2910</v>
      </c>
      <c r="AA16" s="301" t="str">
        <f>CenAVS!C61</f>
        <v>ZN</v>
      </c>
      <c r="AB16" s="165">
        <f t="shared" si="2"/>
        <v>0</v>
      </c>
      <c r="AC16" s="395">
        <f>CenAVS!F61</f>
        <v>207.99098000000001</v>
      </c>
      <c r="AD16" s="167">
        <f t="shared" si="3"/>
        <v>0</v>
      </c>
      <c r="AE16" s="407">
        <f>IF(AND($U$16&lt;&gt;3,$N$44=2),ROUNDUP(SUM(O14:P14)*$M$17,0),0)</f>
        <v>0</v>
      </c>
      <c r="AF16" s="168">
        <f t="shared" si="0"/>
        <v>0</v>
      </c>
      <c r="AG16" s="407">
        <f>IF(AND($U$27&lt;&gt;3,$N$44=2),ROUNDUP(SUM(O25:P25)*$M$28,0),0)</f>
        <v>0</v>
      </c>
      <c r="AH16" s="168">
        <f t="shared" si="1"/>
        <v>0</v>
      </c>
      <c r="AI16" s="718"/>
      <c r="AJ16" s="718"/>
      <c r="AK16" s="718"/>
      <c r="AL16" s="108"/>
      <c r="AM16" s="108"/>
      <c r="AN16" s="255"/>
      <c r="AO16" s="137"/>
      <c r="AP16" s="137"/>
    </row>
    <row r="17" spans="1:47" s="37" customFormat="1" ht="16.149999999999999" customHeight="1" thickBot="1" x14ac:dyDescent="0.25">
      <c r="B17" s="1011" t="str">
        <f>ListAVS!$B$71&amp;" "</f>
        <v xml:space="preserve">Ilość szafek </v>
      </c>
      <c r="C17" s="1012"/>
      <c r="D17" s="1012"/>
      <c r="E17" s="1012"/>
      <c r="F17" s="1012"/>
      <c r="G17" s="1012"/>
      <c r="H17" s="437"/>
      <c r="I17" s="256"/>
      <c r="J17" s="255"/>
      <c r="K17" s="255"/>
      <c r="L17" s="255"/>
      <c r="M17" s="315">
        <f>IF($H10*$H11*$T17=0,0,IF(OR($H11&lt;210,$H11&gt;600,$H16&lt;420,$H16&gt;13500),0,IF(AND(H16&gt;9000,V10=FALSE),0,$H17)))</f>
        <v>0</v>
      </c>
      <c r="N17" s="119"/>
      <c r="O17" s="132"/>
      <c r="P17" s="132"/>
      <c r="Q17" s="119"/>
      <c r="R17" s="718"/>
      <c r="S17" s="690" t="s">
        <v>51</v>
      </c>
      <c r="T17" s="691">
        <f>IF(H12&gt;0,H12,H15)</f>
        <v>0</v>
      </c>
      <c r="U17" s="37">
        <f>IF(SUM(H12,H15)=0,0,IF(H12&gt;0,1,2))</f>
        <v>0</v>
      </c>
      <c r="V17" s="571" t="s">
        <v>52</v>
      </c>
      <c r="X17" s="718"/>
      <c r="Y17" s="164" t="str">
        <f>CenAVS!A62</f>
        <v xml:space="preserve">zaślepki HK top bez S-D szare     </v>
      </c>
      <c r="Z17" s="164" t="str">
        <f>CenAVS!B62</f>
        <v>22K8000</v>
      </c>
      <c r="AA17" s="301" t="str">
        <f>CenAVS!C62</f>
        <v xml:space="preserve">HG </v>
      </c>
      <c r="AB17" s="165">
        <f t="shared" si="2"/>
        <v>0</v>
      </c>
      <c r="AC17" s="395">
        <f>CenAVS!F62</f>
        <v>23.190790000000003</v>
      </c>
      <c r="AD17" s="167">
        <f t="shared" si="3"/>
        <v>0</v>
      </c>
      <c r="AE17" s="407">
        <f>IF($U$16&lt;&gt;2,IF($T$44=1,SUM($AE$9:$AE$16, $AE$24:$AE$31),0),0)</f>
        <v>0</v>
      </c>
      <c r="AF17" s="168">
        <f t="shared" si="0"/>
        <v>0</v>
      </c>
      <c r="AG17" s="407">
        <f>IF($U$27&lt;&gt;2,IF($T$44=1,SUM($AG$9:$AG$16, $AG$24:$AG$31),0),0)</f>
        <v>0</v>
      </c>
      <c r="AH17" s="168">
        <f t="shared" si="1"/>
        <v>0</v>
      </c>
      <c r="AI17" s="718"/>
      <c r="AJ17" s="718"/>
      <c r="AK17" s="718"/>
      <c r="AL17" s="108"/>
      <c r="AM17" s="108"/>
      <c r="AN17" s="692"/>
      <c r="AO17" s="137"/>
      <c r="AP17" s="137"/>
    </row>
    <row r="18" spans="1:47" s="37" customFormat="1" ht="16.149999999999999" customHeight="1" x14ac:dyDescent="0.2">
      <c r="B18" s="255" t="str">
        <f>IF(H17&gt;0,IF(U17=0," ",IF(U17=1,$N$49,$N$50))," ")&amp;IF(H17&gt;0,IF(U17=0," ",IF(U17=1,$N$51,$N$52))," ")</f>
        <v xml:space="preserve">  </v>
      </c>
      <c r="C18" s="255"/>
      <c r="D18" s="255"/>
      <c r="E18" s="255"/>
      <c r="F18" s="433"/>
      <c r="G18" s="433"/>
      <c r="H18" s="255"/>
      <c r="I18" s="227"/>
      <c r="J18" s="255"/>
      <c r="K18" s="255"/>
      <c r="L18" s="255"/>
      <c r="M18" s="118"/>
      <c r="N18" s="119"/>
      <c r="O18" s="132"/>
      <c r="P18" s="132"/>
      <c r="Q18" s="119"/>
      <c r="R18" s="718"/>
      <c r="S18" s="718"/>
      <c r="T18" s="119"/>
      <c r="U18" s="151"/>
      <c r="V18" s="718"/>
      <c r="W18" s="718"/>
      <c r="X18" s="718"/>
      <c r="Y18" s="164" t="str">
        <f>CenAVS!A63</f>
        <v xml:space="preserve">zaślepki HK top bez S-D ciemnoszare metalowe    </v>
      </c>
      <c r="Z18" s="164" t="str">
        <f>CenAVS!B63</f>
        <v>22K8000</v>
      </c>
      <c r="AA18" s="301" t="str">
        <f>CenAVS!C63</f>
        <v>TGR</v>
      </c>
      <c r="AB18" s="165">
        <f t="shared" si="2"/>
        <v>0</v>
      </c>
      <c r="AC18" s="395">
        <f>CenAVS!F63</f>
        <v>25.393930000000001</v>
      </c>
      <c r="AD18" s="167">
        <f t="shared" si="3"/>
        <v>0</v>
      </c>
      <c r="AE18" s="407">
        <f>IF($U$16&lt;&gt;2,IF($T$44=2,SUM($AE$9:$AE$16, $AE$24:$AE$31),0),0)</f>
        <v>0</v>
      </c>
      <c r="AF18" s="168">
        <f t="shared" si="0"/>
        <v>0</v>
      </c>
      <c r="AG18" s="407">
        <f>IF($U$27&lt;&gt;2,IF($T$44=2,SUM($AG$9:$AG$16, $AG$24:$AG$31),0),0)</f>
        <v>0</v>
      </c>
      <c r="AH18" s="168">
        <f t="shared" si="1"/>
        <v>0</v>
      </c>
      <c r="AI18" s="749"/>
      <c r="AJ18" s="749"/>
      <c r="AK18" s="749"/>
      <c r="AL18" s="108"/>
      <c r="AM18" s="108"/>
      <c r="AN18" s="670"/>
      <c r="AO18" s="137"/>
      <c r="AP18" s="137"/>
      <c r="AQ18" s="1044" t="str">
        <f>ListAVS!$B$86&amp;" LF = "&amp;ListAVS!$B$75&amp;" KH [mm] x "&amp;ListAVS!$B$78&amp;" [kg]"</f>
        <v>Współczynnik mocy LF = Wysokość korpusu KH [mm] x Waga frontu wraz z 2 uchwytami [kg]</v>
      </c>
      <c r="AR18" s="1044"/>
      <c r="AS18" s="1044"/>
      <c r="AT18" s="1044"/>
      <c r="AU18" s="1044"/>
    </row>
    <row r="19" spans="1:47" s="37" customFormat="1" ht="25.15" customHeight="1" thickBot="1" x14ac:dyDescent="0.25">
      <c r="B19" s="255"/>
      <c r="C19" s="255"/>
      <c r="D19" s="255"/>
      <c r="E19" s="255"/>
      <c r="F19" s="433"/>
      <c r="G19" s="433"/>
      <c r="H19" s="255"/>
      <c r="I19" s="227"/>
      <c r="J19" s="255"/>
      <c r="K19" s="255"/>
      <c r="L19" s="255"/>
      <c r="M19" s="118"/>
      <c r="N19" s="119"/>
      <c r="O19" s="132"/>
      <c r="P19" s="132"/>
      <c r="Q19" s="119"/>
      <c r="R19" s="718"/>
      <c r="S19" s="718"/>
      <c r="T19" s="119"/>
      <c r="U19" s="151"/>
      <c r="V19" s="718"/>
      <c r="W19" s="718"/>
      <c r="X19" s="718"/>
      <c r="Y19" s="164" t="str">
        <f>CenAVS!A64</f>
        <v xml:space="preserve">zaślepki HK top bez S-D jedwabiście białe    </v>
      </c>
      <c r="Z19" s="164" t="str">
        <f>CenAVS!B64</f>
        <v>22K8000</v>
      </c>
      <c r="AA19" s="301" t="str">
        <f>CenAVS!C64</f>
        <v xml:space="preserve">SW </v>
      </c>
      <c r="AB19" s="165">
        <f t="shared" si="2"/>
        <v>0</v>
      </c>
      <c r="AC19" s="395">
        <f>CenAVS!F64</f>
        <v>25.393930000000001</v>
      </c>
      <c r="AD19" s="167">
        <f t="shared" si="3"/>
        <v>0</v>
      </c>
      <c r="AE19" s="407">
        <f>IF($U$16&lt;&gt;2,IF($T$44=3,SUM($AE$9:$AE$16, $AE$24:$AE$31),0),0)</f>
        <v>0</v>
      </c>
      <c r="AF19" s="168">
        <f t="shared" si="0"/>
        <v>0</v>
      </c>
      <c r="AG19" s="407">
        <f>IF($U$27&lt;&gt;2,IF($T$44=3,SUM($AG$9:$AG$16, $AG$24:$AG$31),0),0)</f>
        <v>0</v>
      </c>
      <c r="AH19" s="168">
        <f t="shared" si="1"/>
        <v>0</v>
      </c>
      <c r="AI19" s="444"/>
      <c r="AJ19" s="444"/>
      <c r="AK19" s="444"/>
      <c r="AL19" s="108"/>
      <c r="AM19" s="108"/>
      <c r="AN19" s="255"/>
      <c r="AO19" s="137"/>
      <c r="AP19" s="137"/>
      <c r="AQ19" s="1044"/>
      <c r="AR19" s="1044"/>
      <c r="AS19" s="1044"/>
      <c r="AT19" s="1044"/>
      <c r="AU19" s="1044"/>
    </row>
    <row r="20" spans="1:47" s="37" customFormat="1" ht="16.149999999999999" customHeight="1" thickBot="1" x14ac:dyDescent="0.25">
      <c r="B20" s="1051" t="str">
        <f>"▼ "&amp;ListAVS!$B$318</f>
        <v>▼ Sposób otwierania</v>
      </c>
      <c r="C20" s="1052"/>
      <c r="D20" s="406" t="str">
        <f>IF($M$28&gt;0, ListAVS!$B$37&amp;": ", " ")</f>
        <v xml:space="preserve"> </v>
      </c>
      <c r="E20" s="688" t="str">
        <f>IF(OR($AG$9&gt;0, $AG$13&gt;0), "23", IF(OR($AG$10&gt;0, $AG$14&gt;0), "25", IF(OR($AG$11&gt;0, $AG$15&gt;0), "27", IF(OR($AG$12&gt;0, $AG$16&gt;0), "29", IF(OR($AG$24&gt;0, $AG$28&gt;0), "23T", IF(OR($AG$25&gt;0, $AG$29&gt;0), "25T", IF(OR($AG$26&gt;0, $AG$30&gt;0), "27T", IF(OR($AG$27&gt;0, $AG$31&gt;0), "29T", " "))))))))</f>
        <v xml:space="preserve"> </v>
      </c>
      <c r="F20" s="1056" t="str">
        <f>ListAVS!$B$64&amp;" B"</f>
        <v>Korpus B</v>
      </c>
      <c r="G20" s="1057"/>
      <c r="H20" s="1058"/>
      <c r="I20" s="256"/>
      <c r="J20" s="255"/>
      <c r="K20" s="255"/>
      <c r="L20" s="255"/>
      <c r="N20" s="119"/>
      <c r="O20" s="132"/>
      <c r="P20" s="119"/>
      <c r="Q20" s="132"/>
      <c r="R20" s="1181" t="s">
        <v>89</v>
      </c>
      <c r="S20" s="1182"/>
      <c r="T20" s="119"/>
      <c r="U20" s="119"/>
      <c r="V20" s="1181" t="s">
        <v>90</v>
      </c>
      <c r="W20" s="1182"/>
      <c r="X20" s="749"/>
      <c r="Y20" s="164" t="str">
        <f>CenAVS!A65</f>
        <v xml:space="preserve">zaślepki HK top do S-D jasnoszare     </v>
      </c>
      <c r="Z20" s="164" t="str">
        <f>CenAVS!B65</f>
        <v>23K8000</v>
      </c>
      <c r="AA20" s="301" t="str">
        <f>CenAVS!C65</f>
        <v xml:space="preserve">HG </v>
      </c>
      <c r="AB20" s="165">
        <f t="shared" si="2"/>
        <v>0</v>
      </c>
      <c r="AC20" s="395">
        <f>CenAVS!F65</f>
        <v>273.56473</v>
      </c>
      <c r="AD20" s="167">
        <f t="shared" si="3"/>
        <v>0</v>
      </c>
      <c r="AE20" s="407">
        <f>IF($U$16=2,IF($T$44=1,SUM($AE$9:$AE$16),0),0)</f>
        <v>0</v>
      </c>
      <c r="AF20" s="168">
        <f t="shared" si="0"/>
        <v>0</v>
      </c>
      <c r="AG20" s="407">
        <f>IF($U$27=2,IF($T$44=1,SUM($AG$9:$AG$16),0),0)</f>
        <v>0</v>
      </c>
      <c r="AH20" s="168">
        <f t="shared" si="1"/>
        <v>0</v>
      </c>
      <c r="AI20" s="718"/>
      <c r="AJ20" s="718"/>
      <c r="AK20" s="718"/>
      <c r="AL20" s="108"/>
      <c r="AM20" s="108"/>
      <c r="AN20" s="255"/>
      <c r="AO20" s="137"/>
      <c r="AP20" s="137"/>
      <c r="AQ20" s="1044"/>
      <c r="AR20" s="1044"/>
      <c r="AS20" s="1044"/>
      <c r="AT20" s="1044"/>
      <c r="AU20" s="1044"/>
    </row>
    <row r="21" spans="1:47" s="37" customFormat="1" ht="16.149999999999999" customHeight="1" x14ac:dyDescent="0.2">
      <c r="B21" s="1011" t="str">
        <f>ListAVS!$B$74&amp;" KB [mm] "</f>
        <v xml:space="preserve">Szerokość korpusu KB [mm] </v>
      </c>
      <c r="C21" s="1012"/>
      <c r="D21" s="1012"/>
      <c r="E21" s="1012"/>
      <c r="F21" s="1012"/>
      <c r="G21" s="1013"/>
      <c r="H21" s="435"/>
      <c r="I21" s="256" t="str">
        <f>IF($H21=0," ",IF($H21&lt;220," min. 220mm",IF($H21&gt;1800," max. 1 800mm"," ")))&amp;IF(H28&gt;0,IF(H21=0,"● "&amp;ListAVS!$B$129," ")," ")</f>
        <v xml:space="preserve">  </v>
      </c>
      <c r="J21" s="255"/>
      <c r="K21" s="255"/>
      <c r="L21" s="255"/>
      <c r="N21" s="198" t="s">
        <v>53</v>
      </c>
      <c r="O21" s="199" t="s">
        <v>91</v>
      </c>
      <c r="P21" s="200" t="s">
        <v>92</v>
      </c>
      <c r="Q21" s="119"/>
      <c r="R21" s="750" t="s">
        <v>93</v>
      </c>
      <c r="S21" s="750" t="s">
        <v>76</v>
      </c>
      <c r="T21" s="751"/>
      <c r="U21" s="751"/>
      <c r="V21" s="1185" t="b">
        <v>0</v>
      </c>
      <c r="W21" s="1186"/>
      <c r="X21" s="444"/>
      <c r="Y21" s="164" t="str">
        <f>CenAVS!A66</f>
        <v xml:space="preserve">zaślepki HK top do S-D ciemnoszare metalowe    </v>
      </c>
      <c r="Z21" s="164" t="str">
        <f>CenAVS!B66</f>
        <v>23K8000</v>
      </c>
      <c r="AA21" s="301" t="str">
        <f>CenAVS!C66</f>
        <v>TGR</v>
      </c>
      <c r="AB21" s="165">
        <f t="shared" si="2"/>
        <v>0</v>
      </c>
      <c r="AC21" s="395">
        <f>CenAVS!F66</f>
        <v>284.75036999999998</v>
      </c>
      <c r="AD21" s="167">
        <f t="shared" si="3"/>
        <v>0</v>
      </c>
      <c r="AE21" s="407">
        <f>IF($U$16=2,IF($T$44=2,SUM($AE$9:$AE$16),0),0)</f>
        <v>0</v>
      </c>
      <c r="AF21" s="168">
        <f t="shared" si="0"/>
        <v>0</v>
      </c>
      <c r="AG21" s="407">
        <f>IF($U$27=2,IF($T$44=2,SUM($AG$9:$AG$16),0),0)</f>
        <v>0</v>
      </c>
      <c r="AH21" s="168">
        <f t="shared" si="1"/>
        <v>0</v>
      </c>
      <c r="AI21" s="718"/>
      <c r="AJ21" s="718"/>
      <c r="AK21" s="718"/>
      <c r="AL21" s="108"/>
      <c r="AM21" s="108"/>
      <c r="AN21" s="255"/>
      <c r="AO21" s="137"/>
      <c r="AP21" s="137"/>
      <c r="AQ21" s="1044"/>
      <c r="AR21" s="1044"/>
      <c r="AS21" s="1044"/>
      <c r="AT21" s="1044"/>
      <c r="AU21" s="1044"/>
    </row>
    <row r="22" spans="1:47" s="37" customFormat="1" ht="16.149999999999999" customHeight="1" x14ac:dyDescent="0.2">
      <c r="B22" s="1011" t="str">
        <f>ListAVS!$B$75&amp;" KH [mm] "</f>
        <v xml:space="preserve">Wysokość korpusu KH [mm] </v>
      </c>
      <c r="C22" s="1012"/>
      <c r="D22" s="1012"/>
      <c r="E22" s="1012"/>
      <c r="F22" s="1012"/>
      <c r="G22" s="1013"/>
      <c r="H22" s="435"/>
      <c r="I22" s="256" t="str">
        <f>IF($H22=0," ",IF($H22&lt;205," min. 205 mm",IF($H22&gt;600," max. 600 mm"," ")))&amp;IF(H28&gt;0,IF(H22=0,"● "&amp;ListAVS!$B$129," ")," ")</f>
        <v xml:space="preserve">  </v>
      </c>
      <c r="J22" s="255"/>
      <c r="K22" s="255"/>
      <c r="L22" s="255"/>
      <c r="N22" s="119" t="s">
        <v>97</v>
      </c>
      <c r="O22" s="132">
        <f>IF($V$21=FALSE,IF($H$27&gt;R22,IF($H$27&lt;S22,1,0),0),0)</f>
        <v>0</v>
      </c>
      <c r="P22" s="132">
        <f>IF($V$21=TRUE,IF($H$27&gt;V22,IF($H$27&lt;W22,1.5,0),0),0)</f>
        <v>0</v>
      </c>
      <c r="Q22" s="119"/>
      <c r="R22" s="718">
        <v>419</v>
      </c>
      <c r="S22" s="718">
        <v>1200</v>
      </c>
      <c r="T22" s="752"/>
      <c r="U22" s="119"/>
      <c r="V22" s="718">
        <v>629</v>
      </c>
      <c r="W22" s="718">
        <v>1800</v>
      </c>
      <c r="X22" s="718"/>
      <c r="Y22" s="164" t="str">
        <f>CenAVS!A67</f>
        <v xml:space="preserve">zaślepki HK top do S-D jedwabiście białe    </v>
      </c>
      <c r="Z22" s="164" t="str">
        <f>CenAVS!B67</f>
        <v>23K8000</v>
      </c>
      <c r="AA22" s="301" t="str">
        <f>CenAVS!C67</f>
        <v xml:space="preserve">SW </v>
      </c>
      <c r="AB22" s="165">
        <f t="shared" si="2"/>
        <v>0</v>
      </c>
      <c r="AC22" s="395">
        <f>CenAVS!F67</f>
        <v>284.75036999999998</v>
      </c>
      <c r="AD22" s="167">
        <f t="shared" si="3"/>
        <v>0</v>
      </c>
      <c r="AE22" s="407">
        <f>IF($U$16=2,IF($T$44=3,SUM($AE$9:$AE$16),0),0)</f>
        <v>0</v>
      </c>
      <c r="AF22" s="168">
        <f t="shared" si="0"/>
        <v>0</v>
      </c>
      <c r="AG22" s="407">
        <f>IF($U$27=2,IF($T$44=3,SUM($AG$9:$AG$16),0),0)</f>
        <v>0</v>
      </c>
      <c r="AH22" s="168">
        <f t="shared" si="1"/>
        <v>0</v>
      </c>
      <c r="AI22" s="718"/>
      <c r="AJ22" s="718"/>
      <c r="AK22" s="718"/>
      <c r="AL22" s="108"/>
      <c r="AM22" s="108"/>
      <c r="AN22" s="255"/>
      <c r="AO22" s="137"/>
      <c r="AP22" s="137"/>
    </row>
    <row r="23" spans="1:47" s="37" customFormat="1" ht="16.149999999999999" customHeight="1" x14ac:dyDescent="0.2">
      <c r="B23" s="1011" t="str">
        <f>ListAVS!$B$78&amp;" [kg] ** "</f>
        <v xml:space="preserve">Waga frontu wraz z 2 uchwytami [kg] ** </v>
      </c>
      <c r="C23" s="1012"/>
      <c r="D23" s="1012"/>
      <c r="E23" s="1012"/>
      <c r="F23" s="1012"/>
      <c r="G23" s="1013"/>
      <c r="H23" s="258"/>
      <c r="I23" s="227" t="str">
        <f>IF($H28=0," ",IF(AND($H23=0, $H26=0,$AF$87=3), $N$35," "))&amp;IF(AND($H28&gt;0,M28&gt;0), IF($H23&gt;0,$N$37," ")," ")</f>
        <v xml:space="preserve">  </v>
      </c>
      <c r="J23" s="255"/>
      <c r="K23" s="255"/>
      <c r="L23" s="255"/>
      <c r="N23" s="119" t="s">
        <v>99</v>
      </c>
      <c r="O23" s="132">
        <f>IF($V$21=FALSE,IF($H$27&gt;R23,IF($H$27&lt;S23,1,0),0),0)</f>
        <v>0</v>
      </c>
      <c r="P23" s="132">
        <f>IF($V$21=TRUE,IF($H$27&gt;V23,IF($H$27&lt;W23,1.5,0),0),0)</f>
        <v>0</v>
      </c>
      <c r="Q23" s="119"/>
      <c r="R23" s="718">
        <v>1200</v>
      </c>
      <c r="S23" s="718">
        <v>2200</v>
      </c>
      <c r="T23" s="752"/>
      <c r="U23" s="130"/>
      <c r="V23" s="718">
        <v>1800</v>
      </c>
      <c r="W23" s="718">
        <v>3300</v>
      </c>
      <c r="X23" s="718"/>
      <c r="Y23" s="164" t="str">
        <f>CenAVS!A68</f>
        <v xml:space="preserve">          </v>
      </c>
      <c r="Z23" s="164">
        <f>CenAVS!B68</f>
        <v>0</v>
      </c>
      <c r="AA23" s="301">
        <f>CenAVS!C68</f>
        <v>0</v>
      </c>
      <c r="AB23" s="165">
        <f t="shared" si="2"/>
        <v>0</v>
      </c>
      <c r="AC23" s="395">
        <f>CenAVS!F68</f>
        <v>0</v>
      </c>
      <c r="AD23" s="167">
        <f t="shared" si="3"/>
        <v>0</v>
      </c>
      <c r="AE23" s="408"/>
      <c r="AF23" s="168">
        <f t="shared" si="0"/>
        <v>0</v>
      </c>
      <c r="AG23" s="408"/>
      <c r="AH23" s="168">
        <f t="shared" si="1"/>
        <v>0</v>
      </c>
      <c r="AI23" s="718"/>
      <c r="AJ23" s="718"/>
      <c r="AK23" s="718"/>
      <c r="AL23" s="108"/>
      <c r="AM23" s="108"/>
      <c r="AN23" s="255"/>
      <c r="AO23" s="137"/>
    </row>
    <row r="24" spans="1:47" s="37" customFormat="1" ht="16.149999999999999" customHeight="1" x14ac:dyDescent="0.2">
      <c r="B24" s="1055" t="str">
        <f>ListAVS!$B$293</f>
        <v>Obliczenie wagi</v>
      </c>
      <c r="C24" s="1055"/>
      <c r="D24" s="1153" t="str">
        <f>ListAVS!$B$80&amp;" TS [mm] "</f>
        <v xml:space="preserve">Grubość frontu TS [mm] </v>
      </c>
      <c r="E24" s="1153"/>
      <c r="F24" s="1153"/>
      <c r="G24" s="1154"/>
      <c r="H24" s="259"/>
      <c r="I24" s="227"/>
      <c r="J24" s="255"/>
      <c r="K24" s="255"/>
      <c r="L24" s="255"/>
      <c r="N24" s="119" t="s">
        <v>101</v>
      </c>
      <c r="O24" s="132">
        <f>IF($V$21=FALSE,IF($H$27&gt;R24,IF($H$27&lt;S24,1,0),0),0)</f>
        <v>0</v>
      </c>
      <c r="P24" s="132">
        <f>IF($V$21=TRUE,IF($H$27&gt;V24,IF($H$27&lt;W24,1.5,0),0),0)</f>
        <v>0</v>
      </c>
      <c r="Q24" s="119"/>
      <c r="R24" s="718">
        <v>2200</v>
      </c>
      <c r="S24" s="718">
        <v>4200</v>
      </c>
      <c r="V24" s="718">
        <v>3300</v>
      </c>
      <c r="W24" s="718">
        <v>6300</v>
      </c>
      <c r="X24" s="718"/>
      <c r="Y24" s="164" t="str">
        <f>CenAVS!A69</f>
        <v xml:space="preserve">Aventos HK top słaby Tip-on      </v>
      </c>
      <c r="Z24" s="164" t="str">
        <f>CenAVS!B69</f>
        <v>22K2300T</v>
      </c>
      <c r="AA24" s="301" t="str">
        <f>CenAVS!C69</f>
        <v>ZN</v>
      </c>
      <c r="AB24" s="165">
        <f t="shared" si="2"/>
        <v>0</v>
      </c>
      <c r="AC24" s="395">
        <f>CenAVS!F69</f>
        <v>172.91319999999999</v>
      </c>
      <c r="AD24" s="167">
        <f t="shared" si="3"/>
        <v>0</v>
      </c>
      <c r="AE24" s="407">
        <f>IF(AND($U$16=3,$N$44=1),ROUNDUP(SUM(O11:P11)*$M$17,0),0)</f>
        <v>0</v>
      </c>
      <c r="AF24" s="168">
        <f t="shared" si="0"/>
        <v>0</v>
      </c>
      <c r="AG24" s="407">
        <f>IF(AND($U$27=3,$N$44=1),ROUNDUP(SUM(O22:P22)*$M$28,0),0)</f>
        <v>0</v>
      </c>
      <c r="AH24" s="168">
        <f t="shared" si="1"/>
        <v>0</v>
      </c>
      <c r="AL24" s="108"/>
      <c r="AM24" s="108"/>
      <c r="AN24" s="137"/>
      <c r="AP24" s="137"/>
      <c r="AQ24" s="137"/>
    </row>
    <row r="25" spans="1:47" s="37" customFormat="1" ht="16.149999999999999" customHeight="1" x14ac:dyDescent="0.2">
      <c r="B25" s="1055"/>
      <c r="C25" s="1055"/>
      <c r="D25" s="1053" t="str">
        <f>ListAVS!$B$83&amp;" [kg] "</f>
        <v xml:space="preserve">Waga uchwytu [kg] </v>
      </c>
      <c r="E25" s="1053"/>
      <c r="F25" s="1053"/>
      <c r="G25" s="1054"/>
      <c r="H25" s="258"/>
      <c r="I25" s="256" t="str">
        <f>IF(OR(H28=0, $M28=0), " ", IF(AND(H23=0, U27=1, H25=0), " ● "&amp;ListAVS!$B$130," "))</f>
        <v xml:space="preserve"> </v>
      </c>
      <c r="J25" s="255"/>
      <c r="K25" s="255"/>
      <c r="L25" s="255"/>
      <c r="M25" s="118"/>
      <c r="N25" s="119" t="s">
        <v>103</v>
      </c>
      <c r="O25" s="132">
        <f>IF($V$21=FALSE,IF($H$27&gt;R25,IF($H$27&lt;S25,1,0),0),0)</f>
        <v>0</v>
      </c>
      <c r="P25" s="132">
        <f>IF($V$21=TRUE,IF($H$27&gt;V25,IF($H$27&lt;W25,1.5,0),0),0)</f>
        <v>0</v>
      </c>
      <c r="Q25" s="119"/>
      <c r="R25" s="718">
        <v>4200</v>
      </c>
      <c r="S25" s="718">
        <v>9001</v>
      </c>
      <c r="V25" s="718">
        <v>6300</v>
      </c>
      <c r="W25" s="718">
        <v>13501</v>
      </c>
      <c r="X25" s="718"/>
      <c r="Y25" s="164" t="str">
        <f>CenAVS!A70</f>
        <v xml:space="preserve">Aventos HK top średni Tip-on      </v>
      </c>
      <c r="Z25" s="164" t="str">
        <f>CenAVS!B70</f>
        <v>22K2500T</v>
      </c>
      <c r="AA25" s="301" t="str">
        <f>CenAVS!C70</f>
        <v>ZN</v>
      </c>
      <c r="AB25" s="165">
        <f t="shared" si="2"/>
        <v>0</v>
      </c>
      <c r="AC25" s="395">
        <f>CenAVS!F70</f>
        <v>172.91319999999999</v>
      </c>
      <c r="AD25" s="167">
        <f t="shared" si="3"/>
        <v>0</v>
      </c>
      <c r="AE25" s="407">
        <f>IF(AND($U$16=3,$N$44=1),ROUNDUP(SUM(O12:P12)*$M$17,0),0)</f>
        <v>0</v>
      </c>
      <c r="AF25" s="168">
        <f t="shared" si="0"/>
        <v>0</v>
      </c>
      <c r="AG25" s="407">
        <f>IF(AND($U$27=3,$N$44=1),ROUNDUP(SUM(O23:P23)*$M$28,0),0)</f>
        <v>0</v>
      </c>
      <c r="AH25" s="168">
        <f t="shared" si="1"/>
        <v>0</v>
      </c>
      <c r="AL25" s="108"/>
      <c r="AM25" s="108"/>
      <c r="AN25" s="137"/>
      <c r="AO25" s="137"/>
      <c r="AP25" s="137"/>
      <c r="AQ25" s="137"/>
    </row>
    <row r="26" spans="1:47" s="37" customFormat="1" ht="16.149999999999999" customHeight="1" x14ac:dyDescent="0.2">
      <c r="B26" s="1055"/>
      <c r="C26" s="1055"/>
      <c r="D26" s="1053" t="str">
        <f>ListAVS!$B$79&amp;" [kg] "</f>
        <v xml:space="preserve">Obliczona waga frontu [kg] </v>
      </c>
      <c r="E26" s="1053"/>
      <c r="F26" s="1053"/>
      <c r="G26" s="1054"/>
      <c r="H26" s="259">
        <f>$T$91</f>
        <v>0</v>
      </c>
      <c r="I26" s="227" t="str">
        <f>IF(AND($H28&gt;0, $M28&gt;0), IF($H26&gt;0,IF($H23=0,$N$37," ")," ")," ")</f>
        <v xml:space="preserve"> </v>
      </c>
      <c r="J26" s="255"/>
      <c r="K26" s="255"/>
      <c r="L26" s="255"/>
      <c r="T26" s="132"/>
      <c r="U26" s="174" t="str">
        <f>IF(U27=1,$V$46,IF(U27=2,$V$47,$V$48))</f>
        <v>Standard</v>
      </c>
      <c r="Y26" s="164" t="str">
        <f>CenAVS!A71</f>
        <v xml:space="preserve">Aventos HK top mocny Tip-on      </v>
      </c>
      <c r="Z26" s="164" t="str">
        <f>CenAVS!B71</f>
        <v>22K2700T</v>
      </c>
      <c r="AA26" s="301" t="str">
        <f>CenAVS!C71</f>
        <v>ZN</v>
      </c>
      <c r="AB26" s="165">
        <f t="shared" si="2"/>
        <v>0</v>
      </c>
      <c r="AC26" s="395">
        <f>CenAVS!F71</f>
        <v>183.9254</v>
      </c>
      <c r="AD26" s="167">
        <f t="shared" si="3"/>
        <v>0</v>
      </c>
      <c r="AE26" s="407">
        <f>IF(AND($U$16=3,$N$44=1),ROUNDUP(SUM(O13:P13)*$M$17,0),0)</f>
        <v>0</v>
      </c>
      <c r="AF26" s="168">
        <f t="shared" si="0"/>
        <v>0</v>
      </c>
      <c r="AG26" s="407">
        <f>IF(AND($U$27=3,$N$44=1),ROUNDUP(SUM(O24:P24)*$M$28,0),0)</f>
        <v>0</v>
      </c>
      <c r="AH26" s="168">
        <f t="shared" si="1"/>
        <v>0</v>
      </c>
      <c r="AL26" s="108"/>
      <c r="AM26" s="108"/>
      <c r="AN26" s="108"/>
      <c r="AO26" s="137"/>
      <c r="AP26" s="137"/>
      <c r="AQ26" s="137"/>
      <c r="AR26" s="137"/>
    </row>
    <row r="27" spans="1:47" s="37" customFormat="1" ht="16.149999999999999" customHeight="1" thickBot="1" x14ac:dyDescent="0.25">
      <c r="B27" s="1011"/>
      <c r="C27" s="1013"/>
      <c r="D27" s="1011" t="str">
        <f>ListAVS!$B$86&amp;" LF "</f>
        <v xml:space="preserve">Współczynnik mocy LF </v>
      </c>
      <c r="E27" s="1012"/>
      <c r="F27" s="1012"/>
      <c r="G27" s="1013"/>
      <c r="H27" s="438">
        <f>IF(H23&gt;0,H22*H23,H22*H26)</f>
        <v>0</v>
      </c>
      <c r="I27" s="256" t="str">
        <f>IF(H28=0," ",IF($H27&lt;420,$N$39,IF($H27&gt;13500,$N$40,IF($H27&gt;9000,IF(V21=FALSE,$N$41," ")," "))))</f>
        <v xml:space="preserve"> </v>
      </c>
      <c r="J27" s="255"/>
      <c r="K27" s="248"/>
      <c r="L27" s="255"/>
      <c r="N27" s="137"/>
      <c r="O27" s="137"/>
      <c r="P27" s="137"/>
      <c r="Q27" s="137"/>
      <c r="T27" s="202"/>
      <c r="U27" s="131">
        <v>1</v>
      </c>
      <c r="Y27" s="164" t="str">
        <f>CenAVS!A72</f>
        <v xml:space="preserve">Aventos HK top najmocniejszy Tip-on      </v>
      </c>
      <c r="Z27" s="164" t="str">
        <f>CenAVS!B72</f>
        <v>22K2900T</v>
      </c>
      <c r="AA27" s="301" t="str">
        <f>CenAVS!C72</f>
        <v>ZN</v>
      </c>
      <c r="AB27" s="165">
        <f t="shared" si="2"/>
        <v>0</v>
      </c>
      <c r="AC27" s="395">
        <f>CenAVS!F72</f>
        <v>211.45676</v>
      </c>
      <c r="AD27" s="167">
        <f t="shared" si="3"/>
        <v>0</v>
      </c>
      <c r="AE27" s="407">
        <f>IF(AND($U$16=3,$N$44=1),ROUNDUP(SUM(O14:P14)*$M$17,0),0)</f>
        <v>0</v>
      </c>
      <c r="AF27" s="168">
        <f t="shared" si="0"/>
        <v>0</v>
      </c>
      <c r="AG27" s="407">
        <f>IF(AND($U$27=3,$N$44=1),ROUNDUP(SUM(O25:P25)*$M$28,0),0)</f>
        <v>0</v>
      </c>
      <c r="AH27" s="168">
        <f t="shared" si="1"/>
        <v>0</v>
      </c>
      <c r="AI27" s="118"/>
      <c r="AJ27" s="118"/>
      <c r="AK27" s="118"/>
      <c r="AL27" s="108"/>
      <c r="AM27" s="108"/>
      <c r="AN27" s="693"/>
      <c r="AO27" s="137"/>
      <c r="AP27" s="137"/>
      <c r="AQ27" s="137"/>
      <c r="AR27" s="137"/>
    </row>
    <row r="28" spans="1:47" ht="16.149999999999999" customHeight="1" thickBot="1" x14ac:dyDescent="0.25">
      <c r="B28" s="1011" t="str">
        <f>ListAVS!$B$71&amp;" "</f>
        <v xml:space="preserve">Ilość szafek </v>
      </c>
      <c r="C28" s="1012"/>
      <c r="D28" s="1012"/>
      <c r="E28" s="1012"/>
      <c r="F28" s="1012"/>
      <c r="G28" s="1012"/>
      <c r="H28" s="437"/>
      <c r="I28" s="256"/>
      <c r="J28" s="264"/>
      <c r="K28" s="396"/>
      <c r="L28" s="265"/>
      <c r="M28" s="315">
        <f>IF($H21*$H22*$T28=0,0,IF(OR($H22&lt;210,$H22&gt;600,$H27&lt;420,$H27&gt;13500),0,IF(AND(H27&gt;9000,V21=FALSE),0,$H28)))</f>
        <v>0</v>
      </c>
      <c r="N28" s="39"/>
      <c r="O28" s="39"/>
      <c r="P28" s="39"/>
      <c r="Q28" s="39"/>
      <c r="R28" s="137"/>
      <c r="S28" s="690" t="s">
        <v>51</v>
      </c>
      <c r="T28" s="691">
        <f>IF(H23&gt;0,H23,H26)</f>
        <v>0</v>
      </c>
      <c r="U28" s="37">
        <f>IF(SUM(H23,H26)=0,0,IF(H23&gt;0,1,2))</f>
        <v>0</v>
      </c>
      <c r="V28" s="571" t="s">
        <v>52</v>
      </c>
      <c r="Y28" s="164" t="str">
        <f>CenAVS!A73</f>
        <v xml:space="preserve">Aventos HK top słaby Tip-on z eurowkrętami    </v>
      </c>
      <c r="Z28" s="164" t="str">
        <f>CenAVS!B73</f>
        <v>22K2310T</v>
      </c>
      <c r="AA28" s="301" t="str">
        <f>CenAVS!C73</f>
        <v>ZN</v>
      </c>
      <c r="AB28" s="165">
        <f t="shared" si="2"/>
        <v>0</v>
      </c>
      <c r="AC28" s="395">
        <f>CenAVS!F73</f>
        <v>189.85409999999999</v>
      </c>
      <c r="AD28" s="167">
        <f t="shared" si="3"/>
        <v>0</v>
      </c>
      <c r="AE28" s="407">
        <f>IF(AND($U$16=3,$N$44=2),ROUNDUP(SUM(O11:P11)*$M$17,0),0)</f>
        <v>0</v>
      </c>
      <c r="AF28" s="168">
        <f t="shared" si="0"/>
        <v>0</v>
      </c>
      <c r="AG28" s="407">
        <f>IF(AND($U$27=3,$N$44=2),ROUNDUP(SUM(O22:P22)*$M$28,0),0)</f>
        <v>0</v>
      </c>
      <c r="AH28" s="168">
        <f t="shared" si="1"/>
        <v>0</v>
      </c>
      <c r="AN28" s="693"/>
    </row>
    <row r="29" spans="1:47" ht="16.149999999999999" customHeight="1" x14ac:dyDescent="0.2">
      <c r="A29" s="137"/>
      <c r="B29" s="255" t="str">
        <f>IF(H28&gt;0,IF(U28=0," ",IF(U28=1,$N$49,$N$50))," ")&amp;IF(H28&gt;0,IF(U28=0," ",IF(U28=1,$N$51,$N$52))," ")</f>
        <v xml:space="preserve">  </v>
      </c>
      <c r="C29" s="255"/>
      <c r="D29" s="255"/>
      <c r="E29" s="255"/>
      <c r="F29" s="255"/>
      <c r="G29" s="255"/>
      <c r="H29" s="273"/>
      <c r="I29" s="273"/>
      <c r="J29" s="266"/>
      <c r="K29" s="266"/>
      <c r="L29" s="266"/>
      <c r="X29" s="118"/>
      <c r="Y29" s="164" t="str">
        <f>CenAVS!A74</f>
        <v xml:space="preserve">Aventos HK top średni Tip-on z eurowkrętami    </v>
      </c>
      <c r="Z29" s="164" t="str">
        <f>CenAVS!B74</f>
        <v>22K2510T</v>
      </c>
      <c r="AA29" s="301" t="str">
        <f>CenAVS!C74</f>
        <v>ZN</v>
      </c>
      <c r="AB29" s="165">
        <f t="shared" si="2"/>
        <v>0</v>
      </c>
      <c r="AC29" s="395">
        <f>CenAVS!F74</f>
        <v>189.85409999999999</v>
      </c>
      <c r="AD29" s="167">
        <f t="shared" si="3"/>
        <v>0</v>
      </c>
      <c r="AE29" s="407">
        <f>IF(AND($U$16=3,$N$44=2),ROUNDUP(SUM(O12:P12)*$M$17,0),0)</f>
        <v>0</v>
      </c>
      <c r="AF29" s="168">
        <f t="shared" si="0"/>
        <v>0</v>
      </c>
      <c r="AG29" s="407">
        <f>IF(AND($U$27=3,$N$44=2),ROUNDUP(SUM(O23:P23)*$M$28,0),0)</f>
        <v>0</v>
      </c>
      <c r="AH29" s="168">
        <f t="shared" si="1"/>
        <v>0</v>
      </c>
      <c r="AN29" s="693"/>
    </row>
    <row r="30" spans="1:47" ht="16.149999999999999" customHeight="1" x14ac:dyDescent="0.2">
      <c r="B30" s="396"/>
      <c r="C30" s="248"/>
      <c r="D30" s="396"/>
      <c r="E30" s="396"/>
      <c r="F30" s="274"/>
      <c r="G30" s="274"/>
      <c r="H30" s="396"/>
      <c r="I30" s="264"/>
      <c r="J30" s="264"/>
      <c r="K30" s="396"/>
      <c r="L30" s="265"/>
      <c r="S30" s="138">
        <f>IF($T$30=FALSE,2,1)</f>
        <v>2</v>
      </c>
      <c r="T30" s="1063" t="b">
        <v>0</v>
      </c>
      <c r="U30" s="1064"/>
      <c r="V30" s="139" t="s">
        <v>56</v>
      </c>
      <c r="W30" s="140"/>
      <c r="Y30" s="164" t="str">
        <f>CenAVS!A75</f>
        <v xml:space="preserve">Aventos HK top mocny Tip-on z eurowkrętami    </v>
      </c>
      <c r="Z30" s="164" t="str">
        <f>CenAVS!B75</f>
        <v>22K2710T</v>
      </c>
      <c r="AA30" s="301" t="str">
        <f>CenAVS!C75</f>
        <v>ZN</v>
      </c>
      <c r="AB30" s="165">
        <f t="shared" si="2"/>
        <v>0</v>
      </c>
      <c r="AC30" s="395">
        <f>CenAVS!F75</f>
        <v>201.94534999999999</v>
      </c>
      <c r="AD30" s="167">
        <f t="shared" ref="AD30:AD37" si="4">AB30*AC30</f>
        <v>0</v>
      </c>
      <c r="AE30" s="407">
        <f>IF(AND($U$16=3,$N$44=2),ROUNDUP(SUM(O13:P13)*$M$17,0),0)</f>
        <v>0</v>
      </c>
      <c r="AF30" s="168">
        <f t="shared" si="0"/>
        <v>0</v>
      </c>
      <c r="AG30" s="407">
        <f>IF(AND($U$27=3,$N$44=2),ROUNDUP(SUM(O24:P24)*$M$28,0),0)</f>
        <v>0</v>
      </c>
      <c r="AH30" s="168">
        <f t="shared" ref="AH30:AH37" si="5">$AC30*AG30</f>
        <v>0</v>
      </c>
    </row>
    <row r="31" spans="1:47" ht="16.149999999999999" customHeight="1" x14ac:dyDescent="0.2">
      <c r="B31" s="1109" t="str">
        <f>IF(OR(AND($U$16=2, $M$17&gt;0), AND($U$27=2, $M$28&gt;0)), ListAVS!$B$176, " ")</f>
        <v xml:space="preserve"> </v>
      </c>
      <c r="C31" s="1109"/>
      <c r="D31" s="1109"/>
      <c r="E31" s="1109"/>
      <c r="F31" s="1109"/>
      <c r="G31" s="1109"/>
      <c r="H31" s="1109"/>
      <c r="I31" s="1109"/>
      <c r="J31" s="1109"/>
      <c r="K31" s="397"/>
      <c r="L31" s="397"/>
      <c r="Y31" s="164" t="str">
        <f>CenAVS!A76</f>
        <v xml:space="preserve">Aventos HK top najmocniejszy Tip-on z eurowkrętami    </v>
      </c>
      <c r="Z31" s="164" t="str">
        <f>CenAVS!B76</f>
        <v>22K2910T</v>
      </c>
      <c r="AA31" s="301" t="str">
        <f>CenAVS!C76</f>
        <v>ZN</v>
      </c>
      <c r="AB31" s="165">
        <f t="shared" si="2"/>
        <v>0</v>
      </c>
      <c r="AC31" s="395">
        <f>CenAVS!F76</f>
        <v>232.17408</v>
      </c>
      <c r="AD31" s="167">
        <f t="shared" si="4"/>
        <v>0</v>
      </c>
      <c r="AE31" s="407">
        <f>IF(AND($U$16=3,$N$44=2),ROUNDUP(SUM(O14:P14)*$M$17,0),0)</f>
        <v>0</v>
      </c>
      <c r="AF31" s="168">
        <f t="shared" si="0"/>
        <v>0</v>
      </c>
      <c r="AG31" s="407">
        <f>IF(AND($U$27=3,$N$44=2),ROUNDUP(SUM(O25:P25)*$M$28,0),0)</f>
        <v>0</v>
      </c>
      <c r="AH31" s="168">
        <f t="shared" si="5"/>
        <v>0</v>
      </c>
      <c r="AN31" s="710"/>
    </row>
    <row r="32" spans="1:47" ht="16.149999999999999" customHeight="1" x14ac:dyDescent="0.2">
      <c r="B32" s="1109"/>
      <c r="C32" s="1109"/>
      <c r="D32" s="1109"/>
      <c r="E32" s="1109"/>
      <c r="F32" s="1109"/>
      <c r="G32" s="1109"/>
      <c r="H32" s="1109"/>
      <c r="I32" s="1109"/>
      <c r="J32" s="1109"/>
      <c r="K32" s="397"/>
      <c r="L32" s="397"/>
      <c r="N32" s="142"/>
      <c r="Y32" s="164" t="str">
        <f>CenAVS!A77</f>
        <v xml:space="preserve">          </v>
      </c>
      <c r="Z32" s="164">
        <f>CenAVS!B77</f>
        <v>0</v>
      </c>
      <c r="AA32" s="301">
        <f>CenAVS!C77</f>
        <v>0</v>
      </c>
      <c r="AB32" s="165">
        <f t="shared" si="2"/>
        <v>0</v>
      </c>
      <c r="AC32" s="395">
        <f>CenAVS!F77</f>
        <v>0</v>
      </c>
      <c r="AD32" s="167">
        <f t="shared" si="4"/>
        <v>0</v>
      </c>
      <c r="AE32" s="407"/>
      <c r="AF32" s="168">
        <f t="shared" si="0"/>
        <v>0</v>
      </c>
      <c r="AG32" s="407"/>
      <c r="AH32" s="168">
        <f t="shared" si="5"/>
        <v>0</v>
      </c>
    </row>
    <row r="33" spans="2:44" ht="16.149999999999999" customHeight="1" x14ac:dyDescent="0.2">
      <c r="B33" s="1109"/>
      <c r="C33" s="1109"/>
      <c r="D33" s="1109"/>
      <c r="E33" s="1109"/>
      <c r="F33" s="1109"/>
      <c r="G33" s="1109"/>
      <c r="H33" s="1109"/>
      <c r="I33" s="1109"/>
      <c r="J33" s="1109"/>
      <c r="K33" s="266"/>
      <c r="L33" s="255"/>
      <c r="Y33" s="164" t="str">
        <f>CenAVS!A78</f>
        <v xml:space="preserve">mocowanie frontu do HK Top, HS/Top, HL/Top    </v>
      </c>
      <c r="Z33" s="164" t="str">
        <f>CenAVS!B78</f>
        <v>20S4200</v>
      </c>
      <c r="AA33" s="301" t="str">
        <f>CenAVS!C78</f>
        <v>NI</v>
      </c>
      <c r="AB33" s="165">
        <f t="shared" si="2"/>
        <v>0</v>
      </c>
      <c r="AC33" s="395">
        <f>CenAVS!F78</f>
        <v>9.9925899999999999</v>
      </c>
      <c r="AD33" s="167">
        <f t="shared" si="4"/>
        <v>0</v>
      </c>
      <c r="AE33" s="407"/>
      <c r="AF33" s="168">
        <f t="shared" si="0"/>
        <v>0</v>
      </c>
      <c r="AG33" s="407"/>
      <c r="AH33" s="168">
        <f t="shared" si="5"/>
        <v>0</v>
      </c>
    </row>
    <row r="34" spans="2:44" ht="16.149999999999999" customHeight="1" x14ac:dyDescent="0.2">
      <c r="B34" s="272"/>
      <c r="C34" s="255"/>
      <c r="D34" s="266"/>
      <c r="E34" s="266"/>
      <c r="F34" s="266"/>
      <c r="G34" s="266"/>
      <c r="H34" s="266"/>
      <c r="I34" s="255"/>
      <c r="J34" s="266"/>
      <c r="K34" s="266"/>
      <c r="L34" s="255"/>
      <c r="N34" s="37" t="str">
        <f>ListAVS!B177</f>
        <v>Cena bez zasilacza!</v>
      </c>
      <c r="Y34" s="164" t="str">
        <f>CenAVS!A79</f>
        <v xml:space="preserve">mocowanie frontu HS, HK top, HL Expando    </v>
      </c>
      <c r="Z34" s="164" t="str">
        <f>CenAVS!B79</f>
        <v>20S42E1</v>
      </c>
      <c r="AA34" s="301" t="str">
        <f>CenAVS!C79</f>
        <v>NI</v>
      </c>
      <c r="AB34" s="165">
        <f t="shared" si="2"/>
        <v>0</v>
      </c>
      <c r="AC34" s="395">
        <f>CenAVS!F79</f>
        <v>6.2138699999999991</v>
      </c>
      <c r="AD34" s="167">
        <f t="shared" si="4"/>
        <v>0</v>
      </c>
      <c r="AE34" s="407"/>
      <c r="AF34" s="168">
        <f t="shared" si="0"/>
        <v>0</v>
      </c>
      <c r="AG34" s="407"/>
      <c r="AH34" s="168">
        <f t="shared" si="5"/>
        <v>0</v>
      </c>
    </row>
    <row r="35" spans="2:44" ht="16.149999999999999" customHeight="1" x14ac:dyDescent="0.2">
      <c r="B35" s="272"/>
      <c r="C35" s="273"/>
      <c r="D35" s="266"/>
      <c r="E35" s="266"/>
      <c r="F35" s="266"/>
      <c r="G35" s="266"/>
      <c r="H35" s="266"/>
      <c r="I35" s="255"/>
      <c r="J35" s="266"/>
      <c r="K35" s="266"/>
      <c r="L35" s="255"/>
      <c r="N35" s="37" t="str">
        <f>" "&amp;ListAVS!$B$117</f>
        <v xml:space="preserve"> Wprowadź wagę lub wypełnij na górze grubość szkła</v>
      </c>
      <c r="Y35" s="164" t="str">
        <f>CenAVS!A80</f>
        <v>mocow. frontu do cienkich materiałów Aventos HK, HL, HS, Expando T</v>
      </c>
      <c r="Z35" s="164" t="str">
        <f>CenAVS!B80</f>
        <v>20S42T1</v>
      </c>
      <c r="AA35" s="301" t="str">
        <f>CenAVS!C80</f>
        <v>NI</v>
      </c>
      <c r="AB35" s="165">
        <f t="shared" si="2"/>
        <v>0</v>
      </c>
      <c r="AC35" s="395">
        <f>CenAVS!F80</f>
        <v>31.992830000000005</v>
      </c>
      <c r="AD35" s="167">
        <f t="shared" si="4"/>
        <v>0</v>
      </c>
      <c r="AE35" s="407"/>
      <c r="AF35" s="168">
        <f t="shared" si="0"/>
        <v>0</v>
      </c>
      <c r="AG35" s="407"/>
      <c r="AH35" s="168">
        <f t="shared" si="5"/>
        <v>0</v>
      </c>
    </row>
    <row r="36" spans="2:44" ht="16.149999999999999" customHeight="1" x14ac:dyDescent="0.2">
      <c r="B36" s="272"/>
      <c r="C36" s="255" t="str">
        <f>"** "&amp;ListAVS!$B$187</f>
        <v>** Jeżeli znasz wagę i nie chcesz skorzystać z "obliczenie wagi"</v>
      </c>
      <c r="D36" s="266"/>
      <c r="E36" s="266"/>
      <c r="F36" s="266"/>
      <c r="G36" s="266"/>
      <c r="H36" s="266"/>
      <c r="I36" s="255"/>
      <c r="J36" s="266"/>
      <c r="K36" s="266"/>
      <c r="L36" s="255"/>
      <c r="N36" s="37" t="str">
        <f>" "&amp;ListAVS!$B$116</f>
        <v xml:space="preserve"> Wprowadź wagę lub wypełnij wszystkie komórki</v>
      </c>
      <c r="Y36" s="164" t="str">
        <f>CenAVS!A81</f>
        <v xml:space="preserve">mocowanie frontu alu HK Top, HS/Top, HL/Top    </v>
      </c>
      <c r="Z36" s="164" t="str">
        <f>CenAVS!B81</f>
        <v>20S4200A</v>
      </c>
      <c r="AA36" s="301" t="str">
        <f>CenAVS!C81</f>
        <v>NI</v>
      </c>
      <c r="AB36" s="165">
        <f t="shared" si="2"/>
        <v>0</v>
      </c>
      <c r="AC36" s="395">
        <f>CenAVS!F81</f>
        <v>43.392219999999995</v>
      </c>
      <c r="AD36" s="167">
        <f t="shared" si="4"/>
        <v>0</v>
      </c>
      <c r="AE36" s="407">
        <f>SUM(AE$9:AE$16, $AE$24:$AE$31)</f>
        <v>0</v>
      </c>
      <c r="AF36" s="168">
        <f t="shared" si="0"/>
        <v>0</v>
      </c>
      <c r="AG36" s="407">
        <f>SUM(AG$9:AG$16, $AG$24:$AG$31)</f>
        <v>0</v>
      </c>
      <c r="AH36" s="168">
        <f t="shared" si="5"/>
        <v>0</v>
      </c>
    </row>
    <row r="37" spans="2:44" ht="16.149999999999999" customHeight="1" x14ac:dyDescent="0.2">
      <c r="B37" s="274"/>
      <c r="C37" s="273" t="str">
        <f>"*** "&amp;ListAVS!$B$403</f>
        <v>*** Wybierz rodzaj ramki aluminiowej!</v>
      </c>
      <c r="D37" s="255"/>
      <c r="E37" s="255"/>
      <c r="F37" s="255"/>
      <c r="G37" s="255"/>
      <c r="H37" s="276"/>
      <c r="I37" s="276"/>
      <c r="J37" s="276"/>
      <c r="K37" s="276"/>
      <c r="L37" s="255"/>
      <c r="N37" s="37" t="str">
        <f>"◄ "&amp;ListAVS!$B$112</f>
        <v>◄ wartość będzie wykorzystana do obliczenia LF</v>
      </c>
      <c r="Y37" s="164" t="str">
        <f>CenAVS!A82</f>
        <v xml:space="preserve">          </v>
      </c>
      <c r="Z37" s="164">
        <f>CenAVS!B82</f>
        <v>0</v>
      </c>
      <c r="AA37" s="301">
        <f>CenAVS!C82</f>
        <v>0</v>
      </c>
      <c r="AB37" s="165">
        <f t="shared" si="2"/>
        <v>0</v>
      </c>
      <c r="AC37" s="395">
        <f>CenAVS!F82</f>
        <v>0</v>
      </c>
      <c r="AD37" s="167">
        <f t="shared" si="4"/>
        <v>0</v>
      </c>
      <c r="AE37" s="407"/>
      <c r="AF37" s="168">
        <f t="shared" si="0"/>
        <v>0</v>
      </c>
      <c r="AG37" s="407"/>
      <c r="AH37" s="168">
        <f t="shared" si="5"/>
        <v>0</v>
      </c>
    </row>
    <row r="38" spans="2:44" ht="16.149999999999999" customHeight="1" x14ac:dyDescent="0.2">
      <c r="B38" s="274"/>
      <c r="C38" s="670" t="str">
        <f>"      "&amp;ListAVS!$B$404</f>
        <v xml:space="preserve">      Więcej informacji o wyborze ramki aluminiowej w Pomocy</v>
      </c>
      <c r="D38" s="399"/>
      <c r="E38" s="399"/>
      <c r="F38" s="399"/>
      <c r="G38" s="399"/>
      <c r="H38" s="255"/>
      <c r="I38" s="276"/>
      <c r="J38" s="276"/>
      <c r="K38" s="276"/>
      <c r="L38" s="255"/>
      <c r="N38" s="37" t="str">
        <f>" * "&amp;ListAVS!$B$128</f>
        <v xml:space="preserve"> * Wypełnij wartości</v>
      </c>
      <c r="Y38" s="164" t="str">
        <f>CenAVS!A185</f>
        <v xml:space="preserve">Tip-on do zawiasu 50mm PG, szary     </v>
      </c>
      <c r="Z38" s="164" t="str">
        <f>CenAVS!B185</f>
        <v>956.1004</v>
      </c>
      <c r="AA38" s="301" t="str">
        <f>CenAVS!C185</f>
        <v>R7036</v>
      </c>
      <c r="AB38" s="165">
        <f t="shared" ref="AB38:AB43" si="6">SUM(AE38,AG38)</f>
        <v>0</v>
      </c>
      <c r="AC38" s="395">
        <f>CenAVS!F185</f>
        <v>12.830769999999999</v>
      </c>
      <c r="AD38" s="167">
        <f t="shared" ref="AD38:AD43" si="7">AB38*AC38</f>
        <v>0</v>
      </c>
      <c r="AE38" s="407">
        <f>IF(AND($T$44&lt;3,$U$16=3),IF($H$11&lt;=500,$M$17,0),0)</f>
        <v>0</v>
      </c>
      <c r="AF38" s="168">
        <f t="shared" ref="AF38:AF44" si="8">$AC38*AE38</f>
        <v>0</v>
      </c>
      <c r="AG38" s="407">
        <f>IF(AND($T$44&lt;3,$U$27=3),IF($H$22&lt;=500,$M$28,0),0)</f>
        <v>0</v>
      </c>
      <c r="AH38" s="168">
        <f t="shared" ref="AH38:AH44" si="9">$AC38*AG38</f>
        <v>0</v>
      </c>
      <c r="AP38" s="37"/>
      <c r="AQ38" s="37"/>
    </row>
    <row r="39" spans="2:44" ht="16.149999999999999" customHeight="1" x14ac:dyDescent="0.2">
      <c r="B39" s="440"/>
      <c r="C39" s="442"/>
      <c r="D39" s="442"/>
      <c r="E39" s="442"/>
      <c r="F39" s="442"/>
      <c r="G39" s="442"/>
      <c r="H39" s="442"/>
      <c r="I39" s="442"/>
      <c r="J39" s="442"/>
      <c r="K39" s="442"/>
      <c r="L39" s="255"/>
      <c r="N39" s="37" t="str">
        <f>" min. 420! "&amp;ListAVS!$B$122</f>
        <v xml:space="preserve"> min. 420! Popraw wagę albo wysokość</v>
      </c>
      <c r="Y39" s="164" t="str">
        <f>CenAVS!A186</f>
        <v xml:space="preserve">Tip-on do zawiasu 50mm SW, biały     </v>
      </c>
      <c r="Z39" s="164" t="str">
        <f>CenAVS!B186</f>
        <v>956.1004</v>
      </c>
      <c r="AA39" s="301" t="str">
        <f>CenAVS!C186</f>
        <v>SW</v>
      </c>
      <c r="AB39" s="165">
        <f t="shared" si="6"/>
        <v>0</v>
      </c>
      <c r="AC39" s="395">
        <f>CenAVS!F186</f>
        <v>12.830769999999999</v>
      </c>
      <c r="AD39" s="167">
        <f t="shared" si="7"/>
        <v>0</v>
      </c>
      <c r="AE39" s="407">
        <f>IF(AND($T$44=3,$U$16=3),IF($H$11&lt;=500,$M$17,0),0)</f>
        <v>0</v>
      </c>
      <c r="AF39" s="168">
        <f t="shared" si="8"/>
        <v>0</v>
      </c>
      <c r="AG39" s="407">
        <f>IF(AND($T$44=3,$U$27=3),IF($H$22&lt;=500,$M$28,0),0)</f>
        <v>0</v>
      </c>
      <c r="AH39" s="168">
        <f t="shared" si="9"/>
        <v>0</v>
      </c>
      <c r="AO39" s="37"/>
      <c r="AP39" s="37"/>
      <c r="AQ39" s="37"/>
    </row>
    <row r="40" spans="2:44" ht="16.149999999999999" customHeight="1" x14ac:dyDescent="0.2">
      <c r="B40" s="273"/>
      <c r="C40" s="442"/>
      <c r="D40" s="442"/>
      <c r="E40" s="442"/>
      <c r="F40" s="442"/>
      <c r="G40" s="442"/>
      <c r="H40" s="442"/>
      <c r="I40" s="442"/>
      <c r="J40" s="442"/>
      <c r="K40" s="442"/>
      <c r="L40" s="255"/>
      <c r="N40" s="37" t="str">
        <f>" max. 13.500! "&amp;ListAVS!$B$122</f>
        <v xml:space="preserve"> max. 13.500! Popraw wagę albo wysokość</v>
      </c>
      <c r="O40" s="37"/>
      <c r="Q40" s="37"/>
      <c r="Y40" s="164" t="str">
        <f>CenAVS!A187</f>
        <v xml:space="preserve">Tip-on do zawiasu krótki 50mm z magnesem,komplet, karbon czarny CS </v>
      </c>
      <c r="Z40" s="164" t="str">
        <f>CenAVS!B187</f>
        <v>956.1004</v>
      </c>
      <c r="AA40" s="301" t="str">
        <f>CenAVS!C187</f>
        <v>CS</v>
      </c>
      <c r="AB40" s="165">
        <f t="shared" si="6"/>
        <v>0</v>
      </c>
      <c r="AC40" s="395">
        <f>CenAVS!F187</f>
        <v>12.830769999999999</v>
      </c>
      <c r="AD40" s="167">
        <f t="shared" si="7"/>
        <v>0</v>
      </c>
      <c r="AE40" s="407"/>
      <c r="AF40" s="168">
        <f t="shared" si="8"/>
        <v>0</v>
      </c>
      <c r="AG40" s="407"/>
      <c r="AH40" s="168">
        <f t="shared" si="9"/>
        <v>0</v>
      </c>
      <c r="AO40" s="37"/>
      <c r="AP40" s="37"/>
      <c r="AQ40" s="37"/>
      <c r="AR40" s="37"/>
    </row>
    <row r="41" spans="2:44" ht="16.149999999999999" customHeight="1" x14ac:dyDescent="0.2">
      <c r="B41" s="441"/>
      <c r="C41" s="442"/>
      <c r="D41" s="442"/>
      <c r="E41" s="442"/>
      <c r="F41" s="442"/>
      <c r="G41" s="442"/>
      <c r="H41" s="442"/>
      <c r="I41" s="442"/>
      <c r="J41" s="442"/>
      <c r="K41" s="442"/>
      <c r="L41" s="255"/>
      <c r="N41" s="37" t="str">
        <f>" max. 9 000! "&amp;ListAVS!$B$122</f>
        <v xml:space="preserve"> max. 9 000! Popraw wagę albo wysokość</v>
      </c>
      <c r="Y41" s="164" t="str">
        <f>CenAVS!A188</f>
        <v xml:space="preserve">Tip-on do zawiasu 76mm, PG, szary     </v>
      </c>
      <c r="Z41" s="164" t="str">
        <f>CenAVS!B188</f>
        <v>956A1004</v>
      </c>
      <c r="AA41" s="301" t="str">
        <f>CenAVS!C188</f>
        <v>R7036</v>
      </c>
      <c r="AB41" s="165">
        <f t="shared" si="6"/>
        <v>0</v>
      </c>
      <c r="AC41" s="395">
        <f>CenAVS!F188</f>
        <v>16.100000000000001</v>
      </c>
      <c r="AD41" s="167">
        <f t="shared" si="7"/>
        <v>0</v>
      </c>
      <c r="AE41" s="407">
        <f>IF(AND($T$44&lt;3,$U$16=3),IF($H$11&gt;500,$M$17,0),0)</f>
        <v>0</v>
      </c>
      <c r="AF41" s="168">
        <f t="shared" si="8"/>
        <v>0</v>
      </c>
      <c r="AG41" s="407">
        <f>IF(AND($T$44&lt;3,$U$27=3),IF($H$22&gt;500,$M$28,0),0)</f>
        <v>0</v>
      </c>
      <c r="AH41" s="168">
        <f t="shared" si="9"/>
        <v>0</v>
      </c>
      <c r="AO41" s="37"/>
      <c r="AR41" s="37"/>
    </row>
    <row r="42" spans="2:44" s="37" customFormat="1" ht="16.149999999999999" customHeight="1" x14ac:dyDescent="0.2">
      <c r="B42" s="255"/>
      <c r="C42" s="255"/>
      <c r="D42" s="255"/>
      <c r="E42" s="255"/>
      <c r="F42" s="255"/>
      <c r="G42" s="255"/>
      <c r="H42" s="255"/>
      <c r="I42" s="255"/>
      <c r="J42" s="398"/>
      <c r="K42" s="398"/>
      <c r="L42" s="255"/>
      <c r="N42" s="149" t="str">
        <f>"                       "&amp;ListAVS!$B$123</f>
        <v xml:space="preserve">                       lub dodaj trzeci siłownik</v>
      </c>
      <c r="O42" s="118"/>
      <c r="Q42" s="118"/>
      <c r="Y42" s="164" t="str">
        <f>CenAVS!A189</f>
        <v xml:space="preserve">Tip-on do zawiasu 76mm, SW, biały     </v>
      </c>
      <c r="Z42" s="164" t="str">
        <f>CenAVS!B189</f>
        <v>956A1004</v>
      </c>
      <c r="AA42" s="301" t="str">
        <f>CenAVS!C189</f>
        <v>WA</v>
      </c>
      <c r="AB42" s="165">
        <f t="shared" si="6"/>
        <v>0</v>
      </c>
      <c r="AC42" s="395">
        <f>CenAVS!F189</f>
        <v>16.100000000000001</v>
      </c>
      <c r="AD42" s="167">
        <f t="shared" si="7"/>
        <v>0</v>
      </c>
      <c r="AE42" s="407">
        <f>IF(AND($T$44=3,$U$16=3),IF($H$11&gt;500,$M$17,0),0)</f>
        <v>0</v>
      </c>
      <c r="AF42" s="168">
        <f t="shared" si="8"/>
        <v>0</v>
      </c>
      <c r="AG42" s="407">
        <f>IF(AND($T$44=3,$U$27=3),IF($H$22&gt;500,$M$28,0),0)</f>
        <v>0</v>
      </c>
      <c r="AH42" s="168">
        <f t="shared" si="9"/>
        <v>0</v>
      </c>
      <c r="AL42" s="108"/>
      <c r="AM42" s="108"/>
      <c r="AN42" s="108"/>
      <c r="AO42" s="137"/>
      <c r="AP42" s="137"/>
      <c r="AQ42" s="137"/>
    </row>
    <row r="43" spans="2:44" s="37" customFormat="1" ht="16.149999999999999" customHeight="1" x14ac:dyDescent="0.2">
      <c r="B43" s="255"/>
      <c r="C43" s="255"/>
      <c r="D43" s="255"/>
      <c r="E43" s="255"/>
      <c r="F43" s="255"/>
      <c r="G43" s="255"/>
      <c r="H43" s="255"/>
      <c r="I43" s="255"/>
      <c r="J43" s="255"/>
      <c r="K43" s="255"/>
      <c r="L43" s="255"/>
      <c r="O43" s="118"/>
      <c r="Q43" s="118"/>
      <c r="Y43" s="164" t="str">
        <f>CenAVS!A190</f>
        <v>Tip-on do zawiasu długi 76mm z magnesem, komplet, karbon czarny CS</v>
      </c>
      <c r="Z43" s="164" t="str">
        <f>CenAVS!B190</f>
        <v>956A1004</v>
      </c>
      <c r="AA43" s="301" t="str">
        <f>CenAVS!C190</f>
        <v>CS</v>
      </c>
      <c r="AB43" s="165">
        <f t="shared" si="6"/>
        <v>0</v>
      </c>
      <c r="AC43" s="395">
        <f>CenAVS!F190</f>
        <v>16.100000000000001</v>
      </c>
      <c r="AD43" s="167">
        <f t="shared" si="7"/>
        <v>0</v>
      </c>
      <c r="AE43" s="407"/>
      <c r="AF43" s="168">
        <f t="shared" si="8"/>
        <v>0</v>
      </c>
      <c r="AG43" s="407"/>
      <c r="AH43" s="168">
        <f t="shared" si="9"/>
        <v>0</v>
      </c>
      <c r="AL43" s="108"/>
      <c r="AM43" s="108"/>
      <c r="AN43" s="108"/>
      <c r="AO43" s="137"/>
      <c r="AP43" s="137"/>
      <c r="AQ43" s="137"/>
      <c r="AR43" s="137"/>
    </row>
    <row r="44" spans="2:44" s="37" customFormat="1" ht="16.149999999999999" customHeight="1" x14ac:dyDescent="0.2">
      <c r="B44" s="255"/>
      <c r="C44" s="255"/>
      <c r="D44" s="255"/>
      <c r="E44" s="255"/>
      <c r="F44" s="255"/>
      <c r="G44" s="255"/>
      <c r="H44" s="255"/>
      <c r="I44" s="255"/>
      <c r="J44" s="255"/>
      <c r="K44" s="255"/>
      <c r="L44" s="255"/>
      <c r="N44" s="151">
        <f>HK!$P$26</f>
        <v>1</v>
      </c>
      <c r="O44" s="182"/>
      <c r="P44" s="117">
        <v>1</v>
      </c>
      <c r="Q44" s="182"/>
      <c r="R44" s="117">
        <v>1</v>
      </c>
      <c r="S44" s="194"/>
      <c r="T44" s="117">
        <f>MenuAVS!$P$28</f>
        <v>1</v>
      </c>
      <c r="V44" s="151"/>
      <c r="Y44" s="164">
        <f>CenAVS!A169</f>
        <v>0</v>
      </c>
      <c r="Z44" s="164">
        <f>CenAVS!B169</f>
        <v>0</v>
      </c>
      <c r="AA44" s="301">
        <f>CenAVS!C169</f>
        <v>0</v>
      </c>
      <c r="AB44" s="165"/>
      <c r="AC44" s="395">
        <f>CenAVS!F169</f>
        <v>0</v>
      </c>
      <c r="AD44" s="167">
        <f t="shared" si="3"/>
        <v>0</v>
      </c>
      <c r="AE44" s="408"/>
      <c r="AF44" s="168">
        <f t="shared" si="8"/>
        <v>0</v>
      </c>
      <c r="AG44" s="408"/>
      <c r="AH44" s="168">
        <f t="shared" si="9"/>
        <v>0</v>
      </c>
      <c r="AL44" s="108"/>
      <c r="AM44" s="108"/>
      <c r="AN44" s="108"/>
      <c r="AO44" s="137"/>
      <c r="AP44" s="137"/>
      <c r="AQ44" s="137"/>
      <c r="AR44" s="137"/>
    </row>
    <row r="45" spans="2:44" ht="16.149999999999999" customHeight="1" x14ac:dyDescent="0.2">
      <c r="B45" s="255"/>
      <c r="C45" s="255"/>
      <c r="D45" s="255"/>
      <c r="E45" s="255"/>
      <c r="F45" s="255"/>
      <c r="G45" s="255"/>
      <c r="H45" s="255"/>
      <c r="I45" s="255"/>
      <c r="J45" s="255"/>
      <c r="K45" s="255"/>
      <c r="L45" s="255"/>
      <c r="N45" s="153" t="s">
        <v>104</v>
      </c>
      <c r="P45" s="153" t="s">
        <v>8</v>
      </c>
      <c r="R45" s="153" t="s">
        <v>84</v>
      </c>
      <c r="T45" s="153" t="s">
        <v>6</v>
      </c>
      <c r="V45" s="203" t="s">
        <v>18</v>
      </c>
      <c r="Y45" s="164"/>
      <c r="Z45" s="164"/>
      <c r="AA45" s="301"/>
      <c r="AB45" s="165"/>
      <c r="AC45" s="395"/>
      <c r="AD45" s="167"/>
      <c r="AE45" s="408"/>
      <c r="AF45" s="168"/>
      <c r="AG45" s="408"/>
      <c r="AH45" s="168"/>
    </row>
    <row r="46" spans="2:44" ht="16.149999999999999" customHeight="1" x14ac:dyDescent="0.2">
      <c r="B46" s="350"/>
      <c r="C46" s="148"/>
      <c r="D46" s="148"/>
      <c r="E46" s="148"/>
      <c r="F46" s="148"/>
      <c r="G46" s="148"/>
      <c r="H46" s="148"/>
      <c r="I46" s="148"/>
      <c r="J46" s="148"/>
      <c r="K46" s="148"/>
      <c r="N46" s="37" t="s">
        <v>105</v>
      </c>
      <c r="R46" s="118"/>
      <c r="T46" s="37" t="str">
        <f>ListAVS!$B$146</f>
        <v>Jasnoszary (HGR)</v>
      </c>
      <c r="V46" s="37" t="s">
        <v>58</v>
      </c>
      <c r="Y46" s="164" t="str">
        <f>CenAVS!A172</f>
        <v xml:space="preserve">Aventos Servo-drive do HK top      </v>
      </c>
      <c r="Z46" s="164" t="str">
        <f>CenAVS!B172</f>
        <v>23KA000</v>
      </c>
      <c r="AA46" s="301" t="str">
        <f>CenAVS!C172</f>
        <v>R7037</v>
      </c>
      <c r="AB46" s="165">
        <f>SUM(AE46,AG46)</f>
        <v>0</v>
      </c>
      <c r="AC46" s="395">
        <f>CenAVS!F172</f>
        <v>905.30219999999997</v>
      </c>
      <c r="AD46" s="167">
        <f>AB46*AC46</f>
        <v>0</v>
      </c>
      <c r="AE46" s="408">
        <f>IF($U$16=2, $M$17, 0)</f>
        <v>0</v>
      </c>
      <c r="AF46" s="168">
        <f>$AC46*AE46</f>
        <v>0</v>
      </c>
      <c r="AG46" s="408">
        <f>IF($U$27=2, $M$28, 0)</f>
        <v>0</v>
      </c>
      <c r="AH46" s="168">
        <f>$AC46*AG46</f>
        <v>0</v>
      </c>
    </row>
    <row r="47" spans="2:44" ht="16.149999999999999" customHeight="1" x14ac:dyDescent="0.2">
      <c r="B47" s="316"/>
      <c r="C47" s="317"/>
      <c r="D47" s="317"/>
      <c r="E47" s="317"/>
      <c r="F47" s="317"/>
      <c r="G47" s="317"/>
      <c r="I47" s="317"/>
      <c r="J47" s="317"/>
      <c r="N47" s="37" t="s">
        <v>106</v>
      </c>
      <c r="R47" s="118"/>
      <c r="T47" s="37" t="str">
        <f>ListAVS!$B$147</f>
        <v>Ciemnoszary (TGR)</v>
      </c>
      <c r="V47" s="37" t="s">
        <v>59</v>
      </c>
      <c r="AG47" s="118"/>
    </row>
    <row r="48" spans="2:44" ht="16.149999999999999" customHeight="1" x14ac:dyDescent="0.2">
      <c r="B48" s="317"/>
      <c r="C48" s="317"/>
      <c r="D48" s="317"/>
      <c r="E48" s="317"/>
      <c r="F48" s="317"/>
      <c r="G48" s="317"/>
      <c r="I48" s="317"/>
      <c r="J48" s="317"/>
      <c r="T48" s="37" t="str">
        <f>ListAVS!$B$148</f>
        <v>Jedwabiście biały (SW)</v>
      </c>
      <c r="V48" s="37" t="s">
        <v>107</v>
      </c>
      <c r="AC48" s="144" t="str">
        <f>ListAVS!$B$61&amp;" "</f>
        <v xml:space="preserve">Cena całkowita bez VAT </v>
      </c>
      <c r="AD48" s="171">
        <f>SUM(AD9:AD47)</f>
        <v>0</v>
      </c>
      <c r="AF48" s="201">
        <f>SUM(AF9:AF47)</f>
        <v>0</v>
      </c>
      <c r="AH48" s="201">
        <f>SUM(AH9:AH47)</f>
        <v>0</v>
      </c>
    </row>
    <row r="49" spans="2:43" ht="16.149999999999999" customHeight="1" x14ac:dyDescent="0.2">
      <c r="B49" s="316"/>
      <c r="C49" s="317"/>
      <c r="D49" s="317"/>
      <c r="E49" s="317"/>
      <c r="F49" s="317"/>
      <c r="G49" s="317"/>
      <c r="I49" s="317"/>
      <c r="J49" s="317"/>
      <c r="N49" s="37" t="str">
        <f>ListAVS!B188&amp;". "</f>
        <v xml:space="preserve">W celu określenia rodzaju siłownika będzie wykorzystana podana waga. </v>
      </c>
    </row>
    <row r="50" spans="2:43" ht="16.149999999999999" customHeight="1" x14ac:dyDescent="0.2">
      <c r="B50" s="144"/>
      <c r="C50" s="317"/>
      <c r="N50" s="37" t="str">
        <f>ListAVS!B189&amp;". "</f>
        <v xml:space="preserve">W celu określenia rodzaju siłownika będzie wykorzystana obliczona waga. </v>
      </c>
    </row>
    <row r="51" spans="2:43" x14ac:dyDescent="0.2">
      <c r="B51" s="144"/>
      <c r="N51" s="37" t="str">
        <f>ListAVS!B190</f>
        <v>Jeżeli chcesz wykorzystać obliczoną wagę, zmaż podaną wartość</v>
      </c>
    </row>
    <row r="52" spans="2:43" x14ac:dyDescent="0.2">
      <c r="B52" s="155"/>
      <c r="D52" s="155"/>
      <c r="E52" s="155"/>
      <c r="F52" s="155"/>
      <c r="G52" s="155"/>
      <c r="I52" s="155"/>
      <c r="J52" s="155"/>
      <c r="N52" s="37" t="str">
        <f>ListAVS!B191</f>
        <v>Jeżeli chcesz wykorzystać podaną wagą, wpisz ją w pole</v>
      </c>
    </row>
    <row r="55" spans="2:43" x14ac:dyDescent="0.2">
      <c r="AQ55" s="37"/>
    </row>
    <row r="56" spans="2:43" x14ac:dyDescent="0.2">
      <c r="AQ56" s="37"/>
    </row>
    <row r="68" spans="1:44" ht="12.75" x14ac:dyDescent="0.2">
      <c r="A68" s="255"/>
      <c r="N68" s="255"/>
      <c r="O68" s="255"/>
      <c r="P68" s="255"/>
      <c r="Q68" s="255"/>
      <c r="R68" s="255"/>
      <c r="S68" s="255"/>
      <c r="T68" s="255"/>
      <c r="U68" s="255"/>
      <c r="V68" s="255"/>
      <c r="W68" s="255"/>
    </row>
    <row r="69" spans="1:44" ht="12.75" x14ac:dyDescent="0.2">
      <c r="A69" s="255"/>
      <c r="N69" s="517" t="str">
        <f>ListAVS!$B$73</f>
        <v>Obliczanie wagi frontów</v>
      </c>
      <c r="O69" s="518"/>
      <c r="P69" s="518"/>
      <c r="Q69" s="518"/>
      <c r="R69" s="518"/>
      <c r="S69" s="255"/>
      <c r="T69" s="255"/>
      <c r="U69" s="255"/>
      <c r="V69" s="255"/>
      <c r="W69" s="255"/>
    </row>
    <row r="70" spans="1:44" ht="15.75" customHeight="1" x14ac:dyDescent="0.2">
      <c r="A70" s="255"/>
      <c r="N70" s="255"/>
      <c r="O70" s="269"/>
      <c r="P70" s="269" t="str">
        <f>ListAVS!$B$180&amp;"  "</f>
        <v xml:space="preserve">Wykonanie frontów  </v>
      </c>
      <c r="Q70" s="255"/>
      <c r="R70" s="255"/>
      <c r="S70" s="255"/>
      <c r="T70" s="833">
        <f>J4</f>
        <v>0</v>
      </c>
      <c r="U70" s="262" t="str">
        <f>IF(AF76=3,IF(T70=0,Y72," "),IF(T70&gt;0,Y73," "))</f>
        <v xml:space="preserve"> </v>
      </c>
      <c r="V70" s="255"/>
      <c r="W70" s="255"/>
      <c r="Y70" s="335" t="str">
        <f>IF($AF$76=1,$AF$95,IF($AF$76=2,$AF$96,$AF$97&amp;" - "&amp;$Y$80&amp;"mm"))</f>
        <v>Ramki aluminiowe z 4mm szkłem</v>
      </c>
      <c r="Z70" s="118"/>
      <c r="AB70" s="118"/>
      <c r="AD70" s="598">
        <f>MenuAVS!$Q$81</f>
        <v>2500</v>
      </c>
    </row>
    <row r="71" spans="1:44" ht="15.75" customHeight="1" x14ac:dyDescent="0.2">
      <c r="A71" s="255"/>
      <c r="N71" s="255"/>
      <c r="O71" s="255"/>
      <c r="P71" s="255"/>
      <c r="Q71" s="255"/>
      <c r="R71" s="255"/>
      <c r="S71" s="255"/>
      <c r="T71" s="255"/>
      <c r="U71" s="255"/>
      <c r="V71" s="255"/>
      <c r="W71" s="255"/>
      <c r="Y71" s="37" t="str">
        <f>" "&amp;ListAVS!$B$410</f>
        <v xml:space="preserve"> Możesz zmienić wartości we Wstępie do planowania</v>
      </c>
      <c r="Z71" s="118"/>
      <c r="AB71" s="118"/>
    </row>
    <row r="72" spans="1:44" ht="15" customHeight="1" x14ac:dyDescent="0.2">
      <c r="A72" s="255"/>
      <c r="N72" s="266"/>
      <c r="O72" s="255"/>
      <c r="P72" s="255"/>
      <c r="Q72" s="255"/>
      <c r="R72" s="255"/>
      <c r="S72" s="255"/>
      <c r="T72" s="255"/>
      <c r="U72" s="255"/>
      <c r="V72" s="255"/>
      <c r="W72" s="255"/>
      <c r="Y72" s="37" t="str">
        <f>" "&amp;ListAVS!$B$246&amp;" [mm]"</f>
        <v xml:space="preserve"> Podaj grubość szkła [mm]</v>
      </c>
      <c r="Z72" s="118"/>
      <c r="AB72" s="118"/>
      <c r="AQ72" s="118"/>
    </row>
    <row r="73" spans="1:44" ht="15" customHeight="1" x14ac:dyDescent="0.2">
      <c r="A73" s="255"/>
      <c r="N73" s="266"/>
      <c r="O73" s="255"/>
      <c r="P73" s="255"/>
      <c r="Q73" s="255"/>
      <c r="R73" s="255"/>
      <c r="S73" s="255"/>
      <c r="T73" s="255"/>
      <c r="U73" s="255"/>
      <c r="V73" s="255"/>
      <c r="W73" s="255"/>
      <c r="Y73" s="37" t="str">
        <f>" "&amp;ListAVS!$B$241&amp;" '"&amp;ListAVS!$B$95&amp;"'"</f>
        <v xml:space="preserve"> Wartość obowiązuje tylko dla opcji 'Ramki aluminiowe z innym szkłem'</v>
      </c>
      <c r="Z73" s="118"/>
      <c r="AB73" s="118"/>
      <c r="AQ73" s="118"/>
    </row>
    <row r="74" spans="1:44" ht="15" customHeight="1" x14ac:dyDescent="0.2">
      <c r="A74" s="255"/>
      <c r="N74" s="255"/>
      <c r="O74" s="255"/>
      <c r="P74" s="255"/>
      <c r="Q74" s="255"/>
      <c r="R74" s="255"/>
      <c r="S74" s="255"/>
      <c r="T74" s="255"/>
      <c r="U74" s="255"/>
      <c r="V74" s="255"/>
      <c r="W74" s="255"/>
      <c r="Z74" s="118"/>
      <c r="AB74" s="118"/>
      <c r="AJ74" s="203"/>
      <c r="AK74" s="203"/>
      <c r="AQ74" s="118"/>
      <c r="AR74" s="118"/>
    </row>
    <row r="75" spans="1:44" ht="15" customHeight="1" x14ac:dyDescent="0.2">
      <c r="A75" s="255"/>
      <c r="N75" s="266"/>
      <c r="O75" s="266"/>
      <c r="P75" s="266"/>
      <c r="Q75" s="255"/>
      <c r="R75" s="1148" t="str">
        <f>D9</f>
        <v xml:space="preserve"> </v>
      </c>
      <c r="S75" s="1149"/>
      <c r="T75" s="1150"/>
      <c r="U75" s="255"/>
      <c r="V75" s="255"/>
      <c r="W75" s="255"/>
      <c r="Z75" s="118"/>
      <c r="AB75" s="118"/>
      <c r="AD75" s="209"/>
      <c r="AE75" s="601" t="s">
        <v>68</v>
      </c>
      <c r="AF75" s="601" t="s">
        <v>69</v>
      </c>
      <c r="AG75" s="601" t="s">
        <v>70</v>
      </c>
      <c r="AJ75" s="203"/>
      <c r="AK75" s="203"/>
      <c r="AQ75" s="118"/>
      <c r="AR75" s="118"/>
    </row>
    <row r="76" spans="1:44" s="118" customFormat="1" ht="15" customHeight="1" x14ac:dyDescent="0.2">
      <c r="A76" s="255"/>
      <c r="N76" s="1138" t="str">
        <f>ListAVS!$B$74&amp;" KB [mm]       "</f>
        <v xml:space="preserve">Szerokość korpusu KB [mm]       </v>
      </c>
      <c r="O76" s="1139"/>
      <c r="P76" s="1139"/>
      <c r="Q76" s="1139"/>
      <c r="R76" s="1139"/>
      <c r="S76" s="1140"/>
      <c r="T76" s="829">
        <f>H10</f>
        <v>0</v>
      </c>
      <c r="U76" s="670"/>
      <c r="V76" s="248"/>
      <c r="W76" s="255"/>
      <c r="X76" s="37"/>
      <c r="Y76" s="37">
        <f>T76*T77*T78</f>
        <v>0</v>
      </c>
      <c r="Z76" s="37"/>
      <c r="AA76" s="37"/>
      <c r="AC76" s="37"/>
      <c r="AD76" s="325">
        <f>IF($AG$76=1,$X$95,$X$96)</f>
        <v>0.31</v>
      </c>
      <c r="AE76" s="339">
        <f>$X$97</f>
        <v>0.46</v>
      </c>
      <c r="AF76" s="327">
        <v>1</v>
      </c>
      <c r="AG76" s="328">
        <f>$O$4</f>
        <v>1</v>
      </c>
      <c r="AH76" s="37"/>
      <c r="AJ76" s="203"/>
      <c r="AK76" s="203"/>
      <c r="AL76" s="108"/>
      <c r="AM76" s="108"/>
      <c r="AN76" s="108"/>
      <c r="AO76" s="137"/>
      <c r="AP76" s="137"/>
    </row>
    <row r="77" spans="1:44" s="118" customFormat="1" ht="15" customHeight="1" x14ac:dyDescent="0.2">
      <c r="A77" s="255"/>
      <c r="N77" s="1138" t="str">
        <f>ListAVS!$B$75&amp;" KH [mm]       "</f>
        <v xml:space="preserve">Wysokość korpusu KH [mm]       </v>
      </c>
      <c r="O77" s="1139"/>
      <c r="P77" s="1139"/>
      <c r="Q77" s="1139"/>
      <c r="R77" s="1139"/>
      <c r="S77" s="1140"/>
      <c r="T77" s="829">
        <f>H11</f>
        <v>0</v>
      </c>
      <c r="U77" s="670"/>
      <c r="V77" s="248"/>
      <c r="W77" s="255"/>
      <c r="X77" s="37"/>
      <c r="Y77" s="37">
        <f>Y76/1000000000</f>
        <v>0</v>
      </c>
      <c r="Z77" s="117">
        <v>1</v>
      </c>
      <c r="AC77" s="37"/>
      <c r="AD77" s="153" t="s">
        <v>71</v>
      </c>
      <c r="AE77" s="209">
        <f>SUM(T76*2,(T77-40)*2)*AD76/1000</f>
        <v>-2.4799999999999999E-2</v>
      </c>
      <c r="AF77" s="601" t="s">
        <v>72</v>
      </c>
      <c r="AG77" s="601"/>
      <c r="AH77" s="37"/>
      <c r="AJ77" s="37"/>
      <c r="AK77" s="37"/>
      <c r="AL77" s="108"/>
      <c r="AM77" s="108"/>
      <c r="AN77" s="108"/>
      <c r="AO77" s="137"/>
      <c r="AP77" s="137"/>
      <c r="AQ77" s="137"/>
    </row>
    <row r="78" spans="1:44" s="118" customFormat="1" ht="15" customHeight="1" x14ac:dyDescent="0.2">
      <c r="A78" s="255"/>
      <c r="N78" s="1173" t="str">
        <f>ListAVS!$B$80&amp;" TS [mm] "</f>
        <v xml:space="preserve">Grubość frontu TS [mm] </v>
      </c>
      <c r="O78" s="1174"/>
      <c r="P78" s="1174"/>
      <c r="Q78" s="1174"/>
      <c r="R78" s="1174"/>
      <c r="S78" s="1175"/>
      <c r="T78" s="829"/>
      <c r="U78" s="227"/>
      <c r="V78" s="248"/>
      <c r="W78" s="255"/>
      <c r="X78" s="37"/>
      <c r="Y78" s="319">
        <f>MenuAVS!$C$31</f>
        <v>760</v>
      </c>
      <c r="Z78" s="175" t="str">
        <f>ListAVS!$B$90&amp;" ("&amp;Y78&amp;" kg/m3)"</f>
        <v>MDF (760 kg/m3)</v>
      </c>
      <c r="AC78" s="37"/>
      <c r="AD78" s="209">
        <f>$AD$70*4/1000</f>
        <v>10</v>
      </c>
      <c r="AE78" s="330">
        <f>IF($AG$76=1,AF78*AD78,AG78*AD78)</f>
        <v>8.9999999999999993E-3</v>
      </c>
      <c r="AF78" s="209">
        <f>SUM(($T$76-30)*($T$77-30)/1000000)</f>
        <v>8.9999999999999998E-4</v>
      </c>
      <c r="AG78" s="351">
        <f>SUM(($T$76-6)*($T$77-6)/1000000)</f>
        <v>3.6000000000000001E-5</v>
      </c>
      <c r="AH78" s="208" t="s">
        <v>73</v>
      </c>
      <c r="AJ78" s="37"/>
      <c r="AK78" s="37"/>
      <c r="AL78" s="108"/>
      <c r="AM78" s="108"/>
      <c r="AN78" s="108"/>
      <c r="AO78" s="137"/>
      <c r="AP78" s="137"/>
      <c r="AQ78" s="137"/>
    </row>
    <row r="79" spans="1:44" s="118" customFormat="1" ht="15" customHeight="1" x14ac:dyDescent="0.2">
      <c r="A79" s="255"/>
      <c r="N79" s="1143" t="str">
        <f>ListAVS!$B$83&amp;" [kg] "</f>
        <v xml:space="preserve">Waga uchwytu [kg] </v>
      </c>
      <c r="O79" s="1144"/>
      <c r="P79" s="1144"/>
      <c r="Q79" s="1144"/>
      <c r="R79" s="1144"/>
      <c r="S79" s="1145"/>
      <c r="T79" s="831">
        <f>H14</f>
        <v>0</v>
      </c>
      <c r="U79" s="256" t="str">
        <f>IF($U$16=3," ",IF(SUM(T76,T77)=0," ",IF(T79=0," ● "&amp;ListAVS!$B$130," ")))</f>
        <v xml:space="preserve"> </v>
      </c>
      <c r="V79" s="248"/>
      <c r="W79" s="255"/>
      <c r="X79" s="37"/>
      <c r="Y79" s="319">
        <f>MenuAVS!$C$32</f>
        <v>680</v>
      </c>
      <c r="Z79" s="175" t="str">
        <f>ListAVS!$B$91&amp;" ("&amp;Y79&amp;" kg/m3)"</f>
        <v>Płyta wiórowa (680 kg/m3)</v>
      </c>
      <c r="AC79" s="37"/>
      <c r="AD79" s="209">
        <f>$AD$70*5/1000</f>
        <v>12.5</v>
      </c>
      <c r="AE79" s="330">
        <f>IF($AG$76=1,AF79*AD79,AG79*AD79)</f>
        <v>1.125E-2</v>
      </c>
      <c r="AF79" s="209">
        <f>SUM(($T$76-30)*($T$77-30)/1000000)</f>
        <v>8.9999999999999998E-4</v>
      </c>
      <c r="AG79" s="351">
        <f>SUM(($T$76-6)*($T$77-6)/1000000)</f>
        <v>3.6000000000000001E-5</v>
      </c>
      <c r="AH79" s="208" t="s">
        <v>74</v>
      </c>
      <c r="AJ79" s="37"/>
      <c r="AK79" s="37"/>
      <c r="AL79" s="108"/>
      <c r="AM79" s="108"/>
      <c r="AN79" s="108"/>
      <c r="AO79" s="137"/>
      <c r="AP79" s="137"/>
      <c r="AR79" s="137"/>
    </row>
    <row r="80" spans="1:44" s="118" customFormat="1" ht="15" customHeight="1" x14ac:dyDescent="0.2">
      <c r="A80" s="255"/>
      <c r="N80" s="1143" t="str">
        <f>ListAVS!$B$79&amp;" [kg] "</f>
        <v xml:space="preserve">Obliczona waga frontu [kg] </v>
      </c>
      <c r="O80" s="1144"/>
      <c r="P80" s="1144"/>
      <c r="Q80" s="1144"/>
      <c r="R80" s="1144"/>
      <c r="S80" s="1145"/>
      <c r="T80" s="534">
        <f>IF(AD81=0,0,AD81+2*T79)</f>
        <v>0</v>
      </c>
      <c r="U80" s="227"/>
      <c r="V80" s="248"/>
      <c r="W80" s="255"/>
      <c r="X80" s="186">
        <f>IF(T76*T77*T78=0,0,IF(Z77=1,Y77*Y78,IF(Z77=2,Y77*Y79,Y77*Y80)))</f>
        <v>0</v>
      </c>
      <c r="Y80" s="37">
        <f>$T$70</f>
        <v>0</v>
      </c>
      <c r="Z80" s="175" t="str">
        <f>ListAVS!$B$92</f>
        <v>Inne – wybrana gęstość materiału</v>
      </c>
      <c r="AC80" s="37"/>
      <c r="AD80" s="209">
        <f>$AD$70*$T$70/1000</f>
        <v>0</v>
      </c>
      <c r="AE80" s="330">
        <f>IF($AG$76=1,AF80*AD80,AG80*AD80)</f>
        <v>0</v>
      </c>
      <c r="AF80" s="209">
        <f>SUM(($T$76-30)*($T$77-30)/1000000)</f>
        <v>8.9999999999999998E-4</v>
      </c>
      <c r="AG80" s="351">
        <f>SUM(($T$76-6)*($T$77-6)/1000000)</f>
        <v>3.6000000000000001E-5</v>
      </c>
      <c r="AH80" s="208" t="s">
        <v>75</v>
      </c>
      <c r="AJ80" s="37"/>
      <c r="AK80" s="37"/>
      <c r="AL80" s="108"/>
      <c r="AM80" s="108"/>
      <c r="AN80" s="108"/>
      <c r="AO80" s="137"/>
      <c r="AP80" s="137"/>
      <c r="AR80" s="137"/>
    </row>
    <row r="81" spans="1:44" ht="15" customHeight="1" x14ac:dyDescent="0.2">
      <c r="A81" s="255"/>
      <c r="N81" s="255"/>
      <c r="O81" s="273" t="str">
        <f>IF((U16=3)*AND(T80&gt;0)*AND(T79&gt;0),$Z$96&amp;" "&amp;$Z$97,IF((U16&lt;&gt;3)*AND(T80&gt;0),IF(T79=0,$Z$95," ")," "))</f>
        <v xml:space="preserve"> </v>
      </c>
      <c r="P81" s="255"/>
      <c r="Q81" s="255"/>
      <c r="R81" s="255"/>
      <c r="S81" s="255"/>
      <c r="T81" s="255"/>
      <c r="U81" s="255"/>
      <c r="V81" s="255"/>
      <c r="W81" s="255"/>
      <c r="Z81" s="118"/>
      <c r="AB81" s="118"/>
      <c r="AD81" s="332">
        <f>IF(OR(AND(AF76=3, $T$70=0), T76*T77=0), 0, SUM(IF(AF76=1,AE78,IF(AF76=2,AE79,AE80)),AE77,AE76))</f>
        <v>0</v>
      </c>
      <c r="AQ81" s="118"/>
      <c r="AR81" s="118"/>
    </row>
    <row r="82" spans="1:44" ht="15" customHeight="1" x14ac:dyDescent="0.2">
      <c r="A82" s="255"/>
      <c r="N82" s="255"/>
      <c r="O82" s="273"/>
      <c r="P82" s="255"/>
      <c r="Q82" s="255"/>
      <c r="R82" s="255"/>
      <c r="S82" s="255"/>
      <c r="T82" s="255"/>
      <c r="U82" s="255"/>
      <c r="V82" s="255"/>
      <c r="W82" s="255"/>
      <c r="Z82" s="118"/>
      <c r="AB82" s="118"/>
      <c r="AQ82" s="118"/>
      <c r="AR82" s="118"/>
    </row>
    <row r="83" spans="1:44" ht="15" customHeight="1" x14ac:dyDescent="0.2">
      <c r="A83" s="255"/>
      <c r="N83" s="255"/>
      <c r="O83" s="273"/>
      <c r="P83" s="255"/>
      <c r="Q83" s="255"/>
      <c r="R83" s="255"/>
      <c r="S83" s="255"/>
      <c r="T83" s="255"/>
      <c r="U83" s="255"/>
      <c r="V83" s="255"/>
      <c r="W83" s="255"/>
      <c r="Z83" s="118"/>
      <c r="AB83" s="118"/>
      <c r="AQ83" s="118"/>
      <c r="AR83" s="118"/>
    </row>
    <row r="84" spans="1:44" ht="15" customHeight="1" x14ac:dyDescent="0.2">
      <c r="A84" s="255"/>
      <c r="N84" s="255"/>
      <c r="O84" s="255"/>
      <c r="P84" s="255"/>
      <c r="Q84" s="255"/>
      <c r="R84" s="255"/>
      <c r="S84" s="255"/>
      <c r="T84" s="255"/>
      <c r="U84" s="255"/>
      <c r="V84" s="255"/>
      <c r="W84" s="255"/>
      <c r="Z84" s="118"/>
      <c r="AB84" s="118"/>
      <c r="AQ84" s="118"/>
      <c r="AR84" s="118"/>
    </row>
    <row r="85" spans="1:44" s="118" customFormat="1" ht="15" customHeight="1" x14ac:dyDescent="0.2">
      <c r="A85" s="255"/>
      <c r="N85" s="255"/>
      <c r="O85" s="255"/>
      <c r="P85" s="255"/>
      <c r="Q85" s="255"/>
      <c r="R85" s="255"/>
      <c r="S85" s="255"/>
      <c r="T85" s="255"/>
      <c r="U85" s="255"/>
      <c r="V85" s="255"/>
      <c r="W85" s="255"/>
      <c r="X85" s="37"/>
      <c r="Y85" s="37"/>
      <c r="AA85" s="37"/>
      <c r="AC85" s="37"/>
      <c r="AD85" s="37"/>
      <c r="AE85" s="37"/>
      <c r="AF85" s="37"/>
      <c r="AG85" s="37"/>
      <c r="AH85" s="37"/>
      <c r="AJ85" s="203"/>
      <c r="AK85" s="203"/>
      <c r="AL85" s="108"/>
      <c r="AM85" s="108"/>
      <c r="AN85" s="108"/>
      <c r="AO85" s="137"/>
      <c r="AP85" s="137"/>
    </row>
    <row r="86" spans="1:44" s="118" customFormat="1" ht="15" customHeight="1" x14ac:dyDescent="0.2">
      <c r="A86" s="255"/>
      <c r="N86" s="248"/>
      <c r="O86" s="248"/>
      <c r="P86" s="248"/>
      <c r="Q86" s="255"/>
      <c r="R86" s="1148" t="str">
        <f>D20</f>
        <v xml:space="preserve"> </v>
      </c>
      <c r="S86" s="1149"/>
      <c r="T86" s="1150"/>
      <c r="U86" s="255"/>
      <c r="V86" s="255"/>
      <c r="W86" s="255"/>
      <c r="X86" s="37"/>
      <c r="AA86" s="37"/>
      <c r="AC86" s="37"/>
      <c r="AD86" s="209"/>
      <c r="AE86" s="601" t="s">
        <v>68</v>
      </c>
      <c r="AF86" s="601" t="s">
        <v>69</v>
      </c>
      <c r="AG86" s="601" t="s">
        <v>70</v>
      </c>
      <c r="AH86" s="37"/>
      <c r="AJ86" s="203"/>
      <c r="AK86" s="203"/>
      <c r="AL86" s="108"/>
      <c r="AM86" s="108"/>
      <c r="AN86" s="108"/>
      <c r="AO86" s="137"/>
      <c r="AP86" s="137"/>
    </row>
    <row r="87" spans="1:44" s="118" customFormat="1" ht="15" customHeight="1" x14ac:dyDescent="0.2">
      <c r="A87" s="255"/>
      <c r="N87" s="1138" t="str">
        <f>ListAVS!$B$74&amp;" KB [mm]       "</f>
        <v xml:space="preserve">Szerokość korpusu KB [mm]       </v>
      </c>
      <c r="O87" s="1139"/>
      <c r="P87" s="1139"/>
      <c r="Q87" s="1139"/>
      <c r="R87" s="1139"/>
      <c r="S87" s="1140"/>
      <c r="T87" s="829">
        <f>H21</f>
        <v>0</v>
      </c>
      <c r="U87" s="670"/>
      <c r="V87" s="255"/>
      <c r="W87" s="255"/>
      <c r="X87" s="37"/>
      <c r="Y87" s="37">
        <f>T87*T88*T89</f>
        <v>0</v>
      </c>
      <c r="Z87" s="37"/>
      <c r="AA87" s="37"/>
      <c r="AC87" s="37"/>
      <c r="AD87" s="325">
        <f>IF($AG$76=1,$X$95,$X$96)</f>
        <v>0.31</v>
      </c>
      <c r="AE87" s="339">
        <f>$X$97</f>
        <v>0.46</v>
      </c>
      <c r="AF87" s="333">
        <f>$AF$76</f>
        <v>1</v>
      </c>
      <c r="AG87" s="328">
        <f>$AG$76</f>
        <v>1</v>
      </c>
      <c r="AH87" s="37"/>
      <c r="AJ87" s="203"/>
      <c r="AK87" s="203"/>
      <c r="AL87" s="108"/>
      <c r="AM87" s="108"/>
      <c r="AN87" s="108"/>
      <c r="AO87" s="137"/>
      <c r="AP87" s="137"/>
    </row>
    <row r="88" spans="1:44" s="118" customFormat="1" ht="15" customHeight="1" x14ac:dyDescent="0.2">
      <c r="A88" s="255"/>
      <c r="N88" s="1138" t="str">
        <f>ListAVS!$B$75&amp;" KH [mm]       "</f>
        <v xml:space="preserve">Wysokość korpusu KH [mm]       </v>
      </c>
      <c r="O88" s="1139"/>
      <c r="P88" s="1139"/>
      <c r="Q88" s="1139"/>
      <c r="R88" s="1139"/>
      <c r="S88" s="1140"/>
      <c r="T88" s="829">
        <f>H22</f>
        <v>0</v>
      </c>
      <c r="U88" s="670"/>
      <c r="V88" s="255"/>
      <c r="W88" s="255"/>
      <c r="X88" s="37"/>
      <c r="Y88" s="37">
        <f>Y87/1000000000</f>
        <v>0</v>
      </c>
      <c r="Z88" s="182">
        <f>Z77</f>
        <v>1</v>
      </c>
      <c r="AC88" s="37"/>
      <c r="AD88" s="144" t="s">
        <v>71</v>
      </c>
      <c r="AE88" s="209">
        <f>SUM(T87*2,(T88-40)*2)*AD87/1000</f>
        <v>-2.4799999999999999E-2</v>
      </c>
      <c r="AF88" s="601" t="s">
        <v>72</v>
      </c>
      <c r="AG88" s="601"/>
      <c r="AH88" s="37"/>
      <c r="AJ88" s="37"/>
      <c r="AK88" s="37"/>
      <c r="AL88" s="108"/>
      <c r="AM88" s="108"/>
      <c r="AN88" s="108"/>
      <c r="AO88" s="137"/>
      <c r="AP88" s="137"/>
    </row>
    <row r="89" spans="1:44" s="118" customFormat="1" ht="15" customHeight="1" x14ac:dyDescent="0.2">
      <c r="A89" s="255"/>
      <c r="N89" s="1173" t="str">
        <f>ListAVS!$B$80&amp;" TS [mm] "</f>
        <v xml:space="preserve">Grubość frontu TS [mm] </v>
      </c>
      <c r="O89" s="1174"/>
      <c r="P89" s="1174"/>
      <c r="Q89" s="1174"/>
      <c r="R89" s="1174"/>
      <c r="S89" s="1175"/>
      <c r="T89" s="829"/>
      <c r="U89" s="227"/>
      <c r="V89" s="248"/>
      <c r="W89" s="248"/>
      <c r="X89" s="37"/>
      <c r="Y89" s="319">
        <f>$Y$78</f>
        <v>760</v>
      </c>
      <c r="Z89" s="37" t="str">
        <f>$Z$78</f>
        <v>MDF (760 kg/m3)</v>
      </c>
      <c r="AC89" s="37"/>
      <c r="AD89" s="37">
        <f>AD78</f>
        <v>10</v>
      </c>
      <c r="AE89" s="330">
        <f>IF($AG$76=1,AF89*AD89,AG89*AD89)</f>
        <v>8.9999999999999993E-3</v>
      </c>
      <c r="AF89" s="209">
        <f>SUM(($T$87-30)*($T$88-30)/1000000)</f>
        <v>8.9999999999999998E-4</v>
      </c>
      <c r="AG89" s="209">
        <f>SUM(($T$87-6)*($T$88-6)/1000000)</f>
        <v>3.6000000000000001E-5</v>
      </c>
      <c r="AH89" s="208" t="s">
        <v>73</v>
      </c>
      <c r="AJ89" s="37"/>
      <c r="AK89" s="37"/>
      <c r="AL89" s="108"/>
      <c r="AM89" s="108"/>
      <c r="AN89" s="108"/>
      <c r="AO89" s="137"/>
      <c r="AP89" s="137"/>
    </row>
    <row r="90" spans="1:44" s="118" customFormat="1" ht="15" customHeight="1" x14ac:dyDescent="0.2">
      <c r="A90" s="255"/>
      <c r="N90" s="1143" t="str">
        <f>ListAVS!$B$83&amp;" [kg] "</f>
        <v xml:space="preserve">Waga uchwytu [kg] </v>
      </c>
      <c r="O90" s="1144"/>
      <c r="P90" s="1144"/>
      <c r="Q90" s="1144"/>
      <c r="R90" s="1144"/>
      <c r="S90" s="1145"/>
      <c r="T90" s="831">
        <f>H25</f>
        <v>0</v>
      </c>
      <c r="U90" s="256" t="str">
        <f>IF($U$27=3," ",IF(SUM(T87,T88)=0," ",IF(T90=0," ● "&amp;ListAVS!$B$130," ")))</f>
        <v xml:space="preserve"> </v>
      </c>
      <c r="V90" s="248"/>
      <c r="W90" s="248"/>
      <c r="X90" s="37"/>
      <c r="Y90" s="319">
        <f>$Y$79</f>
        <v>680</v>
      </c>
      <c r="Z90" s="37" t="str">
        <f>$Z$79</f>
        <v>Płyta wiórowa (680 kg/m3)</v>
      </c>
      <c r="AC90" s="37"/>
      <c r="AD90" s="37">
        <f>AD79</f>
        <v>12.5</v>
      </c>
      <c r="AE90" s="330">
        <f>IF($AG$76=1,AF90*AD90,AG90*AD90)</f>
        <v>1.125E-2</v>
      </c>
      <c r="AF90" s="209">
        <f>SUM(($T$87-30)*($T$88-30)/1000000)</f>
        <v>8.9999999999999998E-4</v>
      </c>
      <c r="AG90" s="209">
        <f>SUM(($T$87-6)*($T$88-6)/1000000)</f>
        <v>3.6000000000000001E-5</v>
      </c>
      <c r="AH90" s="208" t="s">
        <v>74</v>
      </c>
      <c r="AJ90" s="37"/>
      <c r="AK90" s="37"/>
      <c r="AL90" s="108"/>
      <c r="AM90" s="108"/>
      <c r="AN90" s="108"/>
      <c r="AO90" s="137"/>
      <c r="AP90" s="137"/>
    </row>
    <row r="91" spans="1:44" s="118" customFormat="1" ht="15" customHeight="1" x14ac:dyDescent="0.2">
      <c r="A91" s="255"/>
      <c r="N91" s="1143" t="str">
        <f>ListAVS!$B$79&amp;" [kg] "</f>
        <v xml:space="preserve">Obliczona waga frontu [kg] </v>
      </c>
      <c r="O91" s="1144"/>
      <c r="P91" s="1144"/>
      <c r="Q91" s="1144"/>
      <c r="R91" s="1144"/>
      <c r="S91" s="1145"/>
      <c r="T91" s="534">
        <f>IF(AD92=0,0,AD92+2*T90)</f>
        <v>0</v>
      </c>
      <c r="U91" s="227"/>
      <c r="V91" s="248"/>
      <c r="W91" s="248"/>
      <c r="X91" s="186">
        <f>IF(T87*T88*T89=0,0,IF(Z88=1,Y88*Y89,IF(Z88=2,Y88*Y90,Y88*Y91)))</f>
        <v>0</v>
      </c>
      <c r="Y91" s="37">
        <f>$Y$80</f>
        <v>0</v>
      </c>
      <c r="Z91" s="37" t="str">
        <f>$Z$80</f>
        <v>Inne – wybrana gęstość materiału</v>
      </c>
      <c r="AC91" s="37"/>
      <c r="AD91" s="340">
        <f>AD80</f>
        <v>0</v>
      </c>
      <c r="AE91" s="330">
        <f>IF($AG$76=1,AF91*AD91,AG91*AD91)</f>
        <v>0</v>
      </c>
      <c r="AF91" s="209">
        <f>SUM(($T$87-30)*($T$88-30)/1000000)</f>
        <v>8.9999999999999998E-4</v>
      </c>
      <c r="AG91" s="209">
        <f>SUM(($T$87-6)*($T$88-6)/1000000)</f>
        <v>3.6000000000000001E-5</v>
      </c>
      <c r="AH91" s="208" t="s">
        <v>75</v>
      </c>
      <c r="AJ91" s="37"/>
      <c r="AK91" s="37"/>
      <c r="AL91" s="108"/>
      <c r="AM91" s="108"/>
      <c r="AN91" s="108"/>
      <c r="AO91" s="137"/>
      <c r="AP91" s="137"/>
    </row>
    <row r="92" spans="1:44" s="118" customFormat="1" ht="15" customHeight="1" x14ac:dyDescent="0.2">
      <c r="A92" s="255"/>
      <c r="N92" s="255"/>
      <c r="O92" s="273" t="str">
        <f>IF((U27=3)*AND(T91&gt;0)*AND(T90&gt;0),$Z$96&amp;" "&amp;$Z$97,IF((U27&lt;&gt;3)*AND(T91&gt;0),IF(T90=0,$Z$95," ")," "))</f>
        <v xml:space="preserve"> </v>
      </c>
      <c r="P92" s="255"/>
      <c r="Q92" s="255"/>
      <c r="R92" s="255"/>
      <c r="S92" s="255"/>
      <c r="T92" s="255"/>
      <c r="U92" s="255"/>
      <c r="V92" s="255"/>
      <c r="W92" s="255"/>
      <c r="X92" s="37"/>
      <c r="Y92" s="37"/>
      <c r="AA92" s="37"/>
      <c r="AC92" s="37"/>
      <c r="AD92" s="332">
        <f>IF(OR(AND(AF87=3, $T$70=0), T87*T88=0), 0, SUM(IF(AF87=1,AE89,IF(AF87=2,AE90,AE91)),AE88,AE87))</f>
        <v>0</v>
      </c>
      <c r="AE92" s="37"/>
      <c r="AF92" s="37"/>
      <c r="AG92" s="37"/>
      <c r="AH92" s="37"/>
      <c r="AJ92" s="37"/>
      <c r="AK92" s="37"/>
      <c r="AL92" s="108"/>
      <c r="AM92" s="108"/>
      <c r="AN92" s="108"/>
      <c r="AO92" s="137"/>
      <c r="AP92" s="137"/>
    </row>
    <row r="93" spans="1:44" s="118" customFormat="1" ht="15" customHeight="1" x14ac:dyDescent="0.2">
      <c r="A93" s="255"/>
      <c r="N93" s="255"/>
      <c r="O93" s="255"/>
      <c r="P93" s="255"/>
      <c r="Q93" s="255"/>
      <c r="R93" s="255"/>
      <c r="S93" s="255"/>
      <c r="T93" s="255"/>
      <c r="U93" s="255"/>
      <c r="V93" s="255"/>
      <c r="W93" s="255"/>
      <c r="X93" s="37"/>
      <c r="Y93" s="37"/>
      <c r="AA93" s="37"/>
      <c r="AC93" s="37"/>
      <c r="AD93" s="37"/>
      <c r="AE93" s="37"/>
      <c r="AF93" s="37"/>
      <c r="AG93" s="37"/>
      <c r="AH93" s="37"/>
      <c r="AJ93" s="37"/>
      <c r="AK93" s="37"/>
      <c r="AL93" s="108"/>
      <c r="AM93" s="108"/>
      <c r="AN93" s="108"/>
      <c r="AO93" s="137"/>
      <c r="AP93" s="137"/>
    </row>
    <row r="94" spans="1:44" s="118" customFormat="1" ht="15" customHeight="1" x14ac:dyDescent="0.2">
      <c r="A94" s="255"/>
      <c r="N94" s="255"/>
      <c r="O94" s="255"/>
      <c r="P94" s="255"/>
      <c r="Q94" s="255"/>
      <c r="R94" s="255"/>
      <c r="S94" s="255"/>
      <c r="T94" s="255"/>
      <c r="U94" s="255"/>
      <c r="V94" s="255"/>
      <c r="W94" s="255"/>
      <c r="X94" s="37"/>
      <c r="Y94" s="37"/>
      <c r="AA94" s="37"/>
      <c r="AC94" s="37"/>
      <c r="AD94" s="37"/>
      <c r="AE94" s="37"/>
      <c r="AF94" s="37"/>
      <c r="AG94" s="37"/>
      <c r="AH94" s="37"/>
      <c r="AJ94" s="37"/>
      <c r="AK94" s="37"/>
      <c r="AL94" s="108"/>
      <c r="AM94" s="108"/>
      <c r="AN94" s="108"/>
      <c r="AO94" s="137"/>
      <c r="AP94" s="137"/>
    </row>
    <row r="95" spans="1:44" s="118" customFormat="1" ht="15" customHeight="1" x14ac:dyDescent="0.2">
      <c r="A95" s="255"/>
      <c r="N95" s="255"/>
      <c r="O95" s="255"/>
      <c r="P95" s="255"/>
      <c r="Q95" s="255"/>
      <c r="R95" s="255"/>
      <c r="S95" s="255"/>
      <c r="T95" s="255"/>
      <c r="U95" s="255"/>
      <c r="V95" s="255"/>
      <c r="W95" s="816" t="str">
        <f>ListAVS!$B$424&amp;"  "</f>
        <v xml:space="preserve">z wpuszczanym szkłem  </v>
      </c>
      <c r="X95" s="711">
        <f>MenuAVS!$I$91</f>
        <v>0.31</v>
      </c>
      <c r="Y95" s="37"/>
      <c r="Z95" s="37" t="str">
        <f>ListAVS!$B$103&amp;"!"</f>
        <v>Bez wagi uchwytu!</v>
      </c>
      <c r="AA95" s="37"/>
      <c r="AC95" s="37"/>
      <c r="AD95" s="37"/>
      <c r="AE95" s="37"/>
      <c r="AF95" s="335" t="str">
        <f>ListAVS!$B$93</f>
        <v>Ramki aluminiowe z 4mm szkłem</v>
      </c>
      <c r="AG95" s="37"/>
      <c r="AH95" s="37"/>
      <c r="AJ95" s="37"/>
      <c r="AK95" s="37"/>
      <c r="AL95" s="108"/>
      <c r="AM95" s="108"/>
      <c r="AN95" s="108"/>
      <c r="AO95" s="137"/>
      <c r="AP95" s="137"/>
    </row>
    <row r="96" spans="1:44" s="118" customFormat="1" ht="15" customHeight="1" x14ac:dyDescent="0.2">
      <c r="A96" s="255"/>
      <c r="N96" s="255"/>
      <c r="O96" s="255"/>
      <c r="P96" s="255"/>
      <c r="Q96" s="255"/>
      <c r="R96" s="255"/>
      <c r="S96" s="255"/>
      <c r="T96" s="255"/>
      <c r="U96" s="255"/>
      <c r="V96" s="255"/>
      <c r="W96" s="816" t="str">
        <f>ListAVS!$B$425&amp;"  "</f>
        <v xml:space="preserve">ze szkłem nakładanym lub przyklejanym  </v>
      </c>
      <c r="X96" s="711">
        <f>MenuAVS!$I$92</f>
        <v>0.32</v>
      </c>
      <c r="Y96" s="37"/>
      <c r="Z96" s="37" t="str">
        <f>ListAVS!B104</f>
        <v>Na pewno masz uchwyt do wersji TIP-ON?</v>
      </c>
      <c r="AA96" s="37"/>
      <c r="AC96" s="37"/>
      <c r="AD96" s="37"/>
      <c r="AE96" s="37"/>
      <c r="AF96" s="335" t="str">
        <f>ListAVS!$B$94</f>
        <v>Ramki aluminiowe z 5mm szkłem</v>
      </c>
      <c r="AG96" s="37"/>
      <c r="AH96" s="37"/>
      <c r="AJ96" s="37"/>
      <c r="AK96" s="37"/>
      <c r="AL96" s="108"/>
      <c r="AM96" s="108"/>
      <c r="AN96" s="108"/>
      <c r="AO96" s="137"/>
      <c r="AP96" s="137"/>
    </row>
    <row r="97" spans="1:43" s="118" customFormat="1" ht="15" customHeight="1" x14ac:dyDescent="0.2">
      <c r="A97" s="255"/>
      <c r="N97" s="255"/>
      <c r="O97" s="255"/>
      <c r="P97" s="255"/>
      <c r="Q97" s="255"/>
      <c r="R97" s="255"/>
      <c r="S97" s="255"/>
      <c r="T97" s="255"/>
      <c r="U97" s="255"/>
      <c r="V97" s="255"/>
      <c r="W97" s="816" t="str">
        <f>ListAVS!$B$405&amp;" [kg/set] *  "</f>
        <v xml:space="preserve">Waga materiału łączącego  [kg/set] *  </v>
      </c>
      <c r="X97" s="711">
        <f>MenuAVS!$I$93</f>
        <v>0.46</v>
      </c>
      <c r="Y97" s="37"/>
      <c r="Z97" s="37" t="str">
        <f>ListAVS!B105&amp;"!"</f>
        <v>Jeśli nie wymaż wagę uchwytu!</v>
      </c>
      <c r="AA97" s="37"/>
      <c r="AC97" s="37"/>
      <c r="AD97" s="37"/>
      <c r="AE97" s="37"/>
      <c r="AF97" s="335" t="str">
        <f>ListAVS!$B$95</f>
        <v>Ramki aluminiowe z innym szkłem</v>
      </c>
      <c r="AG97" s="37"/>
      <c r="AH97" s="37"/>
      <c r="AJ97" s="37"/>
      <c r="AK97" s="37"/>
      <c r="AL97" s="108"/>
      <c r="AM97" s="108"/>
      <c r="AN97" s="108"/>
      <c r="AO97" s="137"/>
      <c r="AP97" s="137"/>
      <c r="AQ97" s="37"/>
    </row>
    <row r="98" spans="1:43" s="118" customFormat="1" ht="15" customHeight="1" x14ac:dyDescent="0.2">
      <c r="A98" s="255"/>
      <c r="N98" s="255"/>
      <c r="O98" s="255"/>
      <c r="P98" s="255"/>
      <c r="Q98" s="255"/>
      <c r="R98" s="255"/>
      <c r="S98" s="248"/>
      <c r="T98" s="248"/>
      <c r="U98" s="255"/>
      <c r="V98" s="255"/>
      <c r="W98" s="255"/>
      <c r="X98" s="37"/>
      <c r="Y98" s="37"/>
      <c r="AA98" s="37"/>
      <c r="AC98" s="37"/>
      <c r="AD98" s="37"/>
      <c r="AE98" s="37"/>
      <c r="AF98" s="37"/>
      <c r="AG98" s="37"/>
      <c r="AH98" s="37"/>
      <c r="AJ98" s="37"/>
      <c r="AK98" s="37"/>
      <c r="AL98" s="108"/>
      <c r="AM98" s="108"/>
      <c r="AN98" s="108"/>
      <c r="AO98" s="137"/>
      <c r="AP98" s="137"/>
      <c r="AQ98" s="37"/>
    </row>
    <row r="99" spans="1:43" x14ac:dyDescent="0.2">
      <c r="A99" s="1045"/>
    </row>
    <row r="100" spans="1:43" ht="18" x14ac:dyDescent="0.2">
      <c r="A100" s="1045"/>
      <c r="B100" s="308" t="s">
        <v>19</v>
      </c>
      <c r="C100" s="321"/>
      <c r="D100" s="308"/>
      <c r="E100" s="308"/>
      <c r="F100" s="308"/>
      <c r="G100" s="308"/>
      <c r="H100" s="308"/>
      <c r="I100" s="308"/>
      <c r="J100" s="308"/>
      <c r="K100" s="308"/>
      <c r="L100" s="308"/>
    </row>
    <row r="101" spans="1:43" x14ac:dyDescent="0.2">
      <c r="A101" s="1045"/>
    </row>
    <row r="102" spans="1:43" ht="12.75" x14ac:dyDescent="0.2">
      <c r="A102" s="1045"/>
      <c r="B102" s="255" t="str">
        <f>ListAVS!$B$303</f>
        <v>Odpowiedni siłownik będzie określony za pomocą współczynnika mocy</v>
      </c>
      <c r="C102" s="255"/>
      <c r="D102" s="255"/>
      <c r="E102" s="255"/>
      <c r="F102" s="255"/>
      <c r="G102" s="255"/>
      <c r="H102" s="255"/>
      <c r="I102" s="255"/>
      <c r="J102" s="255"/>
      <c r="K102" s="255"/>
      <c r="L102" s="255"/>
    </row>
    <row r="103" spans="1:43" ht="12.75" x14ac:dyDescent="0.2">
      <c r="A103" s="1045"/>
      <c r="B103" s="255" t="str">
        <f>ListAVS!$B$341</f>
        <v>Współczynnik mocy zależy od wagi frontu (wraz z podwójną wagą uchwytu) i od wysokości korpusu.</v>
      </c>
      <c r="C103" s="255"/>
      <c r="D103" s="255"/>
      <c r="E103" s="255"/>
      <c r="F103" s="255"/>
      <c r="G103" s="255"/>
      <c r="H103" s="255"/>
      <c r="I103" s="255"/>
      <c r="J103" s="255"/>
      <c r="K103" s="255"/>
      <c r="L103" s="255"/>
    </row>
    <row r="104" spans="1:43" ht="12.75" x14ac:dyDescent="0.2">
      <c r="A104" s="1045"/>
      <c r="B104" s="255"/>
      <c r="C104" s="695"/>
      <c r="D104" s="695"/>
      <c r="E104" s="695"/>
      <c r="F104" s="695"/>
      <c r="G104" s="695"/>
      <c r="H104" s="695"/>
      <c r="I104" s="695"/>
      <c r="J104" s="695"/>
      <c r="K104" s="695"/>
      <c r="L104" s="695"/>
    </row>
    <row r="105" spans="1:43" ht="12.75" x14ac:dyDescent="0.2">
      <c r="A105" s="1045"/>
      <c r="B105" s="696"/>
      <c r="C105" s="696"/>
      <c r="D105" s="696"/>
      <c r="E105" s="696"/>
      <c r="F105" s="696"/>
      <c r="G105" s="696"/>
      <c r="H105" s="696"/>
      <c r="I105" s="696"/>
      <c r="J105" s="696"/>
      <c r="K105" s="696"/>
      <c r="L105" s="696"/>
    </row>
    <row r="106" spans="1:43" ht="30" customHeight="1" x14ac:dyDescent="0.2">
      <c r="A106" s="1045"/>
      <c r="B106" s="746"/>
      <c r="C106" s="746"/>
      <c r="D106" s="698" t="str">
        <f>ListAVS!$B$86&amp;" = "</f>
        <v xml:space="preserve">Współczynnik mocy = </v>
      </c>
      <c r="E106" s="1068" t="str">
        <f>ListAVS!$B$342&amp;" [kg]"</f>
        <v>wysokość korpusu (KH) [mm] x waga frontu wraz z podwójną wagą uchwytu [kg]</v>
      </c>
      <c r="F106" s="1068"/>
      <c r="G106" s="1068"/>
      <c r="H106" s="1068"/>
      <c r="I106" s="1068"/>
      <c r="J106" s="1068"/>
      <c r="K106" s="1068"/>
      <c r="L106" s="1068"/>
    </row>
    <row r="107" spans="1:43" ht="12.75" x14ac:dyDescent="0.2">
      <c r="A107" s="1045"/>
      <c r="B107" s="255"/>
      <c r="C107" s="255"/>
      <c r="D107" s="255"/>
      <c r="E107" s="255"/>
      <c r="F107" s="255"/>
      <c r="G107" s="255"/>
      <c r="H107" s="255"/>
      <c r="I107" s="255"/>
      <c r="J107" s="255"/>
      <c r="K107" s="255"/>
      <c r="L107" s="255"/>
    </row>
    <row r="108" spans="1:43" ht="12.75" x14ac:dyDescent="0.2">
      <c r="A108" s="1045"/>
      <c r="B108" s="255"/>
      <c r="C108" s="255"/>
      <c r="D108" s="255"/>
      <c r="E108" s="255"/>
      <c r="F108" s="255"/>
      <c r="G108" s="255"/>
      <c r="H108" s="255"/>
      <c r="I108" s="255"/>
      <c r="J108" s="255"/>
      <c r="K108" s="255"/>
      <c r="L108" s="255"/>
    </row>
    <row r="109" spans="1:43" ht="12.75" x14ac:dyDescent="0.2">
      <c r="A109" s="1045"/>
      <c r="B109" s="255"/>
      <c r="C109" s="255"/>
      <c r="D109" s="255"/>
      <c r="E109" s="255"/>
      <c r="F109" s="255"/>
      <c r="G109" s="255"/>
      <c r="H109" s="255"/>
      <c r="I109" s="255"/>
      <c r="J109" s="255"/>
      <c r="K109" s="255"/>
      <c r="L109" s="255"/>
    </row>
    <row r="110" spans="1:43" ht="12.75" x14ac:dyDescent="0.2">
      <c r="A110" s="1045"/>
      <c r="B110" s="273"/>
      <c r="C110" s="255"/>
      <c r="D110" s="255"/>
      <c r="E110" s="255"/>
      <c r="F110" s="255"/>
      <c r="G110" s="255"/>
      <c r="H110" s="255"/>
      <c r="I110" s="255"/>
      <c r="J110" s="255"/>
      <c r="K110" s="255"/>
      <c r="L110" s="255"/>
    </row>
    <row r="111" spans="1:43" ht="12.75" x14ac:dyDescent="0.2">
      <c r="A111" s="1045"/>
      <c r="B111" s="255"/>
      <c r="C111" s="255"/>
      <c r="D111" s="255"/>
      <c r="E111" s="255"/>
      <c r="F111" s="255"/>
      <c r="G111" s="255"/>
      <c r="H111" s="255"/>
      <c r="I111" s="255"/>
      <c r="J111" s="255"/>
      <c r="K111" s="255"/>
      <c r="L111" s="255"/>
    </row>
    <row r="112" spans="1:43" ht="12.75" x14ac:dyDescent="0.2">
      <c r="A112" s="1045"/>
      <c r="B112" s="255" t="str">
        <f>ListAVS!$B$312</f>
        <v>Jeśli znasz wagę frontu, możesz ją wprowadzić, w przeciwnym razie skorzystaj z „Obliczenia wagi”.</v>
      </c>
      <c r="C112" s="255"/>
      <c r="D112" s="255"/>
      <c r="E112" s="255"/>
      <c r="F112" s="255"/>
      <c r="G112" s="255"/>
      <c r="H112" s="255"/>
      <c r="I112" s="255"/>
      <c r="J112" s="255"/>
      <c r="K112" s="255"/>
      <c r="L112" s="255"/>
    </row>
    <row r="113" spans="1:12" ht="12.75" x14ac:dyDescent="0.2">
      <c r="A113" s="1045"/>
      <c r="B113" s="255" t="str">
        <f>ListAVS!$B$313</f>
        <v>W tabeli wprowadzona wartość ma pierwszeństwo aby skorzystać z wagi obliczeniowej, należy usunąć wprowadzoną wartość.</v>
      </c>
      <c r="C113" s="255"/>
      <c r="D113" s="255"/>
      <c r="E113" s="255"/>
      <c r="F113" s="255"/>
      <c r="G113" s="255"/>
      <c r="H113" s="255"/>
      <c r="I113" s="255"/>
      <c r="J113" s="255"/>
      <c r="K113" s="255"/>
      <c r="L113" s="255"/>
    </row>
    <row r="114" spans="1:12" ht="12.75" x14ac:dyDescent="0.2">
      <c r="A114" s="1045"/>
      <c r="B114" s="255"/>
      <c r="C114" s="255"/>
      <c r="D114" s="255"/>
      <c r="E114" s="255"/>
      <c r="F114" s="255"/>
      <c r="G114" s="255"/>
      <c r="H114" s="255"/>
      <c r="I114" s="255"/>
      <c r="J114" s="255"/>
      <c r="K114" s="255"/>
      <c r="L114" s="255"/>
    </row>
    <row r="115" spans="1:12" ht="12.75" x14ac:dyDescent="0.2">
      <c r="A115" s="1045"/>
      <c r="B115" s="255"/>
      <c r="C115" s="255"/>
      <c r="D115" s="255"/>
      <c r="E115" s="255"/>
      <c r="F115" s="255"/>
      <c r="G115" s="255"/>
      <c r="H115" s="255"/>
      <c r="I115" s="255"/>
      <c r="J115" s="255"/>
      <c r="K115" s="255"/>
      <c r="L115" s="255"/>
    </row>
    <row r="116" spans="1:12" ht="12.75" x14ac:dyDescent="0.2">
      <c r="A116" s="1045"/>
      <c r="B116" s="255" t="str">
        <f>ListAVS!$B$306</f>
        <v>Aby zmienić kolor zaślepek przejdź do „Wprowadzenie do planowania”</v>
      </c>
      <c r="C116" s="255"/>
      <c r="D116" s="255"/>
      <c r="E116" s="255"/>
      <c r="F116" s="255"/>
      <c r="G116" s="255"/>
      <c r="H116" s="255"/>
      <c r="I116" s="255"/>
      <c r="J116" s="255"/>
      <c r="K116" s="255"/>
      <c r="L116" s="255"/>
    </row>
    <row r="117" spans="1:12" ht="12.75" x14ac:dyDescent="0.2">
      <c r="A117" s="1045"/>
      <c r="B117" s="255"/>
      <c r="C117" s="255"/>
      <c r="D117" s="255"/>
      <c r="E117" s="255"/>
      <c r="F117" s="255"/>
      <c r="G117" s="255"/>
      <c r="H117" s="255"/>
      <c r="I117" s="255"/>
      <c r="J117" s="255"/>
      <c r="K117" s="255"/>
      <c r="L117" s="255"/>
    </row>
    <row r="118" spans="1:12" ht="12.75" x14ac:dyDescent="0.2">
      <c r="A118" s="1045"/>
      <c r="B118" s="255" t="str">
        <f>ListAVS!$B$411</f>
        <v>Zwróć uwagę na wybór ramek aluminiowych</v>
      </c>
      <c r="C118" s="255"/>
      <c r="D118" s="255"/>
      <c r="E118" s="255"/>
      <c r="F118" s="255"/>
      <c r="G118" s="255"/>
      <c r="H118" s="255"/>
      <c r="I118" s="255"/>
      <c r="J118" s="255"/>
      <c r="K118" s="255"/>
      <c r="L118" s="255"/>
    </row>
    <row r="119" spans="1:12" ht="12.75" x14ac:dyDescent="0.2">
      <c r="A119" s="1045"/>
      <c r="B119" s="255" t="str">
        <f>ListAVS!$B$412</f>
        <v>Wybierz, rodzaj, który lepiej pasuje do kształtu zastosowanej ramki aluminiowej.</v>
      </c>
      <c r="C119" s="255"/>
      <c r="D119" s="255"/>
      <c r="E119" s="255"/>
      <c r="F119" s="255"/>
      <c r="G119" s="255"/>
      <c r="H119" s="255"/>
      <c r="I119" s="255"/>
      <c r="J119" s="255"/>
      <c r="K119" s="255"/>
      <c r="L119" s="255"/>
    </row>
    <row r="120" spans="1:12" ht="12.75" x14ac:dyDescent="0.2">
      <c r="A120" s="1045"/>
      <c r="B120" s="255" t="str">
        <f>ListAVS!$B$413</f>
        <v>Sposób mocowania szkła w ramkę znacząco wpływa na powierzchnię szkła, a co za tym idzie na jego wagę!</v>
      </c>
      <c r="C120" s="255"/>
      <c r="D120" s="255"/>
      <c r="E120" s="255"/>
      <c r="F120" s="255"/>
      <c r="G120" s="255"/>
      <c r="H120" s="255"/>
      <c r="I120" s="255"/>
      <c r="J120" s="255"/>
      <c r="K120" s="255"/>
      <c r="L120" s="255"/>
    </row>
    <row r="121" spans="1:12" ht="12.75" x14ac:dyDescent="0.2">
      <c r="A121" s="1045"/>
      <c r="B121" s="255"/>
      <c r="C121" s="255"/>
      <c r="D121" s="255"/>
      <c r="E121" s="255"/>
      <c r="F121" s="255"/>
      <c r="G121" s="255"/>
      <c r="H121" s="255"/>
      <c r="I121" s="255"/>
      <c r="J121" s="255"/>
      <c r="K121" s="255"/>
      <c r="L121" s="255"/>
    </row>
    <row r="122" spans="1:12" ht="12.75" x14ac:dyDescent="0.2">
      <c r="A122" s="1045"/>
      <c r="B122" s="255"/>
      <c r="C122" s="796" t="str">
        <f>"  "&amp;ListAVS!$B$424&amp;"  "</f>
        <v xml:space="preserve">  z wpuszczanym szkłem  </v>
      </c>
      <c r="D122" s="255"/>
      <c r="E122" s="255"/>
      <c r="F122" s="255"/>
      <c r="G122" s="255"/>
      <c r="H122" s="255"/>
      <c r="I122" s="255"/>
      <c r="J122" s="255"/>
      <c r="K122" s="255"/>
      <c r="L122" s="255"/>
    </row>
    <row r="123" spans="1:12" ht="12.75" x14ac:dyDescent="0.2">
      <c r="A123" s="1045"/>
      <c r="B123" s="255"/>
      <c r="C123" s="266"/>
      <c r="D123" s="255"/>
      <c r="E123" s="255"/>
      <c r="F123" s="255"/>
      <c r="G123" s="255"/>
      <c r="H123" s="255"/>
      <c r="I123" s="255"/>
      <c r="J123" s="255"/>
      <c r="K123" s="255"/>
      <c r="L123" s="255"/>
    </row>
    <row r="124" spans="1:12" ht="12.75" x14ac:dyDescent="0.2">
      <c r="A124" s="1045"/>
      <c r="B124" s="255"/>
      <c r="C124" s="796" t="str">
        <f>"  "&amp;ListAVS!$B$425&amp;"  "</f>
        <v xml:space="preserve">  ze szkłem nakładanym lub przyklejanym  </v>
      </c>
      <c r="D124" s="255"/>
      <c r="E124" s="255"/>
      <c r="F124" s="255"/>
      <c r="G124" s="255"/>
      <c r="H124" s="255"/>
      <c r="I124" s="255"/>
      <c r="J124" s="255"/>
      <c r="K124" s="255"/>
      <c r="L124" s="255"/>
    </row>
    <row r="125" spans="1:12" ht="12.75" x14ac:dyDescent="0.2">
      <c r="A125" s="1045"/>
      <c r="B125" s="255"/>
      <c r="C125" s="255"/>
      <c r="D125" s="255"/>
      <c r="E125" s="255"/>
      <c r="F125" s="255"/>
      <c r="G125" s="255"/>
      <c r="H125" s="255"/>
      <c r="I125" s="255"/>
      <c r="J125" s="255"/>
      <c r="K125" s="255"/>
      <c r="L125" s="255"/>
    </row>
    <row r="126" spans="1:12" ht="12.75" x14ac:dyDescent="0.2">
      <c r="A126" s="1045"/>
      <c r="B126" s="255"/>
      <c r="C126" s="255"/>
      <c r="D126" s="255"/>
      <c r="E126" s="255"/>
      <c r="F126" s="255"/>
      <c r="G126" s="255"/>
      <c r="H126" s="255"/>
      <c r="I126" s="255"/>
      <c r="J126" s="255"/>
      <c r="K126" s="255"/>
      <c r="L126" s="702" t="str">
        <f>ListAVS!$B$168</f>
        <v>Z powrotem</v>
      </c>
    </row>
    <row r="127" spans="1:12" ht="12.75" x14ac:dyDescent="0.2">
      <c r="A127" s="1045"/>
      <c r="B127" s="255"/>
      <c r="C127" s="255"/>
      <c r="D127" s="255"/>
      <c r="E127" s="255"/>
      <c r="F127" s="255"/>
      <c r="G127" s="255"/>
      <c r="H127" s="255"/>
      <c r="I127" s="255"/>
      <c r="J127" s="255"/>
      <c r="K127" s="255"/>
      <c r="L127" s="255"/>
    </row>
    <row r="128" spans="1:12" ht="12.75" x14ac:dyDescent="0.2">
      <c r="A128" s="1045"/>
      <c r="B128" s="255"/>
      <c r="C128" s="255"/>
      <c r="D128" s="255"/>
      <c r="E128" s="255"/>
      <c r="F128" s="255"/>
      <c r="G128" s="255"/>
      <c r="H128" s="255"/>
      <c r="I128" s="255"/>
      <c r="J128" s="255"/>
      <c r="K128" s="255"/>
      <c r="L128" s="255"/>
    </row>
    <row r="129" spans="1:12" ht="12.75" x14ac:dyDescent="0.2">
      <c r="A129" s="1045"/>
      <c r="B129" s="255"/>
      <c r="C129" s="255"/>
      <c r="D129" s="255"/>
      <c r="E129" s="255"/>
      <c r="F129" s="255"/>
      <c r="G129" s="255"/>
      <c r="H129" s="255"/>
      <c r="I129" s="255"/>
      <c r="J129" s="255"/>
      <c r="K129" s="255"/>
      <c r="L129" s="255"/>
    </row>
    <row r="130" spans="1:12" x14ac:dyDescent="0.2">
      <c r="A130" s="1045"/>
    </row>
    <row r="131" spans="1:12" x14ac:dyDescent="0.2">
      <c r="A131" s="1045"/>
    </row>
    <row r="132" spans="1:12" x14ac:dyDescent="0.2">
      <c r="A132" s="1045"/>
    </row>
    <row r="133" spans="1:12" x14ac:dyDescent="0.2">
      <c r="A133" s="1045"/>
    </row>
    <row r="134" spans="1:12" x14ac:dyDescent="0.2">
      <c r="A134" s="1045"/>
    </row>
    <row r="135" spans="1:12" x14ac:dyDescent="0.2">
      <c r="A135" s="1045"/>
    </row>
    <row r="136" spans="1:12" x14ac:dyDescent="0.2">
      <c r="A136" s="1045"/>
    </row>
    <row r="137" spans="1:12" x14ac:dyDescent="0.2">
      <c r="A137" s="1045"/>
    </row>
    <row r="138" spans="1:12" x14ac:dyDescent="0.2">
      <c r="A138" s="1045"/>
    </row>
    <row r="139" spans="1:12" x14ac:dyDescent="0.2">
      <c r="A139" s="1045"/>
    </row>
    <row r="140" spans="1:12" x14ac:dyDescent="0.2">
      <c r="A140" s="1045"/>
    </row>
  </sheetData>
  <sheetProtection algorithmName="SHA-512" hashValue="Jck8vcQEv2K6xTvch8h5YDn8WjdK6J9Q0yCu/58ZYKpNmjowGVpzhkcSoK+9aLEI9b+yPx54jtXa4pHfvdvl0Q==" saltValue="fvJApnzAAoCujGN0bR19ag==" spinCount="100000" sheet="1" objects="1" scenarios="1"/>
  <mergeCells count="54">
    <mergeCell ref="AQ18:AU19"/>
    <mergeCell ref="AQ20:AU21"/>
    <mergeCell ref="N89:S89"/>
    <mergeCell ref="N90:S90"/>
    <mergeCell ref="N91:S91"/>
    <mergeCell ref="N77:S77"/>
    <mergeCell ref="N78:S78"/>
    <mergeCell ref="R20:S20"/>
    <mergeCell ref="V20:W20"/>
    <mergeCell ref="V21:W21"/>
    <mergeCell ref="A99:A140"/>
    <mergeCell ref="E106:L106"/>
    <mergeCell ref="N79:S79"/>
    <mergeCell ref="N80:S80"/>
    <mergeCell ref="R86:T86"/>
    <mergeCell ref="N87:S87"/>
    <mergeCell ref="N88:S88"/>
    <mergeCell ref="B31:J33"/>
    <mergeCell ref="T30:U30"/>
    <mergeCell ref="R75:T75"/>
    <mergeCell ref="N76:S76"/>
    <mergeCell ref="B28:G28"/>
    <mergeCell ref="B22:G22"/>
    <mergeCell ref="B23:G23"/>
    <mergeCell ref="B27:C27"/>
    <mergeCell ref="D27:G27"/>
    <mergeCell ref="B20:C20"/>
    <mergeCell ref="F20:H20"/>
    <mergeCell ref="B24:C26"/>
    <mergeCell ref="D24:G24"/>
    <mergeCell ref="D25:G25"/>
    <mergeCell ref="D26:G26"/>
    <mergeCell ref="B21:G21"/>
    <mergeCell ref="AQ1:AT1"/>
    <mergeCell ref="K4:L5"/>
    <mergeCell ref="B17:G17"/>
    <mergeCell ref="B13:C15"/>
    <mergeCell ref="D13:G13"/>
    <mergeCell ref="D14:G14"/>
    <mergeCell ref="D15:G15"/>
    <mergeCell ref="B7:C7"/>
    <mergeCell ref="G7:H7"/>
    <mergeCell ref="B10:G10"/>
    <mergeCell ref="B16:C16"/>
    <mergeCell ref="D16:G16"/>
    <mergeCell ref="B12:G12"/>
    <mergeCell ref="V10:W10"/>
    <mergeCell ref="B11:G11"/>
    <mergeCell ref="B9:C9"/>
    <mergeCell ref="B2:D2"/>
    <mergeCell ref="R9:S9"/>
    <mergeCell ref="V9:W9"/>
    <mergeCell ref="F5:J5"/>
    <mergeCell ref="F9:H9"/>
  </mergeCells>
  <conditionalFormatting sqref="E9">
    <cfRule type="expression" dxfId="167" priority="71">
      <formula>$M$17&gt;0</formula>
    </cfRule>
  </conditionalFormatting>
  <conditionalFormatting sqref="E20">
    <cfRule type="expression" dxfId="166" priority="81">
      <formula>$M$28&gt;0</formula>
    </cfRule>
  </conditionalFormatting>
  <conditionalFormatting sqref="I12">
    <cfRule type="expression" dxfId="165" priority="4">
      <formula>$M$17=0</formula>
    </cfRule>
    <cfRule type="containsText" dxfId="164" priority="5" operator="containsText" text="Doplňte">
      <formula>NOT(ISERROR(SEARCH("Doplňte",I12)))</formula>
    </cfRule>
  </conditionalFormatting>
  <conditionalFormatting sqref="I24">
    <cfRule type="containsText" dxfId="163" priority="2" operator="containsText" text="Doplňte">
      <formula>NOT(ISERROR(SEARCH("Doplňte",I24)))</formula>
    </cfRule>
  </conditionalFormatting>
  <conditionalFormatting sqref="I23">
    <cfRule type="containsText" dxfId="162" priority="1" operator="containsText" text="Doplňte">
      <formula>NOT(ISERROR(SEARCH("Doplňte",I23)))</formula>
    </cfRule>
  </conditionalFormatting>
  <conditionalFormatting sqref="I23">
    <cfRule type="expression" dxfId="161" priority="3">
      <formula>$M$28=0</formula>
    </cfRule>
  </conditionalFormatting>
  <hyperlinks>
    <hyperlink ref="N76:S76" location="HKwa!H10" tooltip=" " display="HKwa!H10" xr:uid="{455C34A6-DDE6-46B2-B04E-10974199C3AF}"/>
    <hyperlink ref="N77:S77" location="HKwa!H11" tooltip=" " display="HKwa!H11" xr:uid="{5A799B9B-FF01-407E-8A7A-10E206404773}"/>
    <hyperlink ref="N87:S87" location="HKwa!H19" tooltip=" " display="HKwa!H19" xr:uid="{E7F6D2AB-D776-4328-AB72-F2A358AA8269}"/>
    <hyperlink ref="N88:S88" location="HKwa!H20" tooltip=" " display="HKwa!H20" xr:uid="{6390A9CF-42ED-4F62-8204-385271948A1D}"/>
    <hyperlink ref="AN5" location="HKna!A100" tooltip=" " display="HKna!A100" xr:uid="{92449B16-A9F9-4C7D-B0D6-4DC8125053B2}"/>
    <hyperlink ref="L126" location="HKna!A1" tooltip=" " display="HKna!A1" xr:uid="{63FAD70E-40C9-4694-A86F-7BEBDCDE83A5}"/>
    <hyperlink ref="AN9" location="SumAVS!A1" tooltip=" " display="SumAVS!A1" xr:uid="{9CD55446-C5A9-4564-B535-07521FAA1B80}"/>
    <hyperlink ref="AN10" location="OrdAVS!A1" tooltip=" " display="OrdAVS!A1" xr:uid="{39B00C84-4BB5-4C69-B13A-D75FBA7CCAC0}"/>
    <hyperlink ref="AN7" location="AcsAVS!A1" tooltip=" " display="AcsAVS!A1" xr:uid="{4AF70209-4715-4FE4-B391-C2432CD5095B}"/>
    <hyperlink ref="AN4" location="MenuAVS!A1" tooltip=" " display="MenuAVS!A1" xr:uid="{C03DD2CA-94FE-45F6-B24B-BE161E612D04}"/>
    <hyperlink ref="B2:C2" location="HK!A1" tooltip=" " display="AVENTOS HK top" xr:uid="{6744782D-3413-48E2-A9D2-2041F3496F5F}"/>
  </hyperlinks>
  <pageMargins left="0.62992125984251968" right="0.23622047244094488" top="0.74803149606299213" bottom="0.74803149606299213" header="0.31496062992125984" footer="0.31496062992125984"/>
  <pageSetup paperSize="9" orientation="portrait" horizontalDpi="4294967293"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71009" r:id="rId4" name="Drop Down 1">
              <controlPr defaultSize="0" autoLine="0" autoPict="0">
                <anchor moveWithCells="1">
                  <from>
                    <xdr:col>3</xdr:col>
                    <xdr:colOff>9525</xdr:colOff>
                    <xdr:row>6</xdr:row>
                    <xdr:rowOff>9525</xdr:rowOff>
                  </from>
                  <to>
                    <xdr:col>6</xdr:col>
                    <xdr:colOff>0</xdr:colOff>
                    <xdr:row>7</xdr:row>
                    <xdr:rowOff>0</xdr:rowOff>
                  </to>
                </anchor>
              </controlPr>
            </control>
          </mc:Choice>
        </mc:AlternateContent>
        <mc:AlternateContent xmlns:mc="http://schemas.openxmlformats.org/markup-compatibility/2006">
          <mc:Choice Requires="x14">
            <control shapeId="171011" r:id="rId5" name="Drop Down 3">
              <controlPr defaultSize="0" autoLine="0" autoPict="0">
                <anchor moveWithCells="1">
                  <from>
                    <xdr:col>1</xdr:col>
                    <xdr:colOff>0</xdr:colOff>
                    <xdr:row>9</xdr:row>
                    <xdr:rowOff>0</xdr:rowOff>
                  </from>
                  <to>
                    <xdr:col>2</xdr:col>
                    <xdr:colOff>571500</xdr:colOff>
                    <xdr:row>10</xdr:row>
                    <xdr:rowOff>0</xdr:rowOff>
                  </to>
                </anchor>
              </controlPr>
            </control>
          </mc:Choice>
        </mc:AlternateContent>
        <mc:AlternateContent xmlns:mc="http://schemas.openxmlformats.org/markup-compatibility/2006">
          <mc:Choice Requires="x14">
            <control shapeId="171012" r:id="rId6" name="Drop Down 4">
              <controlPr defaultSize="0" autoLine="0" autoPict="0">
                <anchor moveWithCells="1">
                  <from>
                    <xdr:col>1</xdr:col>
                    <xdr:colOff>0</xdr:colOff>
                    <xdr:row>20</xdr:row>
                    <xdr:rowOff>0</xdr:rowOff>
                  </from>
                  <to>
                    <xdr:col>2</xdr:col>
                    <xdr:colOff>571500</xdr:colOff>
                    <xdr:row>21</xdr:row>
                    <xdr:rowOff>0</xdr:rowOff>
                  </to>
                </anchor>
              </controlPr>
            </control>
          </mc:Choice>
        </mc:AlternateContent>
        <mc:AlternateContent xmlns:mc="http://schemas.openxmlformats.org/markup-compatibility/2006">
          <mc:Choice Requires="x14">
            <control shapeId="171013" r:id="rId7" name="Option Button 5">
              <controlPr defaultSize="0" autoFill="0" autoLine="0" autoPict="0">
                <anchor moveWithCells="1">
                  <from>
                    <xdr:col>1</xdr:col>
                    <xdr:colOff>371475</xdr:colOff>
                    <xdr:row>5</xdr:row>
                    <xdr:rowOff>19050</xdr:rowOff>
                  </from>
                  <to>
                    <xdr:col>2</xdr:col>
                    <xdr:colOff>57150</xdr:colOff>
                    <xdr:row>5</xdr:row>
                    <xdr:rowOff>228600</xdr:rowOff>
                  </to>
                </anchor>
              </controlPr>
            </control>
          </mc:Choice>
        </mc:AlternateContent>
        <mc:AlternateContent xmlns:mc="http://schemas.openxmlformats.org/markup-compatibility/2006">
          <mc:Choice Requires="x14">
            <control shapeId="171014" r:id="rId8" name="Option Button 6">
              <controlPr defaultSize="0" autoFill="0" autoLine="0" autoPict="0">
                <anchor moveWithCells="1">
                  <from>
                    <xdr:col>3</xdr:col>
                    <xdr:colOff>390525</xdr:colOff>
                    <xdr:row>5</xdr:row>
                    <xdr:rowOff>47625</xdr:rowOff>
                  </from>
                  <to>
                    <xdr:col>4</xdr:col>
                    <xdr:colOff>66675</xdr:colOff>
                    <xdr:row>5</xdr:row>
                    <xdr:rowOff>257175</xdr:rowOff>
                  </to>
                </anchor>
              </controlPr>
            </control>
          </mc:Choice>
        </mc:AlternateContent>
        <mc:AlternateContent xmlns:mc="http://schemas.openxmlformats.org/markup-compatibility/2006">
          <mc:Choice Requires="x14">
            <control shapeId="171015" r:id="rId9" name="Drop Down 7">
              <controlPr defaultSize="0" autoLine="0" autoPict="0">
                <anchor moveWithCells="1">
                  <from>
                    <xdr:col>6</xdr:col>
                    <xdr:colOff>0</xdr:colOff>
                    <xdr:row>3</xdr:row>
                    <xdr:rowOff>0</xdr:rowOff>
                  </from>
                  <to>
                    <xdr:col>9</xdr:col>
                    <xdr:colOff>0</xdr:colOff>
                    <xdr:row>4</xdr:row>
                    <xdr:rowOff>0</xdr:rowOff>
                  </to>
                </anchor>
              </controlPr>
            </control>
          </mc:Choice>
        </mc:AlternateContent>
      </controls>
    </mc:Choice>
  </mc:AlternateConten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97256-5D80-468B-ACAB-077A4AB158A2}">
  <sheetPr codeName="Sheet34">
    <tabColor indexed="60"/>
  </sheetPr>
  <dimension ref="A1:AU140"/>
  <sheetViews>
    <sheetView showGridLines="0" showRowColHeaders="0" zoomScaleNormal="100" workbookViewId="0">
      <selection activeCell="AN20" sqref="AN20"/>
    </sheetView>
  </sheetViews>
  <sheetFormatPr defaultColWidth="8.28515625" defaultRowHeight="12" x14ac:dyDescent="0.2"/>
  <cols>
    <col min="1" max="1" width="1.28515625" style="37" customWidth="1"/>
    <col min="2" max="9" width="8.5703125" style="37" customWidth="1"/>
    <col min="10" max="10" width="6.7109375" style="37" customWidth="1"/>
    <col min="11" max="11" width="10.42578125" style="37" customWidth="1"/>
    <col min="12" max="12" width="17.28515625" style="37" customWidth="1"/>
    <col min="13" max="14" width="6.42578125" style="37" hidden="1" customWidth="1"/>
    <col min="15" max="15" width="6.42578125" style="118" hidden="1" customWidth="1"/>
    <col min="16" max="16" width="6.42578125" style="37" hidden="1" customWidth="1"/>
    <col min="17" max="17" width="6" style="118" hidden="1" customWidth="1"/>
    <col min="18" max="18" width="6.42578125" style="37" hidden="1" customWidth="1"/>
    <col min="19" max="19" width="7.7109375" style="37" hidden="1" customWidth="1"/>
    <col min="20" max="20" width="9.5703125" style="37" hidden="1" customWidth="1"/>
    <col min="21" max="23" width="6.42578125" style="37" hidden="1" customWidth="1"/>
    <col min="24" max="24" width="6.42578125" style="108" hidden="1" customWidth="1"/>
    <col min="25" max="25" width="37.28515625" style="108" hidden="1" customWidth="1"/>
    <col min="26" max="26" width="13.5703125" style="108" hidden="1" customWidth="1"/>
    <col min="27" max="29" width="6.7109375" style="108" hidden="1" customWidth="1"/>
    <col min="30" max="30" width="9.42578125" style="108" hidden="1" customWidth="1"/>
    <col min="31" max="34" width="6.7109375" style="108" hidden="1" customWidth="1"/>
    <col min="35" max="37" width="6.42578125" style="108" hidden="1" customWidth="1"/>
    <col min="38" max="38" width="3.28515625" style="108" hidden="1" customWidth="1"/>
    <col min="39" max="39" width="5.28515625" style="108" customWidth="1"/>
    <col min="40" max="40" width="23.42578125" style="108" customWidth="1"/>
    <col min="41" max="42" width="8.28515625" style="137"/>
    <col min="43" max="43" width="16" style="137" customWidth="1"/>
    <col min="44" max="45" width="19.7109375" style="137" customWidth="1"/>
    <col min="46" max="246" width="8.28515625" style="137"/>
    <col min="247" max="247" width="1.28515625" style="137" customWidth="1"/>
    <col min="248" max="255" width="7.7109375" style="137" customWidth="1"/>
    <col min="256" max="256" width="6.42578125" style="137" customWidth="1"/>
    <col min="257" max="257" width="9.28515625" style="137" customWidth="1"/>
    <col min="258" max="258" width="15.42578125" style="137" customWidth="1"/>
    <col min="259" max="262" width="6.42578125" style="137" customWidth="1"/>
    <col min="263" max="263" width="6" style="137" customWidth="1"/>
    <col min="264" max="264" width="6.42578125" style="137" customWidth="1"/>
    <col min="265" max="265" width="7.7109375" style="137" customWidth="1"/>
    <col min="266" max="266" width="9.5703125" style="137" customWidth="1"/>
    <col min="267" max="273" width="6.42578125" style="137" customWidth="1"/>
    <col min="274" max="274" width="3.28515625" style="137" customWidth="1"/>
    <col min="275" max="275" width="5.28515625" style="137" customWidth="1"/>
    <col min="276" max="276" width="23.42578125" style="137" customWidth="1"/>
    <col min="277" max="293" width="8.28515625" style="137"/>
    <col min="294" max="295" width="16.28515625" style="137" customWidth="1"/>
    <col min="296" max="296" width="18.7109375" style="137" customWidth="1"/>
    <col min="297" max="502" width="8.28515625" style="137"/>
    <col min="503" max="503" width="1.28515625" style="137" customWidth="1"/>
    <col min="504" max="511" width="7.7109375" style="137" customWidth="1"/>
    <col min="512" max="512" width="6.42578125" style="137" customWidth="1"/>
    <col min="513" max="513" width="9.28515625" style="137" customWidth="1"/>
    <col min="514" max="514" width="15.42578125" style="137" customWidth="1"/>
    <col min="515" max="518" width="6.42578125" style="137" customWidth="1"/>
    <col min="519" max="519" width="6" style="137" customWidth="1"/>
    <col min="520" max="520" width="6.42578125" style="137" customWidth="1"/>
    <col min="521" max="521" width="7.7109375" style="137" customWidth="1"/>
    <col min="522" max="522" width="9.5703125" style="137" customWidth="1"/>
    <col min="523" max="529" width="6.42578125" style="137" customWidth="1"/>
    <col min="530" max="530" width="3.28515625" style="137" customWidth="1"/>
    <col min="531" max="531" width="5.28515625" style="137" customWidth="1"/>
    <col min="532" max="532" width="23.42578125" style="137" customWidth="1"/>
    <col min="533" max="549" width="8.28515625" style="137"/>
    <col min="550" max="551" width="16.28515625" style="137" customWidth="1"/>
    <col min="552" max="552" width="18.7109375" style="137" customWidth="1"/>
    <col min="553" max="758" width="8.28515625" style="137"/>
    <col min="759" max="759" width="1.28515625" style="137" customWidth="1"/>
    <col min="760" max="767" width="7.7109375" style="137" customWidth="1"/>
    <col min="768" max="768" width="6.42578125" style="137" customWidth="1"/>
    <col min="769" max="769" width="9.28515625" style="137" customWidth="1"/>
    <col min="770" max="770" width="15.42578125" style="137" customWidth="1"/>
    <col min="771" max="774" width="6.42578125" style="137" customWidth="1"/>
    <col min="775" max="775" width="6" style="137" customWidth="1"/>
    <col min="776" max="776" width="6.42578125" style="137" customWidth="1"/>
    <col min="777" max="777" width="7.7109375" style="137" customWidth="1"/>
    <col min="778" max="778" width="9.5703125" style="137" customWidth="1"/>
    <col min="779" max="785" width="6.42578125" style="137" customWidth="1"/>
    <col min="786" max="786" width="3.28515625" style="137" customWidth="1"/>
    <col min="787" max="787" width="5.28515625" style="137" customWidth="1"/>
    <col min="788" max="788" width="23.42578125" style="137" customWidth="1"/>
    <col min="789" max="805" width="8.28515625" style="137"/>
    <col min="806" max="807" width="16.28515625" style="137" customWidth="1"/>
    <col min="808" max="808" width="18.7109375" style="137" customWidth="1"/>
    <col min="809" max="1014" width="8.28515625" style="137"/>
    <col min="1015" max="1015" width="1.28515625" style="137" customWidth="1"/>
    <col min="1016" max="1023" width="7.7109375" style="137" customWidth="1"/>
    <col min="1024" max="1024" width="6.42578125" style="137" customWidth="1"/>
    <col min="1025" max="1025" width="9.28515625" style="137" customWidth="1"/>
    <col min="1026" max="1026" width="15.42578125" style="137" customWidth="1"/>
    <col min="1027" max="1030" width="6.42578125" style="137" customWidth="1"/>
    <col min="1031" max="1031" width="6" style="137" customWidth="1"/>
    <col min="1032" max="1032" width="6.42578125" style="137" customWidth="1"/>
    <col min="1033" max="1033" width="7.7109375" style="137" customWidth="1"/>
    <col min="1034" max="1034" width="9.5703125" style="137" customWidth="1"/>
    <col min="1035" max="1041" width="6.42578125" style="137" customWidth="1"/>
    <col min="1042" max="1042" width="3.28515625" style="137" customWidth="1"/>
    <col min="1043" max="1043" width="5.28515625" style="137" customWidth="1"/>
    <col min="1044" max="1044" width="23.42578125" style="137" customWidth="1"/>
    <col min="1045" max="1061" width="8.28515625" style="137"/>
    <col min="1062" max="1063" width="16.28515625" style="137" customWidth="1"/>
    <col min="1064" max="1064" width="18.7109375" style="137" customWidth="1"/>
    <col min="1065" max="1270" width="8.28515625" style="137"/>
    <col min="1271" max="1271" width="1.28515625" style="137" customWidth="1"/>
    <col min="1272" max="1279" width="7.7109375" style="137" customWidth="1"/>
    <col min="1280" max="1280" width="6.42578125" style="137" customWidth="1"/>
    <col min="1281" max="1281" width="9.28515625" style="137" customWidth="1"/>
    <col min="1282" max="1282" width="15.42578125" style="137" customWidth="1"/>
    <col min="1283" max="1286" width="6.42578125" style="137" customWidth="1"/>
    <col min="1287" max="1287" width="6" style="137" customWidth="1"/>
    <col min="1288" max="1288" width="6.42578125" style="137" customWidth="1"/>
    <col min="1289" max="1289" width="7.7109375" style="137" customWidth="1"/>
    <col min="1290" max="1290" width="9.5703125" style="137" customWidth="1"/>
    <col min="1291" max="1297" width="6.42578125" style="137" customWidth="1"/>
    <col min="1298" max="1298" width="3.28515625" style="137" customWidth="1"/>
    <col min="1299" max="1299" width="5.28515625" style="137" customWidth="1"/>
    <col min="1300" max="1300" width="23.42578125" style="137" customWidth="1"/>
    <col min="1301" max="1317" width="8.28515625" style="137"/>
    <col min="1318" max="1319" width="16.28515625" style="137" customWidth="1"/>
    <col min="1320" max="1320" width="18.7109375" style="137" customWidth="1"/>
    <col min="1321" max="1526" width="8.28515625" style="137"/>
    <col min="1527" max="1527" width="1.28515625" style="137" customWidth="1"/>
    <col min="1528" max="1535" width="7.7109375" style="137" customWidth="1"/>
    <col min="1536" max="1536" width="6.42578125" style="137" customWidth="1"/>
    <col min="1537" max="1537" width="9.28515625" style="137" customWidth="1"/>
    <col min="1538" max="1538" width="15.42578125" style="137" customWidth="1"/>
    <col min="1539" max="1542" width="6.42578125" style="137" customWidth="1"/>
    <col min="1543" max="1543" width="6" style="137" customWidth="1"/>
    <col min="1544" max="1544" width="6.42578125" style="137" customWidth="1"/>
    <col min="1545" max="1545" width="7.7109375" style="137" customWidth="1"/>
    <col min="1546" max="1546" width="9.5703125" style="137" customWidth="1"/>
    <col min="1547" max="1553" width="6.42578125" style="137" customWidth="1"/>
    <col min="1554" max="1554" width="3.28515625" style="137" customWidth="1"/>
    <col min="1555" max="1555" width="5.28515625" style="137" customWidth="1"/>
    <col min="1556" max="1556" width="23.42578125" style="137" customWidth="1"/>
    <col min="1557" max="1573" width="8.28515625" style="137"/>
    <col min="1574" max="1575" width="16.28515625" style="137" customWidth="1"/>
    <col min="1576" max="1576" width="18.7109375" style="137" customWidth="1"/>
    <col min="1577" max="1782" width="8.28515625" style="137"/>
    <col min="1783" max="1783" width="1.28515625" style="137" customWidth="1"/>
    <col min="1784" max="1791" width="7.7109375" style="137" customWidth="1"/>
    <col min="1792" max="1792" width="6.42578125" style="137" customWidth="1"/>
    <col min="1793" max="1793" width="9.28515625" style="137" customWidth="1"/>
    <col min="1794" max="1794" width="15.42578125" style="137" customWidth="1"/>
    <col min="1795" max="1798" width="6.42578125" style="137" customWidth="1"/>
    <col min="1799" max="1799" width="6" style="137" customWidth="1"/>
    <col min="1800" max="1800" width="6.42578125" style="137" customWidth="1"/>
    <col min="1801" max="1801" width="7.7109375" style="137" customWidth="1"/>
    <col min="1802" max="1802" width="9.5703125" style="137" customWidth="1"/>
    <col min="1803" max="1809" width="6.42578125" style="137" customWidth="1"/>
    <col min="1810" max="1810" width="3.28515625" style="137" customWidth="1"/>
    <col min="1811" max="1811" width="5.28515625" style="137" customWidth="1"/>
    <col min="1812" max="1812" width="23.42578125" style="137" customWidth="1"/>
    <col min="1813" max="1829" width="8.28515625" style="137"/>
    <col min="1830" max="1831" width="16.28515625" style="137" customWidth="1"/>
    <col min="1832" max="1832" width="18.7109375" style="137" customWidth="1"/>
    <col min="1833" max="2038" width="8.28515625" style="137"/>
    <col min="2039" max="2039" width="1.28515625" style="137" customWidth="1"/>
    <col min="2040" max="2047" width="7.7109375" style="137" customWidth="1"/>
    <col min="2048" max="2048" width="6.42578125" style="137" customWidth="1"/>
    <col min="2049" max="2049" width="9.28515625" style="137" customWidth="1"/>
    <col min="2050" max="2050" width="15.42578125" style="137" customWidth="1"/>
    <col min="2051" max="2054" width="6.42578125" style="137" customWidth="1"/>
    <col min="2055" max="2055" width="6" style="137" customWidth="1"/>
    <col min="2056" max="2056" width="6.42578125" style="137" customWidth="1"/>
    <col min="2057" max="2057" width="7.7109375" style="137" customWidth="1"/>
    <col min="2058" max="2058" width="9.5703125" style="137" customWidth="1"/>
    <col min="2059" max="2065" width="6.42578125" style="137" customWidth="1"/>
    <col min="2066" max="2066" width="3.28515625" style="137" customWidth="1"/>
    <col min="2067" max="2067" width="5.28515625" style="137" customWidth="1"/>
    <col min="2068" max="2068" width="23.42578125" style="137" customWidth="1"/>
    <col min="2069" max="2085" width="8.28515625" style="137"/>
    <col min="2086" max="2087" width="16.28515625" style="137" customWidth="1"/>
    <col min="2088" max="2088" width="18.7109375" style="137" customWidth="1"/>
    <col min="2089" max="2294" width="8.28515625" style="137"/>
    <col min="2295" max="2295" width="1.28515625" style="137" customWidth="1"/>
    <col min="2296" max="2303" width="7.7109375" style="137" customWidth="1"/>
    <col min="2304" max="2304" width="6.42578125" style="137" customWidth="1"/>
    <col min="2305" max="2305" width="9.28515625" style="137" customWidth="1"/>
    <col min="2306" max="2306" width="15.42578125" style="137" customWidth="1"/>
    <col min="2307" max="2310" width="6.42578125" style="137" customWidth="1"/>
    <col min="2311" max="2311" width="6" style="137" customWidth="1"/>
    <col min="2312" max="2312" width="6.42578125" style="137" customWidth="1"/>
    <col min="2313" max="2313" width="7.7109375" style="137" customWidth="1"/>
    <col min="2314" max="2314" width="9.5703125" style="137" customWidth="1"/>
    <col min="2315" max="2321" width="6.42578125" style="137" customWidth="1"/>
    <col min="2322" max="2322" width="3.28515625" style="137" customWidth="1"/>
    <col min="2323" max="2323" width="5.28515625" style="137" customWidth="1"/>
    <col min="2324" max="2324" width="23.42578125" style="137" customWidth="1"/>
    <col min="2325" max="2341" width="8.28515625" style="137"/>
    <col min="2342" max="2343" width="16.28515625" style="137" customWidth="1"/>
    <col min="2344" max="2344" width="18.7109375" style="137" customWidth="1"/>
    <col min="2345" max="2550" width="8.28515625" style="137"/>
    <col min="2551" max="2551" width="1.28515625" style="137" customWidth="1"/>
    <col min="2552" max="2559" width="7.7109375" style="137" customWidth="1"/>
    <col min="2560" max="2560" width="6.42578125" style="137" customWidth="1"/>
    <col min="2561" max="2561" width="9.28515625" style="137" customWidth="1"/>
    <col min="2562" max="2562" width="15.42578125" style="137" customWidth="1"/>
    <col min="2563" max="2566" width="6.42578125" style="137" customWidth="1"/>
    <col min="2567" max="2567" width="6" style="137" customWidth="1"/>
    <col min="2568" max="2568" width="6.42578125" style="137" customWidth="1"/>
    <col min="2569" max="2569" width="7.7109375" style="137" customWidth="1"/>
    <col min="2570" max="2570" width="9.5703125" style="137" customWidth="1"/>
    <col min="2571" max="2577" width="6.42578125" style="137" customWidth="1"/>
    <col min="2578" max="2578" width="3.28515625" style="137" customWidth="1"/>
    <col min="2579" max="2579" width="5.28515625" style="137" customWidth="1"/>
    <col min="2580" max="2580" width="23.42578125" style="137" customWidth="1"/>
    <col min="2581" max="2597" width="8.28515625" style="137"/>
    <col min="2598" max="2599" width="16.28515625" style="137" customWidth="1"/>
    <col min="2600" max="2600" width="18.7109375" style="137" customWidth="1"/>
    <col min="2601" max="2806" width="8.28515625" style="137"/>
    <col min="2807" max="2807" width="1.28515625" style="137" customWidth="1"/>
    <col min="2808" max="2815" width="7.7109375" style="137" customWidth="1"/>
    <col min="2816" max="2816" width="6.42578125" style="137" customWidth="1"/>
    <col min="2817" max="2817" width="9.28515625" style="137" customWidth="1"/>
    <col min="2818" max="2818" width="15.42578125" style="137" customWidth="1"/>
    <col min="2819" max="2822" width="6.42578125" style="137" customWidth="1"/>
    <col min="2823" max="2823" width="6" style="137" customWidth="1"/>
    <col min="2824" max="2824" width="6.42578125" style="137" customWidth="1"/>
    <col min="2825" max="2825" width="7.7109375" style="137" customWidth="1"/>
    <col min="2826" max="2826" width="9.5703125" style="137" customWidth="1"/>
    <col min="2827" max="2833" width="6.42578125" style="137" customWidth="1"/>
    <col min="2834" max="2834" width="3.28515625" style="137" customWidth="1"/>
    <col min="2835" max="2835" width="5.28515625" style="137" customWidth="1"/>
    <col min="2836" max="2836" width="23.42578125" style="137" customWidth="1"/>
    <col min="2837" max="2853" width="8.28515625" style="137"/>
    <col min="2854" max="2855" width="16.28515625" style="137" customWidth="1"/>
    <col min="2856" max="2856" width="18.7109375" style="137" customWidth="1"/>
    <col min="2857" max="3062" width="8.28515625" style="137"/>
    <col min="3063" max="3063" width="1.28515625" style="137" customWidth="1"/>
    <col min="3064" max="3071" width="7.7109375" style="137" customWidth="1"/>
    <col min="3072" max="3072" width="6.42578125" style="137" customWidth="1"/>
    <col min="3073" max="3073" width="9.28515625" style="137" customWidth="1"/>
    <col min="3074" max="3074" width="15.42578125" style="137" customWidth="1"/>
    <col min="3075" max="3078" width="6.42578125" style="137" customWidth="1"/>
    <col min="3079" max="3079" width="6" style="137" customWidth="1"/>
    <col min="3080" max="3080" width="6.42578125" style="137" customWidth="1"/>
    <col min="3081" max="3081" width="7.7109375" style="137" customWidth="1"/>
    <col min="3082" max="3082" width="9.5703125" style="137" customWidth="1"/>
    <col min="3083" max="3089" width="6.42578125" style="137" customWidth="1"/>
    <col min="3090" max="3090" width="3.28515625" style="137" customWidth="1"/>
    <col min="3091" max="3091" width="5.28515625" style="137" customWidth="1"/>
    <col min="3092" max="3092" width="23.42578125" style="137" customWidth="1"/>
    <col min="3093" max="3109" width="8.28515625" style="137"/>
    <col min="3110" max="3111" width="16.28515625" style="137" customWidth="1"/>
    <col min="3112" max="3112" width="18.7109375" style="137" customWidth="1"/>
    <col min="3113" max="3318" width="8.28515625" style="137"/>
    <col min="3319" max="3319" width="1.28515625" style="137" customWidth="1"/>
    <col min="3320" max="3327" width="7.7109375" style="137" customWidth="1"/>
    <col min="3328" max="3328" width="6.42578125" style="137" customWidth="1"/>
    <col min="3329" max="3329" width="9.28515625" style="137" customWidth="1"/>
    <col min="3330" max="3330" width="15.42578125" style="137" customWidth="1"/>
    <col min="3331" max="3334" width="6.42578125" style="137" customWidth="1"/>
    <col min="3335" max="3335" width="6" style="137" customWidth="1"/>
    <col min="3336" max="3336" width="6.42578125" style="137" customWidth="1"/>
    <col min="3337" max="3337" width="7.7109375" style="137" customWidth="1"/>
    <col min="3338" max="3338" width="9.5703125" style="137" customWidth="1"/>
    <col min="3339" max="3345" width="6.42578125" style="137" customWidth="1"/>
    <col min="3346" max="3346" width="3.28515625" style="137" customWidth="1"/>
    <col min="3347" max="3347" width="5.28515625" style="137" customWidth="1"/>
    <col min="3348" max="3348" width="23.42578125" style="137" customWidth="1"/>
    <col min="3349" max="3365" width="8.28515625" style="137"/>
    <col min="3366" max="3367" width="16.28515625" style="137" customWidth="1"/>
    <col min="3368" max="3368" width="18.7109375" style="137" customWidth="1"/>
    <col min="3369" max="3574" width="8.28515625" style="137"/>
    <col min="3575" max="3575" width="1.28515625" style="137" customWidth="1"/>
    <col min="3576" max="3583" width="7.7109375" style="137" customWidth="1"/>
    <col min="3584" max="3584" width="6.42578125" style="137" customWidth="1"/>
    <col min="3585" max="3585" width="9.28515625" style="137" customWidth="1"/>
    <col min="3586" max="3586" width="15.42578125" style="137" customWidth="1"/>
    <col min="3587" max="3590" width="6.42578125" style="137" customWidth="1"/>
    <col min="3591" max="3591" width="6" style="137" customWidth="1"/>
    <col min="3592" max="3592" width="6.42578125" style="137" customWidth="1"/>
    <col min="3593" max="3593" width="7.7109375" style="137" customWidth="1"/>
    <col min="3594" max="3594" width="9.5703125" style="137" customWidth="1"/>
    <col min="3595" max="3601" width="6.42578125" style="137" customWidth="1"/>
    <col min="3602" max="3602" width="3.28515625" style="137" customWidth="1"/>
    <col min="3603" max="3603" width="5.28515625" style="137" customWidth="1"/>
    <col min="3604" max="3604" width="23.42578125" style="137" customWidth="1"/>
    <col min="3605" max="3621" width="8.28515625" style="137"/>
    <col min="3622" max="3623" width="16.28515625" style="137" customWidth="1"/>
    <col min="3624" max="3624" width="18.7109375" style="137" customWidth="1"/>
    <col min="3625" max="3830" width="8.28515625" style="137"/>
    <col min="3831" max="3831" width="1.28515625" style="137" customWidth="1"/>
    <col min="3832" max="3839" width="7.7109375" style="137" customWidth="1"/>
    <col min="3840" max="3840" width="6.42578125" style="137" customWidth="1"/>
    <col min="3841" max="3841" width="9.28515625" style="137" customWidth="1"/>
    <col min="3842" max="3842" width="15.42578125" style="137" customWidth="1"/>
    <col min="3843" max="3846" width="6.42578125" style="137" customWidth="1"/>
    <col min="3847" max="3847" width="6" style="137" customWidth="1"/>
    <col min="3848" max="3848" width="6.42578125" style="137" customWidth="1"/>
    <col min="3849" max="3849" width="7.7109375" style="137" customWidth="1"/>
    <col min="3850" max="3850" width="9.5703125" style="137" customWidth="1"/>
    <col min="3851" max="3857" width="6.42578125" style="137" customWidth="1"/>
    <col min="3858" max="3858" width="3.28515625" style="137" customWidth="1"/>
    <col min="3859" max="3859" width="5.28515625" style="137" customWidth="1"/>
    <col min="3860" max="3860" width="23.42578125" style="137" customWidth="1"/>
    <col min="3861" max="3877" width="8.28515625" style="137"/>
    <col min="3878" max="3879" width="16.28515625" style="137" customWidth="1"/>
    <col min="3880" max="3880" width="18.7109375" style="137" customWidth="1"/>
    <col min="3881" max="4086" width="8.28515625" style="137"/>
    <col min="4087" max="4087" width="1.28515625" style="137" customWidth="1"/>
    <col min="4088" max="4095" width="7.7109375" style="137" customWidth="1"/>
    <col min="4096" max="4096" width="6.42578125" style="137" customWidth="1"/>
    <col min="4097" max="4097" width="9.28515625" style="137" customWidth="1"/>
    <col min="4098" max="4098" width="15.42578125" style="137" customWidth="1"/>
    <col min="4099" max="4102" width="6.42578125" style="137" customWidth="1"/>
    <col min="4103" max="4103" width="6" style="137" customWidth="1"/>
    <col min="4104" max="4104" width="6.42578125" style="137" customWidth="1"/>
    <col min="4105" max="4105" width="7.7109375" style="137" customWidth="1"/>
    <col min="4106" max="4106" width="9.5703125" style="137" customWidth="1"/>
    <col min="4107" max="4113" width="6.42578125" style="137" customWidth="1"/>
    <col min="4114" max="4114" width="3.28515625" style="137" customWidth="1"/>
    <col min="4115" max="4115" width="5.28515625" style="137" customWidth="1"/>
    <col min="4116" max="4116" width="23.42578125" style="137" customWidth="1"/>
    <col min="4117" max="4133" width="8.28515625" style="137"/>
    <col min="4134" max="4135" width="16.28515625" style="137" customWidth="1"/>
    <col min="4136" max="4136" width="18.7109375" style="137" customWidth="1"/>
    <col min="4137" max="4342" width="8.28515625" style="137"/>
    <col min="4343" max="4343" width="1.28515625" style="137" customWidth="1"/>
    <col min="4344" max="4351" width="7.7109375" style="137" customWidth="1"/>
    <col min="4352" max="4352" width="6.42578125" style="137" customWidth="1"/>
    <col min="4353" max="4353" width="9.28515625" style="137" customWidth="1"/>
    <col min="4354" max="4354" width="15.42578125" style="137" customWidth="1"/>
    <col min="4355" max="4358" width="6.42578125" style="137" customWidth="1"/>
    <col min="4359" max="4359" width="6" style="137" customWidth="1"/>
    <col min="4360" max="4360" width="6.42578125" style="137" customWidth="1"/>
    <col min="4361" max="4361" width="7.7109375" style="137" customWidth="1"/>
    <col min="4362" max="4362" width="9.5703125" style="137" customWidth="1"/>
    <col min="4363" max="4369" width="6.42578125" style="137" customWidth="1"/>
    <col min="4370" max="4370" width="3.28515625" style="137" customWidth="1"/>
    <col min="4371" max="4371" width="5.28515625" style="137" customWidth="1"/>
    <col min="4372" max="4372" width="23.42578125" style="137" customWidth="1"/>
    <col min="4373" max="4389" width="8.28515625" style="137"/>
    <col min="4390" max="4391" width="16.28515625" style="137" customWidth="1"/>
    <col min="4392" max="4392" width="18.7109375" style="137" customWidth="1"/>
    <col min="4393" max="4598" width="8.28515625" style="137"/>
    <col min="4599" max="4599" width="1.28515625" style="137" customWidth="1"/>
    <col min="4600" max="4607" width="7.7109375" style="137" customWidth="1"/>
    <col min="4608" max="4608" width="6.42578125" style="137" customWidth="1"/>
    <col min="4609" max="4609" width="9.28515625" style="137" customWidth="1"/>
    <col min="4610" max="4610" width="15.42578125" style="137" customWidth="1"/>
    <col min="4611" max="4614" width="6.42578125" style="137" customWidth="1"/>
    <col min="4615" max="4615" width="6" style="137" customWidth="1"/>
    <col min="4616" max="4616" width="6.42578125" style="137" customWidth="1"/>
    <col min="4617" max="4617" width="7.7109375" style="137" customWidth="1"/>
    <col min="4618" max="4618" width="9.5703125" style="137" customWidth="1"/>
    <col min="4619" max="4625" width="6.42578125" style="137" customWidth="1"/>
    <col min="4626" max="4626" width="3.28515625" style="137" customWidth="1"/>
    <col min="4627" max="4627" width="5.28515625" style="137" customWidth="1"/>
    <col min="4628" max="4628" width="23.42578125" style="137" customWidth="1"/>
    <col min="4629" max="4645" width="8.28515625" style="137"/>
    <col min="4646" max="4647" width="16.28515625" style="137" customWidth="1"/>
    <col min="4648" max="4648" width="18.7109375" style="137" customWidth="1"/>
    <col min="4649" max="4854" width="8.28515625" style="137"/>
    <col min="4855" max="4855" width="1.28515625" style="137" customWidth="1"/>
    <col min="4856" max="4863" width="7.7109375" style="137" customWidth="1"/>
    <col min="4864" max="4864" width="6.42578125" style="137" customWidth="1"/>
    <col min="4865" max="4865" width="9.28515625" style="137" customWidth="1"/>
    <col min="4866" max="4866" width="15.42578125" style="137" customWidth="1"/>
    <col min="4867" max="4870" width="6.42578125" style="137" customWidth="1"/>
    <col min="4871" max="4871" width="6" style="137" customWidth="1"/>
    <col min="4872" max="4872" width="6.42578125" style="137" customWidth="1"/>
    <col min="4873" max="4873" width="7.7109375" style="137" customWidth="1"/>
    <col min="4874" max="4874" width="9.5703125" style="137" customWidth="1"/>
    <col min="4875" max="4881" width="6.42578125" style="137" customWidth="1"/>
    <col min="4882" max="4882" width="3.28515625" style="137" customWidth="1"/>
    <col min="4883" max="4883" width="5.28515625" style="137" customWidth="1"/>
    <col min="4884" max="4884" width="23.42578125" style="137" customWidth="1"/>
    <col min="4885" max="4901" width="8.28515625" style="137"/>
    <col min="4902" max="4903" width="16.28515625" style="137" customWidth="1"/>
    <col min="4904" max="4904" width="18.7109375" style="137" customWidth="1"/>
    <col min="4905" max="5110" width="8.28515625" style="137"/>
    <col min="5111" max="5111" width="1.28515625" style="137" customWidth="1"/>
    <col min="5112" max="5119" width="7.7109375" style="137" customWidth="1"/>
    <col min="5120" max="5120" width="6.42578125" style="137" customWidth="1"/>
    <col min="5121" max="5121" width="9.28515625" style="137" customWidth="1"/>
    <col min="5122" max="5122" width="15.42578125" style="137" customWidth="1"/>
    <col min="5123" max="5126" width="6.42578125" style="137" customWidth="1"/>
    <col min="5127" max="5127" width="6" style="137" customWidth="1"/>
    <col min="5128" max="5128" width="6.42578125" style="137" customWidth="1"/>
    <col min="5129" max="5129" width="7.7109375" style="137" customWidth="1"/>
    <col min="5130" max="5130" width="9.5703125" style="137" customWidth="1"/>
    <col min="5131" max="5137" width="6.42578125" style="137" customWidth="1"/>
    <col min="5138" max="5138" width="3.28515625" style="137" customWidth="1"/>
    <col min="5139" max="5139" width="5.28515625" style="137" customWidth="1"/>
    <col min="5140" max="5140" width="23.42578125" style="137" customWidth="1"/>
    <col min="5141" max="5157" width="8.28515625" style="137"/>
    <col min="5158" max="5159" width="16.28515625" style="137" customWidth="1"/>
    <col min="5160" max="5160" width="18.7109375" style="137" customWidth="1"/>
    <col min="5161" max="5366" width="8.28515625" style="137"/>
    <col min="5367" max="5367" width="1.28515625" style="137" customWidth="1"/>
    <col min="5368" max="5375" width="7.7109375" style="137" customWidth="1"/>
    <col min="5376" max="5376" width="6.42578125" style="137" customWidth="1"/>
    <col min="5377" max="5377" width="9.28515625" style="137" customWidth="1"/>
    <col min="5378" max="5378" width="15.42578125" style="137" customWidth="1"/>
    <col min="5379" max="5382" width="6.42578125" style="137" customWidth="1"/>
    <col min="5383" max="5383" width="6" style="137" customWidth="1"/>
    <col min="5384" max="5384" width="6.42578125" style="137" customWidth="1"/>
    <col min="5385" max="5385" width="7.7109375" style="137" customWidth="1"/>
    <col min="5386" max="5386" width="9.5703125" style="137" customWidth="1"/>
    <col min="5387" max="5393" width="6.42578125" style="137" customWidth="1"/>
    <col min="5394" max="5394" width="3.28515625" style="137" customWidth="1"/>
    <col min="5395" max="5395" width="5.28515625" style="137" customWidth="1"/>
    <col min="5396" max="5396" width="23.42578125" style="137" customWidth="1"/>
    <col min="5397" max="5413" width="8.28515625" style="137"/>
    <col min="5414" max="5415" width="16.28515625" style="137" customWidth="1"/>
    <col min="5416" max="5416" width="18.7109375" style="137" customWidth="1"/>
    <col min="5417" max="5622" width="8.28515625" style="137"/>
    <col min="5623" max="5623" width="1.28515625" style="137" customWidth="1"/>
    <col min="5624" max="5631" width="7.7109375" style="137" customWidth="1"/>
    <col min="5632" max="5632" width="6.42578125" style="137" customWidth="1"/>
    <col min="5633" max="5633" width="9.28515625" style="137" customWidth="1"/>
    <col min="5634" max="5634" width="15.42578125" style="137" customWidth="1"/>
    <col min="5635" max="5638" width="6.42578125" style="137" customWidth="1"/>
    <col min="5639" max="5639" width="6" style="137" customWidth="1"/>
    <col min="5640" max="5640" width="6.42578125" style="137" customWidth="1"/>
    <col min="5641" max="5641" width="7.7109375" style="137" customWidth="1"/>
    <col min="5642" max="5642" width="9.5703125" style="137" customWidth="1"/>
    <col min="5643" max="5649" width="6.42578125" style="137" customWidth="1"/>
    <col min="5650" max="5650" width="3.28515625" style="137" customWidth="1"/>
    <col min="5651" max="5651" width="5.28515625" style="137" customWidth="1"/>
    <col min="5652" max="5652" width="23.42578125" style="137" customWidth="1"/>
    <col min="5653" max="5669" width="8.28515625" style="137"/>
    <col min="5670" max="5671" width="16.28515625" style="137" customWidth="1"/>
    <col min="5672" max="5672" width="18.7109375" style="137" customWidth="1"/>
    <col min="5673" max="5878" width="8.28515625" style="137"/>
    <col min="5879" max="5879" width="1.28515625" style="137" customWidth="1"/>
    <col min="5880" max="5887" width="7.7109375" style="137" customWidth="1"/>
    <col min="5888" max="5888" width="6.42578125" style="137" customWidth="1"/>
    <col min="5889" max="5889" width="9.28515625" style="137" customWidth="1"/>
    <col min="5890" max="5890" width="15.42578125" style="137" customWidth="1"/>
    <col min="5891" max="5894" width="6.42578125" style="137" customWidth="1"/>
    <col min="5895" max="5895" width="6" style="137" customWidth="1"/>
    <col min="5896" max="5896" width="6.42578125" style="137" customWidth="1"/>
    <col min="5897" max="5897" width="7.7109375" style="137" customWidth="1"/>
    <col min="5898" max="5898" width="9.5703125" style="137" customWidth="1"/>
    <col min="5899" max="5905" width="6.42578125" style="137" customWidth="1"/>
    <col min="5906" max="5906" width="3.28515625" style="137" customWidth="1"/>
    <col min="5907" max="5907" width="5.28515625" style="137" customWidth="1"/>
    <col min="5908" max="5908" width="23.42578125" style="137" customWidth="1"/>
    <col min="5909" max="5925" width="8.28515625" style="137"/>
    <col min="5926" max="5927" width="16.28515625" style="137" customWidth="1"/>
    <col min="5928" max="5928" width="18.7109375" style="137" customWidth="1"/>
    <col min="5929" max="6134" width="8.28515625" style="137"/>
    <col min="6135" max="6135" width="1.28515625" style="137" customWidth="1"/>
    <col min="6136" max="6143" width="7.7109375" style="137" customWidth="1"/>
    <col min="6144" max="6144" width="6.42578125" style="137" customWidth="1"/>
    <col min="6145" max="6145" width="9.28515625" style="137" customWidth="1"/>
    <col min="6146" max="6146" width="15.42578125" style="137" customWidth="1"/>
    <col min="6147" max="6150" width="6.42578125" style="137" customWidth="1"/>
    <col min="6151" max="6151" width="6" style="137" customWidth="1"/>
    <col min="6152" max="6152" width="6.42578125" style="137" customWidth="1"/>
    <col min="6153" max="6153" width="7.7109375" style="137" customWidth="1"/>
    <col min="6154" max="6154" width="9.5703125" style="137" customWidth="1"/>
    <col min="6155" max="6161" width="6.42578125" style="137" customWidth="1"/>
    <col min="6162" max="6162" width="3.28515625" style="137" customWidth="1"/>
    <col min="6163" max="6163" width="5.28515625" style="137" customWidth="1"/>
    <col min="6164" max="6164" width="23.42578125" style="137" customWidth="1"/>
    <col min="6165" max="6181" width="8.28515625" style="137"/>
    <col min="6182" max="6183" width="16.28515625" style="137" customWidth="1"/>
    <col min="6184" max="6184" width="18.7109375" style="137" customWidth="1"/>
    <col min="6185" max="6390" width="8.28515625" style="137"/>
    <col min="6391" max="6391" width="1.28515625" style="137" customWidth="1"/>
    <col min="6392" max="6399" width="7.7109375" style="137" customWidth="1"/>
    <col min="6400" max="6400" width="6.42578125" style="137" customWidth="1"/>
    <col min="6401" max="6401" width="9.28515625" style="137" customWidth="1"/>
    <col min="6402" max="6402" width="15.42578125" style="137" customWidth="1"/>
    <col min="6403" max="6406" width="6.42578125" style="137" customWidth="1"/>
    <col min="6407" max="6407" width="6" style="137" customWidth="1"/>
    <col min="6408" max="6408" width="6.42578125" style="137" customWidth="1"/>
    <col min="6409" max="6409" width="7.7109375" style="137" customWidth="1"/>
    <col min="6410" max="6410" width="9.5703125" style="137" customWidth="1"/>
    <col min="6411" max="6417" width="6.42578125" style="137" customWidth="1"/>
    <col min="6418" max="6418" width="3.28515625" style="137" customWidth="1"/>
    <col min="6419" max="6419" width="5.28515625" style="137" customWidth="1"/>
    <col min="6420" max="6420" width="23.42578125" style="137" customWidth="1"/>
    <col min="6421" max="6437" width="8.28515625" style="137"/>
    <col min="6438" max="6439" width="16.28515625" style="137" customWidth="1"/>
    <col min="6440" max="6440" width="18.7109375" style="137" customWidth="1"/>
    <col min="6441" max="6646" width="8.28515625" style="137"/>
    <col min="6647" max="6647" width="1.28515625" style="137" customWidth="1"/>
    <col min="6648" max="6655" width="7.7109375" style="137" customWidth="1"/>
    <col min="6656" max="6656" width="6.42578125" style="137" customWidth="1"/>
    <col min="6657" max="6657" width="9.28515625" style="137" customWidth="1"/>
    <col min="6658" max="6658" width="15.42578125" style="137" customWidth="1"/>
    <col min="6659" max="6662" width="6.42578125" style="137" customWidth="1"/>
    <col min="6663" max="6663" width="6" style="137" customWidth="1"/>
    <col min="6664" max="6664" width="6.42578125" style="137" customWidth="1"/>
    <col min="6665" max="6665" width="7.7109375" style="137" customWidth="1"/>
    <col min="6666" max="6666" width="9.5703125" style="137" customWidth="1"/>
    <col min="6667" max="6673" width="6.42578125" style="137" customWidth="1"/>
    <col min="6674" max="6674" width="3.28515625" style="137" customWidth="1"/>
    <col min="6675" max="6675" width="5.28515625" style="137" customWidth="1"/>
    <col min="6676" max="6676" width="23.42578125" style="137" customWidth="1"/>
    <col min="6677" max="6693" width="8.28515625" style="137"/>
    <col min="6694" max="6695" width="16.28515625" style="137" customWidth="1"/>
    <col min="6696" max="6696" width="18.7109375" style="137" customWidth="1"/>
    <col min="6697" max="6902" width="8.28515625" style="137"/>
    <col min="6903" max="6903" width="1.28515625" style="137" customWidth="1"/>
    <col min="6904" max="6911" width="7.7109375" style="137" customWidth="1"/>
    <col min="6912" max="6912" width="6.42578125" style="137" customWidth="1"/>
    <col min="6913" max="6913" width="9.28515625" style="137" customWidth="1"/>
    <col min="6914" max="6914" width="15.42578125" style="137" customWidth="1"/>
    <col min="6915" max="6918" width="6.42578125" style="137" customWidth="1"/>
    <col min="6919" max="6919" width="6" style="137" customWidth="1"/>
    <col min="6920" max="6920" width="6.42578125" style="137" customWidth="1"/>
    <col min="6921" max="6921" width="7.7109375" style="137" customWidth="1"/>
    <col min="6922" max="6922" width="9.5703125" style="137" customWidth="1"/>
    <col min="6923" max="6929" width="6.42578125" style="137" customWidth="1"/>
    <col min="6930" max="6930" width="3.28515625" style="137" customWidth="1"/>
    <col min="6931" max="6931" width="5.28515625" style="137" customWidth="1"/>
    <col min="6932" max="6932" width="23.42578125" style="137" customWidth="1"/>
    <col min="6933" max="6949" width="8.28515625" style="137"/>
    <col min="6950" max="6951" width="16.28515625" style="137" customWidth="1"/>
    <col min="6952" max="6952" width="18.7109375" style="137" customWidth="1"/>
    <col min="6953" max="7158" width="8.28515625" style="137"/>
    <col min="7159" max="7159" width="1.28515625" style="137" customWidth="1"/>
    <col min="7160" max="7167" width="7.7109375" style="137" customWidth="1"/>
    <col min="7168" max="7168" width="6.42578125" style="137" customWidth="1"/>
    <col min="7169" max="7169" width="9.28515625" style="137" customWidth="1"/>
    <col min="7170" max="7170" width="15.42578125" style="137" customWidth="1"/>
    <col min="7171" max="7174" width="6.42578125" style="137" customWidth="1"/>
    <col min="7175" max="7175" width="6" style="137" customWidth="1"/>
    <col min="7176" max="7176" width="6.42578125" style="137" customWidth="1"/>
    <col min="7177" max="7177" width="7.7109375" style="137" customWidth="1"/>
    <col min="7178" max="7178" width="9.5703125" style="137" customWidth="1"/>
    <col min="7179" max="7185" width="6.42578125" style="137" customWidth="1"/>
    <col min="7186" max="7186" width="3.28515625" style="137" customWidth="1"/>
    <col min="7187" max="7187" width="5.28515625" style="137" customWidth="1"/>
    <col min="7188" max="7188" width="23.42578125" style="137" customWidth="1"/>
    <col min="7189" max="7205" width="8.28515625" style="137"/>
    <col min="7206" max="7207" width="16.28515625" style="137" customWidth="1"/>
    <col min="7208" max="7208" width="18.7109375" style="137" customWidth="1"/>
    <col min="7209" max="7414" width="8.28515625" style="137"/>
    <col min="7415" max="7415" width="1.28515625" style="137" customWidth="1"/>
    <col min="7416" max="7423" width="7.7109375" style="137" customWidth="1"/>
    <col min="7424" max="7424" width="6.42578125" style="137" customWidth="1"/>
    <col min="7425" max="7425" width="9.28515625" style="137" customWidth="1"/>
    <col min="7426" max="7426" width="15.42578125" style="137" customWidth="1"/>
    <col min="7427" max="7430" width="6.42578125" style="137" customWidth="1"/>
    <col min="7431" max="7431" width="6" style="137" customWidth="1"/>
    <col min="7432" max="7432" width="6.42578125" style="137" customWidth="1"/>
    <col min="7433" max="7433" width="7.7109375" style="137" customWidth="1"/>
    <col min="7434" max="7434" width="9.5703125" style="137" customWidth="1"/>
    <col min="7435" max="7441" width="6.42578125" style="137" customWidth="1"/>
    <col min="7442" max="7442" width="3.28515625" style="137" customWidth="1"/>
    <col min="7443" max="7443" width="5.28515625" style="137" customWidth="1"/>
    <col min="7444" max="7444" width="23.42578125" style="137" customWidth="1"/>
    <col min="7445" max="7461" width="8.28515625" style="137"/>
    <col min="7462" max="7463" width="16.28515625" style="137" customWidth="1"/>
    <col min="7464" max="7464" width="18.7109375" style="137" customWidth="1"/>
    <col min="7465" max="7670" width="8.28515625" style="137"/>
    <col min="7671" max="7671" width="1.28515625" style="137" customWidth="1"/>
    <col min="7672" max="7679" width="7.7109375" style="137" customWidth="1"/>
    <col min="7680" max="7680" width="6.42578125" style="137" customWidth="1"/>
    <col min="7681" max="7681" width="9.28515625" style="137" customWidth="1"/>
    <col min="7682" max="7682" width="15.42578125" style="137" customWidth="1"/>
    <col min="7683" max="7686" width="6.42578125" style="137" customWidth="1"/>
    <col min="7687" max="7687" width="6" style="137" customWidth="1"/>
    <col min="7688" max="7688" width="6.42578125" style="137" customWidth="1"/>
    <col min="7689" max="7689" width="7.7109375" style="137" customWidth="1"/>
    <col min="7690" max="7690" width="9.5703125" style="137" customWidth="1"/>
    <col min="7691" max="7697" width="6.42578125" style="137" customWidth="1"/>
    <col min="7698" max="7698" width="3.28515625" style="137" customWidth="1"/>
    <col min="7699" max="7699" width="5.28515625" style="137" customWidth="1"/>
    <col min="7700" max="7700" width="23.42578125" style="137" customWidth="1"/>
    <col min="7701" max="7717" width="8.28515625" style="137"/>
    <col min="7718" max="7719" width="16.28515625" style="137" customWidth="1"/>
    <col min="7720" max="7720" width="18.7109375" style="137" customWidth="1"/>
    <col min="7721" max="7926" width="8.28515625" style="137"/>
    <col min="7927" max="7927" width="1.28515625" style="137" customWidth="1"/>
    <col min="7928" max="7935" width="7.7109375" style="137" customWidth="1"/>
    <col min="7936" max="7936" width="6.42578125" style="137" customWidth="1"/>
    <col min="7937" max="7937" width="9.28515625" style="137" customWidth="1"/>
    <col min="7938" max="7938" width="15.42578125" style="137" customWidth="1"/>
    <col min="7939" max="7942" width="6.42578125" style="137" customWidth="1"/>
    <col min="7943" max="7943" width="6" style="137" customWidth="1"/>
    <col min="7944" max="7944" width="6.42578125" style="137" customWidth="1"/>
    <col min="7945" max="7945" width="7.7109375" style="137" customWidth="1"/>
    <col min="7946" max="7946" width="9.5703125" style="137" customWidth="1"/>
    <col min="7947" max="7953" width="6.42578125" style="137" customWidth="1"/>
    <col min="7954" max="7954" width="3.28515625" style="137" customWidth="1"/>
    <col min="7955" max="7955" width="5.28515625" style="137" customWidth="1"/>
    <col min="7956" max="7956" width="23.42578125" style="137" customWidth="1"/>
    <col min="7957" max="7973" width="8.28515625" style="137"/>
    <col min="7974" max="7975" width="16.28515625" style="137" customWidth="1"/>
    <col min="7976" max="7976" width="18.7109375" style="137" customWidth="1"/>
    <col min="7977" max="8182" width="8.28515625" style="137"/>
    <col min="8183" max="8183" width="1.28515625" style="137" customWidth="1"/>
    <col min="8184" max="8191" width="7.7109375" style="137" customWidth="1"/>
    <col min="8192" max="8192" width="6.42578125" style="137" customWidth="1"/>
    <col min="8193" max="8193" width="9.28515625" style="137" customWidth="1"/>
    <col min="8194" max="8194" width="15.42578125" style="137" customWidth="1"/>
    <col min="8195" max="8198" width="6.42578125" style="137" customWidth="1"/>
    <col min="8199" max="8199" width="6" style="137" customWidth="1"/>
    <col min="8200" max="8200" width="6.42578125" style="137" customWidth="1"/>
    <col min="8201" max="8201" width="7.7109375" style="137" customWidth="1"/>
    <col min="8202" max="8202" width="9.5703125" style="137" customWidth="1"/>
    <col min="8203" max="8209" width="6.42578125" style="137" customWidth="1"/>
    <col min="8210" max="8210" width="3.28515625" style="137" customWidth="1"/>
    <col min="8211" max="8211" width="5.28515625" style="137" customWidth="1"/>
    <col min="8212" max="8212" width="23.42578125" style="137" customWidth="1"/>
    <col min="8213" max="8229" width="8.28515625" style="137"/>
    <col min="8230" max="8231" width="16.28515625" style="137" customWidth="1"/>
    <col min="8232" max="8232" width="18.7109375" style="137" customWidth="1"/>
    <col min="8233" max="8438" width="8.28515625" style="137"/>
    <col min="8439" max="8439" width="1.28515625" style="137" customWidth="1"/>
    <col min="8440" max="8447" width="7.7109375" style="137" customWidth="1"/>
    <col min="8448" max="8448" width="6.42578125" style="137" customWidth="1"/>
    <col min="8449" max="8449" width="9.28515625" style="137" customWidth="1"/>
    <col min="8450" max="8450" width="15.42578125" style="137" customWidth="1"/>
    <col min="8451" max="8454" width="6.42578125" style="137" customWidth="1"/>
    <col min="8455" max="8455" width="6" style="137" customWidth="1"/>
    <col min="8456" max="8456" width="6.42578125" style="137" customWidth="1"/>
    <col min="8457" max="8457" width="7.7109375" style="137" customWidth="1"/>
    <col min="8458" max="8458" width="9.5703125" style="137" customWidth="1"/>
    <col min="8459" max="8465" width="6.42578125" style="137" customWidth="1"/>
    <col min="8466" max="8466" width="3.28515625" style="137" customWidth="1"/>
    <col min="8467" max="8467" width="5.28515625" style="137" customWidth="1"/>
    <col min="8468" max="8468" width="23.42578125" style="137" customWidth="1"/>
    <col min="8469" max="8485" width="8.28515625" style="137"/>
    <col min="8486" max="8487" width="16.28515625" style="137" customWidth="1"/>
    <col min="8488" max="8488" width="18.7109375" style="137" customWidth="1"/>
    <col min="8489" max="8694" width="8.28515625" style="137"/>
    <col min="8695" max="8695" width="1.28515625" style="137" customWidth="1"/>
    <col min="8696" max="8703" width="7.7109375" style="137" customWidth="1"/>
    <col min="8704" max="8704" width="6.42578125" style="137" customWidth="1"/>
    <col min="8705" max="8705" width="9.28515625" style="137" customWidth="1"/>
    <col min="8706" max="8706" width="15.42578125" style="137" customWidth="1"/>
    <col min="8707" max="8710" width="6.42578125" style="137" customWidth="1"/>
    <col min="8711" max="8711" width="6" style="137" customWidth="1"/>
    <col min="8712" max="8712" width="6.42578125" style="137" customWidth="1"/>
    <col min="8713" max="8713" width="7.7109375" style="137" customWidth="1"/>
    <col min="8714" max="8714" width="9.5703125" style="137" customWidth="1"/>
    <col min="8715" max="8721" width="6.42578125" style="137" customWidth="1"/>
    <col min="8722" max="8722" width="3.28515625" style="137" customWidth="1"/>
    <col min="8723" max="8723" width="5.28515625" style="137" customWidth="1"/>
    <col min="8724" max="8724" width="23.42578125" style="137" customWidth="1"/>
    <col min="8725" max="8741" width="8.28515625" style="137"/>
    <col min="8742" max="8743" width="16.28515625" style="137" customWidth="1"/>
    <col min="8744" max="8744" width="18.7109375" style="137" customWidth="1"/>
    <col min="8745" max="8950" width="8.28515625" style="137"/>
    <col min="8951" max="8951" width="1.28515625" style="137" customWidth="1"/>
    <col min="8952" max="8959" width="7.7109375" style="137" customWidth="1"/>
    <col min="8960" max="8960" width="6.42578125" style="137" customWidth="1"/>
    <col min="8961" max="8961" width="9.28515625" style="137" customWidth="1"/>
    <col min="8962" max="8962" width="15.42578125" style="137" customWidth="1"/>
    <col min="8963" max="8966" width="6.42578125" style="137" customWidth="1"/>
    <col min="8967" max="8967" width="6" style="137" customWidth="1"/>
    <col min="8968" max="8968" width="6.42578125" style="137" customWidth="1"/>
    <col min="8969" max="8969" width="7.7109375" style="137" customWidth="1"/>
    <col min="8970" max="8970" width="9.5703125" style="137" customWidth="1"/>
    <col min="8971" max="8977" width="6.42578125" style="137" customWidth="1"/>
    <col min="8978" max="8978" width="3.28515625" style="137" customWidth="1"/>
    <col min="8979" max="8979" width="5.28515625" style="137" customWidth="1"/>
    <col min="8980" max="8980" width="23.42578125" style="137" customWidth="1"/>
    <col min="8981" max="8997" width="8.28515625" style="137"/>
    <col min="8998" max="8999" width="16.28515625" style="137" customWidth="1"/>
    <col min="9000" max="9000" width="18.7109375" style="137" customWidth="1"/>
    <col min="9001" max="9206" width="8.28515625" style="137"/>
    <col min="9207" max="9207" width="1.28515625" style="137" customWidth="1"/>
    <col min="9208" max="9215" width="7.7109375" style="137" customWidth="1"/>
    <col min="9216" max="9216" width="6.42578125" style="137" customWidth="1"/>
    <col min="9217" max="9217" width="9.28515625" style="137" customWidth="1"/>
    <col min="9218" max="9218" width="15.42578125" style="137" customWidth="1"/>
    <col min="9219" max="9222" width="6.42578125" style="137" customWidth="1"/>
    <col min="9223" max="9223" width="6" style="137" customWidth="1"/>
    <col min="9224" max="9224" width="6.42578125" style="137" customWidth="1"/>
    <col min="9225" max="9225" width="7.7109375" style="137" customWidth="1"/>
    <col min="9226" max="9226" width="9.5703125" style="137" customWidth="1"/>
    <col min="9227" max="9233" width="6.42578125" style="137" customWidth="1"/>
    <col min="9234" max="9234" width="3.28515625" style="137" customWidth="1"/>
    <col min="9235" max="9235" width="5.28515625" style="137" customWidth="1"/>
    <col min="9236" max="9236" width="23.42578125" style="137" customWidth="1"/>
    <col min="9237" max="9253" width="8.28515625" style="137"/>
    <col min="9254" max="9255" width="16.28515625" style="137" customWidth="1"/>
    <col min="9256" max="9256" width="18.7109375" style="137" customWidth="1"/>
    <col min="9257" max="9462" width="8.28515625" style="137"/>
    <col min="9463" max="9463" width="1.28515625" style="137" customWidth="1"/>
    <col min="9464" max="9471" width="7.7109375" style="137" customWidth="1"/>
    <col min="9472" max="9472" width="6.42578125" style="137" customWidth="1"/>
    <col min="9473" max="9473" width="9.28515625" style="137" customWidth="1"/>
    <col min="9474" max="9474" width="15.42578125" style="137" customWidth="1"/>
    <col min="9475" max="9478" width="6.42578125" style="137" customWidth="1"/>
    <col min="9479" max="9479" width="6" style="137" customWidth="1"/>
    <col min="9480" max="9480" width="6.42578125" style="137" customWidth="1"/>
    <col min="9481" max="9481" width="7.7109375" style="137" customWidth="1"/>
    <col min="9482" max="9482" width="9.5703125" style="137" customWidth="1"/>
    <col min="9483" max="9489" width="6.42578125" style="137" customWidth="1"/>
    <col min="9490" max="9490" width="3.28515625" style="137" customWidth="1"/>
    <col min="9491" max="9491" width="5.28515625" style="137" customWidth="1"/>
    <col min="9492" max="9492" width="23.42578125" style="137" customWidth="1"/>
    <col min="9493" max="9509" width="8.28515625" style="137"/>
    <col min="9510" max="9511" width="16.28515625" style="137" customWidth="1"/>
    <col min="9512" max="9512" width="18.7109375" style="137" customWidth="1"/>
    <col min="9513" max="9718" width="8.28515625" style="137"/>
    <col min="9719" max="9719" width="1.28515625" style="137" customWidth="1"/>
    <col min="9720" max="9727" width="7.7109375" style="137" customWidth="1"/>
    <col min="9728" max="9728" width="6.42578125" style="137" customWidth="1"/>
    <col min="9729" max="9729" width="9.28515625" style="137" customWidth="1"/>
    <col min="9730" max="9730" width="15.42578125" style="137" customWidth="1"/>
    <col min="9731" max="9734" width="6.42578125" style="137" customWidth="1"/>
    <col min="9735" max="9735" width="6" style="137" customWidth="1"/>
    <col min="9736" max="9736" width="6.42578125" style="137" customWidth="1"/>
    <col min="9737" max="9737" width="7.7109375" style="137" customWidth="1"/>
    <col min="9738" max="9738" width="9.5703125" style="137" customWidth="1"/>
    <col min="9739" max="9745" width="6.42578125" style="137" customWidth="1"/>
    <col min="9746" max="9746" width="3.28515625" style="137" customWidth="1"/>
    <col min="9747" max="9747" width="5.28515625" style="137" customWidth="1"/>
    <col min="9748" max="9748" width="23.42578125" style="137" customWidth="1"/>
    <col min="9749" max="9765" width="8.28515625" style="137"/>
    <col min="9766" max="9767" width="16.28515625" style="137" customWidth="1"/>
    <col min="9768" max="9768" width="18.7109375" style="137" customWidth="1"/>
    <col min="9769" max="9974" width="8.28515625" style="137"/>
    <col min="9975" max="9975" width="1.28515625" style="137" customWidth="1"/>
    <col min="9976" max="9983" width="7.7109375" style="137" customWidth="1"/>
    <col min="9984" max="9984" width="6.42578125" style="137" customWidth="1"/>
    <col min="9985" max="9985" width="9.28515625" style="137" customWidth="1"/>
    <col min="9986" max="9986" width="15.42578125" style="137" customWidth="1"/>
    <col min="9987" max="9990" width="6.42578125" style="137" customWidth="1"/>
    <col min="9991" max="9991" width="6" style="137" customWidth="1"/>
    <col min="9992" max="9992" width="6.42578125" style="137" customWidth="1"/>
    <col min="9993" max="9993" width="7.7109375" style="137" customWidth="1"/>
    <col min="9994" max="9994" width="9.5703125" style="137" customWidth="1"/>
    <col min="9995" max="10001" width="6.42578125" style="137" customWidth="1"/>
    <col min="10002" max="10002" width="3.28515625" style="137" customWidth="1"/>
    <col min="10003" max="10003" width="5.28515625" style="137" customWidth="1"/>
    <col min="10004" max="10004" width="23.42578125" style="137" customWidth="1"/>
    <col min="10005" max="10021" width="8.28515625" style="137"/>
    <col min="10022" max="10023" width="16.28515625" style="137" customWidth="1"/>
    <col min="10024" max="10024" width="18.7109375" style="137" customWidth="1"/>
    <col min="10025" max="10230" width="8.28515625" style="137"/>
    <col min="10231" max="10231" width="1.28515625" style="137" customWidth="1"/>
    <col min="10232" max="10239" width="7.7109375" style="137" customWidth="1"/>
    <col min="10240" max="10240" width="6.42578125" style="137" customWidth="1"/>
    <col min="10241" max="10241" width="9.28515625" style="137" customWidth="1"/>
    <col min="10242" max="10242" width="15.42578125" style="137" customWidth="1"/>
    <col min="10243" max="10246" width="6.42578125" style="137" customWidth="1"/>
    <col min="10247" max="10247" width="6" style="137" customWidth="1"/>
    <col min="10248" max="10248" width="6.42578125" style="137" customWidth="1"/>
    <col min="10249" max="10249" width="7.7109375" style="137" customWidth="1"/>
    <col min="10250" max="10250" width="9.5703125" style="137" customWidth="1"/>
    <col min="10251" max="10257" width="6.42578125" style="137" customWidth="1"/>
    <col min="10258" max="10258" width="3.28515625" style="137" customWidth="1"/>
    <col min="10259" max="10259" width="5.28515625" style="137" customWidth="1"/>
    <col min="10260" max="10260" width="23.42578125" style="137" customWidth="1"/>
    <col min="10261" max="10277" width="8.28515625" style="137"/>
    <col min="10278" max="10279" width="16.28515625" style="137" customWidth="1"/>
    <col min="10280" max="10280" width="18.7109375" style="137" customWidth="1"/>
    <col min="10281" max="10486" width="8.28515625" style="137"/>
    <col min="10487" max="10487" width="1.28515625" style="137" customWidth="1"/>
    <col min="10488" max="10495" width="7.7109375" style="137" customWidth="1"/>
    <col min="10496" max="10496" width="6.42578125" style="137" customWidth="1"/>
    <col min="10497" max="10497" width="9.28515625" style="137" customWidth="1"/>
    <col min="10498" max="10498" width="15.42578125" style="137" customWidth="1"/>
    <col min="10499" max="10502" width="6.42578125" style="137" customWidth="1"/>
    <col min="10503" max="10503" width="6" style="137" customWidth="1"/>
    <col min="10504" max="10504" width="6.42578125" style="137" customWidth="1"/>
    <col min="10505" max="10505" width="7.7109375" style="137" customWidth="1"/>
    <col min="10506" max="10506" width="9.5703125" style="137" customWidth="1"/>
    <col min="10507" max="10513" width="6.42578125" style="137" customWidth="1"/>
    <col min="10514" max="10514" width="3.28515625" style="137" customWidth="1"/>
    <col min="10515" max="10515" width="5.28515625" style="137" customWidth="1"/>
    <col min="10516" max="10516" width="23.42578125" style="137" customWidth="1"/>
    <col min="10517" max="10533" width="8.28515625" style="137"/>
    <col min="10534" max="10535" width="16.28515625" style="137" customWidth="1"/>
    <col min="10536" max="10536" width="18.7109375" style="137" customWidth="1"/>
    <col min="10537" max="10742" width="8.28515625" style="137"/>
    <col min="10743" max="10743" width="1.28515625" style="137" customWidth="1"/>
    <col min="10744" max="10751" width="7.7109375" style="137" customWidth="1"/>
    <col min="10752" max="10752" width="6.42578125" style="137" customWidth="1"/>
    <col min="10753" max="10753" width="9.28515625" style="137" customWidth="1"/>
    <col min="10754" max="10754" width="15.42578125" style="137" customWidth="1"/>
    <col min="10755" max="10758" width="6.42578125" style="137" customWidth="1"/>
    <col min="10759" max="10759" width="6" style="137" customWidth="1"/>
    <col min="10760" max="10760" width="6.42578125" style="137" customWidth="1"/>
    <col min="10761" max="10761" width="7.7109375" style="137" customWidth="1"/>
    <col min="10762" max="10762" width="9.5703125" style="137" customWidth="1"/>
    <col min="10763" max="10769" width="6.42578125" style="137" customWidth="1"/>
    <col min="10770" max="10770" width="3.28515625" style="137" customWidth="1"/>
    <col min="10771" max="10771" width="5.28515625" style="137" customWidth="1"/>
    <col min="10772" max="10772" width="23.42578125" style="137" customWidth="1"/>
    <col min="10773" max="10789" width="8.28515625" style="137"/>
    <col min="10790" max="10791" width="16.28515625" style="137" customWidth="1"/>
    <col min="10792" max="10792" width="18.7109375" style="137" customWidth="1"/>
    <col min="10793" max="10998" width="8.28515625" style="137"/>
    <col min="10999" max="10999" width="1.28515625" style="137" customWidth="1"/>
    <col min="11000" max="11007" width="7.7109375" style="137" customWidth="1"/>
    <col min="11008" max="11008" width="6.42578125" style="137" customWidth="1"/>
    <col min="11009" max="11009" width="9.28515625" style="137" customWidth="1"/>
    <col min="11010" max="11010" width="15.42578125" style="137" customWidth="1"/>
    <col min="11011" max="11014" width="6.42578125" style="137" customWidth="1"/>
    <col min="11015" max="11015" width="6" style="137" customWidth="1"/>
    <col min="11016" max="11016" width="6.42578125" style="137" customWidth="1"/>
    <col min="11017" max="11017" width="7.7109375" style="137" customWidth="1"/>
    <col min="11018" max="11018" width="9.5703125" style="137" customWidth="1"/>
    <col min="11019" max="11025" width="6.42578125" style="137" customWidth="1"/>
    <col min="11026" max="11026" width="3.28515625" style="137" customWidth="1"/>
    <col min="11027" max="11027" width="5.28515625" style="137" customWidth="1"/>
    <col min="11028" max="11028" width="23.42578125" style="137" customWidth="1"/>
    <col min="11029" max="11045" width="8.28515625" style="137"/>
    <col min="11046" max="11047" width="16.28515625" style="137" customWidth="1"/>
    <col min="11048" max="11048" width="18.7109375" style="137" customWidth="1"/>
    <col min="11049" max="11254" width="8.28515625" style="137"/>
    <col min="11255" max="11255" width="1.28515625" style="137" customWidth="1"/>
    <col min="11256" max="11263" width="7.7109375" style="137" customWidth="1"/>
    <col min="11264" max="11264" width="6.42578125" style="137" customWidth="1"/>
    <col min="11265" max="11265" width="9.28515625" style="137" customWidth="1"/>
    <col min="11266" max="11266" width="15.42578125" style="137" customWidth="1"/>
    <col min="11267" max="11270" width="6.42578125" style="137" customWidth="1"/>
    <col min="11271" max="11271" width="6" style="137" customWidth="1"/>
    <col min="11272" max="11272" width="6.42578125" style="137" customWidth="1"/>
    <col min="11273" max="11273" width="7.7109375" style="137" customWidth="1"/>
    <col min="11274" max="11274" width="9.5703125" style="137" customWidth="1"/>
    <col min="11275" max="11281" width="6.42578125" style="137" customWidth="1"/>
    <col min="11282" max="11282" width="3.28515625" style="137" customWidth="1"/>
    <col min="11283" max="11283" width="5.28515625" style="137" customWidth="1"/>
    <col min="11284" max="11284" width="23.42578125" style="137" customWidth="1"/>
    <col min="11285" max="11301" width="8.28515625" style="137"/>
    <col min="11302" max="11303" width="16.28515625" style="137" customWidth="1"/>
    <col min="11304" max="11304" width="18.7109375" style="137" customWidth="1"/>
    <col min="11305" max="11510" width="8.28515625" style="137"/>
    <col min="11511" max="11511" width="1.28515625" style="137" customWidth="1"/>
    <col min="11512" max="11519" width="7.7109375" style="137" customWidth="1"/>
    <col min="11520" max="11520" width="6.42578125" style="137" customWidth="1"/>
    <col min="11521" max="11521" width="9.28515625" style="137" customWidth="1"/>
    <col min="11522" max="11522" width="15.42578125" style="137" customWidth="1"/>
    <col min="11523" max="11526" width="6.42578125" style="137" customWidth="1"/>
    <col min="11527" max="11527" width="6" style="137" customWidth="1"/>
    <col min="11528" max="11528" width="6.42578125" style="137" customWidth="1"/>
    <col min="11529" max="11529" width="7.7109375" style="137" customWidth="1"/>
    <col min="11530" max="11530" width="9.5703125" style="137" customWidth="1"/>
    <col min="11531" max="11537" width="6.42578125" style="137" customWidth="1"/>
    <col min="11538" max="11538" width="3.28515625" style="137" customWidth="1"/>
    <col min="11539" max="11539" width="5.28515625" style="137" customWidth="1"/>
    <col min="11540" max="11540" width="23.42578125" style="137" customWidth="1"/>
    <col min="11541" max="11557" width="8.28515625" style="137"/>
    <col min="11558" max="11559" width="16.28515625" style="137" customWidth="1"/>
    <col min="11560" max="11560" width="18.7109375" style="137" customWidth="1"/>
    <col min="11561" max="11766" width="8.28515625" style="137"/>
    <col min="11767" max="11767" width="1.28515625" style="137" customWidth="1"/>
    <col min="11768" max="11775" width="7.7109375" style="137" customWidth="1"/>
    <col min="11776" max="11776" width="6.42578125" style="137" customWidth="1"/>
    <col min="11777" max="11777" width="9.28515625" style="137" customWidth="1"/>
    <col min="11778" max="11778" width="15.42578125" style="137" customWidth="1"/>
    <col min="11779" max="11782" width="6.42578125" style="137" customWidth="1"/>
    <col min="11783" max="11783" width="6" style="137" customWidth="1"/>
    <col min="11784" max="11784" width="6.42578125" style="137" customWidth="1"/>
    <col min="11785" max="11785" width="7.7109375" style="137" customWidth="1"/>
    <col min="11786" max="11786" width="9.5703125" style="137" customWidth="1"/>
    <col min="11787" max="11793" width="6.42578125" style="137" customWidth="1"/>
    <col min="11794" max="11794" width="3.28515625" style="137" customWidth="1"/>
    <col min="11795" max="11795" width="5.28515625" style="137" customWidth="1"/>
    <col min="11796" max="11796" width="23.42578125" style="137" customWidth="1"/>
    <col min="11797" max="11813" width="8.28515625" style="137"/>
    <col min="11814" max="11815" width="16.28515625" style="137" customWidth="1"/>
    <col min="11816" max="11816" width="18.7109375" style="137" customWidth="1"/>
    <col min="11817" max="12022" width="8.28515625" style="137"/>
    <col min="12023" max="12023" width="1.28515625" style="137" customWidth="1"/>
    <col min="12024" max="12031" width="7.7109375" style="137" customWidth="1"/>
    <col min="12032" max="12032" width="6.42578125" style="137" customWidth="1"/>
    <col min="12033" max="12033" width="9.28515625" style="137" customWidth="1"/>
    <col min="12034" max="12034" width="15.42578125" style="137" customWidth="1"/>
    <col min="12035" max="12038" width="6.42578125" style="137" customWidth="1"/>
    <col min="12039" max="12039" width="6" style="137" customWidth="1"/>
    <col min="12040" max="12040" width="6.42578125" style="137" customWidth="1"/>
    <col min="12041" max="12041" width="7.7109375" style="137" customWidth="1"/>
    <col min="12042" max="12042" width="9.5703125" style="137" customWidth="1"/>
    <col min="12043" max="12049" width="6.42578125" style="137" customWidth="1"/>
    <col min="12050" max="12050" width="3.28515625" style="137" customWidth="1"/>
    <col min="12051" max="12051" width="5.28515625" style="137" customWidth="1"/>
    <col min="12052" max="12052" width="23.42578125" style="137" customWidth="1"/>
    <col min="12053" max="12069" width="8.28515625" style="137"/>
    <col min="12070" max="12071" width="16.28515625" style="137" customWidth="1"/>
    <col min="12072" max="12072" width="18.7109375" style="137" customWidth="1"/>
    <col min="12073" max="12278" width="8.28515625" style="137"/>
    <col min="12279" max="12279" width="1.28515625" style="137" customWidth="1"/>
    <col min="12280" max="12287" width="7.7109375" style="137" customWidth="1"/>
    <col min="12288" max="12288" width="6.42578125" style="137" customWidth="1"/>
    <col min="12289" max="12289" width="9.28515625" style="137" customWidth="1"/>
    <col min="12290" max="12290" width="15.42578125" style="137" customWidth="1"/>
    <col min="12291" max="12294" width="6.42578125" style="137" customWidth="1"/>
    <col min="12295" max="12295" width="6" style="137" customWidth="1"/>
    <col min="12296" max="12296" width="6.42578125" style="137" customWidth="1"/>
    <col min="12297" max="12297" width="7.7109375" style="137" customWidth="1"/>
    <col min="12298" max="12298" width="9.5703125" style="137" customWidth="1"/>
    <col min="12299" max="12305" width="6.42578125" style="137" customWidth="1"/>
    <col min="12306" max="12306" width="3.28515625" style="137" customWidth="1"/>
    <col min="12307" max="12307" width="5.28515625" style="137" customWidth="1"/>
    <col min="12308" max="12308" width="23.42578125" style="137" customWidth="1"/>
    <col min="12309" max="12325" width="8.28515625" style="137"/>
    <col min="12326" max="12327" width="16.28515625" style="137" customWidth="1"/>
    <col min="12328" max="12328" width="18.7109375" style="137" customWidth="1"/>
    <col min="12329" max="12534" width="8.28515625" style="137"/>
    <col min="12535" max="12535" width="1.28515625" style="137" customWidth="1"/>
    <col min="12536" max="12543" width="7.7109375" style="137" customWidth="1"/>
    <col min="12544" max="12544" width="6.42578125" style="137" customWidth="1"/>
    <col min="12545" max="12545" width="9.28515625" style="137" customWidth="1"/>
    <col min="12546" max="12546" width="15.42578125" style="137" customWidth="1"/>
    <col min="12547" max="12550" width="6.42578125" style="137" customWidth="1"/>
    <col min="12551" max="12551" width="6" style="137" customWidth="1"/>
    <col min="12552" max="12552" width="6.42578125" style="137" customWidth="1"/>
    <col min="12553" max="12553" width="7.7109375" style="137" customWidth="1"/>
    <col min="12554" max="12554" width="9.5703125" style="137" customWidth="1"/>
    <col min="12555" max="12561" width="6.42578125" style="137" customWidth="1"/>
    <col min="12562" max="12562" width="3.28515625" style="137" customWidth="1"/>
    <col min="12563" max="12563" width="5.28515625" style="137" customWidth="1"/>
    <col min="12564" max="12564" width="23.42578125" style="137" customWidth="1"/>
    <col min="12565" max="12581" width="8.28515625" style="137"/>
    <col min="12582" max="12583" width="16.28515625" style="137" customWidth="1"/>
    <col min="12584" max="12584" width="18.7109375" style="137" customWidth="1"/>
    <col min="12585" max="12790" width="8.28515625" style="137"/>
    <col min="12791" max="12791" width="1.28515625" style="137" customWidth="1"/>
    <col min="12792" max="12799" width="7.7109375" style="137" customWidth="1"/>
    <col min="12800" max="12800" width="6.42578125" style="137" customWidth="1"/>
    <col min="12801" max="12801" width="9.28515625" style="137" customWidth="1"/>
    <col min="12802" max="12802" width="15.42578125" style="137" customWidth="1"/>
    <col min="12803" max="12806" width="6.42578125" style="137" customWidth="1"/>
    <col min="12807" max="12807" width="6" style="137" customWidth="1"/>
    <col min="12808" max="12808" width="6.42578125" style="137" customWidth="1"/>
    <col min="12809" max="12809" width="7.7109375" style="137" customWidth="1"/>
    <col min="12810" max="12810" width="9.5703125" style="137" customWidth="1"/>
    <col min="12811" max="12817" width="6.42578125" style="137" customWidth="1"/>
    <col min="12818" max="12818" width="3.28515625" style="137" customWidth="1"/>
    <col min="12819" max="12819" width="5.28515625" style="137" customWidth="1"/>
    <col min="12820" max="12820" width="23.42578125" style="137" customWidth="1"/>
    <col min="12821" max="12837" width="8.28515625" style="137"/>
    <col min="12838" max="12839" width="16.28515625" style="137" customWidth="1"/>
    <col min="12840" max="12840" width="18.7109375" style="137" customWidth="1"/>
    <col min="12841" max="13046" width="8.28515625" style="137"/>
    <col min="13047" max="13047" width="1.28515625" style="137" customWidth="1"/>
    <col min="13048" max="13055" width="7.7109375" style="137" customWidth="1"/>
    <col min="13056" max="13056" width="6.42578125" style="137" customWidth="1"/>
    <col min="13057" max="13057" width="9.28515625" style="137" customWidth="1"/>
    <col min="13058" max="13058" width="15.42578125" style="137" customWidth="1"/>
    <col min="13059" max="13062" width="6.42578125" style="137" customWidth="1"/>
    <col min="13063" max="13063" width="6" style="137" customWidth="1"/>
    <col min="13064" max="13064" width="6.42578125" style="137" customWidth="1"/>
    <col min="13065" max="13065" width="7.7109375" style="137" customWidth="1"/>
    <col min="13066" max="13066" width="9.5703125" style="137" customWidth="1"/>
    <col min="13067" max="13073" width="6.42578125" style="137" customWidth="1"/>
    <col min="13074" max="13074" width="3.28515625" style="137" customWidth="1"/>
    <col min="13075" max="13075" width="5.28515625" style="137" customWidth="1"/>
    <col min="13076" max="13076" width="23.42578125" style="137" customWidth="1"/>
    <col min="13077" max="13093" width="8.28515625" style="137"/>
    <col min="13094" max="13095" width="16.28515625" style="137" customWidth="1"/>
    <col min="13096" max="13096" width="18.7109375" style="137" customWidth="1"/>
    <col min="13097" max="13302" width="8.28515625" style="137"/>
    <col min="13303" max="13303" width="1.28515625" style="137" customWidth="1"/>
    <col min="13304" max="13311" width="7.7109375" style="137" customWidth="1"/>
    <col min="13312" max="13312" width="6.42578125" style="137" customWidth="1"/>
    <col min="13313" max="13313" width="9.28515625" style="137" customWidth="1"/>
    <col min="13314" max="13314" width="15.42578125" style="137" customWidth="1"/>
    <col min="13315" max="13318" width="6.42578125" style="137" customWidth="1"/>
    <col min="13319" max="13319" width="6" style="137" customWidth="1"/>
    <col min="13320" max="13320" width="6.42578125" style="137" customWidth="1"/>
    <col min="13321" max="13321" width="7.7109375" style="137" customWidth="1"/>
    <col min="13322" max="13322" width="9.5703125" style="137" customWidth="1"/>
    <col min="13323" max="13329" width="6.42578125" style="137" customWidth="1"/>
    <col min="13330" max="13330" width="3.28515625" style="137" customWidth="1"/>
    <col min="13331" max="13331" width="5.28515625" style="137" customWidth="1"/>
    <col min="13332" max="13332" width="23.42578125" style="137" customWidth="1"/>
    <col min="13333" max="13349" width="8.28515625" style="137"/>
    <col min="13350" max="13351" width="16.28515625" style="137" customWidth="1"/>
    <col min="13352" max="13352" width="18.7109375" style="137" customWidth="1"/>
    <col min="13353" max="13558" width="8.28515625" style="137"/>
    <col min="13559" max="13559" width="1.28515625" style="137" customWidth="1"/>
    <col min="13560" max="13567" width="7.7109375" style="137" customWidth="1"/>
    <col min="13568" max="13568" width="6.42578125" style="137" customWidth="1"/>
    <col min="13569" max="13569" width="9.28515625" style="137" customWidth="1"/>
    <col min="13570" max="13570" width="15.42578125" style="137" customWidth="1"/>
    <col min="13571" max="13574" width="6.42578125" style="137" customWidth="1"/>
    <col min="13575" max="13575" width="6" style="137" customWidth="1"/>
    <col min="13576" max="13576" width="6.42578125" style="137" customWidth="1"/>
    <col min="13577" max="13577" width="7.7109375" style="137" customWidth="1"/>
    <col min="13578" max="13578" width="9.5703125" style="137" customWidth="1"/>
    <col min="13579" max="13585" width="6.42578125" style="137" customWidth="1"/>
    <col min="13586" max="13586" width="3.28515625" style="137" customWidth="1"/>
    <col min="13587" max="13587" width="5.28515625" style="137" customWidth="1"/>
    <col min="13588" max="13588" width="23.42578125" style="137" customWidth="1"/>
    <col min="13589" max="13605" width="8.28515625" style="137"/>
    <col min="13606" max="13607" width="16.28515625" style="137" customWidth="1"/>
    <col min="13608" max="13608" width="18.7109375" style="137" customWidth="1"/>
    <col min="13609" max="13814" width="8.28515625" style="137"/>
    <col min="13815" max="13815" width="1.28515625" style="137" customWidth="1"/>
    <col min="13816" max="13823" width="7.7109375" style="137" customWidth="1"/>
    <col min="13824" max="13824" width="6.42578125" style="137" customWidth="1"/>
    <col min="13825" max="13825" width="9.28515625" style="137" customWidth="1"/>
    <col min="13826" max="13826" width="15.42578125" style="137" customWidth="1"/>
    <col min="13827" max="13830" width="6.42578125" style="137" customWidth="1"/>
    <col min="13831" max="13831" width="6" style="137" customWidth="1"/>
    <col min="13832" max="13832" width="6.42578125" style="137" customWidth="1"/>
    <col min="13833" max="13833" width="7.7109375" style="137" customWidth="1"/>
    <col min="13834" max="13834" width="9.5703125" style="137" customWidth="1"/>
    <col min="13835" max="13841" width="6.42578125" style="137" customWidth="1"/>
    <col min="13842" max="13842" width="3.28515625" style="137" customWidth="1"/>
    <col min="13843" max="13843" width="5.28515625" style="137" customWidth="1"/>
    <col min="13844" max="13844" width="23.42578125" style="137" customWidth="1"/>
    <col min="13845" max="13861" width="8.28515625" style="137"/>
    <col min="13862" max="13863" width="16.28515625" style="137" customWidth="1"/>
    <col min="13864" max="13864" width="18.7109375" style="137" customWidth="1"/>
    <col min="13865" max="14070" width="8.28515625" style="137"/>
    <col min="14071" max="14071" width="1.28515625" style="137" customWidth="1"/>
    <col min="14072" max="14079" width="7.7109375" style="137" customWidth="1"/>
    <col min="14080" max="14080" width="6.42578125" style="137" customWidth="1"/>
    <col min="14081" max="14081" width="9.28515625" style="137" customWidth="1"/>
    <col min="14082" max="14082" width="15.42578125" style="137" customWidth="1"/>
    <col min="14083" max="14086" width="6.42578125" style="137" customWidth="1"/>
    <col min="14087" max="14087" width="6" style="137" customWidth="1"/>
    <col min="14088" max="14088" width="6.42578125" style="137" customWidth="1"/>
    <col min="14089" max="14089" width="7.7109375" style="137" customWidth="1"/>
    <col min="14090" max="14090" width="9.5703125" style="137" customWidth="1"/>
    <col min="14091" max="14097" width="6.42578125" style="137" customWidth="1"/>
    <col min="14098" max="14098" width="3.28515625" style="137" customWidth="1"/>
    <col min="14099" max="14099" width="5.28515625" style="137" customWidth="1"/>
    <col min="14100" max="14100" width="23.42578125" style="137" customWidth="1"/>
    <col min="14101" max="14117" width="8.28515625" style="137"/>
    <col min="14118" max="14119" width="16.28515625" style="137" customWidth="1"/>
    <col min="14120" max="14120" width="18.7109375" style="137" customWidth="1"/>
    <col min="14121" max="14326" width="8.28515625" style="137"/>
    <col min="14327" max="14327" width="1.28515625" style="137" customWidth="1"/>
    <col min="14328" max="14335" width="7.7109375" style="137" customWidth="1"/>
    <col min="14336" max="14336" width="6.42578125" style="137" customWidth="1"/>
    <col min="14337" max="14337" width="9.28515625" style="137" customWidth="1"/>
    <col min="14338" max="14338" width="15.42578125" style="137" customWidth="1"/>
    <col min="14339" max="14342" width="6.42578125" style="137" customWidth="1"/>
    <col min="14343" max="14343" width="6" style="137" customWidth="1"/>
    <col min="14344" max="14344" width="6.42578125" style="137" customWidth="1"/>
    <col min="14345" max="14345" width="7.7109375" style="137" customWidth="1"/>
    <col min="14346" max="14346" width="9.5703125" style="137" customWidth="1"/>
    <col min="14347" max="14353" width="6.42578125" style="137" customWidth="1"/>
    <col min="14354" max="14354" width="3.28515625" style="137" customWidth="1"/>
    <col min="14355" max="14355" width="5.28515625" style="137" customWidth="1"/>
    <col min="14356" max="14356" width="23.42578125" style="137" customWidth="1"/>
    <col min="14357" max="14373" width="8.28515625" style="137"/>
    <col min="14374" max="14375" width="16.28515625" style="137" customWidth="1"/>
    <col min="14376" max="14376" width="18.7109375" style="137" customWidth="1"/>
    <col min="14377" max="14582" width="8.28515625" style="137"/>
    <col min="14583" max="14583" width="1.28515625" style="137" customWidth="1"/>
    <col min="14584" max="14591" width="7.7109375" style="137" customWidth="1"/>
    <col min="14592" max="14592" width="6.42578125" style="137" customWidth="1"/>
    <col min="14593" max="14593" width="9.28515625" style="137" customWidth="1"/>
    <col min="14594" max="14594" width="15.42578125" style="137" customWidth="1"/>
    <col min="14595" max="14598" width="6.42578125" style="137" customWidth="1"/>
    <col min="14599" max="14599" width="6" style="137" customWidth="1"/>
    <col min="14600" max="14600" width="6.42578125" style="137" customWidth="1"/>
    <col min="14601" max="14601" width="7.7109375" style="137" customWidth="1"/>
    <col min="14602" max="14602" width="9.5703125" style="137" customWidth="1"/>
    <col min="14603" max="14609" width="6.42578125" style="137" customWidth="1"/>
    <col min="14610" max="14610" width="3.28515625" style="137" customWidth="1"/>
    <col min="14611" max="14611" width="5.28515625" style="137" customWidth="1"/>
    <col min="14612" max="14612" width="23.42578125" style="137" customWidth="1"/>
    <col min="14613" max="14629" width="8.28515625" style="137"/>
    <col min="14630" max="14631" width="16.28515625" style="137" customWidth="1"/>
    <col min="14632" max="14632" width="18.7109375" style="137" customWidth="1"/>
    <col min="14633" max="14838" width="8.28515625" style="137"/>
    <col min="14839" max="14839" width="1.28515625" style="137" customWidth="1"/>
    <col min="14840" max="14847" width="7.7109375" style="137" customWidth="1"/>
    <col min="14848" max="14848" width="6.42578125" style="137" customWidth="1"/>
    <col min="14849" max="14849" width="9.28515625" style="137" customWidth="1"/>
    <col min="14850" max="14850" width="15.42578125" style="137" customWidth="1"/>
    <col min="14851" max="14854" width="6.42578125" style="137" customWidth="1"/>
    <col min="14855" max="14855" width="6" style="137" customWidth="1"/>
    <col min="14856" max="14856" width="6.42578125" style="137" customWidth="1"/>
    <col min="14857" max="14857" width="7.7109375" style="137" customWidth="1"/>
    <col min="14858" max="14858" width="9.5703125" style="137" customWidth="1"/>
    <col min="14859" max="14865" width="6.42578125" style="137" customWidth="1"/>
    <col min="14866" max="14866" width="3.28515625" style="137" customWidth="1"/>
    <col min="14867" max="14867" width="5.28515625" style="137" customWidth="1"/>
    <col min="14868" max="14868" width="23.42578125" style="137" customWidth="1"/>
    <col min="14869" max="14885" width="8.28515625" style="137"/>
    <col min="14886" max="14887" width="16.28515625" style="137" customWidth="1"/>
    <col min="14888" max="14888" width="18.7109375" style="137" customWidth="1"/>
    <col min="14889" max="15094" width="8.28515625" style="137"/>
    <col min="15095" max="15095" width="1.28515625" style="137" customWidth="1"/>
    <col min="15096" max="15103" width="7.7109375" style="137" customWidth="1"/>
    <col min="15104" max="15104" width="6.42578125" style="137" customWidth="1"/>
    <col min="15105" max="15105" width="9.28515625" style="137" customWidth="1"/>
    <col min="15106" max="15106" width="15.42578125" style="137" customWidth="1"/>
    <col min="15107" max="15110" width="6.42578125" style="137" customWidth="1"/>
    <col min="15111" max="15111" width="6" style="137" customWidth="1"/>
    <col min="15112" max="15112" width="6.42578125" style="137" customWidth="1"/>
    <col min="15113" max="15113" width="7.7109375" style="137" customWidth="1"/>
    <col min="15114" max="15114" width="9.5703125" style="137" customWidth="1"/>
    <col min="15115" max="15121" width="6.42578125" style="137" customWidth="1"/>
    <col min="15122" max="15122" width="3.28515625" style="137" customWidth="1"/>
    <col min="15123" max="15123" width="5.28515625" style="137" customWidth="1"/>
    <col min="15124" max="15124" width="23.42578125" style="137" customWidth="1"/>
    <col min="15125" max="15141" width="8.28515625" style="137"/>
    <col min="15142" max="15143" width="16.28515625" style="137" customWidth="1"/>
    <col min="15144" max="15144" width="18.7109375" style="137" customWidth="1"/>
    <col min="15145" max="15350" width="8.28515625" style="137"/>
    <col min="15351" max="15351" width="1.28515625" style="137" customWidth="1"/>
    <col min="15352" max="15359" width="7.7109375" style="137" customWidth="1"/>
    <col min="15360" max="15360" width="6.42578125" style="137" customWidth="1"/>
    <col min="15361" max="15361" width="9.28515625" style="137" customWidth="1"/>
    <col min="15362" max="15362" width="15.42578125" style="137" customWidth="1"/>
    <col min="15363" max="15366" width="6.42578125" style="137" customWidth="1"/>
    <col min="15367" max="15367" width="6" style="137" customWidth="1"/>
    <col min="15368" max="15368" width="6.42578125" style="137" customWidth="1"/>
    <col min="15369" max="15369" width="7.7109375" style="137" customWidth="1"/>
    <col min="15370" max="15370" width="9.5703125" style="137" customWidth="1"/>
    <col min="15371" max="15377" width="6.42578125" style="137" customWidth="1"/>
    <col min="15378" max="15378" width="3.28515625" style="137" customWidth="1"/>
    <col min="15379" max="15379" width="5.28515625" style="137" customWidth="1"/>
    <col min="15380" max="15380" width="23.42578125" style="137" customWidth="1"/>
    <col min="15381" max="15397" width="8.28515625" style="137"/>
    <col min="15398" max="15399" width="16.28515625" style="137" customWidth="1"/>
    <col min="15400" max="15400" width="18.7109375" style="137" customWidth="1"/>
    <col min="15401" max="15606" width="8.28515625" style="137"/>
    <col min="15607" max="15607" width="1.28515625" style="137" customWidth="1"/>
    <col min="15608" max="15615" width="7.7109375" style="137" customWidth="1"/>
    <col min="15616" max="15616" width="6.42578125" style="137" customWidth="1"/>
    <col min="15617" max="15617" width="9.28515625" style="137" customWidth="1"/>
    <col min="15618" max="15618" width="15.42578125" style="137" customWidth="1"/>
    <col min="15619" max="15622" width="6.42578125" style="137" customWidth="1"/>
    <col min="15623" max="15623" width="6" style="137" customWidth="1"/>
    <col min="15624" max="15624" width="6.42578125" style="137" customWidth="1"/>
    <col min="15625" max="15625" width="7.7109375" style="137" customWidth="1"/>
    <col min="15626" max="15626" width="9.5703125" style="137" customWidth="1"/>
    <col min="15627" max="15633" width="6.42578125" style="137" customWidth="1"/>
    <col min="15634" max="15634" width="3.28515625" style="137" customWidth="1"/>
    <col min="15635" max="15635" width="5.28515625" style="137" customWidth="1"/>
    <col min="15636" max="15636" width="23.42578125" style="137" customWidth="1"/>
    <col min="15637" max="15653" width="8.28515625" style="137"/>
    <col min="15654" max="15655" width="16.28515625" style="137" customWidth="1"/>
    <col min="15656" max="15656" width="18.7109375" style="137" customWidth="1"/>
    <col min="15657" max="15862" width="8.28515625" style="137"/>
    <col min="15863" max="15863" width="1.28515625" style="137" customWidth="1"/>
    <col min="15864" max="15871" width="7.7109375" style="137" customWidth="1"/>
    <col min="15872" max="15872" width="6.42578125" style="137" customWidth="1"/>
    <col min="15873" max="15873" width="9.28515625" style="137" customWidth="1"/>
    <col min="15874" max="15874" width="15.42578125" style="137" customWidth="1"/>
    <col min="15875" max="15878" width="6.42578125" style="137" customWidth="1"/>
    <col min="15879" max="15879" width="6" style="137" customWidth="1"/>
    <col min="15880" max="15880" width="6.42578125" style="137" customWidth="1"/>
    <col min="15881" max="15881" width="7.7109375" style="137" customWidth="1"/>
    <col min="15882" max="15882" width="9.5703125" style="137" customWidth="1"/>
    <col min="15883" max="15889" width="6.42578125" style="137" customWidth="1"/>
    <col min="15890" max="15890" width="3.28515625" style="137" customWidth="1"/>
    <col min="15891" max="15891" width="5.28515625" style="137" customWidth="1"/>
    <col min="15892" max="15892" width="23.42578125" style="137" customWidth="1"/>
    <col min="15893" max="15909" width="8.28515625" style="137"/>
    <col min="15910" max="15911" width="16.28515625" style="137" customWidth="1"/>
    <col min="15912" max="15912" width="18.7109375" style="137" customWidth="1"/>
    <col min="15913" max="16118" width="8.28515625" style="137"/>
    <col min="16119" max="16119" width="1.28515625" style="137" customWidth="1"/>
    <col min="16120" max="16127" width="7.7109375" style="137" customWidth="1"/>
    <col min="16128" max="16128" width="6.42578125" style="137" customWidth="1"/>
    <col min="16129" max="16129" width="9.28515625" style="137" customWidth="1"/>
    <col min="16130" max="16130" width="15.42578125" style="137" customWidth="1"/>
    <col min="16131" max="16134" width="6.42578125" style="137" customWidth="1"/>
    <col min="16135" max="16135" width="6" style="137" customWidth="1"/>
    <col min="16136" max="16136" width="6.42578125" style="137" customWidth="1"/>
    <col min="16137" max="16137" width="7.7109375" style="137" customWidth="1"/>
    <col min="16138" max="16138" width="9.5703125" style="137" customWidth="1"/>
    <col min="16139" max="16145" width="6.42578125" style="137" customWidth="1"/>
    <col min="16146" max="16146" width="3.28515625" style="137" customWidth="1"/>
    <col min="16147" max="16147" width="5.28515625" style="137" customWidth="1"/>
    <col min="16148" max="16148" width="23.42578125" style="137" customWidth="1"/>
    <col min="16149" max="16165" width="8.28515625" style="137"/>
    <col min="16166" max="16167" width="16.28515625" style="137" customWidth="1"/>
    <col min="16168" max="16168" width="18.7109375" style="137" customWidth="1"/>
    <col min="16169" max="16384" width="8.28515625" style="137"/>
  </cols>
  <sheetData>
    <row r="1" spans="2:47" ht="4.5" customHeight="1" thickBot="1" x14ac:dyDescent="0.25">
      <c r="L1" s="137"/>
      <c r="AQ1" s="1121"/>
      <c r="AR1" s="1121"/>
      <c r="AS1" s="1121"/>
      <c r="AT1" s="1121"/>
    </row>
    <row r="2" spans="2:47" s="108" customFormat="1" ht="19.5" customHeight="1" thickBot="1" x14ac:dyDescent="0.25">
      <c r="B2" s="1048" t="s">
        <v>3</v>
      </c>
      <c r="C2" s="1048"/>
      <c r="D2" s="1048"/>
      <c r="E2" s="884"/>
      <c r="F2" s="884"/>
      <c r="G2" s="884"/>
      <c r="H2" s="884"/>
      <c r="I2" s="884"/>
      <c r="J2" s="884"/>
      <c r="K2" s="884"/>
      <c r="L2" s="884"/>
      <c r="S2" s="117">
        <v>3</v>
      </c>
      <c r="AN2" s="729" t="str">
        <f>ListAVS!$B$153</f>
        <v>Przejdź do</v>
      </c>
    </row>
    <row r="3" spans="2:47" ht="3.75" customHeight="1" x14ac:dyDescent="0.2">
      <c r="B3" s="125"/>
      <c r="C3" s="126"/>
      <c r="D3" s="126"/>
      <c r="E3" s="126"/>
      <c r="F3" s="126"/>
      <c r="G3" s="126"/>
      <c r="H3" s="126"/>
      <c r="I3" s="126"/>
      <c r="J3" s="126"/>
      <c r="K3" s="126"/>
      <c r="L3" s="137"/>
      <c r="X3" s="137"/>
      <c r="Y3" s="137"/>
      <c r="Z3" s="137"/>
      <c r="AA3" s="137"/>
      <c r="AB3" s="137"/>
      <c r="AC3" s="137"/>
      <c r="AD3" s="137"/>
      <c r="AE3" s="137"/>
      <c r="AF3" s="137"/>
      <c r="AG3" s="137"/>
      <c r="AH3" s="137"/>
      <c r="AI3" s="137"/>
      <c r="AJ3" s="137"/>
      <c r="AK3" s="137"/>
      <c r="AL3" s="137"/>
      <c r="AN3" s="722"/>
    </row>
    <row r="4" spans="2:47" ht="16.149999999999999" customHeight="1" thickBot="1" x14ac:dyDescent="0.25">
      <c r="B4" s="313" t="str">
        <f>ListAVS!$B$23&amp;" ****"</f>
        <v>Cienkie materiały ****</v>
      </c>
      <c r="C4" s="192"/>
      <c r="D4" s="266"/>
      <c r="E4" s="192"/>
      <c r="F4" s="269" t="str">
        <f>ListAVS!$B$26&amp;":  "</f>
        <v xml:space="preserve">Materiał :  </v>
      </c>
      <c r="G4" s="255"/>
      <c r="H4" s="255"/>
      <c r="I4" s="255"/>
      <c r="J4" s="260"/>
      <c r="K4" s="1047" t="str">
        <f>IF($Z$71=8,IF(J4=0,$Y$67," "),IF(J4&gt;0,$Y$68," "))</f>
        <v xml:space="preserve"> </v>
      </c>
      <c r="L4" s="1047"/>
      <c r="S4" s="37" t="str">
        <f>" "&amp;ListAVS!$B$41&amp;" A "</f>
        <v xml:space="preserve"> Cena za korpus A </v>
      </c>
      <c r="X4" s="137"/>
      <c r="Y4" s="137"/>
      <c r="Z4" s="137"/>
      <c r="AA4" s="137"/>
      <c r="AB4" s="137"/>
      <c r="AC4" s="137"/>
      <c r="AD4" s="137"/>
      <c r="AE4" s="137"/>
      <c r="AF4" s="137"/>
      <c r="AG4" s="137"/>
      <c r="AH4" s="137"/>
      <c r="AI4" s="137"/>
      <c r="AJ4" s="137"/>
      <c r="AK4" s="137"/>
      <c r="AL4" s="137"/>
      <c r="AN4" s="383" t="s">
        <v>77</v>
      </c>
    </row>
    <row r="5" spans="2:47" ht="16.149999999999999" customHeight="1" x14ac:dyDescent="0.2">
      <c r="B5" s="266"/>
      <c r="C5" s="192"/>
      <c r="D5" s="192"/>
      <c r="E5" s="192"/>
      <c r="F5" s="1027" t="str">
        <f>IF($Z$72&lt;&gt;8,$Y$66," ")&amp;"      "</f>
        <v xml:space="preserve"> Możesz zmienić wartości we Wstępie do planowania      </v>
      </c>
      <c r="G5" s="1027"/>
      <c r="H5" s="1027"/>
      <c r="I5" s="1027"/>
      <c r="J5" s="1027"/>
      <c r="K5" s="1047"/>
      <c r="L5" s="1047"/>
      <c r="S5" s="37" t="str">
        <f>" "&amp;ListAVS!$B$41&amp;" B "</f>
        <v xml:space="preserve"> Cena za korpus B </v>
      </c>
      <c r="X5" s="137"/>
      <c r="Y5" s="137"/>
      <c r="Z5" s="137"/>
      <c r="AA5" s="137"/>
      <c r="AB5" s="137"/>
      <c r="AC5" s="137"/>
      <c r="AD5" s="137"/>
      <c r="AE5" s="137"/>
      <c r="AF5" s="137"/>
      <c r="AG5" s="137"/>
      <c r="AH5" s="137"/>
      <c r="AI5" s="137"/>
      <c r="AJ5" s="137"/>
      <c r="AK5" s="137"/>
      <c r="AL5" s="137"/>
      <c r="AN5" s="634" t="str">
        <f>" "&amp;ListAVS!$B$155</f>
        <v xml:space="preserve"> Pomoc</v>
      </c>
    </row>
    <row r="6" spans="2:47" ht="22.5" customHeight="1" x14ac:dyDescent="0.2">
      <c r="B6" s="192"/>
      <c r="C6" s="192"/>
      <c r="D6" s="192"/>
      <c r="E6" s="192"/>
      <c r="F6" s="404"/>
      <c r="G6" s="404"/>
      <c r="H6" s="404"/>
      <c r="I6" s="192"/>
      <c r="J6" s="192"/>
      <c r="K6" s="192"/>
      <c r="L6" s="266"/>
      <c r="S6" s="37" t="str">
        <f>" "&amp;ListAVS!$B$61</f>
        <v xml:space="preserve"> Cena całkowita bez VAT</v>
      </c>
      <c r="X6" s="137"/>
      <c r="Y6" s="137"/>
      <c r="Z6" s="137"/>
      <c r="AA6" s="137"/>
      <c r="AB6" s="137"/>
      <c r="AC6" s="137"/>
      <c r="AD6" s="137"/>
      <c r="AE6" s="137"/>
      <c r="AF6" s="137"/>
      <c r="AG6" s="137"/>
      <c r="AH6" s="137"/>
      <c r="AI6" s="137"/>
      <c r="AJ6" s="137"/>
      <c r="AK6" s="137"/>
      <c r="AL6" s="137"/>
      <c r="AN6" s="730"/>
    </row>
    <row r="7" spans="2:47" ht="16.149999999999999" customHeight="1" x14ac:dyDescent="0.2">
      <c r="B7" s="1059" t="str">
        <f>ListAVS!$B$51&amp;":   "</f>
        <v xml:space="preserve">Cena okucia:   </v>
      </c>
      <c r="C7" s="1060"/>
      <c r="D7" s="227"/>
      <c r="E7" s="404"/>
      <c r="F7" s="404"/>
      <c r="G7" s="1061">
        <f>IF(S2=1,$AF$48,IF($S$2=2,$AH$48,IF($S$2=3,$AD$48,0)))</f>
        <v>0</v>
      </c>
      <c r="H7" s="1062"/>
      <c r="I7" s="227"/>
      <c r="J7" s="255"/>
      <c r="K7" s="255"/>
      <c r="L7" s="255"/>
      <c r="Y7" s="156" t="str">
        <f>$B$2</f>
        <v>AVENTOS HK top</v>
      </c>
      <c r="Z7" s="157">
        <f>B5</f>
        <v>0</v>
      </c>
      <c r="AA7" s="157"/>
      <c r="AB7" s="157"/>
      <c r="AC7" s="157"/>
      <c r="AD7" s="158"/>
      <c r="AE7" s="37"/>
      <c r="AF7" s="37"/>
      <c r="AG7" s="118"/>
      <c r="AH7" s="37"/>
      <c r="AN7" s="675" t="str">
        <f>" "&amp;ListAVS!$B$160</f>
        <v xml:space="preserve"> Dodatki</v>
      </c>
    </row>
    <row r="8" spans="2:47" ht="25.15" customHeight="1" thickBot="1" x14ac:dyDescent="0.25">
      <c r="B8" s="227"/>
      <c r="C8" s="227"/>
      <c r="D8" s="227"/>
      <c r="E8" s="227"/>
      <c r="F8" s="227"/>
      <c r="G8" s="227"/>
      <c r="H8" s="579" t="str">
        <f>IF(AND(OR($U$16=2, $U$27=2), $AD$48&gt;0), $N$34, " ")</f>
        <v xml:space="preserve"> </v>
      </c>
      <c r="I8" s="227"/>
      <c r="J8" s="255"/>
      <c r="K8" s="255"/>
      <c r="L8" s="255"/>
      <c r="Y8" s="159" t="str">
        <f>ListAVS!B52</f>
        <v>Nazwa</v>
      </c>
      <c r="Z8" s="160" t="str">
        <f>ListAVS!$B$53</f>
        <v>Kod asortymentu</v>
      </c>
      <c r="AA8" s="161" t="str">
        <f>ListAVS!B54</f>
        <v>Kolor</v>
      </c>
      <c r="AB8" s="161" t="str">
        <f>ListAVS!B56</f>
        <v>Sztuka</v>
      </c>
      <c r="AC8" s="162" t="str">
        <f>ListAVS!B58</f>
        <v>Cena za sztukę</v>
      </c>
      <c r="AD8" s="161" t="str">
        <f>ListAVS!B59</f>
        <v>W sumie</v>
      </c>
      <c r="AE8" s="204" t="s">
        <v>29</v>
      </c>
      <c r="AF8" s="163" t="s">
        <v>30</v>
      </c>
      <c r="AG8" s="163" t="s">
        <v>31</v>
      </c>
      <c r="AH8" s="163" t="s">
        <v>30</v>
      </c>
      <c r="AN8" s="671"/>
      <c r="AQ8" s="950" t="str">
        <f>"  "&amp;ListAVS!$B$86&amp;" LF "</f>
        <v xml:space="preserve">  Współczynnik mocy LF </v>
      </c>
      <c r="AR8" s="953" t="str">
        <f>ListAVS!$B$84&amp;" "&amp;ListAVS!$B$350</f>
        <v>Mechanizm podnoszący wkręty</v>
      </c>
      <c r="AS8" s="953" t="str">
        <f>ListAVS!$B$84&amp;" "&amp;ListAVS!$B$351</f>
        <v>Mechanizm podnoszący wstępnie zamontowane eurowkręty</v>
      </c>
      <c r="AT8" s="266"/>
      <c r="AU8" s="266"/>
    </row>
    <row r="9" spans="2:47" ht="16.149999999999999" customHeight="1" thickBot="1" x14ac:dyDescent="0.25">
      <c r="B9" s="1051" t="str">
        <f>"▼ "&amp;ListAVS!$B$318</f>
        <v>▼ Sposób otwierania</v>
      </c>
      <c r="C9" s="1052"/>
      <c r="D9" s="406" t="str">
        <f>IF($M$17&gt;0, ListAVS!$B$37&amp;": ", " ")</f>
        <v xml:space="preserve"> </v>
      </c>
      <c r="E9" s="688" t="str">
        <f>IF(OR($AE$9&gt;0, $AE$13&gt;0), "23", IF(OR($AE$10&gt;0, $AE$14&gt;0), "25", IF(OR($AE$11&gt;0, $AE$15&gt;0), "27", IF(OR($AE$12&gt;0, $AE$16&gt;0), "29", IF(OR($AE$24&gt;0, $AE$28&gt;0), "23T", IF(OR($AE$25&gt;0, $AE$29&gt;0), "25T", IF(OR($AE$26&gt;0, $AE$30&gt;0), "27T", IF(OR($AE$27&gt;0, $AE$31&gt;0), "29T", " "))))))))</f>
        <v xml:space="preserve"> </v>
      </c>
      <c r="F9" s="1056" t="str">
        <f>ListAVS!$B$64&amp;" A"</f>
        <v>Korpus A</v>
      </c>
      <c r="G9" s="1057"/>
      <c r="H9" s="1058"/>
      <c r="I9" s="256"/>
      <c r="J9" s="255"/>
      <c r="K9" s="255"/>
      <c r="L9" s="255"/>
      <c r="N9" s="119"/>
      <c r="O9" s="132"/>
      <c r="P9" s="119"/>
      <c r="Q9" s="132"/>
      <c r="R9" s="1181" t="s">
        <v>89</v>
      </c>
      <c r="S9" s="1182"/>
      <c r="T9" s="739">
        <v>2000</v>
      </c>
      <c r="U9" s="740">
        <f>T9-1</f>
        <v>1999</v>
      </c>
      <c r="V9" s="1181" t="s">
        <v>90</v>
      </c>
      <c r="W9" s="1182"/>
      <c r="Y9" s="164" t="str">
        <f>CenAVS!A54</f>
        <v xml:space="preserve">Aventos HK top słaby       </v>
      </c>
      <c r="Z9" s="164" t="str">
        <f>CenAVS!B54</f>
        <v>22K2300</v>
      </c>
      <c r="AA9" s="301" t="str">
        <f>CenAVS!C54</f>
        <v>ZN</v>
      </c>
      <c r="AB9" s="165">
        <f>SUM(AE9,AG9)</f>
        <v>0</v>
      </c>
      <c r="AC9" s="395">
        <f>CenAVS!F54</f>
        <v>161.11304000000001</v>
      </c>
      <c r="AD9" s="167">
        <f>AB9*AC9</f>
        <v>0</v>
      </c>
      <c r="AE9" s="407">
        <f>IF(AND($U$16&lt;&gt;3,$N$44=1),ROUNDUP(SUM(O11:P11)*$M$17,0),0)</f>
        <v>0</v>
      </c>
      <c r="AF9" s="168">
        <f t="shared" ref="AF9:AF37" si="0">$AC9*AE9</f>
        <v>0</v>
      </c>
      <c r="AG9" s="407">
        <f>IF(AND($U$27&lt;&gt;3,$N$44=1),ROUNDUP(SUM(O22:P22)*$M$28,0),0)</f>
        <v>0</v>
      </c>
      <c r="AH9" s="168">
        <f t="shared" ref="AH9:AH29" si="1">$AC9*AG9</f>
        <v>0</v>
      </c>
      <c r="AN9" s="383" t="str">
        <f>" "&amp;ListAVS!$B$157</f>
        <v xml:space="preserve"> Rodzaje korpusów</v>
      </c>
      <c r="AQ9" s="949" t="s">
        <v>96</v>
      </c>
      <c r="AR9" s="753" t="s">
        <v>547</v>
      </c>
      <c r="AS9" s="753" t="s">
        <v>551</v>
      </c>
      <c r="AT9" s="255"/>
      <c r="AU9" s="255"/>
    </row>
    <row r="10" spans="2:47" s="37" customFormat="1" ht="16.149999999999999" customHeight="1" thickBot="1" x14ac:dyDescent="0.25">
      <c r="B10" s="1011" t="str">
        <f>ListAVS!$B$74&amp;" KB [mm] "</f>
        <v xml:space="preserve">Szerokość korpusu KB [mm] </v>
      </c>
      <c r="C10" s="1012"/>
      <c r="D10" s="1012"/>
      <c r="E10" s="1012"/>
      <c r="F10" s="1012"/>
      <c r="G10" s="1013"/>
      <c r="H10" s="435"/>
      <c r="I10" s="256" t="str">
        <f>IF($H10=0," ",IF($H10&lt;220," min. 220mm",IF($H10&gt;1800," max. 1 800mm"," ")))&amp;IF(H17&gt;0,IF(H10=0,"● "&amp;ListAVS!$B$129," ")," ")</f>
        <v xml:space="preserve">  </v>
      </c>
      <c r="J10" s="255"/>
      <c r="K10" s="255"/>
      <c r="L10" s="255"/>
      <c r="N10" s="198" t="s">
        <v>32</v>
      </c>
      <c r="O10" s="199" t="s">
        <v>91</v>
      </c>
      <c r="P10" s="200" t="s">
        <v>92</v>
      </c>
      <c r="Q10" s="119"/>
      <c r="R10" s="741" t="s">
        <v>93</v>
      </c>
      <c r="S10" s="741" t="s">
        <v>76</v>
      </c>
      <c r="T10" s="742" t="s">
        <v>94</v>
      </c>
      <c r="U10" s="742" t="s">
        <v>95</v>
      </c>
      <c r="V10" s="1189" t="b">
        <v>0</v>
      </c>
      <c r="W10" s="1190"/>
      <c r="X10" s="108"/>
      <c r="Y10" s="164" t="str">
        <f>CenAVS!A55</f>
        <v xml:space="preserve">Aventos HK top średni       </v>
      </c>
      <c r="Z10" s="164" t="str">
        <f>CenAVS!B55</f>
        <v>22K2500</v>
      </c>
      <c r="AA10" s="301" t="str">
        <f>CenAVS!C55</f>
        <v>ZN</v>
      </c>
      <c r="AB10" s="165">
        <f t="shared" ref="AB10:AB37" si="2">SUM(AE10,AG10)</f>
        <v>0</v>
      </c>
      <c r="AC10" s="395">
        <f>CenAVS!F55</f>
        <v>161.11304000000001</v>
      </c>
      <c r="AD10" s="167">
        <f t="shared" ref="AD10:AD44" si="3">AB10*AC10</f>
        <v>0</v>
      </c>
      <c r="AE10" s="407">
        <f>IF(AND($U$16&lt;&gt;3,$N$44=1),ROUNDUP(SUM(O12:P12)*$M$17,0),0)</f>
        <v>0</v>
      </c>
      <c r="AF10" s="168">
        <f t="shared" si="0"/>
        <v>0</v>
      </c>
      <c r="AG10" s="407">
        <f>IF(AND($U$27&lt;&gt;3,$N$44=1),ROUNDUP(SUM(O23:P23)*$M$28,0),0)</f>
        <v>0</v>
      </c>
      <c r="AH10" s="168">
        <f t="shared" si="1"/>
        <v>0</v>
      </c>
      <c r="AI10" s="108"/>
      <c r="AJ10" s="108"/>
      <c r="AK10" s="108"/>
      <c r="AL10" s="108"/>
      <c r="AM10" s="108"/>
      <c r="AN10" s="383" t="str">
        <f>" "&amp;ListAVS!$B$158</f>
        <v xml:space="preserve"> Zamówienie</v>
      </c>
      <c r="AO10" s="137"/>
      <c r="AP10" s="137"/>
      <c r="AQ10" s="949" t="s">
        <v>98</v>
      </c>
      <c r="AR10" s="753" t="s">
        <v>548</v>
      </c>
      <c r="AS10" s="753" t="s">
        <v>552</v>
      </c>
      <c r="AT10" s="255"/>
      <c r="AU10" s="255"/>
    </row>
    <row r="11" spans="2:47" s="37" customFormat="1" ht="16.149999999999999" customHeight="1" x14ac:dyDescent="0.2">
      <c r="B11" s="1011" t="str">
        <f>ListAVS!$B$75&amp;" KH [mm]  "</f>
        <v xml:space="preserve">Wysokość korpusu KH [mm]  </v>
      </c>
      <c r="C11" s="1012"/>
      <c r="D11" s="1012"/>
      <c r="E11" s="1012"/>
      <c r="F11" s="1012"/>
      <c r="G11" s="1013"/>
      <c r="H11" s="435"/>
      <c r="I11" s="256" t="str">
        <f>IF($H11=0," ",IF($H11&lt;205," min. 205 mm",IF($H11&gt;600," max. 600 mm"," ")))&amp;IF(H17&gt;0,IF(H11=0,"● "&amp;ListAVS!$B$129," ")," ")</f>
        <v xml:space="preserve">  </v>
      </c>
      <c r="J11" s="255"/>
      <c r="K11" s="255"/>
      <c r="L11" s="255"/>
      <c r="N11" s="119" t="s">
        <v>97</v>
      </c>
      <c r="O11" s="132">
        <f>IF($V$10=FALSE,IF($H$16&gt;R11,IF($H$16&lt;S11,1,0),0),0)</f>
        <v>0</v>
      </c>
      <c r="P11" s="132">
        <f>IF($V$10=TRUE,IF($H$16&gt;V11,IF($H$16&lt;W11,1.5,0),0),0)</f>
        <v>0</v>
      </c>
      <c r="Q11" s="119"/>
      <c r="R11" s="725">
        <v>479</v>
      </c>
      <c r="S11" s="725">
        <v>1000</v>
      </c>
      <c r="T11" s="744"/>
      <c r="U11" s="119"/>
      <c r="V11" s="725">
        <v>719</v>
      </c>
      <c r="W11" s="725">
        <v>1500</v>
      </c>
      <c r="X11" s="108"/>
      <c r="Y11" s="164" t="str">
        <f>CenAVS!A56</f>
        <v xml:space="preserve">Aventos HK top mocny       </v>
      </c>
      <c r="Z11" s="164" t="str">
        <f>CenAVS!B56</f>
        <v>22K2700</v>
      </c>
      <c r="AA11" s="301" t="str">
        <f>CenAVS!C56</f>
        <v>ZN</v>
      </c>
      <c r="AB11" s="165">
        <f t="shared" si="2"/>
        <v>0</v>
      </c>
      <c r="AC11" s="395">
        <f>CenAVS!F56</f>
        <v>161.90012999999999</v>
      </c>
      <c r="AD11" s="167">
        <f t="shared" si="3"/>
        <v>0</v>
      </c>
      <c r="AE11" s="407">
        <f>IF(AND($U$16&lt;&gt;3,$N$44=1),ROUNDUP(SUM(O13:P13)*$M$17,0),0)</f>
        <v>0</v>
      </c>
      <c r="AF11" s="168">
        <f t="shared" si="0"/>
        <v>0</v>
      </c>
      <c r="AG11" s="407">
        <f>IF(AND($U$27&lt;&gt;3,$N$44=1),ROUNDUP(SUM(O24:P24)*$M$28,0),0)</f>
        <v>0</v>
      </c>
      <c r="AH11" s="168">
        <f t="shared" si="1"/>
        <v>0</v>
      </c>
      <c r="AI11" s="108"/>
      <c r="AJ11" s="108"/>
      <c r="AK11" s="108"/>
      <c r="AL11" s="108"/>
      <c r="AM11" s="108"/>
      <c r="AN11" s="745"/>
      <c r="AO11" s="137"/>
      <c r="AP11" s="137"/>
      <c r="AQ11" s="949" t="s">
        <v>100</v>
      </c>
      <c r="AR11" s="753" t="s">
        <v>549</v>
      </c>
      <c r="AS11" s="753" t="s">
        <v>553</v>
      </c>
      <c r="AT11" s="255"/>
      <c r="AU11" s="255"/>
    </row>
    <row r="12" spans="2:47" s="37" customFormat="1" ht="16.149999999999999" customHeight="1" x14ac:dyDescent="0.2">
      <c r="B12" s="1011" t="str">
        <f>ListAVS!$B$78&amp;" [kg] ** "</f>
        <v xml:space="preserve">Waga frontu wraz z 2 uchwytami [kg] ** </v>
      </c>
      <c r="C12" s="1012"/>
      <c r="D12" s="1012"/>
      <c r="E12" s="1012"/>
      <c r="F12" s="1012"/>
      <c r="G12" s="1013"/>
      <c r="H12" s="258"/>
      <c r="I12" s="227" t="str">
        <f>IF($H17=0," ",IF(SUM($H12,$H15)=0,$N$36," "))&amp;IF(AND($H17&gt;0,M17&gt;0), IF($H12&gt;0,$N$37," ")," ")</f>
        <v xml:space="preserve">  </v>
      </c>
      <c r="J12" s="255"/>
      <c r="K12" s="255"/>
      <c r="L12" s="255"/>
      <c r="N12" s="119" t="s">
        <v>99</v>
      </c>
      <c r="O12" s="132">
        <f>IF($V$10=FALSE,IF($H$16&gt;R12,IF($H$16&lt;S12,1,0),0),0)</f>
        <v>0</v>
      </c>
      <c r="P12" s="132">
        <f>IF($V$10=TRUE,IF($H$16&gt;V12,IF($H$16&lt;W12,1.5,0),0),0)</f>
        <v>0</v>
      </c>
      <c r="Q12" s="119"/>
      <c r="R12" s="725">
        <v>999.99990000000003</v>
      </c>
      <c r="S12" s="725">
        <v>2000</v>
      </c>
      <c r="T12" s="744"/>
      <c r="U12" s="130"/>
      <c r="V12" s="725">
        <v>1499.9999</v>
      </c>
      <c r="W12" s="725">
        <v>3000</v>
      </c>
      <c r="X12" s="108"/>
      <c r="Y12" s="164" t="str">
        <f>CenAVS!A57</f>
        <v xml:space="preserve">Aventos HK top najmocnieszy       </v>
      </c>
      <c r="Z12" s="164" t="str">
        <f>CenAVS!B57</f>
        <v>22K2900</v>
      </c>
      <c r="AA12" s="301" t="str">
        <f>CenAVS!C57</f>
        <v>ZN</v>
      </c>
      <c r="AB12" s="165">
        <f t="shared" si="2"/>
        <v>0</v>
      </c>
      <c r="AC12" s="395">
        <f>CenAVS!F57</f>
        <v>189.43150000000003</v>
      </c>
      <c r="AD12" s="167">
        <f t="shared" si="3"/>
        <v>0</v>
      </c>
      <c r="AE12" s="407">
        <f>IF(AND($U$16&lt;&gt;3,$N$44=1),ROUNDUP(SUM(O14:P14)*$M$17,0),0)</f>
        <v>0</v>
      </c>
      <c r="AF12" s="168">
        <f t="shared" si="0"/>
        <v>0</v>
      </c>
      <c r="AG12" s="407">
        <f>IF(AND($U$27&lt;&gt;3,$N$44=1),ROUNDUP(SUM(O25:P25)*$M$28,0),0)</f>
        <v>0</v>
      </c>
      <c r="AH12" s="168">
        <f t="shared" si="1"/>
        <v>0</v>
      </c>
      <c r="AI12" s="108"/>
      <c r="AJ12" s="108"/>
      <c r="AK12" s="108"/>
      <c r="AL12" s="108"/>
      <c r="AM12" s="108"/>
      <c r="AN12" s="720"/>
      <c r="AO12" s="137"/>
      <c r="AP12" s="137"/>
      <c r="AQ12" s="949" t="s">
        <v>102</v>
      </c>
      <c r="AR12" s="753" t="s">
        <v>550</v>
      </c>
      <c r="AS12" s="753" t="s">
        <v>554</v>
      </c>
      <c r="AT12" s="255"/>
      <c r="AU12" s="255"/>
    </row>
    <row r="13" spans="2:47" s="37" customFormat="1" ht="16.149999999999999" customHeight="1" x14ac:dyDescent="0.2">
      <c r="B13" s="1055" t="str">
        <f>ListAVS!$B$293</f>
        <v>Obliczenie wagi</v>
      </c>
      <c r="C13" s="1055"/>
      <c r="D13" s="1053" t="str">
        <f>ListAVS!$B$80&amp;" TS [mm] "</f>
        <v xml:space="preserve">Grubość frontu TS [mm] </v>
      </c>
      <c r="E13" s="1053"/>
      <c r="F13" s="1053"/>
      <c r="G13" s="1054"/>
      <c r="H13" s="258"/>
      <c r="I13" s="256" t="str">
        <f>IF(H17=0," ",IF(AND(H12=0, H13=0)," ● "&amp;ListAVS!$B$129&amp;","," "))&amp;IF(H17=0," ",IF(AND(H12=0, H13&lt;8), " min. 8 mm", IF($H13&gt;14, " max. 14 mm", " ")))</f>
        <v xml:space="preserve">  </v>
      </c>
      <c r="J13" s="255"/>
      <c r="K13" s="255"/>
      <c r="L13" s="255"/>
      <c r="N13" s="119" t="s">
        <v>101</v>
      </c>
      <c r="O13" s="132">
        <f>IF($V$10=FALSE,IF($H$16&gt;R13,IF($H$16&lt;S13,1,0),0),0)</f>
        <v>0</v>
      </c>
      <c r="P13" s="132">
        <f>IF($V$10=TRUE,IF($H$16&gt;V13,IF($H$16&lt;W13,1.5,0),0),0)</f>
        <v>0</v>
      </c>
      <c r="Q13" s="119"/>
      <c r="R13" s="725">
        <v>1999.9999989999999</v>
      </c>
      <c r="S13" s="725">
        <v>4000</v>
      </c>
      <c r="V13" s="725">
        <v>2999.9998999999998</v>
      </c>
      <c r="W13" s="725">
        <v>6000</v>
      </c>
      <c r="X13" s="108"/>
      <c r="Y13" s="164" t="str">
        <f>CenAVS!A58</f>
        <v xml:space="preserve">Aventos HK top słaby z eurowkrętami     </v>
      </c>
      <c r="Z13" s="164" t="str">
        <f>CenAVS!B58</f>
        <v>22K2310</v>
      </c>
      <c r="AA13" s="301" t="str">
        <f>CenAVS!C58</f>
        <v>ZN</v>
      </c>
      <c r="AB13" s="165">
        <f t="shared" si="2"/>
        <v>0</v>
      </c>
      <c r="AC13" s="395">
        <f>CenAVS!F58</f>
        <v>176.89797999999999</v>
      </c>
      <c r="AD13" s="167">
        <f t="shared" si="3"/>
        <v>0</v>
      </c>
      <c r="AE13" s="407">
        <f>IF(AND($U$16&lt;&gt;3,$N$44=2),ROUNDUP(SUM(O11:P11)*$M$17,0),0)</f>
        <v>0</v>
      </c>
      <c r="AF13" s="168">
        <f t="shared" si="0"/>
        <v>0</v>
      </c>
      <c r="AG13" s="407">
        <f>IF(AND($U$27&lt;&gt;3,$N$44=2),ROUNDUP(SUM(O22:P22)*$M$28,0),0)</f>
        <v>0</v>
      </c>
      <c r="AH13" s="168">
        <f t="shared" si="1"/>
        <v>0</v>
      </c>
      <c r="AI13" s="108"/>
      <c r="AJ13" s="108"/>
      <c r="AK13" s="108"/>
      <c r="AL13" s="108"/>
      <c r="AM13" s="108"/>
      <c r="AN13" s="719"/>
      <c r="AO13" s="137"/>
      <c r="AP13" s="137"/>
      <c r="AQ13" s="255"/>
      <c r="AR13" s="255"/>
      <c r="AS13" s="255"/>
      <c r="AT13" s="255"/>
      <c r="AU13" s="255"/>
    </row>
    <row r="14" spans="2:47" s="37" customFormat="1" ht="16.149999999999999" customHeight="1" x14ac:dyDescent="0.2">
      <c r="B14" s="1055"/>
      <c r="C14" s="1055"/>
      <c r="D14" s="1053" t="str">
        <f>ListAVS!$B$83&amp;" [kg] "</f>
        <v xml:space="preserve">Waga uchwytu [kg] </v>
      </c>
      <c r="E14" s="1053"/>
      <c r="F14" s="1053"/>
      <c r="G14" s="1054"/>
      <c r="H14" s="258"/>
      <c r="I14" s="256" t="str">
        <f>IF(H17=0, " ", IF(AND(H12=0, U16=1, H14=0), " ● "&amp;ListAVS!$B$130," "))</f>
        <v xml:space="preserve"> </v>
      </c>
      <c r="J14" s="255"/>
      <c r="K14" s="255"/>
      <c r="L14" s="255"/>
      <c r="N14" s="119" t="s">
        <v>103</v>
      </c>
      <c r="O14" s="132">
        <f>IF($V$10=FALSE,IF($H$16&gt;R14,IF($H$16&lt;S14,1,0),0),0)</f>
        <v>0</v>
      </c>
      <c r="P14" s="132">
        <f>IF($V$10=TRUE,IF($H$16&gt;V14,IF($H$16&lt;W14,1.5,0),0),0)</f>
        <v>0</v>
      </c>
      <c r="Q14" s="119"/>
      <c r="R14" s="725">
        <v>3999.9999999000001</v>
      </c>
      <c r="S14" s="725">
        <v>9001</v>
      </c>
      <c r="V14" s="725">
        <v>5999.9998999999998</v>
      </c>
      <c r="W14" s="725">
        <v>13501</v>
      </c>
      <c r="X14" s="108"/>
      <c r="Y14" s="164" t="str">
        <f>CenAVS!A59</f>
        <v xml:space="preserve">Aventos HK top średni z eurowkrętami     </v>
      </c>
      <c r="Z14" s="164" t="str">
        <f>CenAVS!B59</f>
        <v>22K2510</v>
      </c>
      <c r="AA14" s="301" t="str">
        <f>CenAVS!C59</f>
        <v>ZN</v>
      </c>
      <c r="AB14" s="165">
        <f t="shared" si="2"/>
        <v>0</v>
      </c>
      <c r="AC14" s="395">
        <f>CenAVS!F59</f>
        <v>176.89797999999999</v>
      </c>
      <c r="AD14" s="167">
        <f t="shared" si="3"/>
        <v>0</v>
      </c>
      <c r="AE14" s="407">
        <f>IF(AND($U$16&lt;&gt;3,$N$44=2),ROUNDUP(SUM(O12:P12)*$M$17,0),0)</f>
        <v>0</v>
      </c>
      <c r="AF14" s="168">
        <f t="shared" si="0"/>
        <v>0</v>
      </c>
      <c r="AG14" s="407">
        <f>IF(AND($U$27&lt;&gt;3,$N$44=2),ROUNDUP(SUM(O23:P23)*$M$28,0),0)</f>
        <v>0</v>
      </c>
      <c r="AH14" s="168">
        <f t="shared" si="1"/>
        <v>0</v>
      </c>
      <c r="AI14" s="108"/>
      <c r="AJ14" s="108"/>
      <c r="AK14" s="108"/>
      <c r="AL14" s="108"/>
      <c r="AM14" s="108"/>
      <c r="AN14" s="255"/>
      <c r="AO14" s="137"/>
      <c r="AP14" s="137"/>
      <c r="AQ14" s="545" t="str">
        <f>ListAVS!$B$350&amp;" = "&amp;ListAVS!$B$352</f>
        <v>wkręty = podnośniki z zintegrowanym szablonem (nie ma potrzeby mierzenia)</v>
      </c>
    </row>
    <row r="15" spans="2:47" s="37" customFormat="1" ht="16.149999999999999" customHeight="1" x14ac:dyDescent="0.2">
      <c r="B15" s="1055"/>
      <c r="C15" s="1055"/>
      <c r="D15" s="1053" t="str">
        <f>ListAVS!$B$79&amp;" [kg] "</f>
        <v xml:space="preserve">Obliczona waga frontu [kg] </v>
      </c>
      <c r="E15" s="1053"/>
      <c r="F15" s="1053"/>
      <c r="G15" s="1054"/>
      <c r="H15" s="259">
        <f>$T$79</f>
        <v>0</v>
      </c>
      <c r="I15" s="227" t="str">
        <f>IF(AND($H17&gt;0,$H15&gt;0,$H12=0,$M17&gt;0), $N$37," ")&amp;IF(AND(H17&gt;0, H12=0, Z71=8, $J$4=0), $N$35, " ")</f>
        <v xml:space="preserve">  </v>
      </c>
      <c r="J15" s="255"/>
      <c r="K15" s="255"/>
      <c r="L15" s="255"/>
      <c r="U15" s="174" t="str">
        <f>IF(U16=1,$V$46,IF(U16=2,$V$47,$V$48))</f>
        <v>Standard</v>
      </c>
      <c r="X15" s="108"/>
      <c r="Y15" s="164" t="str">
        <f>CenAVS!A60</f>
        <v xml:space="preserve">Aventos HK top mocny z eurowkrętami     </v>
      </c>
      <c r="Z15" s="164" t="str">
        <f>CenAVS!B60</f>
        <v>22K2710</v>
      </c>
      <c r="AA15" s="301" t="str">
        <f>CenAVS!C60</f>
        <v>ZN</v>
      </c>
      <c r="AB15" s="165">
        <f t="shared" si="2"/>
        <v>0</v>
      </c>
      <c r="AC15" s="395">
        <f>CenAVS!F60</f>
        <v>177.76220000000001</v>
      </c>
      <c r="AD15" s="167">
        <f t="shared" si="3"/>
        <v>0</v>
      </c>
      <c r="AE15" s="407">
        <f>IF(AND($U$16&lt;&gt;3,$N$44=2),ROUNDUP(SUM(O13:P13)*$M$17,0),0)</f>
        <v>0</v>
      </c>
      <c r="AF15" s="168">
        <f t="shared" si="0"/>
        <v>0</v>
      </c>
      <c r="AG15" s="407">
        <f>IF(AND($U$27&lt;&gt;3,$N$44=2),ROUNDUP(SUM(O24:P24)*$M$28,0),0)</f>
        <v>0</v>
      </c>
      <c r="AH15" s="168">
        <f t="shared" si="1"/>
        <v>0</v>
      </c>
      <c r="AI15" s="108"/>
      <c r="AJ15" s="108"/>
      <c r="AK15" s="108"/>
      <c r="AL15" s="108"/>
      <c r="AM15" s="108"/>
      <c r="AN15" s="255"/>
      <c r="AO15" s="137"/>
      <c r="AP15" s="137"/>
      <c r="AQ15" s="545" t="str">
        <f>ListAVS!$B$351&amp;" = "&amp;ListAVS!$B$353</f>
        <v>wstępnie zamontowane eurowkręty = podnośniki ze wstępnie zamontowanymi wkrętami (wymagane wstępne nawiercenie)</v>
      </c>
    </row>
    <row r="16" spans="2:47" s="37" customFormat="1" ht="16.149999999999999" customHeight="1" thickBot="1" x14ac:dyDescent="0.25">
      <c r="B16" s="1011" t="str">
        <f>ListAVS!$B$87&amp;" *      "</f>
        <v xml:space="preserve">Trzeci podnośnik *      </v>
      </c>
      <c r="C16" s="1012"/>
      <c r="D16" s="1011" t="str">
        <f>ListAVS!$B$86&amp;" LF "</f>
        <v xml:space="preserve">Współczynnik mocy LF </v>
      </c>
      <c r="E16" s="1012"/>
      <c r="F16" s="1012"/>
      <c r="G16" s="1013"/>
      <c r="H16" s="400">
        <f>IF(H12&gt;0,H11*H12,H11*H15)</f>
        <v>0</v>
      </c>
      <c r="I16" s="256" t="str">
        <f>IF(H17=0," ",IF($H16&lt;420,$N$39,IF($H16&gt;13500,$N$40,IF($H16&gt;9000,IF(V10=FALSE,$N$41," ")," "))))</f>
        <v xml:space="preserve"> </v>
      </c>
      <c r="J16" s="255"/>
      <c r="K16" s="255"/>
      <c r="L16" s="439"/>
      <c r="M16" s="118"/>
      <c r="N16" s="119"/>
      <c r="O16" s="132"/>
      <c r="P16" s="132"/>
      <c r="Q16" s="119"/>
      <c r="R16" s="725"/>
      <c r="S16" s="725"/>
      <c r="T16" s="202"/>
      <c r="U16" s="131">
        <v>1</v>
      </c>
      <c r="V16" s="725"/>
      <c r="W16" s="725"/>
      <c r="X16" s="108"/>
      <c r="Y16" s="164" t="str">
        <f>CenAVS!A61</f>
        <v xml:space="preserve">Aventos HK top najmocniejszy z eurowkrętami     </v>
      </c>
      <c r="Z16" s="164" t="str">
        <f>CenAVS!B61</f>
        <v>22K2910</v>
      </c>
      <c r="AA16" s="301" t="str">
        <f>CenAVS!C61</f>
        <v>ZN</v>
      </c>
      <c r="AB16" s="165">
        <f t="shared" si="2"/>
        <v>0</v>
      </c>
      <c r="AC16" s="395">
        <f>CenAVS!F61</f>
        <v>207.99098000000001</v>
      </c>
      <c r="AD16" s="167">
        <f t="shared" si="3"/>
        <v>0</v>
      </c>
      <c r="AE16" s="407">
        <f>IF(AND($U$16&lt;&gt;3,$N$44=2),ROUNDUP(SUM(O14:P14)*$M$17,0),0)</f>
        <v>0</v>
      </c>
      <c r="AF16" s="168">
        <f t="shared" si="0"/>
        <v>0</v>
      </c>
      <c r="AG16" s="407">
        <f>IF(AND($U$27&lt;&gt;3,$N$44=2),ROUNDUP(SUM(O25:P25)*$M$28,0),0)</f>
        <v>0</v>
      </c>
      <c r="AH16" s="168">
        <f t="shared" si="1"/>
        <v>0</v>
      </c>
      <c r="AI16" s="108"/>
      <c r="AJ16" s="108"/>
      <c r="AK16" s="108"/>
      <c r="AL16" s="108"/>
      <c r="AM16" s="108"/>
      <c r="AN16" s="255"/>
      <c r="AO16" s="137"/>
      <c r="AP16" s="137"/>
    </row>
    <row r="17" spans="1:47" s="37" customFormat="1" ht="16.149999999999999" customHeight="1" thickBot="1" x14ac:dyDescent="0.25">
      <c r="B17" s="1011" t="str">
        <f>ListAVS!$B$71&amp;"  "</f>
        <v xml:space="preserve">Ilość szafek  </v>
      </c>
      <c r="C17" s="1012"/>
      <c r="D17" s="1012"/>
      <c r="E17" s="1012"/>
      <c r="F17" s="1012"/>
      <c r="G17" s="1012"/>
      <c r="H17" s="437"/>
      <c r="I17" s="256" t="str">
        <f>IF(OR(H17=0, $H16&gt;13500)," ",IF($H16&gt;9000,IF(V10=FALSE,$N$42," ")," "))</f>
        <v xml:space="preserve"> </v>
      </c>
      <c r="J17" s="255"/>
      <c r="K17" s="255"/>
      <c r="L17" s="255"/>
      <c r="M17" s="315">
        <f>IF($H10*$H11*$T17=0, 0, IF(OR($H11&lt;210, $H11&gt;600, $H16&lt;420, $H16&gt;13500), 0, IF(AND($H12=0, $H13&lt;8, $H13&gt;14), 0, IF(AND(H16&gt;9000, V10=FALSE), 0, $H17))))</f>
        <v>0</v>
      </c>
      <c r="N17" s="119"/>
      <c r="O17" s="132"/>
      <c r="P17" s="132"/>
      <c r="Q17" s="119"/>
      <c r="R17" s="725"/>
      <c r="S17" s="690" t="s">
        <v>51</v>
      </c>
      <c r="T17" s="691">
        <f>IF(H12&gt;0,H12,H15)</f>
        <v>0</v>
      </c>
      <c r="U17" s="37">
        <f>IF(SUM(H12,H15)=0,0,IF(H12&gt;0,1,2))</f>
        <v>0</v>
      </c>
      <c r="V17" s="571" t="s">
        <v>52</v>
      </c>
      <c r="X17" s="108"/>
      <c r="Y17" s="164" t="str">
        <f>CenAVS!A62</f>
        <v xml:space="preserve">zaślepki HK top bez S-D szare     </v>
      </c>
      <c r="Z17" s="164" t="str">
        <f>CenAVS!B62</f>
        <v>22K8000</v>
      </c>
      <c r="AA17" s="301" t="str">
        <f>CenAVS!C62</f>
        <v xml:space="preserve">HG </v>
      </c>
      <c r="AB17" s="165">
        <f t="shared" si="2"/>
        <v>0</v>
      </c>
      <c r="AC17" s="395">
        <f>CenAVS!F62</f>
        <v>23.190790000000003</v>
      </c>
      <c r="AD17" s="167">
        <f t="shared" si="3"/>
        <v>0</v>
      </c>
      <c r="AE17" s="407">
        <f>IF($U$16&lt;&gt;2,IF($T$44=1,SUM($AE$9:$AE$16, $AE$24:$AE$31),0),0)</f>
        <v>0</v>
      </c>
      <c r="AF17" s="168">
        <f t="shared" si="0"/>
        <v>0</v>
      </c>
      <c r="AG17" s="407">
        <f>IF($U$27&lt;&gt;2,IF($T$44=1,SUM($AG$9:$AG$16, $AG$24:$AG$31),0),0)</f>
        <v>0</v>
      </c>
      <c r="AH17" s="168">
        <f t="shared" si="1"/>
        <v>0</v>
      </c>
      <c r="AI17" s="108"/>
      <c r="AJ17" s="108"/>
      <c r="AK17" s="108"/>
      <c r="AL17" s="108"/>
      <c r="AM17" s="108"/>
      <c r="AN17" s="255"/>
      <c r="AO17" s="137"/>
      <c r="AP17" s="137"/>
    </row>
    <row r="18" spans="1:47" s="37" customFormat="1" ht="16.149999999999999" customHeight="1" x14ac:dyDescent="0.2">
      <c r="B18" s="227" t="str">
        <f>IF(H17&gt;0,IF(U17=0," ",IF(U17=1,$N$49,$N$50))," ")&amp;IF(H17&gt;0,IF(U17=0," ",IF(U17=1,$N$51,$N$52))," ")</f>
        <v xml:space="preserve">  </v>
      </c>
      <c r="C18" s="227"/>
      <c r="D18" s="227"/>
      <c r="E18" s="227"/>
      <c r="F18" s="262"/>
      <c r="G18" s="262"/>
      <c r="H18" s="227"/>
      <c r="I18" s="227"/>
      <c r="J18" s="255"/>
      <c r="K18" s="255"/>
      <c r="L18" s="255"/>
      <c r="M18" s="118"/>
      <c r="N18" s="119"/>
      <c r="O18" s="132"/>
      <c r="P18" s="132"/>
      <c r="Q18" s="119"/>
      <c r="R18" s="725"/>
      <c r="S18" s="725"/>
      <c r="T18" s="119"/>
      <c r="U18" s="151"/>
      <c r="V18" s="725"/>
      <c r="W18" s="725"/>
      <c r="X18" s="108"/>
      <c r="Y18" s="164" t="str">
        <f>CenAVS!A63</f>
        <v xml:space="preserve">zaślepki HK top bez S-D ciemnoszare metalowe    </v>
      </c>
      <c r="Z18" s="164" t="str">
        <f>CenAVS!B63</f>
        <v>22K8000</v>
      </c>
      <c r="AA18" s="301" t="str">
        <f>CenAVS!C63</f>
        <v>TGR</v>
      </c>
      <c r="AB18" s="165">
        <f t="shared" si="2"/>
        <v>0</v>
      </c>
      <c r="AC18" s="395">
        <f>CenAVS!F63</f>
        <v>25.393930000000001</v>
      </c>
      <c r="AD18" s="167">
        <f t="shared" si="3"/>
        <v>0</v>
      </c>
      <c r="AE18" s="407">
        <f>IF($U$16&lt;&gt;2,IF($T$44=2,SUM($AE$9:$AE$16, $AE$24:$AE$31),0),0)</f>
        <v>0</v>
      </c>
      <c r="AF18" s="168">
        <f t="shared" si="0"/>
        <v>0</v>
      </c>
      <c r="AG18" s="407">
        <f>IF($U$27&lt;&gt;2,IF($T$44=2,SUM($AG$9:$AG$16, $AG$24:$AG$31),0),0)</f>
        <v>0</v>
      </c>
      <c r="AH18" s="168">
        <f t="shared" si="1"/>
        <v>0</v>
      </c>
      <c r="AI18" s="108"/>
      <c r="AJ18" s="108"/>
      <c r="AK18" s="108"/>
      <c r="AL18" s="108"/>
      <c r="AM18" s="108"/>
      <c r="AN18" s="719"/>
      <c r="AO18" s="137"/>
      <c r="AP18" s="137"/>
      <c r="AQ18" s="1044" t="str">
        <f>ListAVS!$B$86&amp;" LF = "&amp;ListAVS!$B$75&amp;" KH [mm] x "&amp;ListAVS!$B$78&amp;" [kg]"</f>
        <v>Współczynnik mocy LF = Wysokość korpusu KH [mm] x Waga frontu wraz z 2 uchwytami [kg]</v>
      </c>
      <c r="AR18" s="1044"/>
      <c r="AS18" s="1044"/>
      <c r="AT18" s="1044"/>
      <c r="AU18" s="1044"/>
    </row>
    <row r="19" spans="1:47" s="37" customFormat="1" ht="25.15" customHeight="1" thickBot="1" x14ac:dyDescent="0.25">
      <c r="B19" s="227"/>
      <c r="C19" s="227"/>
      <c r="D19" s="227"/>
      <c r="E19" s="227"/>
      <c r="F19" s="262"/>
      <c r="G19" s="262"/>
      <c r="H19" s="227"/>
      <c r="I19" s="227"/>
      <c r="J19" s="255"/>
      <c r="K19" s="255"/>
      <c r="L19" s="255"/>
      <c r="M19" s="118"/>
      <c r="N19" s="119"/>
      <c r="O19" s="132"/>
      <c r="P19" s="132"/>
      <c r="Q19" s="119"/>
      <c r="R19" s="725"/>
      <c r="S19" s="725"/>
      <c r="T19" s="119"/>
      <c r="U19" s="151"/>
      <c r="V19" s="725"/>
      <c r="W19" s="725"/>
      <c r="X19" s="108"/>
      <c r="Y19" s="164" t="str">
        <f>CenAVS!A64</f>
        <v xml:space="preserve">zaślepki HK top bez S-D jedwabiście białe    </v>
      </c>
      <c r="Z19" s="164" t="str">
        <f>CenAVS!B64</f>
        <v>22K8000</v>
      </c>
      <c r="AA19" s="301" t="str">
        <f>CenAVS!C64</f>
        <v xml:space="preserve">SW </v>
      </c>
      <c r="AB19" s="165">
        <f t="shared" si="2"/>
        <v>0</v>
      </c>
      <c r="AC19" s="395">
        <f>CenAVS!F64</f>
        <v>25.393930000000001</v>
      </c>
      <c r="AD19" s="167">
        <f t="shared" si="3"/>
        <v>0</v>
      </c>
      <c r="AE19" s="407">
        <f>IF($U$16&lt;&gt;2,IF($T$44=3,SUM($AE$9:$AE$16, $AE$24:$AE$31),0),0)</f>
        <v>0</v>
      </c>
      <c r="AF19" s="168">
        <f t="shared" si="0"/>
        <v>0</v>
      </c>
      <c r="AG19" s="407">
        <f>IF($U$27&lt;&gt;2,IF($T$44=3,SUM($AG$9:$AG$16, $AG$24:$AG$31),0),0)</f>
        <v>0</v>
      </c>
      <c r="AH19" s="168">
        <f t="shared" si="1"/>
        <v>0</v>
      </c>
      <c r="AI19" s="108"/>
      <c r="AJ19" s="108"/>
      <c r="AK19" s="108"/>
      <c r="AL19" s="108"/>
      <c r="AM19" s="108"/>
      <c r="AN19" s="255"/>
      <c r="AO19" s="137"/>
      <c r="AP19" s="137"/>
      <c r="AQ19" s="1044"/>
      <c r="AR19" s="1044"/>
      <c r="AS19" s="1044"/>
      <c r="AT19" s="1044"/>
      <c r="AU19" s="1044"/>
    </row>
    <row r="20" spans="1:47" s="37" customFormat="1" ht="16.149999999999999" customHeight="1" thickBot="1" x14ac:dyDescent="0.25">
      <c r="B20" s="1051" t="str">
        <f>"▼ "&amp;ListAVS!$B$318</f>
        <v>▼ Sposób otwierania</v>
      </c>
      <c r="C20" s="1052"/>
      <c r="D20" s="406" t="str">
        <f>IF($M$28&gt;0, ListAVS!$B$37&amp;": ", " ")</f>
        <v xml:space="preserve"> </v>
      </c>
      <c r="E20" s="688" t="str">
        <f>IF(OR($AG$9&gt;0, $AG$13&gt;0), "23", IF(OR($AG$10&gt;0, $AG$14&gt;0), "25", IF(OR($AG$11&gt;0, $AG$15&gt;0), "27", IF(OR($AG$12&gt;0, $AG$16&gt;0), "29", IF(OR($AG$24&gt;0, $AG$28&gt;0), "23T", IF(OR($AG$25&gt;0, $AG$29&gt;0), "25T", IF(OR($AG$26&gt;0, $AG$30&gt;0), "27T", IF(OR($AG$27&gt;0, $AG$31&gt;0), "29T", " "))))))))</f>
        <v xml:space="preserve"> </v>
      </c>
      <c r="F20" s="1056" t="str">
        <f>ListAVS!$B$64&amp;" B"</f>
        <v>Korpus B</v>
      </c>
      <c r="G20" s="1057"/>
      <c r="H20" s="1058"/>
      <c r="I20" s="256"/>
      <c r="J20" s="255"/>
      <c r="K20" s="255"/>
      <c r="L20" s="255"/>
      <c r="N20" s="119"/>
      <c r="O20" s="132"/>
      <c r="P20" s="119"/>
      <c r="Q20" s="132"/>
      <c r="R20" s="1181" t="s">
        <v>89</v>
      </c>
      <c r="S20" s="1182"/>
      <c r="T20" s="119"/>
      <c r="U20" s="130"/>
      <c r="V20" s="1181" t="s">
        <v>90</v>
      </c>
      <c r="W20" s="1182"/>
      <c r="X20" s="108"/>
      <c r="Y20" s="164" t="str">
        <f>CenAVS!A65</f>
        <v xml:space="preserve">zaślepki HK top do S-D jasnoszare     </v>
      </c>
      <c r="Z20" s="164" t="str">
        <f>CenAVS!B65</f>
        <v>23K8000</v>
      </c>
      <c r="AA20" s="301" t="str">
        <f>CenAVS!C65</f>
        <v xml:space="preserve">HG </v>
      </c>
      <c r="AB20" s="165">
        <f t="shared" si="2"/>
        <v>0</v>
      </c>
      <c r="AC20" s="395">
        <f>CenAVS!F65</f>
        <v>273.56473</v>
      </c>
      <c r="AD20" s="167">
        <f t="shared" si="3"/>
        <v>0</v>
      </c>
      <c r="AE20" s="407">
        <f>IF($U$16=2,IF($T$44=1,SUM($AE$9:$AE$16),0),0)</f>
        <v>0</v>
      </c>
      <c r="AF20" s="168">
        <f t="shared" si="0"/>
        <v>0</v>
      </c>
      <c r="AG20" s="407">
        <f>IF($U$27=2,IF($T$44=1,SUM($AG$9:$AG$16),0),0)</f>
        <v>0</v>
      </c>
      <c r="AH20" s="168">
        <f t="shared" si="1"/>
        <v>0</v>
      </c>
      <c r="AI20" s="108"/>
      <c r="AJ20" s="108"/>
      <c r="AK20" s="108"/>
      <c r="AL20" s="108"/>
      <c r="AM20" s="108"/>
      <c r="AN20" s="255"/>
      <c r="AO20" s="137"/>
      <c r="AP20" s="137"/>
      <c r="AQ20" s="1044" t="str">
        <f>ListAVS!$B$355</f>
        <v>W razie wykorzystania trzeciego siłownika współczynnik mocy oraz waga frontu mogą się zwiększyć o 50 %.</v>
      </c>
      <c r="AR20" s="1044"/>
      <c r="AS20" s="1044"/>
      <c r="AT20" s="1044"/>
      <c r="AU20" s="1044"/>
    </row>
    <row r="21" spans="1:47" s="37" customFormat="1" ht="16.149999999999999" customHeight="1" x14ac:dyDescent="0.2">
      <c r="B21" s="1011" t="str">
        <f>ListAVS!$B$74&amp;" KB [mm] "</f>
        <v xml:space="preserve">Szerokość korpusu KB [mm] </v>
      </c>
      <c r="C21" s="1012"/>
      <c r="D21" s="1012"/>
      <c r="E21" s="1012"/>
      <c r="F21" s="1012"/>
      <c r="G21" s="1013"/>
      <c r="H21" s="435"/>
      <c r="I21" s="256" t="str">
        <f>IF($H21=0," ",IF($H21&lt;220," min. 220mm",IF($H21&gt;1800," max. 1 800mm"," ")))&amp;IF(H28&gt;0,IF(H21=0,"● "&amp;ListAVS!$B$129," ")," ")</f>
        <v xml:space="preserve">  </v>
      </c>
      <c r="J21" s="255"/>
      <c r="K21" s="255"/>
      <c r="L21" s="255"/>
      <c r="N21" s="198" t="s">
        <v>53</v>
      </c>
      <c r="O21" s="199" t="s">
        <v>91</v>
      </c>
      <c r="P21" s="200" t="s">
        <v>92</v>
      </c>
      <c r="Q21" s="119"/>
      <c r="R21" s="741" t="s">
        <v>93</v>
      </c>
      <c r="S21" s="741" t="s">
        <v>76</v>
      </c>
      <c r="T21" s="742"/>
      <c r="U21" s="132"/>
      <c r="V21" s="1191" t="b">
        <v>0</v>
      </c>
      <c r="W21" s="1192"/>
      <c r="X21" s="108"/>
      <c r="Y21" s="164" t="str">
        <f>CenAVS!A66</f>
        <v xml:space="preserve">zaślepki HK top do S-D ciemnoszare metalowe    </v>
      </c>
      <c r="Z21" s="164" t="str">
        <f>CenAVS!B66</f>
        <v>23K8000</v>
      </c>
      <c r="AA21" s="301" t="str">
        <f>CenAVS!C66</f>
        <v>TGR</v>
      </c>
      <c r="AB21" s="165">
        <f t="shared" si="2"/>
        <v>0</v>
      </c>
      <c r="AC21" s="395">
        <f>CenAVS!F66</f>
        <v>284.75036999999998</v>
      </c>
      <c r="AD21" s="167">
        <f t="shared" si="3"/>
        <v>0</v>
      </c>
      <c r="AE21" s="407">
        <f>IF($U$16=2,IF($T$44=2,SUM($AE$9:$AE$16),0),0)</f>
        <v>0</v>
      </c>
      <c r="AF21" s="168">
        <f t="shared" si="0"/>
        <v>0</v>
      </c>
      <c r="AG21" s="407">
        <f>IF($U$27=2,IF($T$44=2,SUM($AG$9:$AG$16),0),0)</f>
        <v>0</v>
      </c>
      <c r="AH21" s="168">
        <f t="shared" si="1"/>
        <v>0</v>
      </c>
      <c r="AI21" s="108"/>
      <c r="AJ21" s="108"/>
      <c r="AK21" s="108"/>
      <c r="AL21" s="108"/>
      <c r="AM21" s="108"/>
      <c r="AN21" s="255"/>
      <c r="AO21" s="137"/>
      <c r="AP21" s="137"/>
      <c r="AQ21" s="1044"/>
      <c r="AR21" s="1044"/>
      <c r="AS21" s="1044"/>
      <c r="AT21" s="1044"/>
      <c r="AU21" s="1044"/>
    </row>
    <row r="22" spans="1:47" s="37" customFormat="1" ht="16.149999999999999" customHeight="1" x14ac:dyDescent="0.2">
      <c r="B22" s="1011" t="str">
        <f>ListAVS!$B$75&amp;" KH [mm] "</f>
        <v xml:space="preserve">Wysokość korpusu KH [mm] </v>
      </c>
      <c r="C22" s="1012"/>
      <c r="D22" s="1012"/>
      <c r="E22" s="1012"/>
      <c r="F22" s="1012"/>
      <c r="G22" s="1013"/>
      <c r="H22" s="435"/>
      <c r="I22" s="256" t="str">
        <f>IF($H22=0," ",IF($H22&lt;205," min. 205 mm",IF($H22&gt;600," max. 600 mm"," ")))&amp;IF(H28&gt;0,IF(H22=0,"● "&amp;ListAVS!$B$129," ")," ")</f>
        <v xml:space="preserve">  </v>
      </c>
      <c r="J22" s="255"/>
      <c r="K22" s="255"/>
      <c r="L22" s="255"/>
      <c r="N22" s="119" t="s">
        <v>97</v>
      </c>
      <c r="O22" s="132">
        <f>IF($V$21=FALSE,IF($H$27&gt;R22,IF($H$27&lt;S22,1,0),0),0)</f>
        <v>0</v>
      </c>
      <c r="P22" s="132">
        <f>IF($V$21=TRUE,IF($H$27&gt;V22,IF($H$27&lt;W22,1.5,0),0),0)</f>
        <v>0</v>
      </c>
      <c r="Q22" s="119"/>
      <c r="R22" s="725">
        <v>479</v>
      </c>
      <c r="S22" s="725">
        <v>1000</v>
      </c>
      <c r="T22" s="744"/>
      <c r="U22" s="119"/>
      <c r="V22" s="725">
        <v>719</v>
      </c>
      <c r="W22" s="725">
        <v>1500</v>
      </c>
      <c r="X22" s="108"/>
      <c r="Y22" s="164" t="str">
        <f>CenAVS!A67</f>
        <v xml:space="preserve">zaślepki HK top do S-D jedwabiście białe    </v>
      </c>
      <c r="Z22" s="164" t="str">
        <f>CenAVS!B67</f>
        <v>23K8000</v>
      </c>
      <c r="AA22" s="301" t="str">
        <f>CenAVS!C67</f>
        <v xml:space="preserve">SW </v>
      </c>
      <c r="AB22" s="165">
        <f t="shared" si="2"/>
        <v>0</v>
      </c>
      <c r="AC22" s="395">
        <f>CenAVS!F67</f>
        <v>284.75036999999998</v>
      </c>
      <c r="AD22" s="167">
        <f t="shared" si="3"/>
        <v>0</v>
      </c>
      <c r="AE22" s="407">
        <f>IF($U$16=2,IF($T$44=3,SUM($AE$9:$AE$16),0),0)</f>
        <v>0</v>
      </c>
      <c r="AF22" s="168">
        <f t="shared" si="0"/>
        <v>0</v>
      </c>
      <c r="AG22" s="407">
        <f>IF($U$27=2,IF($T$44=3,SUM($AG$9:$AG$16),0),0)</f>
        <v>0</v>
      </c>
      <c r="AH22" s="168">
        <f t="shared" si="1"/>
        <v>0</v>
      </c>
      <c r="AI22" s="108"/>
      <c r="AJ22" s="108"/>
      <c r="AK22" s="108"/>
      <c r="AL22" s="108"/>
      <c r="AM22" s="108"/>
      <c r="AN22" s="719"/>
      <c r="AO22" s="137"/>
      <c r="AP22" s="137"/>
    </row>
    <row r="23" spans="1:47" s="37" customFormat="1" ht="16.149999999999999" customHeight="1" x14ac:dyDescent="0.2">
      <c r="B23" s="1011" t="str">
        <f>ListAVS!$B$78&amp;" [kg] ** "</f>
        <v xml:space="preserve">Waga frontu wraz z 2 uchwytami [kg] ** </v>
      </c>
      <c r="C23" s="1012"/>
      <c r="D23" s="1012"/>
      <c r="E23" s="1012"/>
      <c r="F23" s="1012"/>
      <c r="G23" s="1013"/>
      <c r="H23" s="258"/>
      <c r="I23" s="227" t="str">
        <f>IF($H28=0," ",IF(SUM($H23,$H26)=0,$N$36," "))&amp;IF(AND($H28&gt;0,$M28&gt;0), IF($H23&gt;0,$N$37," ")," ")</f>
        <v xml:space="preserve">  </v>
      </c>
      <c r="J23" s="255"/>
      <c r="K23" s="255"/>
      <c r="L23" s="255"/>
      <c r="N23" s="119" t="s">
        <v>99</v>
      </c>
      <c r="O23" s="132">
        <f>IF($V$21=FALSE,IF($H$27&gt;R23,IF($H$27&lt;S23,1,0),0),0)</f>
        <v>0</v>
      </c>
      <c r="P23" s="132">
        <f>IF($V$21=TRUE,IF($H$27&gt;V23,IF($H$27&lt;W23,1.5,0),0),0)</f>
        <v>0</v>
      </c>
      <c r="Q23" s="119"/>
      <c r="R23" s="725">
        <v>999.99990000000003</v>
      </c>
      <c r="S23" s="725">
        <v>2000</v>
      </c>
      <c r="T23" s="744"/>
      <c r="U23" s="130"/>
      <c r="V23" s="725">
        <v>1499.9999</v>
      </c>
      <c r="W23" s="725">
        <v>3000</v>
      </c>
      <c r="X23" s="108"/>
      <c r="Y23" s="164" t="str">
        <f>CenAVS!A68</f>
        <v xml:space="preserve">          </v>
      </c>
      <c r="Z23" s="164">
        <f>CenAVS!B68</f>
        <v>0</v>
      </c>
      <c r="AA23" s="301">
        <f>CenAVS!C68</f>
        <v>0</v>
      </c>
      <c r="AB23" s="165">
        <f t="shared" si="2"/>
        <v>0</v>
      </c>
      <c r="AC23" s="395">
        <f>CenAVS!F68</f>
        <v>0</v>
      </c>
      <c r="AD23" s="167">
        <f t="shared" si="3"/>
        <v>0</v>
      </c>
      <c r="AE23" s="408"/>
      <c r="AF23" s="168">
        <f t="shared" si="0"/>
        <v>0</v>
      </c>
      <c r="AG23" s="408"/>
      <c r="AH23" s="168">
        <f t="shared" si="1"/>
        <v>0</v>
      </c>
      <c r="AI23" s="108"/>
      <c r="AJ23" s="108"/>
      <c r="AK23" s="108"/>
      <c r="AL23" s="108"/>
      <c r="AM23" s="108"/>
      <c r="AO23" s="137"/>
    </row>
    <row r="24" spans="1:47" s="37" customFormat="1" ht="16.149999999999999" customHeight="1" x14ac:dyDescent="0.2">
      <c r="B24" s="1055" t="str">
        <f>ListAVS!$B$293</f>
        <v>Obliczenie wagi</v>
      </c>
      <c r="C24" s="1055"/>
      <c r="D24" s="1053" t="str">
        <f>ListAVS!$B$80&amp;" TS [mm] "</f>
        <v xml:space="preserve">Grubość frontu TS [mm] </v>
      </c>
      <c r="E24" s="1053"/>
      <c r="F24" s="1053"/>
      <c r="G24" s="1054"/>
      <c r="H24" s="258"/>
      <c r="I24" s="256" t="str">
        <f>IF(H28=0," ",IF(AND(H23=0, H24=0)," ● "&amp;ListAVS!$B$129&amp;","," "))&amp;IF(H28=0," ",IF(AND(H23=0, H24&lt;8), " min. 8 mm", " "))</f>
        <v xml:space="preserve">  </v>
      </c>
      <c r="J24" s="255"/>
      <c r="K24" s="255"/>
      <c r="L24" s="255"/>
      <c r="N24" s="119" t="s">
        <v>101</v>
      </c>
      <c r="O24" s="132">
        <f>IF($V$21=FALSE,IF($H$27&gt;R24,IF($H$27&lt;S24,1,0),0),0)</f>
        <v>0</v>
      </c>
      <c r="P24" s="132">
        <f>IF($V$21=TRUE,IF($H$27&gt;V24,IF($H$27&lt;W24,1.5,0),0),0)</f>
        <v>0</v>
      </c>
      <c r="Q24" s="119"/>
      <c r="R24" s="725">
        <v>1999.9999</v>
      </c>
      <c r="S24" s="725">
        <v>4000</v>
      </c>
      <c r="V24" s="725">
        <v>2999.9998999999998</v>
      </c>
      <c r="W24" s="725">
        <v>6000</v>
      </c>
      <c r="X24" s="108"/>
      <c r="Y24" s="164" t="str">
        <f>CenAVS!A69</f>
        <v xml:space="preserve">Aventos HK top słaby Tip-on      </v>
      </c>
      <c r="Z24" s="164" t="str">
        <f>CenAVS!B69</f>
        <v>22K2300T</v>
      </c>
      <c r="AA24" s="301" t="str">
        <f>CenAVS!C69</f>
        <v>ZN</v>
      </c>
      <c r="AB24" s="165">
        <f t="shared" si="2"/>
        <v>0</v>
      </c>
      <c r="AC24" s="395">
        <f>CenAVS!F69</f>
        <v>172.91319999999999</v>
      </c>
      <c r="AD24" s="167">
        <f t="shared" si="3"/>
        <v>0</v>
      </c>
      <c r="AE24" s="407">
        <f>IF(AND($U$16=3,$N$44=1),ROUNDUP(SUM(O11:P11)*$M$17,0),0)</f>
        <v>0</v>
      </c>
      <c r="AF24" s="168">
        <f t="shared" si="0"/>
        <v>0</v>
      </c>
      <c r="AG24" s="407">
        <f>IF(AND($U$27=3,$N$44=1),ROUNDUP(SUM(O22:P22)*$M$28,0),0)</f>
        <v>0</v>
      </c>
      <c r="AH24" s="168">
        <f t="shared" si="1"/>
        <v>0</v>
      </c>
      <c r="AI24" s="108"/>
      <c r="AJ24" s="108"/>
      <c r="AK24" s="108"/>
      <c r="AL24" s="108"/>
      <c r="AM24" s="108"/>
      <c r="AN24" s="137"/>
      <c r="AP24" s="137"/>
      <c r="AQ24" s="137"/>
    </row>
    <row r="25" spans="1:47" s="37" customFormat="1" ht="16.149999999999999" customHeight="1" x14ac:dyDescent="0.2">
      <c r="B25" s="1055"/>
      <c r="C25" s="1055"/>
      <c r="D25" s="1053" t="str">
        <f>ListAVS!$B$83&amp;" [kg] "</f>
        <v xml:space="preserve">Waga uchwytu [kg] </v>
      </c>
      <c r="E25" s="1053"/>
      <c r="F25" s="1053"/>
      <c r="G25" s="1054"/>
      <c r="H25" s="258"/>
      <c r="I25" s="256" t="str">
        <f>IF(H28=0, " ", IF(AND(H23=0, U27=1, H25=0), " ● "&amp;ListAVS!$B$130," "))</f>
        <v xml:space="preserve"> </v>
      </c>
      <c r="J25" s="255"/>
      <c r="K25" s="255"/>
      <c r="L25" s="255"/>
      <c r="M25" s="118"/>
      <c r="N25" s="119" t="s">
        <v>103</v>
      </c>
      <c r="O25" s="132">
        <f>IF($V$21=FALSE,IF($H$27&gt;R25,IF($H$27&lt;S25,1,0),0),0)</f>
        <v>0</v>
      </c>
      <c r="P25" s="132">
        <f>IF($V$21=TRUE,IF($H$27&gt;V25,IF($H$27&lt;W25,1.5,0),0),0)</f>
        <v>0</v>
      </c>
      <c r="Q25" s="119"/>
      <c r="R25" s="725">
        <v>3999.9998999999998</v>
      </c>
      <c r="S25" s="725">
        <v>9001</v>
      </c>
      <c r="V25" s="725">
        <v>5999.9998999999998</v>
      </c>
      <c r="W25" s="725">
        <v>13501</v>
      </c>
      <c r="X25" s="108"/>
      <c r="Y25" s="164" t="str">
        <f>CenAVS!A70</f>
        <v xml:space="preserve">Aventos HK top średni Tip-on      </v>
      </c>
      <c r="Z25" s="164" t="str">
        <f>CenAVS!B70</f>
        <v>22K2500T</v>
      </c>
      <c r="AA25" s="301" t="str">
        <f>CenAVS!C70</f>
        <v>ZN</v>
      </c>
      <c r="AB25" s="165">
        <f t="shared" si="2"/>
        <v>0</v>
      </c>
      <c r="AC25" s="395">
        <f>CenAVS!F70</f>
        <v>172.91319999999999</v>
      </c>
      <c r="AD25" s="167">
        <f t="shared" si="3"/>
        <v>0</v>
      </c>
      <c r="AE25" s="407">
        <f>IF(AND($U$16=3,$N$44=1),ROUNDUP(SUM(O12:P12)*$M$17,0),0)</f>
        <v>0</v>
      </c>
      <c r="AF25" s="168">
        <f t="shared" si="0"/>
        <v>0</v>
      </c>
      <c r="AG25" s="407">
        <f>IF(AND($U$27=3,$N$44=1),ROUNDUP(SUM(O23:P23)*$M$28,0),0)</f>
        <v>0</v>
      </c>
      <c r="AH25" s="168">
        <f t="shared" si="1"/>
        <v>0</v>
      </c>
      <c r="AI25" s="108"/>
      <c r="AJ25" s="108"/>
      <c r="AK25" s="108"/>
      <c r="AL25" s="108"/>
      <c r="AM25" s="108"/>
      <c r="AN25" s="137"/>
      <c r="AO25" s="137"/>
      <c r="AP25" s="137"/>
      <c r="AQ25" s="137"/>
    </row>
    <row r="26" spans="1:47" s="37" customFormat="1" ht="16.149999999999999" customHeight="1" x14ac:dyDescent="0.2">
      <c r="B26" s="1055"/>
      <c r="C26" s="1055"/>
      <c r="D26" s="1053" t="str">
        <f>ListAVS!$B$79&amp;" [kg] "</f>
        <v xml:space="preserve">Obliczona waga frontu [kg] </v>
      </c>
      <c r="E26" s="1053"/>
      <c r="F26" s="1053"/>
      <c r="G26" s="1054"/>
      <c r="H26" s="259">
        <f>$T$90</f>
        <v>0</v>
      </c>
      <c r="I26" s="227" t="str">
        <f>IF(AND($H28&gt;0,$H26&gt;0,$H23=0,$M28&gt;0), $N$37," ")&amp;IF(AND(H28&gt;0, H23=0, Z71=8, $J$4=0), $N$35, " ")</f>
        <v xml:space="preserve">  </v>
      </c>
      <c r="J26" s="255"/>
      <c r="K26" s="255"/>
      <c r="L26" s="255"/>
      <c r="T26" s="132"/>
      <c r="U26" s="174" t="str">
        <f>IF(U27=1,$V$46,IF(U27=2,$V$47,$V$48))</f>
        <v>Standard</v>
      </c>
      <c r="X26" s="108"/>
      <c r="Y26" s="164" t="str">
        <f>CenAVS!A71</f>
        <v xml:space="preserve">Aventos HK top mocny Tip-on      </v>
      </c>
      <c r="Z26" s="164" t="str">
        <f>CenAVS!B71</f>
        <v>22K2700T</v>
      </c>
      <c r="AA26" s="301" t="str">
        <f>CenAVS!C71</f>
        <v>ZN</v>
      </c>
      <c r="AB26" s="165">
        <f t="shared" si="2"/>
        <v>0</v>
      </c>
      <c r="AC26" s="395">
        <f>CenAVS!F71</f>
        <v>183.9254</v>
      </c>
      <c r="AD26" s="167">
        <f t="shared" si="3"/>
        <v>0</v>
      </c>
      <c r="AE26" s="407">
        <f>IF(AND($U$16=3,$N$44=1),ROUNDUP(SUM(O13:P13)*$M$17,0),0)</f>
        <v>0</v>
      </c>
      <c r="AF26" s="168">
        <f t="shared" si="0"/>
        <v>0</v>
      </c>
      <c r="AG26" s="407">
        <f>IF(AND($U$27=3,$N$44=1),ROUNDUP(SUM(O24:P24)*$M$28,0),0)</f>
        <v>0</v>
      </c>
      <c r="AH26" s="168">
        <f t="shared" si="1"/>
        <v>0</v>
      </c>
      <c r="AI26" s="108"/>
      <c r="AJ26" s="108"/>
      <c r="AK26" s="108"/>
      <c r="AL26" s="108"/>
      <c r="AM26" s="108"/>
      <c r="AN26" s="108"/>
      <c r="AO26" s="137"/>
      <c r="AP26" s="137"/>
      <c r="AQ26" s="137"/>
      <c r="AR26" s="137"/>
    </row>
    <row r="27" spans="1:47" s="37" customFormat="1" ht="16.149999999999999" customHeight="1" thickBot="1" x14ac:dyDescent="0.25">
      <c r="B27" s="1011" t="str">
        <f>ListAVS!$B$87&amp;" *      "</f>
        <v xml:space="preserve">Trzeci podnośnik *      </v>
      </c>
      <c r="C27" s="1012"/>
      <c r="D27" s="1011" t="str">
        <f>ListAVS!$B$86&amp;" LF "</f>
        <v xml:space="preserve">Współczynnik mocy LF </v>
      </c>
      <c r="E27" s="1012"/>
      <c r="F27" s="1012"/>
      <c r="G27" s="1013"/>
      <c r="H27" s="400">
        <f>IF(H23&gt;0,H22*H23,H22*H26)</f>
        <v>0</v>
      </c>
      <c r="I27" s="256" t="str">
        <f>IF(H28=0," ",IF($H27&lt;420,$N$39,IF($H27&gt;13500,$N$40,IF($H27&gt;9000,IF(V21=FALSE,$N$41," ")," "))))</f>
        <v xml:space="preserve"> </v>
      </c>
      <c r="J27" s="255"/>
      <c r="K27" s="248"/>
      <c r="L27" s="255"/>
      <c r="N27" s="137"/>
      <c r="O27" s="137"/>
      <c r="P27" s="137"/>
      <c r="Q27" s="137"/>
      <c r="T27" s="202"/>
      <c r="U27" s="131">
        <v>1</v>
      </c>
      <c r="X27" s="108"/>
      <c r="Y27" s="164" t="str">
        <f>CenAVS!A72</f>
        <v xml:space="preserve">Aventos HK top najmocniejszy Tip-on      </v>
      </c>
      <c r="Z27" s="164" t="str">
        <f>CenAVS!B72</f>
        <v>22K2900T</v>
      </c>
      <c r="AA27" s="301" t="str">
        <f>CenAVS!C72</f>
        <v>ZN</v>
      </c>
      <c r="AB27" s="165">
        <f t="shared" si="2"/>
        <v>0</v>
      </c>
      <c r="AC27" s="395">
        <f>CenAVS!F72</f>
        <v>211.45676</v>
      </c>
      <c r="AD27" s="167">
        <f t="shared" si="3"/>
        <v>0</v>
      </c>
      <c r="AE27" s="407">
        <f>IF(AND($U$16=3,$N$44=1),ROUNDUP(SUM(O14:P14)*$M$17,0),0)</f>
        <v>0</v>
      </c>
      <c r="AF27" s="168">
        <f t="shared" si="0"/>
        <v>0</v>
      </c>
      <c r="AG27" s="407">
        <f>IF(AND($U$27=3,$N$44=1),ROUNDUP(SUM(O25:P25)*$M$28,0),0)</f>
        <v>0</v>
      </c>
      <c r="AH27" s="168">
        <f t="shared" si="1"/>
        <v>0</v>
      </c>
      <c r="AI27" s="108"/>
      <c r="AJ27" s="108"/>
      <c r="AK27" s="108"/>
      <c r="AL27" s="108"/>
      <c r="AM27" s="108"/>
      <c r="AN27" s="693"/>
      <c r="AO27" s="137"/>
      <c r="AP27" s="137"/>
      <c r="AQ27" s="137"/>
      <c r="AR27" s="137"/>
    </row>
    <row r="28" spans="1:47" ht="16.149999999999999" customHeight="1" thickBot="1" x14ac:dyDescent="0.25">
      <c r="B28" s="1011" t="str">
        <f>ListAVS!$B$71&amp;"  "</f>
        <v xml:space="preserve">Ilość szafek  </v>
      </c>
      <c r="C28" s="1012"/>
      <c r="D28" s="1012"/>
      <c r="E28" s="1012"/>
      <c r="F28" s="1012"/>
      <c r="G28" s="1012"/>
      <c r="H28" s="437"/>
      <c r="I28" s="256" t="str">
        <f>IF(OR(H28=0, $H27&gt;13500)," ",IF($H27&gt;9000,IF(V21=FALSE,$N$42," ")," "))</f>
        <v xml:space="preserve"> </v>
      </c>
      <c r="J28" s="264"/>
      <c r="K28" s="249"/>
      <c r="L28" s="265"/>
      <c r="M28" s="315">
        <f>IF($H21*$H22*$T28=0,0,IF($H22&lt;210,0,IF(H27&lt;420,0,IF($H27&gt;13500,0,IF(AND($H23=0,$H24&lt;8, $H24&gt;14),0,IF(H27&gt;9000,IF(V21=FALSE,0,$H28),$H28))))))</f>
        <v>0</v>
      </c>
      <c r="N28" s="39"/>
      <c r="O28" s="39"/>
      <c r="P28" s="39"/>
      <c r="Q28" s="39"/>
      <c r="R28" s="137"/>
      <c r="S28" s="690" t="s">
        <v>51</v>
      </c>
      <c r="T28" s="691">
        <f>IF(H23&gt;0,H23,H26)</f>
        <v>0</v>
      </c>
      <c r="U28" s="37">
        <f>IF(SUM(H23,H26)=0,0,IF(H23&gt;0,1,2))</f>
        <v>0</v>
      </c>
      <c r="V28" s="571" t="s">
        <v>52</v>
      </c>
      <c r="Y28" s="164" t="str">
        <f>CenAVS!A73</f>
        <v xml:space="preserve">Aventos HK top słaby Tip-on z eurowkrętami    </v>
      </c>
      <c r="Z28" s="164" t="str">
        <f>CenAVS!B73</f>
        <v>22K2310T</v>
      </c>
      <c r="AA28" s="301" t="str">
        <f>CenAVS!C73</f>
        <v>ZN</v>
      </c>
      <c r="AB28" s="165">
        <f t="shared" si="2"/>
        <v>0</v>
      </c>
      <c r="AC28" s="395">
        <f>CenAVS!F73</f>
        <v>189.85409999999999</v>
      </c>
      <c r="AD28" s="167">
        <f t="shared" si="3"/>
        <v>0</v>
      </c>
      <c r="AE28" s="407">
        <f>IF(AND($U$16=3,$N$44=2),ROUNDUP(SUM(O11:P11)*$M$17,0),0)</f>
        <v>0</v>
      </c>
      <c r="AF28" s="168">
        <f t="shared" si="0"/>
        <v>0</v>
      </c>
      <c r="AG28" s="407">
        <f>IF(AND($U$27=3,$N$44=2),ROUNDUP(SUM(O22:P22)*$M$28,0),0)</f>
        <v>0</v>
      </c>
      <c r="AH28" s="168">
        <f t="shared" si="1"/>
        <v>0</v>
      </c>
      <c r="AN28" s="693"/>
    </row>
    <row r="29" spans="1:47" ht="16.149999999999999" customHeight="1" x14ac:dyDescent="0.2">
      <c r="A29" s="137"/>
      <c r="B29" s="227" t="str">
        <f>IF(H28&gt;0,IF(U28=0," ",IF(U28=1,$N$49,$N$50))," ")&amp;IF(H28&gt;0,IF(U28=0," ",IF(U28=1,$N$51,$N$52))," ")</f>
        <v xml:space="preserve">  </v>
      </c>
      <c r="C29" s="227"/>
      <c r="D29" s="227"/>
      <c r="E29" s="227"/>
      <c r="F29" s="227"/>
      <c r="G29" s="227"/>
      <c r="H29" s="256"/>
      <c r="I29" s="256"/>
      <c r="J29" s="266"/>
      <c r="K29" s="266"/>
      <c r="L29" s="266"/>
      <c r="Y29" s="164" t="str">
        <f>CenAVS!A74</f>
        <v xml:space="preserve">Aventos HK top średni Tip-on z eurowkrętami    </v>
      </c>
      <c r="Z29" s="164" t="str">
        <f>CenAVS!B74</f>
        <v>22K2510T</v>
      </c>
      <c r="AA29" s="301" t="str">
        <f>CenAVS!C74</f>
        <v>ZN</v>
      </c>
      <c r="AB29" s="165">
        <f t="shared" si="2"/>
        <v>0</v>
      </c>
      <c r="AC29" s="395">
        <f>CenAVS!F74</f>
        <v>189.85409999999999</v>
      </c>
      <c r="AD29" s="167">
        <f t="shared" si="3"/>
        <v>0</v>
      </c>
      <c r="AE29" s="407">
        <f>IF(AND($U$16=3,$N$44=2),ROUNDUP(SUM(O12:P12)*$M$17,0),0)</f>
        <v>0</v>
      </c>
      <c r="AF29" s="168">
        <f t="shared" si="0"/>
        <v>0</v>
      </c>
      <c r="AG29" s="407">
        <f>IF(AND($U$27=3,$N$44=2),ROUNDUP(SUM(O23:P23)*$M$28,0),0)</f>
        <v>0</v>
      </c>
      <c r="AH29" s="168">
        <f t="shared" si="1"/>
        <v>0</v>
      </c>
      <c r="AN29" s="693"/>
    </row>
    <row r="30" spans="1:47" ht="16.149999999999999" customHeight="1" x14ac:dyDescent="0.2">
      <c r="B30" s="249"/>
      <c r="C30" s="248"/>
      <c r="D30" s="249"/>
      <c r="E30" s="249"/>
      <c r="F30" s="274"/>
      <c r="G30" s="274"/>
      <c r="H30" s="249"/>
      <c r="I30" s="264"/>
      <c r="J30" s="264"/>
      <c r="K30" s="249"/>
      <c r="L30" s="265"/>
      <c r="S30" s="138">
        <f>IF($T$30=FALSE,2,1)</f>
        <v>2</v>
      </c>
      <c r="T30" s="1063" t="b">
        <v>0</v>
      </c>
      <c r="U30" s="1064"/>
      <c r="V30" s="139" t="s">
        <v>56</v>
      </c>
      <c r="W30" s="140"/>
      <c r="Y30" s="164" t="str">
        <f>CenAVS!A75</f>
        <v xml:space="preserve">Aventos HK top mocny Tip-on z eurowkrętami    </v>
      </c>
      <c r="Z30" s="164" t="str">
        <f>CenAVS!B75</f>
        <v>22K2710T</v>
      </c>
      <c r="AA30" s="301" t="str">
        <f>CenAVS!C75</f>
        <v>ZN</v>
      </c>
      <c r="AB30" s="165">
        <f t="shared" si="2"/>
        <v>0</v>
      </c>
      <c r="AC30" s="395">
        <f>CenAVS!F75</f>
        <v>201.94534999999999</v>
      </c>
      <c r="AD30" s="167">
        <f t="shared" ref="AD30:AD37" si="4">AB30*AC30</f>
        <v>0</v>
      </c>
      <c r="AE30" s="407">
        <f>IF(AND($U$16=3,$N$44=2),ROUNDUP(SUM(O13:P13)*$M$17,0),0)</f>
        <v>0</v>
      </c>
      <c r="AF30" s="168">
        <f t="shared" si="0"/>
        <v>0</v>
      </c>
      <c r="AG30" s="407">
        <f>IF(AND($U$27=3,$N$44=2),ROUNDUP(SUM(O24:P24)*$M$28,0),0)</f>
        <v>0</v>
      </c>
      <c r="AH30" s="168">
        <f t="shared" ref="AH30:AH37" si="5">$AC30*AG30</f>
        <v>0</v>
      </c>
    </row>
    <row r="31" spans="1:47" ht="16.149999999999999" customHeight="1" x14ac:dyDescent="0.2">
      <c r="B31" s="1109" t="str">
        <f>IF(OR(AND($U$16=2, $M$17&gt;0), AND($U$27=2, $M$28&gt;0)), ListAVS!$B$176, " ")</f>
        <v xml:space="preserve"> </v>
      </c>
      <c r="C31" s="1109"/>
      <c r="D31" s="1109"/>
      <c r="E31" s="1109"/>
      <c r="F31" s="1109"/>
      <c r="G31" s="1109"/>
      <c r="H31" s="1109"/>
      <c r="I31" s="1109"/>
      <c r="J31" s="1109"/>
      <c r="K31" s="271"/>
      <c r="L31" s="271"/>
      <c r="Y31" s="164" t="str">
        <f>CenAVS!A76</f>
        <v xml:space="preserve">Aventos HK top najmocniejszy Tip-on z eurowkrętami    </v>
      </c>
      <c r="Z31" s="164" t="str">
        <f>CenAVS!B76</f>
        <v>22K2910T</v>
      </c>
      <c r="AA31" s="301" t="str">
        <f>CenAVS!C76</f>
        <v>ZN</v>
      </c>
      <c r="AB31" s="165">
        <f t="shared" si="2"/>
        <v>0</v>
      </c>
      <c r="AC31" s="395">
        <f>CenAVS!F76</f>
        <v>232.17408</v>
      </c>
      <c r="AD31" s="167">
        <f t="shared" si="4"/>
        <v>0</v>
      </c>
      <c r="AE31" s="407">
        <f>IF(AND($U$16=3,$N$44=2),ROUNDUP(SUM(O14:P14)*$M$17,0),0)</f>
        <v>0</v>
      </c>
      <c r="AF31" s="168">
        <f t="shared" si="0"/>
        <v>0</v>
      </c>
      <c r="AG31" s="407">
        <f>IF(AND($U$27=3,$N$44=2),ROUNDUP(SUM(O25:P25)*$M$28,0),0)</f>
        <v>0</v>
      </c>
      <c r="AH31" s="168">
        <f t="shared" si="5"/>
        <v>0</v>
      </c>
      <c r="AN31" s="710"/>
    </row>
    <row r="32" spans="1:47" ht="16.149999999999999" customHeight="1" x14ac:dyDescent="0.2">
      <c r="B32" s="1109"/>
      <c r="C32" s="1109"/>
      <c r="D32" s="1109"/>
      <c r="E32" s="1109"/>
      <c r="F32" s="1109"/>
      <c r="G32" s="1109"/>
      <c r="H32" s="1109"/>
      <c r="I32" s="1109"/>
      <c r="J32" s="1109"/>
      <c r="K32" s="271"/>
      <c r="L32" s="271"/>
      <c r="N32" s="142"/>
      <c r="Y32" s="164" t="str">
        <f>CenAVS!A77</f>
        <v xml:space="preserve">          </v>
      </c>
      <c r="Z32" s="164">
        <f>CenAVS!B77</f>
        <v>0</v>
      </c>
      <c r="AA32" s="301">
        <f>CenAVS!C77</f>
        <v>0</v>
      </c>
      <c r="AB32" s="165">
        <f t="shared" si="2"/>
        <v>0</v>
      </c>
      <c r="AC32" s="395">
        <f>CenAVS!F77</f>
        <v>0</v>
      </c>
      <c r="AD32" s="167">
        <f t="shared" si="4"/>
        <v>0</v>
      </c>
      <c r="AE32" s="407"/>
      <c r="AF32" s="168">
        <f t="shared" si="0"/>
        <v>0</v>
      </c>
      <c r="AG32" s="407"/>
      <c r="AH32" s="168">
        <f t="shared" si="5"/>
        <v>0</v>
      </c>
    </row>
    <row r="33" spans="2:44" ht="16.149999999999999" customHeight="1" x14ac:dyDescent="0.2">
      <c r="B33" s="1109"/>
      <c r="C33" s="1109"/>
      <c r="D33" s="1109"/>
      <c r="E33" s="1109"/>
      <c r="F33" s="1109"/>
      <c r="G33" s="1109"/>
      <c r="H33" s="1109"/>
      <c r="I33" s="1109"/>
      <c r="J33" s="1109"/>
      <c r="K33" s="266"/>
      <c r="L33" s="255"/>
      <c r="Y33" s="164" t="str">
        <f>CenAVS!A78</f>
        <v xml:space="preserve">mocowanie frontu do HK Top, HS/Top, HL/Top    </v>
      </c>
      <c r="Z33" s="164" t="str">
        <f>CenAVS!B78</f>
        <v>20S4200</v>
      </c>
      <c r="AA33" s="301" t="str">
        <f>CenAVS!C78</f>
        <v>NI</v>
      </c>
      <c r="AB33" s="165">
        <f t="shared" si="2"/>
        <v>0</v>
      </c>
      <c r="AC33" s="395">
        <f>CenAVS!F78</f>
        <v>9.9925899999999999</v>
      </c>
      <c r="AD33" s="167">
        <f t="shared" si="4"/>
        <v>0</v>
      </c>
      <c r="AE33" s="407"/>
      <c r="AF33" s="168">
        <f t="shared" si="0"/>
        <v>0</v>
      </c>
      <c r="AG33" s="407"/>
      <c r="AH33" s="168">
        <f t="shared" si="5"/>
        <v>0</v>
      </c>
    </row>
    <row r="34" spans="2:44" ht="16.149999999999999" customHeight="1" x14ac:dyDescent="0.2">
      <c r="B34" s="272"/>
      <c r="C34" s="255"/>
      <c r="D34" s="266"/>
      <c r="E34" s="266"/>
      <c r="F34" s="266"/>
      <c r="G34" s="266"/>
      <c r="H34" s="266"/>
      <c r="I34" s="255"/>
      <c r="J34" s="266"/>
      <c r="K34" s="266"/>
      <c r="L34" s="255"/>
      <c r="N34" s="37" t="str">
        <f>ListAVS!B177</f>
        <v>Cena bez zasilacza!</v>
      </c>
      <c r="Y34" s="164" t="str">
        <f>CenAVS!A79</f>
        <v xml:space="preserve">mocowanie frontu HS, HK top, HL Expando    </v>
      </c>
      <c r="Z34" s="164" t="str">
        <f>CenAVS!B79</f>
        <v>20S42E1</v>
      </c>
      <c r="AA34" s="301" t="str">
        <f>CenAVS!C79</f>
        <v>NI</v>
      </c>
      <c r="AB34" s="165">
        <f t="shared" si="2"/>
        <v>0</v>
      </c>
      <c r="AC34" s="395">
        <f>CenAVS!F79</f>
        <v>6.2138699999999991</v>
      </c>
      <c r="AD34" s="167">
        <f t="shared" si="4"/>
        <v>0</v>
      </c>
      <c r="AE34" s="407"/>
      <c r="AF34" s="168">
        <f t="shared" si="0"/>
        <v>0</v>
      </c>
      <c r="AG34" s="407"/>
      <c r="AH34" s="168">
        <f t="shared" si="5"/>
        <v>0</v>
      </c>
    </row>
    <row r="35" spans="2:44" ht="16.149999999999999" customHeight="1" x14ac:dyDescent="0.2">
      <c r="B35" s="272"/>
      <c r="C35" s="273"/>
      <c r="D35" s="266"/>
      <c r="E35" s="266"/>
      <c r="F35" s="266"/>
      <c r="G35" s="266"/>
      <c r="H35" s="266"/>
      <c r="I35" s="255"/>
      <c r="J35" s="266"/>
      <c r="K35" s="266"/>
      <c r="L35" s="255"/>
      <c r="N35" s="37" t="str">
        <f>" "&amp;ListAVS!$B$118</f>
        <v xml:space="preserve"> Wprowadź na górze masę objętościową </v>
      </c>
      <c r="Y35" s="164" t="str">
        <f>CenAVS!A80</f>
        <v>mocow. frontu do cienkich materiałów Aventos HK, HL, HS, Expando T</v>
      </c>
      <c r="Z35" s="164" t="str">
        <f>CenAVS!B80</f>
        <v>20S42T1</v>
      </c>
      <c r="AA35" s="301" t="str">
        <f>CenAVS!C80</f>
        <v>NI</v>
      </c>
      <c r="AB35" s="165">
        <f t="shared" si="2"/>
        <v>0</v>
      </c>
      <c r="AC35" s="395">
        <f>CenAVS!F80</f>
        <v>31.992830000000005</v>
      </c>
      <c r="AD35" s="167">
        <f t="shared" si="4"/>
        <v>0</v>
      </c>
      <c r="AE35" s="407">
        <f>SUM(AE$9:AE$16, $AE$24:$AE$31)</f>
        <v>0</v>
      </c>
      <c r="AF35" s="168">
        <f t="shared" si="0"/>
        <v>0</v>
      </c>
      <c r="AG35" s="407">
        <f>SUM(AG$9:AG$16, $AG$24:$AG$31)</f>
        <v>0</v>
      </c>
      <c r="AH35" s="168">
        <f t="shared" si="5"/>
        <v>0</v>
      </c>
    </row>
    <row r="36" spans="2:44" ht="16.149999999999999" customHeight="1" x14ac:dyDescent="0.2">
      <c r="B36" s="272"/>
      <c r="C36" s="255"/>
      <c r="D36" s="266"/>
      <c r="E36" s="266"/>
      <c r="F36" s="266"/>
      <c r="G36" s="266"/>
      <c r="H36" s="266"/>
      <c r="I36" s="255"/>
      <c r="J36" s="266"/>
      <c r="K36" s="266"/>
      <c r="L36" s="255"/>
      <c r="N36" s="37" t="str">
        <f>" "&amp;ListAVS!$B$116</f>
        <v xml:space="preserve"> Wprowadź wagę lub wypełnij wszystkie komórki</v>
      </c>
      <c r="Y36" s="164" t="str">
        <f>CenAVS!A81</f>
        <v xml:space="preserve">mocowanie frontu alu HK Top, HS/Top, HL/Top    </v>
      </c>
      <c r="Z36" s="164" t="str">
        <f>CenAVS!B81</f>
        <v>20S4200A</v>
      </c>
      <c r="AA36" s="301" t="str">
        <f>CenAVS!C81</f>
        <v>NI</v>
      </c>
      <c r="AB36" s="165">
        <f t="shared" si="2"/>
        <v>0</v>
      </c>
      <c r="AC36" s="395">
        <f>CenAVS!F81</f>
        <v>43.392219999999995</v>
      </c>
      <c r="AD36" s="167">
        <f t="shared" si="4"/>
        <v>0</v>
      </c>
      <c r="AE36" s="407"/>
      <c r="AF36" s="168">
        <f t="shared" si="0"/>
        <v>0</v>
      </c>
      <c r="AG36" s="407"/>
      <c r="AH36" s="168">
        <f t="shared" si="5"/>
        <v>0</v>
      </c>
    </row>
    <row r="37" spans="2:44" ht="16.149999999999999" customHeight="1" x14ac:dyDescent="0.2">
      <c r="B37" s="274" t="s">
        <v>63</v>
      </c>
      <c r="C37" s="1044" t="str">
        <f>ListAVS!$B$231&amp;" "&amp;ListAVS!$B$232</f>
        <v>Przy szerokich korpusach zalecamy trzeci siłownik. Powodem tego jest wyginanie się frontu w pozycji otwartej. Również współczynnik mocy LF i waga frontów mogą być zwiększone o 50%.</v>
      </c>
      <c r="D37" s="1044"/>
      <c r="E37" s="1044"/>
      <c r="F37" s="1044"/>
      <c r="G37" s="1044"/>
      <c r="H37" s="1044"/>
      <c r="I37" s="1044"/>
      <c r="J37" s="1044"/>
      <c r="K37" s="1044"/>
      <c r="L37" s="255"/>
      <c r="N37" s="37" t="str">
        <f>"◄ "&amp;ListAVS!$B$112</f>
        <v>◄ wartość będzie wykorzystana do obliczenia LF</v>
      </c>
      <c r="Y37" s="164" t="str">
        <f>CenAVS!A82</f>
        <v xml:space="preserve">          </v>
      </c>
      <c r="Z37" s="164">
        <f>CenAVS!B82</f>
        <v>0</v>
      </c>
      <c r="AA37" s="301">
        <f>CenAVS!C82</f>
        <v>0</v>
      </c>
      <c r="AB37" s="165">
        <f t="shared" si="2"/>
        <v>0</v>
      </c>
      <c r="AC37" s="395">
        <f>CenAVS!F82</f>
        <v>0</v>
      </c>
      <c r="AD37" s="167">
        <f t="shared" si="4"/>
        <v>0</v>
      </c>
      <c r="AE37" s="407"/>
      <c r="AF37" s="168">
        <f t="shared" si="0"/>
        <v>0</v>
      </c>
      <c r="AG37" s="407"/>
      <c r="AH37" s="168">
        <f t="shared" si="5"/>
        <v>0</v>
      </c>
    </row>
    <row r="38" spans="2:44" ht="16.149999999999999" customHeight="1" x14ac:dyDescent="0.2">
      <c r="B38" s="255"/>
      <c r="C38" s="1044"/>
      <c r="D38" s="1044"/>
      <c r="E38" s="1044"/>
      <c r="F38" s="1044"/>
      <c r="G38" s="1044"/>
      <c r="H38" s="1044"/>
      <c r="I38" s="1044"/>
      <c r="J38" s="1044"/>
      <c r="K38" s="1044"/>
      <c r="L38" s="255"/>
      <c r="N38" s="37" t="str">
        <f>" * "&amp;ListAVS!$B$128</f>
        <v xml:space="preserve"> * Wypełnij wartości</v>
      </c>
      <c r="Y38" s="164" t="str">
        <f>CenAVS!A185</f>
        <v xml:space="preserve">Tip-on do zawiasu 50mm PG, szary     </v>
      </c>
      <c r="Z38" s="164" t="str">
        <f>CenAVS!B185</f>
        <v>956.1004</v>
      </c>
      <c r="AA38" s="301" t="str">
        <f>CenAVS!C185</f>
        <v>R7036</v>
      </c>
      <c r="AB38" s="165">
        <f t="shared" ref="AB38:AB43" si="6">SUM(AE38,AG38)</f>
        <v>0</v>
      </c>
      <c r="AC38" s="395">
        <f>CenAVS!F185</f>
        <v>12.830769999999999</v>
      </c>
      <c r="AD38" s="167">
        <f t="shared" ref="AD38:AD43" si="7">AB38*AC38</f>
        <v>0</v>
      </c>
      <c r="AE38" s="407"/>
      <c r="AF38" s="168">
        <f t="shared" ref="AF38:AF44" si="8">$AC38*AE38</f>
        <v>0</v>
      </c>
      <c r="AG38" s="407">
        <f>IF(AND($T$44&lt;3,$U$27=3),IF($H$22&lt;=500,$M$28,0),0)</f>
        <v>0</v>
      </c>
      <c r="AH38" s="168">
        <f t="shared" ref="AH38:AH44" si="9">$AC38*AG38</f>
        <v>0</v>
      </c>
      <c r="AP38" s="37"/>
      <c r="AQ38" s="37"/>
    </row>
    <row r="39" spans="2:44" ht="16.149999999999999" customHeight="1" x14ac:dyDescent="0.2">
      <c r="B39" s="255"/>
      <c r="C39" s="1044"/>
      <c r="D39" s="1044"/>
      <c r="E39" s="1044"/>
      <c r="F39" s="1044"/>
      <c r="G39" s="1044"/>
      <c r="H39" s="1044"/>
      <c r="I39" s="1044"/>
      <c r="J39" s="1044"/>
      <c r="K39" s="1044"/>
      <c r="L39" s="255"/>
      <c r="N39" s="37" t="str">
        <f>" min. 420! "&amp;ListAVS!$B$122</f>
        <v xml:space="preserve"> min. 420! Popraw wagę albo wysokość</v>
      </c>
      <c r="Y39" s="164" t="str">
        <f>CenAVS!A186</f>
        <v xml:space="preserve">Tip-on do zawiasu 50mm SW, biały     </v>
      </c>
      <c r="Z39" s="164" t="str">
        <f>CenAVS!B186</f>
        <v>956.1004</v>
      </c>
      <c r="AA39" s="301" t="str">
        <f>CenAVS!C186</f>
        <v>SW</v>
      </c>
      <c r="AB39" s="165">
        <f t="shared" si="6"/>
        <v>0</v>
      </c>
      <c r="AC39" s="395">
        <f>CenAVS!F186</f>
        <v>12.830769999999999</v>
      </c>
      <c r="AD39" s="167">
        <f t="shared" si="7"/>
        <v>0</v>
      </c>
      <c r="AE39" s="407">
        <f>IF(AND($T$44=3,$U$16=3),IF($H$11&lt;=500,$M$17,0),0)</f>
        <v>0</v>
      </c>
      <c r="AF39" s="168">
        <f t="shared" si="8"/>
        <v>0</v>
      </c>
      <c r="AG39" s="407">
        <f>IF(AND($T$44=3,$U$27=3),IF($H$22&lt;=500,$M$28,0),0)</f>
        <v>0</v>
      </c>
      <c r="AH39" s="168">
        <f t="shared" si="9"/>
        <v>0</v>
      </c>
      <c r="AO39" s="37"/>
      <c r="AP39" s="37"/>
      <c r="AQ39" s="37"/>
    </row>
    <row r="40" spans="2:44" ht="16.149999999999999" customHeight="1" x14ac:dyDescent="0.2">
      <c r="B40" s="255"/>
      <c r="C40" s="1044"/>
      <c r="D40" s="1044"/>
      <c r="E40" s="1044"/>
      <c r="F40" s="1044"/>
      <c r="G40" s="1044"/>
      <c r="H40" s="1044"/>
      <c r="I40" s="1044"/>
      <c r="J40" s="1044"/>
      <c r="K40" s="1044"/>
      <c r="L40" s="255"/>
      <c r="N40" s="37" t="str">
        <f>" max. 13.500! "&amp;ListAVS!$B$122</f>
        <v xml:space="preserve"> max. 13.500! Popraw wagę albo wysokość</v>
      </c>
      <c r="O40" s="37"/>
      <c r="Q40" s="37"/>
      <c r="Y40" s="164" t="str">
        <f>CenAVS!A187</f>
        <v xml:space="preserve">Tip-on do zawiasu krótki 50mm z magnesem,komplet, karbon czarny CS </v>
      </c>
      <c r="Z40" s="164" t="str">
        <f>CenAVS!B187</f>
        <v>956.1004</v>
      </c>
      <c r="AA40" s="301" t="str">
        <f>CenAVS!C187</f>
        <v>CS</v>
      </c>
      <c r="AB40" s="165">
        <f t="shared" si="6"/>
        <v>0</v>
      </c>
      <c r="AC40" s="395">
        <f>CenAVS!F187</f>
        <v>12.830769999999999</v>
      </c>
      <c r="AD40" s="167">
        <f t="shared" si="7"/>
        <v>0</v>
      </c>
      <c r="AE40" s="407"/>
      <c r="AF40" s="168">
        <f t="shared" si="8"/>
        <v>0</v>
      </c>
      <c r="AG40" s="407"/>
      <c r="AH40" s="168">
        <f t="shared" si="9"/>
        <v>0</v>
      </c>
      <c r="AO40" s="37"/>
      <c r="AP40" s="37"/>
      <c r="AQ40" s="37"/>
      <c r="AR40" s="37"/>
    </row>
    <row r="41" spans="2:44" ht="16.149999999999999" customHeight="1" x14ac:dyDescent="0.2">
      <c r="B41" s="274" t="s">
        <v>83</v>
      </c>
      <c r="C41" s="255" t="str">
        <f>ListAVS!$B$187</f>
        <v>Jeżeli znasz wagę i nie chcesz skorzystać z "obliczenie wagi"</v>
      </c>
      <c r="D41" s="255"/>
      <c r="E41" s="255"/>
      <c r="F41" s="255"/>
      <c r="G41" s="255"/>
      <c r="H41" s="255"/>
      <c r="I41" s="255"/>
      <c r="J41" s="255"/>
      <c r="K41" s="255"/>
      <c r="L41" s="255"/>
      <c r="N41" s="37" t="str">
        <f>" max. 9 000! "&amp;ListAVS!$B$122</f>
        <v xml:space="preserve"> max. 9 000! Popraw wagę albo wysokość</v>
      </c>
      <c r="Y41" s="164" t="str">
        <f>CenAVS!A188</f>
        <v xml:space="preserve">Tip-on do zawiasu 76mm, PG, szary     </v>
      </c>
      <c r="Z41" s="164" t="str">
        <f>CenAVS!B188</f>
        <v>956A1004</v>
      </c>
      <c r="AA41" s="301" t="str">
        <f>CenAVS!C188</f>
        <v>R7036</v>
      </c>
      <c r="AB41" s="165">
        <f t="shared" si="6"/>
        <v>0</v>
      </c>
      <c r="AC41" s="395">
        <f>CenAVS!F188</f>
        <v>16.100000000000001</v>
      </c>
      <c r="AD41" s="167">
        <f t="shared" si="7"/>
        <v>0</v>
      </c>
      <c r="AE41" s="407">
        <f>IF(AND($T$44&lt;3,$U$16=3),IF($H$11&gt;500,$M$17,0),0)</f>
        <v>0</v>
      </c>
      <c r="AF41" s="168">
        <f t="shared" si="8"/>
        <v>0</v>
      </c>
      <c r="AG41" s="407">
        <f>IF(AND($T$44&lt;3,$U$27=3),IF($H$22&gt;500,$M$28,0),0)</f>
        <v>0</v>
      </c>
      <c r="AH41" s="168">
        <f t="shared" si="9"/>
        <v>0</v>
      </c>
      <c r="AO41" s="37"/>
      <c r="AR41" s="37"/>
    </row>
    <row r="42" spans="2:44" s="37" customFormat="1" ht="16.149999999999999" customHeight="1" x14ac:dyDescent="0.2">
      <c r="B42" s="274" t="s">
        <v>108</v>
      </c>
      <c r="C42" s="255" t="str">
        <f>ListAVS!$B$25</f>
        <v>Materiały o grubości od 8 do 14 mm</v>
      </c>
      <c r="D42" s="255"/>
      <c r="E42" s="255"/>
      <c r="F42" s="255"/>
      <c r="G42" s="255"/>
      <c r="H42" s="255"/>
      <c r="I42" s="255"/>
      <c r="J42" s="398"/>
      <c r="K42" s="398"/>
      <c r="L42" s="255"/>
      <c r="N42" s="149" t="str">
        <f>"                       "&amp;ListAVS!$B$123</f>
        <v xml:space="preserve">                       lub dodaj trzeci siłownik</v>
      </c>
      <c r="O42" s="118"/>
      <c r="Q42" s="118"/>
      <c r="X42" s="108"/>
      <c r="Y42" s="164" t="str">
        <f>CenAVS!A189</f>
        <v xml:space="preserve">Tip-on do zawiasu 76mm, SW, biały     </v>
      </c>
      <c r="Z42" s="164" t="str">
        <f>CenAVS!B189</f>
        <v>956A1004</v>
      </c>
      <c r="AA42" s="301" t="str">
        <f>CenAVS!C189</f>
        <v>WA</v>
      </c>
      <c r="AB42" s="165">
        <f t="shared" si="6"/>
        <v>0</v>
      </c>
      <c r="AC42" s="395">
        <f>CenAVS!F189</f>
        <v>16.100000000000001</v>
      </c>
      <c r="AD42" s="167">
        <f t="shared" si="7"/>
        <v>0</v>
      </c>
      <c r="AE42" s="407">
        <f>IF(AND($T$44=3,$U$16=3),IF($H$11&gt;500,$M$17,0),0)</f>
        <v>0</v>
      </c>
      <c r="AF42" s="168">
        <f t="shared" si="8"/>
        <v>0</v>
      </c>
      <c r="AG42" s="407">
        <f>IF(AND($T$44=3,$U$27=3),IF($H$22&gt;500,$M$28,0),0)</f>
        <v>0</v>
      </c>
      <c r="AH42" s="168">
        <f t="shared" si="9"/>
        <v>0</v>
      </c>
      <c r="AI42" s="108"/>
      <c r="AJ42" s="108"/>
      <c r="AK42" s="108"/>
      <c r="AL42" s="108"/>
      <c r="AM42" s="108"/>
      <c r="AN42" s="108"/>
      <c r="AO42" s="137"/>
      <c r="AP42" s="137"/>
      <c r="AQ42" s="137"/>
    </row>
    <row r="43" spans="2:44" s="37" customFormat="1" ht="16.149999999999999" customHeight="1" x14ac:dyDescent="0.2">
      <c r="B43" s="440"/>
      <c r="C43" s="442"/>
      <c r="D43" s="442"/>
      <c r="E43" s="442"/>
      <c r="F43" s="442"/>
      <c r="G43" s="442"/>
      <c r="H43" s="442"/>
      <c r="I43" s="442"/>
      <c r="J43" s="442"/>
      <c r="K43" s="442"/>
      <c r="L43" s="255"/>
      <c r="O43" s="118"/>
      <c r="Q43" s="118"/>
      <c r="X43" s="108"/>
      <c r="Y43" s="164" t="str">
        <f>CenAVS!A190</f>
        <v>Tip-on do zawiasu długi 76mm z magnesem, komplet, karbon czarny CS</v>
      </c>
      <c r="Z43" s="164" t="str">
        <f>CenAVS!B190</f>
        <v>956A1004</v>
      </c>
      <c r="AA43" s="301" t="str">
        <f>CenAVS!C190</f>
        <v>CS</v>
      </c>
      <c r="AB43" s="165">
        <f t="shared" si="6"/>
        <v>0</v>
      </c>
      <c r="AC43" s="395">
        <f>CenAVS!F190</f>
        <v>16.100000000000001</v>
      </c>
      <c r="AD43" s="167">
        <f t="shared" si="7"/>
        <v>0</v>
      </c>
      <c r="AE43" s="407"/>
      <c r="AF43" s="168">
        <f t="shared" si="8"/>
        <v>0</v>
      </c>
      <c r="AG43" s="407"/>
      <c r="AH43" s="168">
        <f t="shared" si="9"/>
        <v>0</v>
      </c>
      <c r="AI43" s="108"/>
      <c r="AJ43" s="108"/>
      <c r="AK43" s="108"/>
      <c r="AL43" s="108"/>
      <c r="AM43" s="108"/>
      <c r="AN43" s="108"/>
      <c r="AO43" s="137"/>
      <c r="AP43" s="137"/>
      <c r="AQ43" s="137"/>
      <c r="AR43" s="137"/>
    </row>
    <row r="44" spans="2:44" s="37" customFormat="1" ht="12" customHeight="1" x14ac:dyDescent="0.2">
      <c r="B44" s="1020" t="str">
        <f>ListAVS!$B$420</f>
        <v xml:space="preserve">Należy pamiętać, że istnieje wiele różnych materiałów. Ze względu na różne gęstości  nie ma gwarancji, że wszystkie materiały będą nadawały się do każdego rozmiaru korpusu. Szczególnie w przypadku lżejszych materiałów ciężar frontu może nie osiągnąć wartości minimalnej dla danego wymiaru. Jeśli po prawidłowym wprowadzeniu wszystkich parametrów, na liście zamówienia nie wyświetlą się żadne wartości, prawdopodobnie waga frontu jest poniżej wartości minimalnej. W takim przypadku wyliczenie podnośników nie może być wykonane. </v>
      </c>
      <c r="C44" s="1020"/>
      <c r="D44" s="1020"/>
      <c r="E44" s="1020"/>
      <c r="F44" s="1020"/>
      <c r="G44" s="1020"/>
      <c r="H44" s="1020"/>
      <c r="I44" s="1020"/>
      <c r="J44" s="1020"/>
      <c r="K44" s="1020"/>
      <c r="L44" s="1020"/>
      <c r="N44" s="117">
        <v>1</v>
      </c>
      <c r="O44" s="182"/>
      <c r="P44" s="117">
        <v>1</v>
      </c>
      <c r="Q44" s="182"/>
      <c r="R44" s="117"/>
      <c r="S44" s="182"/>
      <c r="T44" s="117">
        <f>MenuAVS!$U$28</f>
        <v>1</v>
      </c>
      <c r="V44" s="151"/>
      <c r="X44" s="108"/>
      <c r="Y44" s="164">
        <f>CenAVS!A169</f>
        <v>0</v>
      </c>
      <c r="Z44" s="164">
        <f>CenAVS!B169</f>
        <v>0</v>
      </c>
      <c r="AA44" s="301">
        <f>CenAVS!C169</f>
        <v>0</v>
      </c>
      <c r="AB44" s="165"/>
      <c r="AC44" s="395">
        <f>CenAVS!F169</f>
        <v>0</v>
      </c>
      <c r="AD44" s="167">
        <f t="shared" si="3"/>
        <v>0</v>
      </c>
      <c r="AE44" s="408"/>
      <c r="AF44" s="168">
        <f t="shared" si="8"/>
        <v>0</v>
      </c>
      <c r="AG44" s="408"/>
      <c r="AH44" s="168">
        <f t="shared" si="9"/>
        <v>0</v>
      </c>
      <c r="AI44" s="108"/>
      <c r="AJ44" s="108"/>
      <c r="AK44" s="108"/>
      <c r="AL44" s="108"/>
      <c r="AM44" s="108"/>
      <c r="AN44" s="108"/>
      <c r="AO44" s="137"/>
      <c r="AP44" s="137"/>
      <c r="AQ44" s="137"/>
      <c r="AR44" s="137"/>
    </row>
    <row r="45" spans="2:44" ht="12" customHeight="1" x14ac:dyDescent="0.2">
      <c r="B45" s="1020"/>
      <c r="C45" s="1020"/>
      <c r="D45" s="1020"/>
      <c r="E45" s="1020"/>
      <c r="F45" s="1020"/>
      <c r="G45" s="1020"/>
      <c r="H45" s="1020"/>
      <c r="I45" s="1020"/>
      <c r="J45" s="1020"/>
      <c r="K45" s="1020"/>
      <c r="L45" s="1020"/>
      <c r="N45" s="153" t="s">
        <v>7</v>
      </c>
      <c r="P45" s="153" t="s">
        <v>8</v>
      </c>
      <c r="R45" s="153"/>
      <c r="S45" s="39"/>
      <c r="T45" s="153" t="s">
        <v>6</v>
      </c>
      <c r="V45" s="203" t="s">
        <v>18</v>
      </c>
      <c r="Y45" s="164"/>
      <c r="Z45" s="164"/>
      <c r="AA45" s="301"/>
      <c r="AB45" s="165"/>
      <c r="AC45" s="395"/>
      <c r="AD45" s="167"/>
      <c r="AE45" s="408"/>
      <c r="AF45" s="168"/>
      <c r="AG45" s="408"/>
      <c r="AH45" s="168"/>
    </row>
    <row r="46" spans="2:44" ht="12" customHeight="1" x14ac:dyDescent="0.2">
      <c r="B46" s="1020"/>
      <c r="C46" s="1020"/>
      <c r="D46" s="1020"/>
      <c r="E46" s="1020"/>
      <c r="F46" s="1020"/>
      <c r="G46" s="1020"/>
      <c r="H46" s="1020"/>
      <c r="I46" s="1020"/>
      <c r="J46" s="1020"/>
      <c r="K46" s="1020"/>
      <c r="L46" s="1020"/>
      <c r="R46" s="118"/>
      <c r="T46" s="37" t="str">
        <f>ListAVS!$B$146</f>
        <v>Jasnoszary (HGR)</v>
      </c>
      <c r="V46" s="37" t="s">
        <v>58</v>
      </c>
      <c r="Y46" s="164" t="str">
        <f>CenAVS!A172</f>
        <v xml:space="preserve">Aventos Servo-drive do HK top      </v>
      </c>
      <c r="Z46" s="164" t="str">
        <f>CenAVS!B172</f>
        <v>23KA000</v>
      </c>
      <c r="AA46" s="301" t="str">
        <f>CenAVS!C172</f>
        <v>R7037</v>
      </c>
      <c r="AB46" s="165">
        <f>SUM(AE46,AG46)</f>
        <v>0</v>
      </c>
      <c r="AC46" s="395">
        <f>CenAVS!F172</f>
        <v>905.30219999999997</v>
      </c>
      <c r="AD46" s="167">
        <f>AB46*AC46</f>
        <v>0</v>
      </c>
      <c r="AE46" s="408">
        <f>IF($U$16=2, $M$17, 0)+IF(AND($U$16=2, $V$10=TRUE), $M$17, 0)</f>
        <v>0</v>
      </c>
      <c r="AF46" s="168">
        <f>$AC46*AE46</f>
        <v>0</v>
      </c>
      <c r="AG46" s="408">
        <f>IF($U$27=2, $M$28, 0)+IF(AND($U$27=2, $V$21=TRUE), $M$28, 0)</f>
        <v>0</v>
      </c>
      <c r="AH46" s="168">
        <f>$AC46*AG46</f>
        <v>0</v>
      </c>
    </row>
    <row r="47" spans="2:44" ht="12" customHeight="1" x14ac:dyDescent="0.2">
      <c r="B47" s="1020"/>
      <c r="C47" s="1020"/>
      <c r="D47" s="1020"/>
      <c r="E47" s="1020"/>
      <c r="F47" s="1020"/>
      <c r="G47" s="1020"/>
      <c r="H47" s="1020"/>
      <c r="I47" s="1020"/>
      <c r="J47" s="1020"/>
      <c r="K47" s="1020"/>
      <c r="L47" s="1020"/>
      <c r="R47" s="118"/>
      <c r="T47" s="37" t="str">
        <f>ListAVS!$B$147</f>
        <v>Ciemnoszary (TGR)</v>
      </c>
      <c r="V47" s="37" t="s">
        <v>59</v>
      </c>
      <c r="Y47" s="37"/>
      <c r="Z47" s="37"/>
      <c r="AA47" s="37"/>
      <c r="AB47" s="37"/>
      <c r="AC47" s="37"/>
      <c r="AD47" s="37"/>
      <c r="AE47" s="37"/>
      <c r="AF47" s="37"/>
      <c r="AG47" s="118"/>
      <c r="AH47" s="37"/>
    </row>
    <row r="48" spans="2:44" ht="12" customHeight="1" x14ac:dyDescent="0.2">
      <c r="B48" s="1020"/>
      <c r="C48" s="1020"/>
      <c r="D48" s="1020"/>
      <c r="E48" s="1020"/>
      <c r="F48" s="1020"/>
      <c r="G48" s="1020"/>
      <c r="H48" s="1020"/>
      <c r="I48" s="1020"/>
      <c r="J48" s="1020"/>
      <c r="K48" s="1020"/>
      <c r="L48" s="1020"/>
      <c r="T48" s="37" t="str">
        <f>ListAVS!$B$148</f>
        <v>Jedwabiście biały (SW)</v>
      </c>
      <c r="V48" s="37" t="s">
        <v>107</v>
      </c>
      <c r="Y48" s="37"/>
      <c r="Z48" s="37"/>
      <c r="AA48" s="37"/>
      <c r="AB48" s="37"/>
      <c r="AC48" s="144" t="str">
        <f>ListAVS!$B$61&amp;" "</f>
        <v xml:space="preserve">Cena całkowita bez VAT </v>
      </c>
      <c r="AD48" s="171">
        <f>SUM(AD9:AD47)</f>
        <v>0</v>
      </c>
      <c r="AE48" s="37"/>
      <c r="AF48" s="201">
        <f>SUM(AF9:AF47)</f>
        <v>0</v>
      </c>
      <c r="AG48" s="37"/>
      <c r="AH48" s="201">
        <f>SUM(AH9:AH47)</f>
        <v>0</v>
      </c>
    </row>
    <row r="49" spans="14:43" ht="16.149999999999999" customHeight="1" x14ac:dyDescent="0.2">
      <c r="N49" s="37" t="str">
        <f>ListAVS!B188&amp;". "</f>
        <v xml:space="preserve">W celu określenia rodzaju siłownika będzie wykorzystana podana waga. </v>
      </c>
    </row>
    <row r="50" spans="14:43" ht="16.149999999999999" customHeight="1" x14ac:dyDescent="0.2">
      <c r="N50" s="37" t="str">
        <f>ListAVS!B189&amp;". "</f>
        <v xml:space="preserve">W celu określenia rodzaju siłownika będzie wykorzystana obliczona waga. </v>
      </c>
    </row>
    <row r="51" spans="14:43" x14ac:dyDescent="0.2">
      <c r="N51" s="37" t="str">
        <f>ListAVS!B190</f>
        <v>Jeżeli chcesz wykorzystać obliczoną wagę, zmaż podaną wartość</v>
      </c>
    </row>
    <row r="52" spans="14:43" x14ac:dyDescent="0.2">
      <c r="N52" s="37" t="str">
        <f>ListAVS!B191</f>
        <v>Jeżeli chcesz wykorzystać podaną wagą, wpisz ją w pole</v>
      </c>
    </row>
    <row r="55" spans="14:43" x14ac:dyDescent="0.2">
      <c r="AQ55" s="37"/>
    </row>
    <row r="56" spans="14:43" x14ac:dyDescent="0.2">
      <c r="AQ56" s="37"/>
    </row>
    <row r="66" spans="1:44" x14ac:dyDescent="0.2">
      <c r="X66" s="37"/>
      <c r="Y66" s="37" t="str">
        <f>" "&amp;ListAVS!$B$410</f>
        <v xml:space="preserve"> Możesz zmienić wartości we Wstępie do planowania</v>
      </c>
      <c r="Z66" s="118"/>
      <c r="AA66" s="37"/>
      <c r="AB66" s="118"/>
      <c r="AC66" s="37"/>
    </row>
    <row r="67" spans="1:44" x14ac:dyDescent="0.2">
      <c r="O67" s="37"/>
      <c r="Q67" s="37"/>
      <c r="X67" s="37"/>
      <c r="Y67" s="37" t="str">
        <f>" "&amp;ListAVS!$B$245&amp;" [kg/m3]"</f>
        <v xml:space="preserve"> Podaj masę objętościową [kg/m3]</v>
      </c>
      <c r="Z67" s="118"/>
      <c r="AA67" s="37"/>
      <c r="AB67" s="118"/>
      <c r="AC67" s="37"/>
      <c r="AD67" s="37"/>
      <c r="AE67" s="37"/>
      <c r="AF67" s="37"/>
      <c r="AG67" s="37"/>
      <c r="AH67" s="37"/>
      <c r="AI67" s="37"/>
    </row>
    <row r="68" spans="1:44" ht="12.75" x14ac:dyDescent="0.2">
      <c r="A68" s="255"/>
      <c r="N68" s="517" t="str">
        <f>ListAVS!$B$73</f>
        <v>Obliczanie wagi frontów</v>
      </c>
      <c r="O68" s="518"/>
      <c r="P68" s="518"/>
      <c r="Q68" s="518"/>
      <c r="R68" s="518"/>
      <c r="S68" s="255"/>
      <c r="T68" s="255"/>
      <c r="U68" s="255"/>
      <c r="V68" s="255"/>
      <c r="W68" s="255"/>
      <c r="X68" s="37"/>
      <c r="Y68" s="37" t="str">
        <f>" "&amp;ListAVS!$B$241&amp;" '"&amp;ListAVS!$B$92&amp;"'"</f>
        <v xml:space="preserve"> Wartość obowiązuje tylko dla opcji 'Inne – wybrana gęstość materiału'</v>
      </c>
      <c r="Z68" s="118"/>
      <c r="AA68" s="37"/>
      <c r="AB68" s="118"/>
      <c r="AC68" s="37"/>
      <c r="AE68" s="37"/>
      <c r="AF68" s="37"/>
      <c r="AG68" s="37"/>
      <c r="AH68" s="37"/>
      <c r="AI68" s="37"/>
      <c r="AJ68" s="37"/>
      <c r="AK68" s="37"/>
      <c r="AL68" s="37"/>
      <c r="AM68" s="37"/>
      <c r="AN68" s="37"/>
    </row>
    <row r="69" spans="1:44" ht="15.75" customHeight="1" x14ac:dyDescent="0.2">
      <c r="A69" s="255"/>
      <c r="N69" s="255"/>
      <c r="O69" s="269"/>
      <c r="P69" s="269" t="str">
        <f>ListAVS!$B$26&amp;":  "</f>
        <v xml:space="preserve">Materiał :  </v>
      </c>
      <c r="Q69" s="255"/>
      <c r="R69" s="255"/>
      <c r="S69" s="255"/>
      <c r="T69" s="833">
        <f>J4</f>
        <v>0</v>
      </c>
      <c r="U69" s="262" t="str">
        <f>IF(Z72=3,IF(T69=0,Y67," "),IF(T69&gt;0,Y68," "))</f>
        <v xml:space="preserve"> </v>
      </c>
      <c r="V69" s="255"/>
      <c r="W69" s="255"/>
      <c r="X69" s="37"/>
      <c r="Y69" s="37"/>
      <c r="Z69" s="118"/>
      <c r="AA69" s="37"/>
      <c r="AB69" s="118"/>
      <c r="AC69" s="37"/>
      <c r="AE69" s="37"/>
      <c r="AF69" s="37"/>
      <c r="AG69" s="37"/>
      <c r="AH69" s="37"/>
      <c r="AI69" s="37"/>
      <c r="AJ69" s="37"/>
      <c r="AK69" s="37"/>
      <c r="AL69" s="37"/>
      <c r="AM69" s="37"/>
      <c r="AN69" s="37"/>
    </row>
    <row r="70" spans="1:44" ht="13.5" customHeight="1" x14ac:dyDescent="0.2">
      <c r="A70" s="255"/>
      <c r="N70" s="255"/>
      <c r="O70" s="255"/>
      <c r="P70" s="1151" t="str">
        <f>IF($Z$72&lt;&gt;8,$Y$66," ")&amp;"      "</f>
        <v xml:space="preserve"> Możesz zmienić wartości we Wstępie do planowania      </v>
      </c>
      <c r="Q70" s="1151"/>
      <c r="R70" s="1151"/>
      <c r="S70" s="1151"/>
      <c r="T70" s="1151"/>
      <c r="U70" s="255"/>
      <c r="V70" s="255"/>
      <c r="W70" s="255"/>
      <c r="X70" s="37"/>
      <c r="Y70" s="37"/>
      <c r="Z70" s="37"/>
      <c r="AA70" s="176">
        <f>IF(OR(T77&lt;8, T77&gt;14), 0, 1)</f>
        <v>0</v>
      </c>
      <c r="AB70" s="176"/>
      <c r="AC70" s="177"/>
      <c r="AE70" s="37"/>
      <c r="AF70" s="37"/>
      <c r="AG70" s="37"/>
      <c r="AH70" s="37"/>
      <c r="AI70" s="37"/>
      <c r="AJ70" s="37"/>
      <c r="AK70" s="118"/>
      <c r="AL70" s="118"/>
      <c r="AM70" s="118"/>
      <c r="AN70" s="37"/>
    </row>
    <row r="71" spans="1:44" ht="12.75" x14ac:dyDescent="0.2">
      <c r="A71" s="255"/>
      <c r="N71" s="266"/>
      <c r="O71" s="255"/>
      <c r="P71" s="255"/>
      <c r="Q71" s="255"/>
      <c r="R71" s="255"/>
      <c r="S71" s="255"/>
      <c r="T71" s="255"/>
      <c r="U71" s="255"/>
      <c r="V71" s="255"/>
      <c r="W71" s="255"/>
      <c r="X71" s="37"/>
      <c r="Y71" s="37">
        <f>IF(AA$70=1, T75*T76*T77/1000000000, 0)</f>
        <v>0</v>
      </c>
      <c r="Z71" s="117">
        <v>3</v>
      </c>
      <c r="AA71" s="180" t="s">
        <v>88</v>
      </c>
      <c r="AB71" s="176"/>
      <c r="AC71" s="177"/>
      <c r="AE71" s="37"/>
      <c r="AF71" s="37"/>
      <c r="AG71" s="37"/>
      <c r="AH71" s="37"/>
      <c r="AI71" s="37"/>
      <c r="AJ71" s="37"/>
      <c r="AK71" s="149"/>
      <c r="AL71" s="149"/>
      <c r="AM71" s="118"/>
      <c r="AN71" s="37"/>
      <c r="AQ71" s="118"/>
    </row>
    <row r="72" spans="1:44" ht="15" customHeight="1" x14ac:dyDescent="0.2">
      <c r="A72" s="255"/>
      <c r="N72" s="266"/>
      <c r="O72" s="255"/>
      <c r="P72" s="255"/>
      <c r="Q72" s="255"/>
      <c r="R72" s="255"/>
      <c r="S72" s="255"/>
      <c r="T72" s="255"/>
      <c r="U72" s="255"/>
      <c r="V72" s="255"/>
      <c r="W72" s="255"/>
      <c r="X72" s="37"/>
      <c r="Y72" s="602">
        <f>MenuAVS!$C31</f>
        <v>760</v>
      </c>
      <c r="Z72" s="175" t="str">
        <f>ListAVS!$B$90&amp;" ("&amp;Y72&amp;" kg/m3)"</f>
        <v>MDF (760 kg/m3)</v>
      </c>
      <c r="AA72" s="149"/>
      <c r="AB72" s="118"/>
      <c r="AC72" s="37"/>
      <c r="AE72" s="178"/>
      <c r="AF72" s="179"/>
      <c r="AM72" s="118"/>
      <c r="AN72" s="37"/>
      <c r="AQ72" s="118"/>
    </row>
    <row r="73" spans="1:44" ht="15" customHeight="1" x14ac:dyDescent="0.2">
      <c r="A73" s="255"/>
      <c r="N73" s="255"/>
      <c r="O73" s="255"/>
      <c r="P73" s="255"/>
      <c r="Q73" s="255"/>
      <c r="R73" s="255"/>
      <c r="S73" s="255"/>
      <c r="T73" s="255"/>
      <c r="U73" s="255"/>
      <c r="V73" s="255"/>
      <c r="W73" s="255"/>
      <c r="X73" s="37"/>
      <c r="Y73" s="602">
        <f>MenuAVS!$C32</f>
        <v>680</v>
      </c>
      <c r="Z73" s="175" t="str">
        <f>ListAVS!$B$91&amp;" ("&amp;Y73&amp;" kg/m3)"</f>
        <v>Płyta wiórowa (680 kg/m3)</v>
      </c>
      <c r="AA73" s="149"/>
      <c r="AB73" s="118"/>
      <c r="AC73" s="37"/>
      <c r="AE73" s="181"/>
      <c r="AF73" s="178"/>
      <c r="AM73" s="118"/>
      <c r="AN73" s="37"/>
      <c r="AQ73" s="118"/>
      <c r="AR73" s="118"/>
    </row>
    <row r="74" spans="1:44" ht="15" customHeight="1" x14ac:dyDescent="0.2">
      <c r="A74" s="255"/>
      <c r="N74" s="266"/>
      <c r="O74" s="266"/>
      <c r="P74" s="266"/>
      <c r="Q74" s="255"/>
      <c r="R74" s="1148" t="str">
        <f>D9</f>
        <v xml:space="preserve"> </v>
      </c>
      <c r="S74" s="1149"/>
      <c r="T74" s="1150"/>
      <c r="U74" s="255"/>
      <c r="V74" s="255"/>
      <c r="W74" s="255"/>
      <c r="X74" s="37"/>
      <c r="Y74" s="602">
        <f>MenuAVS!$F31</f>
        <v>1350</v>
      </c>
      <c r="Z74" s="175" t="str">
        <f>ListAVS!$B$96&amp;" ("&amp;Y74&amp;" kg/m3)"</f>
        <v>Płyta kompaktowa (1350 kg/m3)</v>
      </c>
      <c r="AA74" s="184"/>
      <c r="AB74" s="184"/>
      <c r="AC74" s="178"/>
      <c r="AE74" s="181"/>
      <c r="AF74" s="178"/>
      <c r="AM74" s="184"/>
      <c r="AN74" s="178"/>
      <c r="AQ74" s="118"/>
      <c r="AR74" s="118"/>
    </row>
    <row r="75" spans="1:44" s="118" customFormat="1" ht="15" customHeight="1" x14ac:dyDescent="0.2">
      <c r="A75" s="255"/>
      <c r="N75" s="1138" t="str">
        <f>ListAVS!$B$74&amp;" KB [mm]       "</f>
        <v xml:space="preserve">Szerokość korpusu KB [mm]       </v>
      </c>
      <c r="O75" s="1139"/>
      <c r="P75" s="1139"/>
      <c r="Q75" s="1139"/>
      <c r="R75" s="1139"/>
      <c r="S75" s="1140"/>
      <c r="T75" s="829">
        <f>H10</f>
        <v>0</v>
      </c>
      <c r="U75" s="670"/>
      <c r="V75" s="248"/>
      <c r="W75" s="255"/>
      <c r="X75" s="37"/>
      <c r="Y75" s="602">
        <f>MenuAVS!$F32</f>
        <v>1700</v>
      </c>
      <c r="Z75" s="175" t="str">
        <f>ListAVS!$B$97&amp;" ("&amp;Y75&amp;" kg/m3)"</f>
        <v>Płyta kompozytowa (1700 kg/m3)</v>
      </c>
      <c r="AA75" s="184"/>
      <c r="AB75" s="184"/>
      <c r="AC75" s="178"/>
      <c r="AE75" s="181"/>
      <c r="AF75" s="178"/>
      <c r="AM75" s="184"/>
      <c r="AN75" s="178"/>
      <c r="AO75" s="137"/>
      <c r="AP75" s="137"/>
    </row>
    <row r="76" spans="1:44" s="118" customFormat="1" ht="15" customHeight="1" x14ac:dyDescent="0.2">
      <c r="A76" s="255"/>
      <c r="N76" s="1138" t="str">
        <f>ListAVS!$B$75&amp;" KH [mm]       "</f>
        <v xml:space="preserve">Wysokość korpusu KH [mm]       </v>
      </c>
      <c r="O76" s="1139"/>
      <c r="P76" s="1139"/>
      <c r="Q76" s="1139"/>
      <c r="R76" s="1139"/>
      <c r="S76" s="1140"/>
      <c r="T76" s="829">
        <f>H11</f>
        <v>0</v>
      </c>
      <c r="U76" s="670"/>
      <c r="V76" s="248"/>
      <c r="W76" s="255"/>
      <c r="X76" s="37"/>
      <c r="Y76" s="602">
        <f>MenuAVS!$F33</f>
        <v>2600</v>
      </c>
      <c r="Z76" s="175" t="str">
        <f>ListAVS!$B$98&amp;" ("&amp;Y76&amp;" kg/m3)"</f>
        <v>Kamień (2600 kg/m3)</v>
      </c>
      <c r="AA76" s="184"/>
      <c r="AB76" s="184"/>
      <c r="AC76" s="178"/>
      <c r="AE76" s="178"/>
      <c r="AF76" s="178"/>
      <c r="AM76" s="184"/>
      <c r="AN76" s="178"/>
      <c r="AO76" s="137"/>
      <c r="AP76" s="137"/>
      <c r="AQ76" s="137"/>
    </row>
    <row r="77" spans="1:44" s="118" customFormat="1" ht="15" customHeight="1" x14ac:dyDescent="0.2">
      <c r="A77" s="255"/>
      <c r="N77" s="1143" t="str">
        <f>ListAVS!$B$80&amp;" TS [mm] "</f>
        <v xml:space="preserve">Grubość frontu TS [mm] </v>
      </c>
      <c r="O77" s="1144"/>
      <c r="P77" s="1144"/>
      <c r="Q77" s="1144"/>
      <c r="R77" s="1144"/>
      <c r="S77" s="1145"/>
      <c r="T77" s="831">
        <f>H13</f>
        <v>0</v>
      </c>
      <c r="U77" s="256" t="str">
        <f>IF(SUM(T75,T76)=0," ",IF(T77=0," ● "&amp;ListAVS!$B$129, IF(T77&lt;8," min 8 mm!",IF(T77&gt;14," max. 14 mm!"," "))))</f>
        <v xml:space="preserve"> </v>
      </c>
      <c r="V77" s="248"/>
      <c r="W77" s="255"/>
      <c r="X77" s="37"/>
      <c r="Y77" s="602">
        <f>MenuAVS!$I31</f>
        <v>2400</v>
      </c>
      <c r="Z77" s="175" t="str">
        <f>ListAVS!$B$99&amp;" ("&amp;Y77&amp;" kg/m3)"</f>
        <v>Ceramika (2400 kg/m3)</v>
      </c>
      <c r="AA77" s="184"/>
      <c r="AB77" s="184"/>
      <c r="AC77" s="178"/>
      <c r="AE77" s="178"/>
      <c r="AF77" s="178"/>
      <c r="AM77" s="184"/>
      <c r="AN77" s="178"/>
      <c r="AO77" s="137"/>
      <c r="AP77" s="137"/>
      <c r="AQ77" s="137"/>
    </row>
    <row r="78" spans="1:44" s="118" customFormat="1" ht="15" customHeight="1" x14ac:dyDescent="0.2">
      <c r="A78" s="255"/>
      <c r="N78" s="1143" t="str">
        <f>ListAVS!$B$83&amp;" [kg] "</f>
        <v xml:space="preserve">Waga uchwytu [kg] </v>
      </c>
      <c r="O78" s="1144"/>
      <c r="P78" s="1144"/>
      <c r="Q78" s="1144"/>
      <c r="R78" s="1144"/>
      <c r="S78" s="1145"/>
      <c r="T78" s="831">
        <f>H14</f>
        <v>0</v>
      </c>
      <c r="U78" s="256" t="str">
        <f>IF($U$16=3," ",IF(SUM(T75,T76)=0," ",IF(T78=0," ● "&amp;ListAVS!$B$130," ")))</f>
        <v xml:space="preserve"> </v>
      </c>
      <c r="V78" s="248"/>
      <c r="W78" s="255"/>
      <c r="X78" s="37"/>
      <c r="Y78" s="602">
        <f>MenuAVS!$I32</f>
        <v>2300</v>
      </c>
      <c r="Z78" s="175" t="str">
        <f>ListAVS!$B$100&amp;" ("&amp;Y78&amp;" kg/m3)"</f>
        <v>Beton (2300 kg/m3)</v>
      </c>
      <c r="AA78" s="184"/>
      <c r="AB78" s="184"/>
      <c r="AC78" s="178"/>
      <c r="AE78" s="178"/>
      <c r="AF78" s="178"/>
      <c r="AM78" s="184"/>
      <c r="AN78" s="178"/>
      <c r="AO78" s="137"/>
      <c r="AP78" s="137"/>
      <c r="AR78" s="137"/>
    </row>
    <row r="79" spans="1:44" s="118" customFormat="1" ht="15" customHeight="1" x14ac:dyDescent="0.2">
      <c r="A79" s="255"/>
      <c r="N79" s="1143" t="str">
        <f>ListAVS!$B$79&amp;" [kg] "</f>
        <v xml:space="preserve">Obliczona waga frontu [kg] </v>
      </c>
      <c r="O79" s="1144"/>
      <c r="P79" s="1144"/>
      <c r="Q79" s="1144"/>
      <c r="R79" s="1144"/>
      <c r="S79" s="1145"/>
      <c r="T79" s="534">
        <f>IF(X79=0,0,X79+2*T78)</f>
        <v>0</v>
      </c>
      <c r="U79" s="227"/>
      <c r="V79" s="248"/>
      <c r="W79" s="255"/>
      <c r="X79" s="186">
        <f>IF(T75*T76*T77=0,0,IF(Z71=1,Y71*Y72,IF(Z71=2,Y71*Y73, IF(Z71=3,Y71*Y74, IF(Z71=4, Y71*Y75, IF(Z71=5, Y71*Y76, IF(Z71=6, Y71*Y77, IF(Z71=7, Y71*Y78, Y71*Y79))))))))</f>
        <v>0</v>
      </c>
      <c r="Y79" s="144">
        <f>$T$69</f>
        <v>0</v>
      </c>
      <c r="Z79" s="175" t="str">
        <f>ListAVS!$B$92</f>
        <v>Inne – wybrana gęstość materiału</v>
      </c>
      <c r="AC79" s="37"/>
      <c r="AE79" s="178"/>
      <c r="AF79" s="178"/>
      <c r="AN79" s="37"/>
      <c r="AO79" s="137"/>
      <c r="AP79" s="137"/>
      <c r="AR79" s="137"/>
    </row>
    <row r="80" spans="1:44" ht="15" customHeight="1" x14ac:dyDescent="0.2">
      <c r="A80" s="255"/>
      <c r="N80" s="255"/>
      <c r="O80" s="273" t="str">
        <f>IF((U16=3)*AND(T79&gt;0)*AND(T78&gt;0),$Y$94&amp;" "&amp;$Y$95,IF((U16&lt;&gt;3)*AND(T79&gt;0),IF(T78=0,$Y$93," ")," "))</f>
        <v xml:space="preserve"> </v>
      </c>
      <c r="P80" s="255"/>
      <c r="Q80" s="255"/>
      <c r="R80" s="255"/>
      <c r="S80" s="255"/>
      <c r="T80" s="255"/>
      <c r="U80" s="255"/>
      <c r="V80" s="255"/>
      <c r="W80" s="255"/>
      <c r="X80" s="37"/>
      <c r="AE80" s="178"/>
      <c r="AF80" s="178"/>
      <c r="AM80" s="118"/>
      <c r="AN80" s="37"/>
      <c r="AQ80" s="118"/>
      <c r="AR80" s="118"/>
    </row>
    <row r="81" spans="1:44" ht="15" customHeight="1" x14ac:dyDescent="0.2">
      <c r="A81" s="255"/>
      <c r="N81" s="255"/>
      <c r="O81" s="255"/>
      <c r="P81" s="255"/>
      <c r="Q81" s="255"/>
      <c r="R81" s="255"/>
      <c r="S81" s="255"/>
      <c r="T81" s="255"/>
      <c r="U81" s="255"/>
      <c r="V81" s="255"/>
      <c r="W81" s="255"/>
      <c r="X81" s="37"/>
      <c r="Y81" s="37"/>
      <c r="Z81" s="37"/>
      <c r="AA81" s="176">
        <f>IF(OR(T88&lt;8, T88&gt;14), 0, 1)</f>
        <v>0</v>
      </c>
      <c r="AB81" s="176"/>
      <c r="AC81" s="176"/>
      <c r="AE81" s="187"/>
      <c r="AF81" s="178"/>
      <c r="AM81" s="37"/>
      <c r="AN81" s="37"/>
      <c r="AQ81" s="118"/>
      <c r="AR81" s="118"/>
    </row>
    <row r="82" spans="1:44" ht="15" customHeight="1" x14ac:dyDescent="0.2">
      <c r="A82" s="255"/>
      <c r="N82" s="255"/>
      <c r="O82" s="255"/>
      <c r="P82" s="255"/>
      <c r="Q82" s="255"/>
      <c r="R82" s="255"/>
      <c r="S82" s="255"/>
      <c r="T82" s="255"/>
      <c r="U82" s="255"/>
      <c r="V82" s="255"/>
      <c r="W82" s="255"/>
      <c r="X82" s="37"/>
      <c r="Y82" s="37">
        <f>IF(AA$81=1, T86*T87*T88/1000000000, 0)</f>
        <v>0</v>
      </c>
      <c r="Z82" s="182">
        <f>Z71</f>
        <v>3</v>
      </c>
      <c r="AA82" s="180" t="s">
        <v>88</v>
      </c>
      <c r="AB82" s="180"/>
      <c r="AC82" s="180"/>
      <c r="AD82" s="37"/>
      <c r="AE82" s="187"/>
      <c r="AF82" s="178"/>
      <c r="AG82" s="193"/>
      <c r="AH82" s="118"/>
      <c r="AI82" s="37"/>
      <c r="AJ82" s="118"/>
      <c r="AK82" s="37"/>
      <c r="AL82" s="37"/>
      <c r="AM82" s="37"/>
      <c r="AN82" s="37"/>
      <c r="AQ82" s="118"/>
      <c r="AR82" s="118"/>
    </row>
    <row r="83" spans="1:44" ht="15" customHeight="1" x14ac:dyDescent="0.2">
      <c r="A83" s="255"/>
      <c r="N83" s="255"/>
      <c r="O83" s="255"/>
      <c r="P83" s="255"/>
      <c r="Q83" s="255"/>
      <c r="R83" s="255"/>
      <c r="S83" s="255"/>
      <c r="T83" s="255"/>
      <c r="U83" s="255"/>
      <c r="V83" s="255"/>
      <c r="W83" s="255"/>
      <c r="X83" s="37"/>
      <c r="Y83" s="602">
        <f>$Y$72</f>
        <v>760</v>
      </c>
      <c r="Z83" s="37" t="str">
        <f>$Z$72</f>
        <v>MDF (760 kg/m3)</v>
      </c>
      <c r="AA83" s="118"/>
      <c r="AB83" s="184"/>
      <c r="AC83" s="184"/>
      <c r="AD83" s="37"/>
      <c r="AE83" s="187"/>
      <c r="AF83" s="178"/>
      <c r="AG83" s="193"/>
      <c r="AH83" s="118"/>
      <c r="AI83" s="37"/>
      <c r="AJ83" s="118"/>
      <c r="AK83" s="37"/>
      <c r="AL83" s="37"/>
      <c r="AM83" s="37"/>
      <c r="AN83" s="37"/>
      <c r="AQ83" s="118"/>
      <c r="AR83" s="118"/>
    </row>
    <row r="84" spans="1:44" s="118" customFormat="1" ht="15" customHeight="1" x14ac:dyDescent="0.2">
      <c r="A84" s="255"/>
      <c r="N84" s="255"/>
      <c r="O84" s="255"/>
      <c r="P84" s="255"/>
      <c r="Q84" s="255"/>
      <c r="R84" s="255"/>
      <c r="S84" s="255"/>
      <c r="T84" s="255"/>
      <c r="U84" s="255"/>
      <c r="V84" s="255"/>
      <c r="W84" s="255"/>
      <c r="X84" s="37"/>
      <c r="Y84" s="602">
        <f>$Y$73</f>
        <v>680</v>
      </c>
      <c r="Z84" s="37" t="str">
        <f>$Z$73</f>
        <v>Płyta wiórowa (680 kg/m3)</v>
      </c>
      <c r="AB84" s="184"/>
      <c r="AC84" s="184"/>
      <c r="AD84" s="37"/>
      <c r="AE84" s="187"/>
      <c r="AF84" s="178"/>
      <c r="AG84" s="37"/>
      <c r="AH84" s="37"/>
      <c r="AJ84" s="37"/>
      <c r="AK84" s="37"/>
      <c r="AL84" s="37"/>
      <c r="AM84" s="37"/>
      <c r="AN84" s="37"/>
      <c r="AO84" s="137"/>
      <c r="AP84" s="137"/>
    </row>
    <row r="85" spans="1:44" s="118" customFormat="1" ht="15" customHeight="1" x14ac:dyDescent="0.2">
      <c r="A85" s="255"/>
      <c r="N85" s="248"/>
      <c r="O85" s="248"/>
      <c r="P85" s="248"/>
      <c r="Q85" s="255"/>
      <c r="R85" s="1148" t="str">
        <f>D20</f>
        <v xml:space="preserve"> </v>
      </c>
      <c r="S85" s="1149"/>
      <c r="T85" s="1150"/>
      <c r="U85" s="255"/>
      <c r="V85" s="255"/>
      <c r="W85" s="255"/>
      <c r="X85" s="37"/>
      <c r="Y85" s="602">
        <f>$Y$74</f>
        <v>1350</v>
      </c>
      <c r="Z85" s="37" t="str">
        <f>$Z$74</f>
        <v>Płyta kompaktowa (1350 kg/m3)</v>
      </c>
      <c r="AA85" s="184"/>
      <c r="AB85" s="184"/>
      <c r="AC85" s="184"/>
      <c r="AD85" s="37"/>
      <c r="AE85" s="187"/>
      <c r="AF85" s="178"/>
      <c r="AG85" s="178"/>
      <c r="AH85" s="178"/>
      <c r="AI85" s="178"/>
      <c r="AJ85" s="37"/>
      <c r="AK85" s="37"/>
      <c r="AL85" s="37"/>
      <c r="AM85" s="37"/>
      <c r="AN85" s="37"/>
      <c r="AO85" s="137"/>
      <c r="AP85" s="137"/>
    </row>
    <row r="86" spans="1:44" s="118" customFormat="1" ht="15" customHeight="1" x14ac:dyDescent="0.2">
      <c r="A86" s="255"/>
      <c r="N86" s="1138" t="str">
        <f>ListAVS!$B$74&amp;" KB [mm]       "</f>
        <v xml:space="preserve">Szerokość korpusu KB [mm]       </v>
      </c>
      <c r="O86" s="1139"/>
      <c r="P86" s="1139"/>
      <c r="Q86" s="1139"/>
      <c r="R86" s="1139"/>
      <c r="S86" s="1140"/>
      <c r="T86" s="829">
        <f>H21</f>
        <v>0</v>
      </c>
      <c r="U86" s="670"/>
      <c r="V86" s="255"/>
      <c r="W86" s="255"/>
      <c r="X86" s="37"/>
      <c r="Y86" s="602">
        <f>$Y$75</f>
        <v>1700</v>
      </c>
      <c r="Z86" s="37" t="str">
        <f>$Z$75</f>
        <v>Płyta kompozytowa (1700 kg/m3)</v>
      </c>
      <c r="AA86" s="184"/>
      <c r="AB86" s="184"/>
      <c r="AC86" s="184"/>
      <c r="AG86" s="178"/>
      <c r="AH86" s="178"/>
      <c r="AI86" s="178"/>
      <c r="AJ86" s="37"/>
      <c r="AK86" s="37"/>
      <c r="AL86" s="37"/>
      <c r="AM86" s="37"/>
      <c r="AN86" s="37"/>
      <c r="AO86" s="137"/>
      <c r="AP86" s="137"/>
    </row>
    <row r="87" spans="1:44" s="118" customFormat="1" ht="15" customHeight="1" x14ac:dyDescent="0.2">
      <c r="A87" s="255"/>
      <c r="N87" s="1138" t="str">
        <f>ListAVS!$B$75&amp;" KH [mm]       "</f>
        <v xml:space="preserve">Wysokość korpusu KH [mm]       </v>
      </c>
      <c r="O87" s="1139"/>
      <c r="P87" s="1139"/>
      <c r="Q87" s="1139"/>
      <c r="R87" s="1139"/>
      <c r="S87" s="1140"/>
      <c r="T87" s="829">
        <f>H22</f>
        <v>0</v>
      </c>
      <c r="U87" s="670"/>
      <c r="V87" s="255"/>
      <c r="W87" s="255"/>
      <c r="X87" s="37"/>
      <c r="Y87" s="602">
        <f>$Y$76</f>
        <v>2600</v>
      </c>
      <c r="Z87" s="37" t="str">
        <f>$Z$76</f>
        <v>Kamień (2600 kg/m3)</v>
      </c>
      <c r="AA87" s="184"/>
      <c r="AB87" s="184"/>
      <c r="AC87" s="184"/>
      <c r="AG87" s="188"/>
      <c r="AH87" s="178"/>
      <c r="AI87" s="178"/>
      <c r="AJ87" s="37"/>
      <c r="AK87" s="108"/>
      <c r="AL87" s="108"/>
      <c r="AM87" s="108"/>
      <c r="AN87" s="108"/>
      <c r="AO87" s="137"/>
      <c r="AP87" s="137"/>
    </row>
    <row r="88" spans="1:44" s="118" customFormat="1" ht="15" customHeight="1" x14ac:dyDescent="0.2">
      <c r="A88" s="255"/>
      <c r="N88" s="1143" t="str">
        <f>ListAVS!$B$80&amp;" TS [mm] "</f>
        <v xml:space="preserve">Grubość frontu TS [mm] </v>
      </c>
      <c r="O88" s="1144"/>
      <c r="P88" s="1144"/>
      <c r="Q88" s="1144"/>
      <c r="R88" s="1144"/>
      <c r="S88" s="1145"/>
      <c r="T88" s="831">
        <f>H24</f>
        <v>0</v>
      </c>
      <c r="U88" s="256" t="str">
        <f>IF(SUM(T86,T87)=0," ",IF(T88=0," ● "&amp;ListAVS!$B$129, IF(T88&lt;8," min 8 mm!",IF(T88&gt;14," max. 14 mm!"," "))))</f>
        <v xml:space="preserve"> </v>
      </c>
      <c r="V88" s="248"/>
      <c r="W88" s="248"/>
      <c r="X88" s="37"/>
      <c r="Y88" s="602">
        <f>$Y$77</f>
        <v>2400</v>
      </c>
      <c r="Z88" s="37" t="str">
        <f>$Z$77</f>
        <v>Ceramika (2400 kg/m3)</v>
      </c>
      <c r="AA88" s="184"/>
      <c r="AG88" s="179"/>
      <c r="AH88" s="178"/>
      <c r="AI88" s="178"/>
      <c r="AJ88" s="37"/>
      <c r="AK88" s="108"/>
      <c r="AL88" s="108"/>
      <c r="AM88" s="108"/>
      <c r="AN88" s="108"/>
      <c r="AO88" s="137"/>
      <c r="AP88" s="137"/>
    </row>
    <row r="89" spans="1:44" s="118" customFormat="1" ht="15" customHeight="1" x14ac:dyDescent="0.2">
      <c r="A89" s="255"/>
      <c r="N89" s="1143" t="str">
        <f>ListAVS!$B$83&amp;" [kg] "</f>
        <v xml:space="preserve">Waga uchwytu [kg] </v>
      </c>
      <c r="O89" s="1144"/>
      <c r="P89" s="1144"/>
      <c r="Q89" s="1144"/>
      <c r="R89" s="1144"/>
      <c r="S89" s="1145"/>
      <c r="T89" s="831">
        <f>H25</f>
        <v>0</v>
      </c>
      <c r="U89" s="256" t="str">
        <f>IF($U$27=3," ",IF(SUM(T86,T87)=0," ",IF(T89=0," ● "&amp;ListAVS!$B$130," ")))</f>
        <v xml:space="preserve"> </v>
      </c>
      <c r="V89" s="248"/>
      <c r="W89" s="248"/>
      <c r="X89" s="37"/>
      <c r="Y89" s="602">
        <f>$Y$78</f>
        <v>2300</v>
      </c>
      <c r="Z89" s="37" t="str">
        <f>$Z$78</f>
        <v>Beton (2300 kg/m3)</v>
      </c>
      <c r="AA89" s="184"/>
      <c r="AB89" s="37"/>
      <c r="AC89" s="37"/>
      <c r="AD89" s="37"/>
      <c r="AE89" s="193"/>
      <c r="AF89" s="37"/>
      <c r="AG89" s="37"/>
      <c r="AH89" s="37"/>
      <c r="AI89" s="37"/>
      <c r="AJ89" s="108"/>
      <c r="AK89" s="108"/>
      <c r="AL89" s="108"/>
      <c r="AM89" s="108"/>
      <c r="AN89" s="108"/>
      <c r="AO89" s="137"/>
      <c r="AP89" s="137"/>
    </row>
    <row r="90" spans="1:44" s="118" customFormat="1" ht="15" customHeight="1" x14ac:dyDescent="0.2">
      <c r="A90" s="255"/>
      <c r="N90" s="1143" t="str">
        <f>ListAVS!$B$79&amp;" [kg] "</f>
        <v xml:space="preserve">Obliczona waga frontu [kg] </v>
      </c>
      <c r="O90" s="1144"/>
      <c r="P90" s="1144"/>
      <c r="Q90" s="1144"/>
      <c r="R90" s="1144"/>
      <c r="S90" s="1145"/>
      <c r="T90" s="534">
        <f>IF(X90=0,0,X90+2*T89)</f>
        <v>0</v>
      </c>
      <c r="U90" s="227"/>
      <c r="V90" s="248"/>
      <c r="W90" s="248"/>
      <c r="X90" s="186">
        <f>IF(T86*T87*T88=0,0,IF(Z82=1,Y82*Y83,IF(Z82=2,Y82*Y84, IF(Z82=3,Y82*Y85, IF(Z82=4, Y82*Y86, IF(Z82=5, Y82*Y87, IF(Z82=6, Y82*Y88, IF(Z82=7, Y82*Y89, Y82*Y90))))))))</f>
        <v>0</v>
      </c>
      <c r="Y90" s="144">
        <f>$Y$79</f>
        <v>0</v>
      </c>
      <c r="Z90" s="37" t="str">
        <f>$Z$79</f>
        <v>Inne – wybrana gęstość materiału</v>
      </c>
      <c r="AB90" s="37"/>
      <c r="AC90" s="37"/>
      <c r="AD90" s="37"/>
      <c r="AE90" s="37"/>
      <c r="AF90" s="37"/>
      <c r="AG90" s="37"/>
      <c r="AH90" s="37"/>
      <c r="AI90" s="37"/>
      <c r="AJ90" s="108"/>
      <c r="AK90" s="108"/>
      <c r="AL90" s="108"/>
      <c r="AM90" s="108"/>
      <c r="AN90" s="108"/>
      <c r="AO90" s="137"/>
      <c r="AP90" s="137"/>
    </row>
    <row r="91" spans="1:44" s="118" customFormat="1" ht="15" customHeight="1" x14ac:dyDescent="0.2">
      <c r="A91" s="255"/>
      <c r="N91" s="255"/>
      <c r="O91" s="273" t="str">
        <f>IF((U27=3)*AND(T90&gt;0)*AND(T89&gt;0),$Y$94&amp;" "&amp;$Y$95,IF((U27&lt;&gt;3)*AND(T90&gt;0),IF(T89=0,$Y$93," ")," "))</f>
        <v xml:space="preserve"> </v>
      </c>
      <c r="P91" s="255"/>
      <c r="Q91" s="255"/>
      <c r="R91" s="255"/>
      <c r="S91" s="255"/>
      <c r="T91" s="255"/>
      <c r="U91" s="255"/>
      <c r="V91" s="255"/>
      <c r="W91" s="255"/>
      <c r="X91" s="37"/>
      <c r="Y91" s="37"/>
      <c r="Z91" s="37"/>
      <c r="AB91" s="37"/>
      <c r="AD91" s="37"/>
      <c r="AE91" s="37"/>
      <c r="AF91" s="37"/>
      <c r="AG91" s="37"/>
      <c r="AH91" s="37"/>
      <c r="AI91" s="37"/>
      <c r="AJ91" s="108"/>
      <c r="AK91" s="108"/>
      <c r="AL91" s="108"/>
      <c r="AM91" s="108"/>
      <c r="AN91" s="108"/>
      <c r="AO91" s="137"/>
      <c r="AP91" s="137"/>
    </row>
    <row r="92" spans="1:44" s="118" customFormat="1" ht="15" customHeight="1" x14ac:dyDescent="0.2">
      <c r="A92" s="255"/>
      <c r="N92" s="255"/>
      <c r="O92" s="255"/>
      <c r="P92" s="255"/>
      <c r="Q92" s="255"/>
      <c r="R92" s="255"/>
      <c r="S92" s="255"/>
      <c r="T92" s="255"/>
      <c r="U92" s="255"/>
      <c r="V92" s="255"/>
      <c r="W92" s="255"/>
      <c r="X92" s="37"/>
      <c r="Y92" s="37"/>
      <c r="Z92" s="37"/>
      <c r="AB92" s="37"/>
      <c r="AD92" s="37"/>
      <c r="AE92" s="37"/>
      <c r="AF92" s="37"/>
      <c r="AG92" s="37"/>
      <c r="AH92" s="37"/>
      <c r="AI92" s="37"/>
      <c r="AJ92" s="108"/>
      <c r="AK92" s="108"/>
      <c r="AL92" s="108"/>
      <c r="AM92" s="108"/>
      <c r="AN92" s="108"/>
      <c r="AO92" s="137"/>
      <c r="AP92" s="137"/>
    </row>
    <row r="93" spans="1:44" s="118" customFormat="1" ht="15" customHeight="1" x14ac:dyDescent="0.2">
      <c r="A93" s="255"/>
      <c r="N93" s="255"/>
      <c r="O93" s="255"/>
      <c r="P93" s="255"/>
      <c r="Q93" s="255"/>
      <c r="R93" s="255"/>
      <c r="S93" s="255"/>
      <c r="T93" s="255"/>
      <c r="U93" s="255"/>
      <c r="V93" s="255"/>
      <c r="W93" s="255"/>
      <c r="X93" s="37"/>
      <c r="Y93" s="37" t="str">
        <f>ListAVS!$B$103&amp;"!"</f>
        <v>Bez wagi uchwytu!</v>
      </c>
      <c r="Z93" s="37"/>
      <c r="AB93" s="37"/>
      <c r="AD93" s="37"/>
      <c r="AE93" s="37"/>
      <c r="AF93" s="37"/>
      <c r="AG93" s="37"/>
      <c r="AH93" s="37"/>
      <c r="AI93" s="37"/>
      <c r="AJ93" s="108"/>
      <c r="AK93" s="108"/>
      <c r="AL93" s="108"/>
      <c r="AM93" s="108"/>
      <c r="AN93" s="108"/>
      <c r="AO93" s="137"/>
      <c r="AP93" s="137"/>
    </row>
    <row r="94" spans="1:44" s="118" customFormat="1" ht="15" customHeight="1" x14ac:dyDescent="0.2">
      <c r="A94" s="255"/>
      <c r="N94" s="255"/>
      <c r="O94" s="255"/>
      <c r="P94" s="255"/>
      <c r="Q94" s="255"/>
      <c r="R94" s="255"/>
      <c r="S94" s="255"/>
      <c r="T94" s="255"/>
      <c r="U94" s="255"/>
      <c r="V94" s="255"/>
      <c r="W94" s="255"/>
      <c r="X94" s="37"/>
      <c r="Y94" s="37" t="str">
        <f>ListAVS!B104</f>
        <v>Na pewno masz uchwyt do wersji TIP-ON?</v>
      </c>
      <c r="Z94" s="37"/>
      <c r="AB94" s="37"/>
      <c r="AD94" s="37"/>
      <c r="AE94" s="37"/>
      <c r="AF94" s="37"/>
      <c r="AG94" s="37"/>
      <c r="AH94" s="37"/>
      <c r="AI94" s="37"/>
      <c r="AJ94" s="108"/>
      <c r="AK94" s="108"/>
      <c r="AL94" s="108"/>
      <c r="AM94" s="108"/>
      <c r="AN94" s="108"/>
      <c r="AO94" s="137"/>
      <c r="AP94" s="137"/>
    </row>
    <row r="95" spans="1:44" s="118" customFormat="1" ht="15" customHeight="1" x14ac:dyDescent="0.2">
      <c r="A95" s="255"/>
      <c r="N95" s="255"/>
      <c r="O95" s="255"/>
      <c r="P95" s="255"/>
      <c r="Q95" s="255"/>
      <c r="R95" s="255"/>
      <c r="S95" s="255"/>
      <c r="T95" s="255"/>
      <c r="U95" s="255"/>
      <c r="V95" s="255"/>
      <c r="W95" s="255"/>
      <c r="X95" s="37"/>
      <c r="Y95" s="37" t="str">
        <f>ListAVS!B105&amp;"!"</f>
        <v>Jeśli nie wymaż wagę uchwytu!</v>
      </c>
      <c r="Z95" s="37"/>
      <c r="AB95" s="37"/>
      <c r="AD95" s="37"/>
      <c r="AE95" s="37"/>
      <c r="AF95" s="37"/>
      <c r="AG95" s="37"/>
      <c r="AH95" s="37"/>
      <c r="AI95" s="37"/>
      <c r="AJ95" s="108"/>
      <c r="AK95" s="108"/>
      <c r="AL95" s="108"/>
      <c r="AM95" s="108"/>
      <c r="AN95" s="108"/>
      <c r="AO95" s="137"/>
      <c r="AP95" s="137"/>
    </row>
    <row r="96" spans="1:44" s="118" customFormat="1" ht="15" customHeight="1" x14ac:dyDescent="0.2">
      <c r="A96" s="255"/>
      <c r="N96" s="255"/>
      <c r="O96" s="255"/>
      <c r="P96" s="255"/>
      <c r="Q96" s="255"/>
      <c r="R96" s="255"/>
      <c r="S96" s="255"/>
      <c r="T96" s="255"/>
      <c r="U96" s="255"/>
      <c r="V96" s="255"/>
      <c r="W96" s="255"/>
      <c r="X96" s="37"/>
      <c r="Y96" s="37"/>
      <c r="AB96" s="37"/>
      <c r="AD96" s="37"/>
      <c r="AE96" s="37"/>
      <c r="AF96" s="37"/>
      <c r="AG96" s="37"/>
      <c r="AH96" s="37"/>
      <c r="AI96" s="37"/>
      <c r="AJ96" s="108"/>
      <c r="AK96" s="108"/>
      <c r="AL96" s="108"/>
      <c r="AM96" s="108"/>
      <c r="AN96" s="108"/>
      <c r="AO96" s="137"/>
      <c r="AP96" s="137"/>
      <c r="AQ96" s="37"/>
    </row>
    <row r="97" spans="1:44" s="118" customFormat="1" ht="15" customHeight="1" x14ac:dyDescent="0.2">
      <c r="A97" s="255"/>
      <c r="N97" s="255"/>
      <c r="O97" s="255"/>
      <c r="P97" s="255"/>
      <c r="Q97" s="255"/>
      <c r="R97" s="255"/>
      <c r="S97" s="248"/>
      <c r="T97" s="248"/>
      <c r="U97" s="255"/>
      <c r="V97" s="255"/>
      <c r="W97" s="255"/>
      <c r="X97" s="37"/>
      <c r="Y97" s="37"/>
      <c r="AB97" s="37"/>
      <c r="AD97" s="37"/>
      <c r="AE97" s="37"/>
      <c r="AF97" s="37"/>
      <c r="AG97" s="37"/>
      <c r="AH97" s="37"/>
      <c r="AI97" s="37"/>
      <c r="AJ97" s="108"/>
      <c r="AK97" s="108"/>
      <c r="AL97" s="108"/>
      <c r="AM97" s="108"/>
      <c r="AN97" s="108"/>
      <c r="AO97" s="137"/>
      <c r="AP97" s="137"/>
      <c r="AQ97" s="37"/>
    </row>
    <row r="98" spans="1:44" s="118" customFormat="1" ht="15" customHeight="1" x14ac:dyDescent="0.2">
      <c r="A98" s="255"/>
      <c r="N98" s="255"/>
      <c r="O98" s="442"/>
      <c r="P98" s="442"/>
      <c r="Q98" s="442"/>
      <c r="R98" s="442"/>
      <c r="S98" s="442"/>
      <c r="T98" s="442"/>
      <c r="U98" s="442"/>
      <c r="V98" s="442"/>
      <c r="W98" s="442"/>
      <c r="X98" s="37"/>
      <c r="Y98" s="37"/>
      <c r="AB98" s="37"/>
      <c r="AD98" s="37"/>
      <c r="AE98" s="37"/>
      <c r="AF98" s="37"/>
      <c r="AG98" s="37"/>
      <c r="AH98" s="37"/>
      <c r="AI98" s="37"/>
      <c r="AJ98" s="108"/>
      <c r="AK98" s="108"/>
      <c r="AL98" s="108"/>
      <c r="AM98" s="108"/>
      <c r="AN98" s="108"/>
      <c r="AO98" s="137"/>
      <c r="AP98" s="137"/>
      <c r="AQ98" s="37"/>
      <c r="AR98" s="37"/>
    </row>
    <row r="99" spans="1:44" x14ac:dyDescent="0.2">
      <c r="A99" s="1045"/>
    </row>
    <row r="100" spans="1:44" ht="15" customHeight="1" x14ac:dyDescent="0.2">
      <c r="A100" s="1045"/>
      <c r="B100" s="190" t="s">
        <v>19</v>
      </c>
      <c r="C100" s="191"/>
      <c r="D100" s="190"/>
      <c r="E100" s="190"/>
      <c r="F100" s="190"/>
      <c r="G100" s="190"/>
      <c r="H100" s="190"/>
      <c r="I100" s="190"/>
      <c r="J100" s="190"/>
      <c r="K100" s="190"/>
      <c r="L100" s="190"/>
    </row>
    <row r="101" spans="1:44" x14ac:dyDescent="0.2">
      <c r="A101" s="1045"/>
    </row>
    <row r="102" spans="1:44" ht="15" customHeight="1" x14ac:dyDescent="0.2">
      <c r="A102" s="1045"/>
      <c r="B102" s="255" t="str">
        <f>ListAVS!$B$303</f>
        <v>Odpowiedni siłownik będzie określony za pomocą współczynnika mocy</v>
      </c>
      <c r="C102" s="255"/>
      <c r="D102" s="255"/>
      <c r="E102" s="255"/>
      <c r="F102" s="255"/>
      <c r="G102" s="255"/>
      <c r="H102" s="255"/>
      <c r="I102" s="255"/>
      <c r="J102" s="255"/>
      <c r="K102" s="255"/>
      <c r="L102" s="255"/>
    </row>
    <row r="103" spans="1:44" ht="15" customHeight="1" x14ac:dyDescent="0.2">
      <c r="A103" s="1045"/>
      <c r="B103" s="255" t="str">
        <f>ListAVS!$B$341</f>
        <v>Współczynnik mocy zależy od wagi frontu (wraz z podwójną wagą uchwytu) i od wysokości korpusu.</v>
      </c>
      <c r="C103" s="255"/>
      <c r="D103" s="255"/>
      <c r="E103" s="255"/>
      <c r="F103" s="255"/>
      <c r="G103" s="255"/>
      <c r="H103" s="255"/>
      <c r="I103" s="255"/>
      <c r="J103" s="255"/>
      <c r="K103" s="255"/>
      <c r="L103" s="255"/>
    </row>
    <row r="104" spans="1:44" ht="15" customHeight="1" x14ac:dyDescent="0.2">
      <c r="A104" s="1045"/>
      <c r="B104" s="255"/>
      <c r="C104" s="695"/>
      <c r="D104" s="695"/>
      <c r="E104" s="695"/>
      <c r="F104" s="695"/>
      <c r="G104" s="695"/>
      <c r="H104" s="695"/>
      <c r="I104" s="695"/>
      <c r="J104" s="695"/>
      <c r="K104" s="695"/>
      <c r="L104" s="695"/>
    </row>
    <row r="105" spans="1:44" ht="15" customHeight="1" x14ac:dyDescent="0.2">
      <c r="A105" s="1045"/>
      <c r="B105" s="696"/>
      <c r="C105" s="696"/>
      <c r="D105" s="696"/>
      <c r="E105" s="696"/>
      <c r="F105" s="696"/>
      <c r="G105" s="696"/>
      <c r="H105" s="696"/>
      <c r="I105" s="696"/>
      <c r="J105" s="696"/>
      <c r="K105" s="696"/>
      <c r="L105" s="696"/>
    </row>
    <row r="106" spans="1:44" ht="29.65" customHeight="1" x14ac:dyDescent="0.2">
      <c r="A106" s="1045"/>
      <c r="B106" s="746"/>
      <c r="C106" s="746"/>
      <c r="D106" s="698" t="str">
        <f>ListAVS!$B$86&amp;" = "</f>
        <v xml:space="preserve">Współczynnik mocy = </v>
      </c>
      <c r="E106" s="1068" t="str">
        <f>ListAVS!$B$342&amp;" [kg]"</f>
        <v>wysokość korpusu (KH) [mm] x waga frontu wraz z podwójną wagą uchwytu [kg]</v>
      </c>
      <c r="F106" s="1068"/>
      <c r="G106" s="1068"/>
      <c r="H106" s="1068"/>
      <c r="I106" s="1068"/>
      <c r="J106" s="1068"/>
      <c r="K106" s="1068"/>
      <c r="L106" s="1068"/>
      <c r="N106" s="108"/>
    </row>
    <row r="107" spans="1:44" ht="15" customHeight="1" x14ac:dyDescent="0.2">
      <c r="A107" s="1045"/>
      <c r="B107" s="255"/>
      <c r="C107" s="255"/>
      <c r="D107" s="255"/>
      <c r="E107" s="255"/>
      <c r="F107" s="255"/>
      <c r="G107" s="255"/>
      <c r="H107" s="255"/>
      <c r="I107" s="255"/>
      <c r="J107" s="255"/>
      <c r="K107" s="255"/>
      <c r="L107" s="255"/>
    </row>
    <row r="108" spans="1:44" ht="15" customHeight="1" x14ac:dyDescent="0.2">
      <c r="A108" s="1045"/>
      <c r="B108" s="255" t="str">
        <f>ListAVS!$B$355</f>
        <v>W razie wykorzystania trzeciego siłownika współczynnik mocy oraz waga frontu mogą się zwiększyć o 50 %.</v>
      </c>
      <c r="C108" s="255"/>
      <c r="D108" s="255"/>
      <c r="E108" s="255"/>
      <c r="F108" s="255"/>
      <c r="G108" s="255"/>
      <c r="H108" s="255"/>
      <c r="I108" s="255"/>
      <c r="J108" s="255"/>
      <c r="K108" s="255"/>
      <c r="L108" s="255"/>
    </row>
    <row r="109" spans="1:44" ht="15" customHeight="1" x14ac:dyDescent="0.2">
      <c r="A109" s="1045"/>
      <c r="B109" s="255"/>
      <c r="C109" s="255"/>
      <c r="D109" s="255"/>
      <c r="E109" s="255"/>
      <c r="F109" s="255"/>
      <c r="G109" s="255"/>
      <c r="H109" s="255"/>
      <c r="I109" s="255"/>
      <c r="J109" s="255"/>
      <c r="K109" s="255"/>
      <c r="L109" s="255"/>
    </row>
    <row r="110" spans="1:44" ht="15" customHeight="1" x14ac:dyDescent="0.2">
      <c r="A110" s="1045"/>
      <c r="B110" s="273" t="str">
        <f>ListAVS!$B$183</f>
        <v>Dodatkowy trzeci siłownik można zastosować jedynie z pełnym frontem!</v>
      </c>
      <c r="C110" s="255"/>
      <c r="D110" s="255"/>
      <c r="E110" s="255"/>
      <c r="F110" s="255"/>
      <c r="G110" s="255"/>
      <c r="H110" s="255"/>
      <c r="I110" s="255"/>
      <c r="J110" s="255"/>
      <c r="K110" s="255"/>
      <c r="L110" s="255"/>
    </row>
    <row r="111" spans="1:44" ht="15" customHeight="1" x14ac:dyDescent="0.2">
      <c r="A111" s="1045"/>
      <c r="B111" s="255"/>
      <c r="C111" s="255"/>
      <c r="D111" s="255"/>
      <c r="E111" s="255"/>
      <c r="F111" s="255"/>
      <c r="G111" s="255"/>
      <c r="H111" s="255"/>
      <c r="I111" s="255"/>
      <c r="J111" s="255"/>
      <c r="K111" s="255"/>
      <c r="L111" s="255"/>
    </row>
    <row r="112" spans="1:44" ht="15" customHeight="1" x14ac:dyDescent="0.2">
      <c r="A112" s="1045"/>
      <c r="B112" s="255" t="str">
        <f>ListAVS!$B$312</f>
        <v>Jeśli znasz wagę frontu, możesz ją wprowadzić, w przeciwnym razie skorzystaj z „Obliczenia wagi”.</v>
      </c>
      <c r="C112" s="255"/>
      <c r="D112" s="255"/>
      <c r="E112" s="255"/>
      <c r="F112" s="255"/>
      <c r="G112" s="255"/>
      <c r="H112" s="255"/>
      <c r="I112" s="255"/>
      <c r="J112" s="255"/>
      <c r="K112" s="255"/>
      <c r="L112" s="255"/>
    </row>
    <row r="113" spans="1:12" ht="15" customHeight="1" x14ac:dyDescent="0.2">
      <c r="A113" s="1045"/>
      <c r="B113" s="255" t="str">
        <f>ListAVS!$B$313</f>
        <v>W tabeli wprowadzona wartość ma pierwszeństwo aby skorzystać z wagi obliczeniowej, należy usunąć wprowadzoną wartość.</v>
      </c>
      <c r="C113" s="255"/>
      <c r="D113" s="255"/>
      <c r="E113" s="255"/>
      <c r="F113" s="255"/>
      <c r="G113" s="255"/>
      <c r="H113" s="255"/>
      <c r="I113" s="255"/>
      <c r="J113" s="255"/>
      <c r="K113" s="255"/>
      <c r="L113" s="255"/>
    </row>
    <row r="114" spans="1:12" ht="15" customHeight="1" x14ac:dyDescent="0.2">
      <c r="A114" s="1045"/>
      <c r="B114" s="255"/>
      <c r="C114" s="255"/>
      <c r="D114" s="255"/>
      <c r="E114" s="255"/>
      <c r="F114" s="255"/>
      <c r="G114" s="255"/>
      <c r="H114" s="255"/>
      <c r="I114" s="255"/>
      <c r="J114" s="255"/>
      <c r="K114" s="255"/>
      <c r="L114" s="255"/>
    </row>
    <row r="115" spans="1:12" ht="15" customHeight="1" x14ac:dyDescent="0.2">
      <c r="A115" s="1045"/>
      <c r="B115" s="255"/>
      <c r="C115" s="255"/>
      <c r="D115" s="255"/>
      <c r="E115" s="255"/>
      <c r="F115" s="255"/>
      <c r="G115" s="255"/>
      <c r="H115" s="255"/>
      <c r="I115" s="255"/>
      <c r="J115" s="255"/>
      <c r="K115" s="255"/>
      <c r="L115" s="255"/>
    </row>
    <row r="116" spans="1:12" ht="15" customHeight="1" x14ac:dyDescent="0.2">
      <c r="A116" s="1045"/>
      <c r="B116" s="255" t="str">
        <f>ListAVS!$B$306</f>
        <v>Aby zmienić kolor zaślepek przejdź do „Wprowadzenie do planowania”</v>
      </c>
      <c r="C116" s="255"/>
      <c r="D116" s="255"/>
      <c r="E116" s="255"/>
      <c r="F116" s="255"/>
      <c r="G116" s="255"/>
      <c r="H116" s="255"/>
      <c r="I116" s="255"/>
      <c r="J116" s="255"/>
      <c r="K116" s="255"/>
      <c r="L116" s="255"/>
    </row>
    <row r="117" spans="1:12" ht="15" customHeight="1" x14ac:dyDescent="0.2">
      <c r="A117" s="1045"/>
      <c r="B117" s="255"/>
      <c r="C117" s="255"/>
      <c r="D117" s="255"/>
      <c r="E117" s="255"/>
      <c r="F117" s="255"/>
      <c r="G117" s="255"/>
      <c r="H117" s="255"/>
      <c r="I117" s="255"/>
      <c r="J117" s="255"/>
      <c r="K117" s="255"/>
      <c r="L117" s="255"/>
    </row>
    <row r="118" spans="1:12" ht="15" customHeight="1" x14ac:dyDescent="0.2">
      <c r="A118" s="1045"/>
      <c r="B118" s="255"/>
      <c r="C118" s="255"/>
      <c r="D118" s="255"/>
      <c r="E118" s="255"/>
      <c r="F118" s="255"/>
      <c r="G118" s="255"/>
      <c r="H118" s="255"/>
      <c r="I118" s="255"/>
      <c r="J118" s="255"/>
      <c r="K118" s="255"/>
      <c r="L118" s="255"/>
    </row>
    <row r="119" spans="1:12" ht="15" customHeight="1" x14ac:dyDescent="0.2">
      <c r="A119" s="1045"/>
      <c r="B119" s="255"/>
      <c r="C119" s="255"/>
      <c r="D119" s="255"/>
      <c r="E119" s="255"/>
      <c r="F119" s="255"/>
      <c r="G119" s="255"/>
      <c r="H119" s="255"/>
      <c r="I119" s="255"/>
      <c r="J119" s="255"/>
      <c r="K119" s="255"/>
      <c r="L119" s="255"/>
    </row>
    <row r="120" spans="1:12" ht="15" customHeight="1" x14ac:dyDescent="0.2">
      <c r="A120" s="1045"/>
      <c r="B120" s="255"/>
      <c r="C120" s="255"/>
      <c r="D120" s="255"/>
      <c r="E120" s="255"/>
      <c r="F120" s="255"/>
      <c r="G120" s="255"/>
      <c r="H120" s="255"/>
      <c r="I120" s="255"/>
      <c r="J120" s="255"/>
      <c r="K120" s="255"/>
      <c r="L120" s="255"/>
    </row>
    <row r="121" spans="1:12" ht="15" customHeight="1" x14ac:dyDescent="0.2">
      <c r="A121" s="1045"/>
      <c r="B121" s="255"/>
      <c r="C121" s="255"/>
      <c r="D121" s="255"/>
      <c r="E121" s="255"/>
      <c r="F121" s="255"/>
      <c r="G121" s="255"/>
      <c r="H121" s="255"/>
      <c r="I121" s="255"/>
      <c r="J121" s="255"/>
      <c r="K121" s="255"/>
      <c r="L121" s="728" t="str">
        <f>ListAVS!$B$168</f>
        <v>Z powrotem</v>
      </c>
    </row>
    <row r="122" spans="1:12" ht="15" customHeight="1" x14ac:dyDescent="0.2">
      <c r="A122" s="1045"/>
    </row>
    <row r="123" spans="1:12" ht="15" customHeight="1" x14ac:dyDescent="0.2">
      <c r="A123" s="1045"/>
    </row>
    <row r="124" spans="1:12" ht="15" customHeight="1" x14ac:dyDescent="0.2">
      <c r="A124" s="1045"/>
    </row>
    <row r="125" spans="1:12" x14ac:dyDescent="0.2">
      <c r="A125" s="1045"/>
    </row>
    <row r="126" spans="1:12" x14ac:dyDescent="0.2">
      <c r="A126" s="1045"/>
    </row>
    <row r="127" spans="1:12" x14ac:dyDescent="0.2">
      <c r="A127" s="1045"/>
    </row>
    <row r="128" spans="1:12" x14ac:dyDescent="0.2">
      <c r="A128" s="1045"/>
    </row>
    <row r="129" spans="1:1" x14ac:dyDescent="0.2">
      <c r="A129" s="1045"/>
    </row>
    <row r="130" spans="1:1" x14ac:dyDescent="0.2">
      <c r="A130" s="1045"/>
    </row>
    <row r="131" spans="1:1" x14ac:dyDescent="0.2">
      <c r="A131" s="1045"/>
    </row>
    <row r="132" spans="1:1" x14ac:dyDescent="0.2">
      <c r="A132" s="1045"/>
    </row>
    <row r="133" spans="1:1" x14ac:dyDescent="0.2">
      <c r="A133" s="1045"/>
    </row>
    <row r="134" spans="1:1" x14ac:dyDescent="0.2">
      <c r="A134" s="1045"/>
    </row>
    <row r="135" spans="1:1" x14ac:dyDescent="0.2">
      <c r="A135" s="1045"/>
    </row>
    <row r="136" spans="1:1" x14ac:dyDescent="0.2">
      <c r="A136" s="1045"/>
    </row>
    <row r="137" spans="1:1" x14ac:dyDescent="0.2">
      <c r="A137" s="1045"/>
    </row>
    <row r="138" spans="1:1" x14ac:dyDescent="0.2">
      <c r="A138" s="1045"/>
    </row>
    <row r="139" spans="1:1" x14ac:dyDescent="0.2">
      <c r="A139" s="1045"/>
    </row>
    <row r="140" spans="1:1" x14ac:dyDescent="0.2">
      <c r="A140" s="1045"/>
    </row>
  </sheetData>
  <sheetProtection algorithmName="SHA-512" hashValue="T0F5Q/M5m2pQGmMtJEKoCN8TI+NBRBIqTxPmjRXZBOQz0HCa/lD5JuTNN8t25giBcuPZfPn2BGaCQpI9G23X5A==" saltValue="6Mp77wdGPqC6eD9k0V8Gaw==" spinCount="100000" sheet="1" objects="1" scenarios="1"/>
  <mergeCells count="57">
    <mergeCell ref="AQ18:AU19"/>
    <mergeCell ref="AQ20:AU21"/>
    <mergeCell ref="N88:S88"/>
    <mergeCell ref="N89:S89"/>
    <mergeCell ref="N90:S90"/>
    <mergeCell ref="N77:S77"/>
    <mergeCell ref="P70:T70"/>
    <mergeCell ref="R74:T74"/>
    <mergeCell ref="N75:S75"/>
    <mergeCell ref="N76:S76"/>
    <mergeCell ref="N87:S87"/>
    <mergeCell ref="N86:S86"/>
    <mergeCell ref="T30:U30"/>
    <mergeCell ref="N78:S78"/>
    <mergeCell ref="N79:S79"/>
    <mergeCell ref="R85:T85"/>
    <mergeCell ref="B28:G28"/>
    <mergeCell ref="A99:A140"/>
    <mergeCell ref="E106:L106"/>
    <mergeCell ref="B31:J33"/>
    <mergeCell ref="C37:K40"/>
    <mergeCell ref="B44:L48"/>
    <mergeCell ref="B27:C27"/>
    <mergeCell ref="D27:G27"/>
    <mergeCell ref="F20:H20"/>
    <mergeCell ref="B24:C26"/>
    <mergeCell ref="D24:G24"/>
    <mergeCell ref="D25:G25"/>
    <mergeCell ref="D26:G26"/>
    <mergeCell ref="B20:C20"/>
    <mergeCell ref="B23:G23"/>
    <mergeCell ref="B22:G22"/>
    <mergeCell ref="B11:G11"/>
    <mergeCell ref="R20:S20"/>
    <mergeCell ref="V20:W20"/>
    <mergeCell ref="B21:G21"/>
    <mergeCell ref="V21:W21"/>
    <mergeCell ref="B16:C16"/>
    <mergeCell ref="D16:G16"/>
    <mergeCell ref="B17:G17"/>
    <mergeCell ref="B13:C15"/>
    <mergeCell ref="D13:G13"/>
    <mergeCell ref="D14:G14"/>
    <mergeCell ref="D15:G15"/>
    <mergeCell ref="B12:G12"/>
    <mergeCell ref="G7:H7"/>
    <mergeCell ref="B10:G10"/>
    <mergeCell ref="V10:W10"/>
    <mergeCell ref="AQ1:AT1"/>
    <mergeCell ref="B2:D2"/>
    <mergeCell ref="F5:J5"/>
    <mergeCell ref="K4:L5"/>
    <mergeCell ref="B9:C9"/>
    <mergeCell ref="R9:S9"/>
    <mergeCell ref="V9:W9"/>
    <mergeCell ref="F9:H9"/>
    <mergeCell ref="B7:C7"/>
  </mergeCells>
  <conditionalFormatting sqref="B16:C16">
    <cfRule type="expression" dxfId="160" priority="17" stopIfTrue="1">
      <formula>$V$10=TRUE</formula>
    </cfRule>
  </conditionalFormatting>
  <conditionalFormatting sqref="B27:C27">
    <cfRule type="expression" dxfId="159" priority="18" stopIfTrue="1">
      <formula>$V$21=TRUE</formula>
    </cfRule>
  </conditionalFormatting>
  <conditionalFormatting sqref="I26">
    <cfRule type="containsText" dxfId="158" priority="4" operator="containsText" text="Doplňte">
      <formula>NOT(ISERROR(SEARCH("Doplňte",I26)))</formula>
    </cfRule>
  </conditionalFormatting>
  <conditionalFormatting sqref="I23">
    <cfRule type="containsText" dxfId="157" priority="6" operator="containsText" text="Doplňte">
      <formula>NOT(ISERROR(SEARCH("Doplňte",I23)))</formula>
    </cfRule>
  </conditionalFormatting>
  <conditionalFormatting sqref="E9">
    <cfRule type="expression" dxfId="156" priority="65">
      <formula>$M$17&gt;0</formula>
    </cfRule>
  </conditionalFormatting>
  <conditionalFormatting sqref="I15">
    <cfRule type="expression" dxfId="155" priority="66">
      <formula>$M$17=0</formula>
    </cfRule>
    <cfRule type="containsText" dxfId="154" priority="67" operator="containsText" text="Doplňte">
      <formula>NOT(ISERROR(SEARCH("Doplňte",I15)))</formula>
    </cfRule>
  </conditionalFormatting>
  <conditionalFormatting sqref="E20">
    <cfRule type="expression" dxfId="153" priority="76">
      <formula>$M$28&gt;0</formula>
    </cfRule>
  </conditionalFormatting>
  <conditionalFormatting sqref="I23 I26">
    <cfRule type="expression" dxfId="152" priority="77">
      <formula>$M$28=0</formula>
    </cfRule>
  </conditionalFormatting>
  <conditionalFormatting sqref="I12">
    <cfRule type="expression" dxfId="151" priority="1">
      <formula>$M$17=0</formula>
    </cfRule>
    <cfRule type="containsText" dxfId="150" priority="2" operator="containsText" text="Doplňte">
      <formula>NOT(ISERROR(SEARCH("Doplňte",I12)))</formula>
    </cfRule>
  </conditionalFormatting>
  <hyperlinks>
    <hyperlink ref="N75:S75" location="HKt!A1" tooltip=" " display="HKt!A1" xr:uid="{E872E8AD-A9C9-4EC6-AAF3-80AABFBABE16}"/>
    <hyperlink ref="N76:S76" location="HKt!A1" tooltip=" " display="HKt!A1" xr:uid="{E138A9AC-203C-4B19-954A-0B8140275B2D}"/>
    <hyperlink ref="N86:S86" location="HKt!A1" tooltip=" " display="HKt!A1" xr:uid="{97062F35-D083-41B7-9A1E-F80143319B65}"/>
    <hyperlink ref="N87:S87" location="HKt!A1" tooltip=" " display="HKt!A1" xr:uid="{DD045303-5D7C-4147-AC20-8B3282257AD9}"/>
    <hyperlink ref="AN5" location="HKt!A100" tooltip=" " display="HKt!A100" xr:uid="{6F578717-5D17-43E0-AA9D-B2884BB0C58D}"/>
    <hyperlink ref="L121" location="HKt!A1" tooltip=" " display="HKt!A1" xr:uid="{F41EEF89-60A7-4DF2-B26B-71FECCD6D5A8}"/>
    <hyperlink ref="AN9" location="SumAVS!A1" tooltip=" " display="SumAVS!A1" xr:uid="{476E737A-2777-4513-8D47-C5B99FC5E957}"/>
    <hyperlink ref="AN10" location="OrdAVS!A1" tooltip=" " display="OrdAVS!A1" xr:uid="{7D656E94-752F-4283-92D6-759167F28683}"/>
    <hyperlink ref="AN7" location="AcsAVS!A1" tooltip=" " display="AcsAVS!A1" xr:uid="{C6136606-49BB-4FAB-A1DD-02907D808A23}"/>
    <hyperlink ref="AN4" location="MenuAVS!A1" tooltip=" " display="MenuAVS!A1" xr:uid="{CEA6C422-CBF4-4E81-AA4D-048633A156E0}"/>
    <hyperlink ref="B2:C2" location="HK!A1" tooltip=" " display="AVENTOS HK top" xr:uid="{256B5A73-955F-4EC8-9D45-CF72D4A9499B}"/>
  </hyperlinks>
  <pageMargins left="0.62992125984251968" right="0.23622047244094488" top="0.74803149606299213" bottom="0.74803149606299213" header="0.31496062992125984" footer="0.31496062992125984"/>
  <pageSetup paperSize="9" orientation="portrait" horizontalDpi="4294967293"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90113" r:id="rId4" name="Drop Down 1">
              <controlPr defaultSize="0" autoLine="0" autoPict="0">
                <anchor moveWithCells="1">
                  <from>
                    <xdr:col>3</xdr:col>
                    <xdr:colOff>9525</xdr:colOff>
                    <xdr:row>6</xdr:row>
                    <xdr:rowOff>9525</xdr:rowOff>
                  </from>
                  <to>
                    <xdr:col>5</xdr:col>
                    <xdr:colOff>571500</xdr:colOff>
                    <xdr:row>7</xdr:row>
                    <xdr:rowOff>0</xdr:rowOff>
                  </to>
                </anchor>
              </controlPr>
            </control>
          </mc:Choice>
        </mc:AlternateContent>
        <mc:AlternateContent xmlns:mc="http://schemas.openxmlformats.org/markup-compatibility/2006">
          <mc:Choice Requires="x14">
            <control shapeId="90115" r:id="rId5" name="Check Box 3">
              <controlPr defaultSize="0" autoFill="0" autoLine="0" autoPict="0">
                <anchor moveWithCells="1">
                  <from>
                    <xdr:col>2</xdr:col>
                    <xdr:colOff>371475</xdr:colOff>
                    <xdr:row>14</xdr:row>
                    <xdr:rowOff>180975</xdr:rowOff>
                  </from>
                  <to>
                    <xdr:col>2</xdr:col>
                    <xdr:colOff>552450</xdr:colOff>
                    <xdr:row>15</xdr:row>
                    <xdr:rowOff>200025</xdr:rowOff>
                  </to>
                </anchor>
              </controlPr>
            </control>
          </mc:Choice>
        </mc:AlternateContent>
        <mc:AlternateContent xmlns:mc="http://schemas.openxmlformats.org/markup-compatibility/2006">
          <mc:Choice Requires="x14">
            <control shapeId="90116" r:id="rId6" name="Check Box 4">
              <controlPr defaultSize="0" autoFill="0" autoLine="0" autoPict="0">
                <anchor moveWithCells="1">
                  <from>
                    <xdr:col>2</xdr:col>
                    <xdr:colOff>371475</xdr:colOff>
                    <xdr:row>25</xdr:row>
                    <xdr:rowOff>171450</xdr:rowOff>
                  </from>
                  <to>
                    <xdr:col>2</xdr:col>
                    <xdr:colOff>542925</xdr:colOff>
                    <xdr:row>26</xdr:row>
                    <xdr:rowOff>190500</xdr:rowOff>
                  </to>
                </anchor>
              </controlPr>
            </control>
          </mc:Choice>
        </mc:AlternateContent>
        <mc:AlternateContent xmlns:mc="http://schemas.openxmlformats.org/markup-compatibility/2006">
          <mc:Choice Requires="x14">
            <control shapeId="90117" r:id="rId7" name="Drop Down 5">
              <controlPr defaultSize="0" autoLine="0" autoPict="0">
                <anchor moveWithCells="1">
                  <from>
                    <xdr:col>1</xdr:col>
                    <xdr:colOff>0</xdr:colOff>
                    <xdr:row>9</xdr:row>
                    <xdr:rowOff>0</xdr:rowOff>
                  </from>
                  <to>
                    <xdr:col>2</xdr:col>
                    <xdr:colOff>571500</xdr:colOff>
                    <xdr:row>10</xdr:row>
                    <xdr:rowOff>0</xdr:rowOff>
                  </to>
                </anchor>
              </controlPr>
            </control>
          </mc:Choice>
        </mc:AlternateContent>
        <mc:AlternateContent xmlns:mc="http://schemas.openxmlformats.org/markup-compatibility/2006">
          <mc:Choice Requires="x14">
            <control shapeId="90118" r:id="rId8" name="Drop Down 6">
              <controlPr defaultSize="0" autoLine="0" autoPict="0">
                <anchor moveWithCells="1">
                  <from>
                    <xdr:col>1</xdr:col>
                    <xdr:colOff>0</xdr:colOff>
                    <xdr:row>20</xdr:row>
                    <xdr:rowOff>0</xdr:rowOff>
                  </from>
                  <to>
                    <xdr:col>2</xdr:col>
                    <xdr:colOff>571500</xdr:colOff>
                    <xdr:row>21</xdr:row>
                    <xdr:rowOff>0</xdr:rowOff>
                  </to>
                </anchor>
              </controlPr>
            </control>
          </mc:Choice>
        </mc:AlternateContent>
        <mc:AlternateContent xmlns:mc="http://schemas.openxmlformats.org/markup-compatibility/2006">
          <mc:Choice Requires="x14">
            <control shapeId="90119" r:id="rId9" name="Drop Down 7">
              <controlPr defaultSize="0" autoLine="0" autoPict="0">
                <anchor moveWithCells="1">
                  <from>
                    <xdr:col>5</xdr:col>
                    <xdr:colOff>533400</xdr:colOff>
                    <xdr:row>3</xdr:row>
                    <xdr:rowOff>0</xdr:rowOff>
                  </from>
                  <to>
                    <xdr:col>8</xdr:col>
                    <xdr:colOff>571500</xdr:colOff>
                    <xdr:row>3</xdr:row>
                    <xdr:rowOff>200025</xdr:rowOff>
                  </to>
                </anchor>
              </controlPr>
            </control>
          </mc:Choice>
        </mc:AlternateContent>
      </controls>
    </mc:Choice>
  </mc:AlternateConten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43DA3-741C-4239-A626-8DE02B049539}">
  <sheetPr codeName="Sheet49">
    <tabColor theme="2" tint="-0.499984740745262"/>
  </sheetPr>
  <dimension ref="A1:AX232"/>
  <sheetViews>
    <sheetView showGridLines="0" showRowColHeaders="0" zoomScaleNormal="100" workbookViewId="0">
      <selection activeCell="AM26" sqref="AM26"/>
    </sheetView>
  </sheetViews>
  <sheetFormatPr defaultColWidth="8.28515625" defaultRowHeight="12" x14ac:dyDescent="0.2"/>
  <cols>
    <col min="1" max="1" width="1.28515625" style="37" customWidth="1"/>
    <col min="2" max="9" width="8.5703125" style="37" customWidth="1"/>
    <col min="10" max="10" width="6.7109375" style="37" customWidth="1"/>
    <col min="11" max="11" width="10.42578125" style="37" customWidth="1"/>
    <col min="12" max="12" width="17.28515625" style="37" customWidth="1"/>
    <col min="13" max="14" width="6.42578125" style="37" hidden="1" customWidth="1"/>
    <col min="15" max="15" width="6.42578125" style="118" hidden="1" customWidth="1"/>
    <col min="16" max="16" width="6.42578125" style="37" hidden="1" customWidth="1"/>
    <col min="17" max="17" width="6" style="118" hidden="1" customWidth="1"/>
    <col min="18" max="18" width="6.42578125" style="37" hidden="1" customWidth="1"/>
    <col min="19" max="19" width="7.7109375" style="37" hidden="1" customWidth="1"/>
    <col min="20" max="20" width="9.5703125" style="37" hidden="1" customWidth="1"/>
    <col min="21" max="21" width="6.42578125" style="37" hidden="1" customWidth="1"/>
    <col min="22" max="22" width="8.42578125" style="37" hidden="1" customWidth="1"/>
    <col min="23" max="24" width="6.42578125" style="37" hidden="1" customWidth="1"/>
    <col min="25" max="25" width="37.28515625" style="37" hidden="1" customWidth="1"/>
    <col min="26" max="26" width="13.5703125" style="37" hidden="1" customWidth="1"/>
    <col min="27" max="29" width="6.7109375" style="37" hidden="1" customWidth="1"/>
    <col min="30" max="30" width="9.42578125" style="37" hidden="1" customWidth="1"/>
    <col min="31" max="34" width="6.7109375" style="37" hidden="1" customWidth="1"/>
    <col min="35" max="35" width="3.28515625" style="36" hidden="1" customWidth="1"/>
    <col min="36" max="36" width="5.28515625" style="36" customWidth="1"/>
    <col min="37" max="37" width="23.42578125" style="36" customWidth="1"/>
    <col min="38" max="41" width="8.28515625" style="121"/>
    <col min="42" max="42" width="16.42578125" style="121" customWidth="1"/>
    <col min="43" max="43" width="16.28515625" style="121" customWidth="1"/>
    <col min="44" max="44" width="19.5703125" style="121" customWidth="1"/>
    <col min="45" max="16384" width="8.28515625" style="121"/>
  </cols>
  <sheetData>
    <row r="1" spans="1:50" ht="4.5" customHeight="1" thickBot="1" x14ac:dyDescent="0.25">
      <c r="L1" s="137"/>
      <c r="AI1" s="108"/>
      <c r="AJ1" s="108"/>
      <c r="AK1" s="108"/>
      <c r="AL1" s="137"/>
      <c r="AM1" s="137"/>
      <c r="AN1" s="137"/>
      <c r="AO1" s="137"/>
      <c r="AP1" s="1121"/>
      <c r="AQ1" s="1121"/>
      <c r="AR1" s="1121"/>
      <c r="AS1" s="1121"/>
      <c r="AT1" s="1121"/>
      <c r="AU1" s="1121"/>
      <c r="AV1" s="1121"/>
      <c r="AW1" s="1104"/>
      <c r="AX1" s="1104"/>
    </row>
    <row r="2" spans="1:50" s="36" customFormat="1" ht="19.5" customHeight="1" thickBot="1" x14ac:dyDescent="0.25">
      <c r="A2" s="108"/>
      <c r="B2" s="1048" t="s">
        <v>4</v>
      </c>
      <c r="C2" s="1048"/>
      <c r="D2" s="1048"/>
      <c r="E2" s="886"/>
      <c r="F2" s="886"/>
      <c r="G2" s="886"/>
      <c r="H2" s="886"/>
      <c r="I2" s="886"/>
      <c r="J2" s="886"/>
      <c r="K2" s="886"/>
      <c r="L2" s="886"/>
      <c r="M2" s="108"/>
      <c r="N2" s="108"/>
      <c r="O2" s="108"/>
      <c r="P2" s="108"/>
      <c r="Q2" s="108"/>
      <c r="R2" s="108"/>
      <c r="S2" s="117">
        <v>3</v>
      </c>
      <c r="T2" s="108"/>
      <c r="U2" s="108"/>
      <c r="V2" s="108"/>
      <c r="W2" s="108"/>
      <c r="X2" s="108"/>
      <c r="Y2" s="108"/>
      <c r="Z2" s="108"/>
      <c r="AA2" s="108"/>
      <c r="AB2" s="108"/>
      <c r="AC2" s="108"/>
      <c r="AD2" s="108"/>
      <c r="AE2" s="108"/>
      <c r="AF2" s="108"/>
      <c r="AG2" s="108"/>
      <c r="AH2" s="108"/>
      <c r="AI2" s="108"/>
      <c r="AJ2" s="108"/>
      <c r="AK2" s="379" t="str">
        <f>ListAVS!$B$153</f>
        <v>Przejdź do</v>
      </c>
      <c r="AL2" s="108"/>
      <c r="AM2" s="108"/>
      <c r="AN2" s="108"/>
      <c r="AO2" s="108"/>
      <c r="AP2" s="108"/>
      <c r="AQ2" s="108"/>
      <c r="AR2" s="108"/>
      <c r="AS2" s="108"/>
      <c r="AT2" s="108"/>
      <c r="AU2" s="108"/>
      <c r="AV2" s="108"/>
    </row>
    <row r="3" spans="1:50" ht="3.75" customHeight="1" x14ac:dyDescent="0.2">
      <c r="B3" s="312"/>
      <c r="C3" s="306"/>
      <c r="D3" s="306"/>
      <c r="E3" s="306"/>
      <c r="F3" s="306"/>
      <c r="G3" s="306"/>
      <c r="H3" s="306"/>
      <c r="I3" s="306"/>
      <c r="J3" s="306"/>
      <c r="K3" s="306"/>
      <c r="L3" s="137"/>
      <c r="AI3" s="137"/>
      <c r="AJ3" s="108"/>
      <c r="AK3" s="670"/>
      <c r="AL3" s="137"/>
      <c r="AM3" s="137"/>
      <c r="AN3" s="137"/>
      <c r="AO3" s="137"/>
      <c r="AP3" s="137"/>
      <c r="AQ3" s="137"/>
      <c r="AR3" s="137"/>
      <c r="AS3" s="137"/>
      <c r="AT3" s="137"/>
      <c r="AU3" s="137"/>
      <c r="AV3" s="137"/>
    </row>
    <row r="4" spans="1:50" ht="16.149999999999999" customHeight="1" thickBot="1" x14ac:dyDescent="0.25">
      <c r="B4" s="313" t="str">
        <f>ListAVS!$B$17</f>
        <v>Front drewniany</v>
      </c>
      <c r="C4" s="313"/>
      <c r="D4" s="266"/>
      <c r="E4" s="313"/>
      <c r="F4" s="269" t="str">
        <f>ListAVS!$B$180&amp;"  "</f>
        <v xml:space="preserve">Wykonanie frontów  </v>
      </c>
      <c r="G4" s="255"/>
      <c r="H4" s="255"/>
      <c r="I4" s="255"/>
      <c r="J4" s="260"/>
      <c r="K4" s="1047" t="str">
        <f>IF($Z$68=3,IF(J4=0,$Y$63," "),IF(J4&gt;0,$Y$64," "))</f>
        <v xml:space="preserve"> </v>
      </c>
      <c r="L4" s="1047"/>
      <c r="S4" s="37" t="str">
        <f>" "&amp;ListAVS!$B$41&amp;" A "</f>
        <v xml:space="preserve"> Cena za korpus A </v>
      </c>
      <c r="AI4" s="137"/>
      <c r="AJ4" s="108"/>
      <c r="AK4" s="383" t="s">
        <v>77</v>
      </c>
      <c r="AL4" s="137"/>
      <c r="AM4" s="137"/>
      <c r="AN4" s="137"/>
      <c r="AO4" s="137"/>
      <c r="AP4" s="137"/>
      <c r="AQ4" s="137"/>
      <c r="AR4" s="137"/>
      <c r="AS4" s="137"/>
      <c r="AT4" s="137"/>
      <c r="AU4" s="137"/>
      <c r="AV4" s="137"/>
    </row>
    <row r="5" spans="1:50" ht="16.149999999999999" customHeight="1" x14ac:dyDescent="0.2">
      <c r="B5" s="266"/>
      <c r="C5" s="313"/>
      <c r="D5" s="313"/>
      <c r="E5" s="313"/>
      <c r="F5" s="1027" t="str">
        <f>IF($Z$68&lt;&gt;3,$Y$62," ")&amp;"      "</f>
        <v xml:space="preserve"> Możesz zmienić wartości we Wstępie do planowania      </v>
      </c>
      <c r="G5" s="1027"/>
      <c r="H5" s="1027"/>
      <c r="I5" s="1027"/>
      <c r="J5" s="1027"/>
      <c r="K5" s="1047"/>
      <c r="L5" s="1047"/>
      <c r="S5" s="37" t="str">
        <f>" "&amp;ListAVS!$B$41&amp;" B "</f>
        <v xml:space="preserve"> Cena za korpus B </v>
      </c>
      <c r="AI5" s="137"/>
      <c r="AJ5" s="108"/>
      <c r="AK5" s="634" t="str">
        <f>" "&amp;ListAVS!$B$155</f>
        <v xml:space="preserve"> Pomoc</v>
      </c>
      <c r="AL5" s="137"/>
      <c r="AM5" s="137"/>
      <c r="AN5" s="137"/>
      <c r="AO5" s="137"/>
      <c r="AP5" s="137"/>
      <c r="AQ5" s="137"/>
      <c r="AR5" s="137"/>
      <c r="AS5" s="137"/>
      <c r="AT5" s="137"/>
      <c r="AU5" s="137"/>
      <c r="AV5" s="137"/>
    </row>
    <row r="6" spans="1:50" ht="25.15" customHeight="1" x14ac:dyDescent="0.2">
      <c r="B6" s="273"/>
      <c r="C6" s="313"/>
      <c r="D6" s="313"/>
      <c r="E6" s="313"/>
      <c r="F6" s="266"/>
      <c r="G6" s="266"/>
      <c r="H6" s="266"/>
      <c r="I6" s="313"/>
      <c r="J6" s="313"/>
      <c r="K6" s="313"/>
      <c r="L6" s="266"/>
      <c r="S6" s="37" t="str">
        <f>" "&amp;ListAVS!$B$61</f>
        <v xml:space="preserve"> Cena całkowita bez VAT</v>
      </c>
      <c r="AI6" s="137"/>
      <c r="AJ6" s="108"/>
      <c r="AK6" s="736"/>
      <c r="AL6" s="137"/>
      <c r="AM6" s="137"/>
      <c r="AN6" s="137"/>
      <c r="AO6" s="137"/>
      <c r="AP6" s="137"/>
      <c r="AQ6" s="137"/>
      <c r="AR6" s="137"/>
      <c r="AS6" s="137"/>
      <c r="AT6" s="137"/>
      <c r="AU6" s="137"/>
      <c r="AV6" s="137"/>
    </row>
    <row r="7" spans="1:50" ht="16.149999999999999" customHeight="1" x14ac:dyDescent="0.2">
      <c r="B7" s="1059" t="str">
        <f>ListAVS!$B$51&amp;":   "</f>
        <v xml:space="preserve">Cena okucia:   </v>
      </c>
      <c r="C7" s="1060"/>
      <c r="D7" s="255"/>
      <c r="E7" s="266"/>
      <c r="F7" s="266"/>
      <c r="G7" s="1061">
        <f>IF(S2=1,$AF$46,IF($S$2=2,$AH$46,IF($S$2=3,$AD$46,0)))</f>
        <v>0</v>
      </c>
      <c r="H7" s="1062"/>
      <c r="I7" s="255"/>
      <c r="J7" s="255"/>
      <c r="K7" s="255"/>
      <c r="L7" s="255"/>
      <c r="Y7" s="156" t="str">
        <f>$B$2</f>
        <v>AVENTOS HK-S</v>
      </c>
      <c r="Z7" s="157">
        <f>B5</f>
        <v>0</v>
      </c>
      <c r="AA7" s="157"/>
      <c r="AB7" s="157"/>
      <c r="AC7" s="157"/>
      <c r="AD7" s="158"/>
      <c r="AG7" s="118"/>
      <c r="AI7" s="108"/>
      <c r="AJ7" s="108"/>
      <c r="AK7" s="675" t="str">
        <f>" "&amp;ListAVS!$B$160</f>
        <v xml:space="preserve"> Dodatki</v>
      </c>
      <c r="AL7" s="137"/>
      <c r="AM7" s="137"/>
      <c r="AN7" s="137"/>
      <c r="AO7" s="137"/>
      <c r="AP7" s="137"/>
      <c r="AQ7" s="137"/>
      <c r="AR7" s="137"/>
      <c r="AS7" s="137"/>
      <c r="AT7" s="137"/>
      <c r="AU7" s="137"/>
      <c r="AV7" s="137"/>
    </row>
    <row r="8" spans="1:50" ht="22.5" customHeight="1" thickBot="1" x14ac:dyDescent="0.25">
      <c r="B8" s="255"/>
      <c r="C8" s="255"/>
      <c r="D8" s="255"/>
      <c r="E8" s="255"/>
      <c r="F8" s="255"/>
      <c r="G8" s="255"/>
      <c r="H8" s="255"/>
      <c r="I8" s="255"/>
      <c r="J8" s="255"/>
      <c r="K8" s="255"/>
      <c r="L8" s="255"/>
      <c r="Y8" s="159" t="str">
        <f>ListAVS!B52</f>
        <v>Nazwa</v>
      </c>
      <c r="Z8" s="160" t="str">
        <f>ListAVS!$B$53</f>
        <v>Kod asortymentu</v>
      </c>
      <c r="AA8" s="161" t="str">
        <f>ListAVS!B54</f>
        <v>Kolor</v>
      </c>
      <c r="AB8" s="161" t="str">
        <f>ListAVS!B56</f>
        <v>Sztuka</v>
      </c>
      <c r="AC8" s="162" t="str">
        <f>ListAVS!B58</f>
        <v>Cena za sztukę</v>
      </c>
      <c r="AD8" s="161" t="str">
        <f>ListAVS!B59</f>
        <v>W sumie</v>
      </c>
      <c r="AE8" s="204" t="s">
        <v>29</v>
      </c>
      <c r="AF8" s="163" t="s">
        <v>30</v>
      </c>
      <c r="AG8" s="163" t="s">
        <v>31</v>
      </c>
      <c r="AH8" s="163" t="s">
        <v>30</v>
      </c>
      <c r="AI8" s="108"/>
      <c r="AJ8" s="108"/>
      <c r="AK8" s="671"/>
      <c r="AL8" s="137"/>
      <c r="AM8" s="137"/>
      <c r="AN8" s="137"/>
      <c r="AO8" s="137"/>
      <c r="AP8" s="1198" t="str">
        <f>"  "&amp;ListAVS!$B$86&amp;" LF "</f>
        <v xml:space="preserve">  Współczynnik mocy LF </v>
      </c>
      <c r="AQ8" s="1199"/>
      <c r="AR8" s="1193" t="str">
        <f>ListAVS!$B$84</f>
        <v>Mechanizm podnoszący</v>
      </c>
      <c r="AS8" s="404"/>
      <c r="AT8" s="404"/>
      <c r="AU8" s="137"/>
      <c r="AV8" s="137"/>
    </row>
    <row r="9" spans="1:50" ht="16.149999999999999" customHeight="1" thickBot="1" x14ac:dyDescent="0.25">
      <c r="B9" s="1051" t="str">
        <f>"▼ "&amp;ListAVS!$B$318</f>
        <v>▼ Sposób otwierania</v>
      </c>
      <c r="C9" s="1052"/>
      <c r="D9" s="406" t="str">
        <f>IF($M$17&gt;0, ListAVS!$B$37&amp;": ", " ")</f>
        <v xml:space="preserve"> </v>
      </c>
      <c r="E9" s="688" t="str">
        <f>IF(SUM(AE$9:AE$11)&gt;0, "B", IF(SUM(AE$12:AE$14)&gt;0, "C", IF(SUM(AE$15:AE$17)&gt;0, "E", IF(SUM(AE$19:AE$21)&gt;0, "B T", IF(SUM(AE$22:AE$24)&gt;0, "C T", IF(SUM(AE$25:AE$27)&gt;0, "E T",  " "))))))</f>
        <v xml:space="preserve"> </v>
      </c>
      <c r="F9" s="1056" t="str">
        <f>ListAVS!$B$64&amp;" A"</f>
        <v>Korpus A</v>
      </c>
      <c r="G9" s="1057"/>
      <c r="H9" s="1058"/>
      <c r="I9" s="273"/>
      <c r="J9" s="255"/>
      <c r="K9" s="255"/>
      <c r="L9" s="255"/>
      <c r="N9" s="119"/>
      <c r="O9" s="132"/>
      <c r="P9" s="119"/>
      <c r="Q9" s="132"/>
      <c r="R9" s="1194" t="s">
        <v>89</v>
      </c>
      <c r="S9" s="1195"/>
      <c r="T9" s="747"/>
      <c r="U9" s="748"/>
      <c r="V9" s="1195" t="s">
        <v>90</v>
      </c>
      <c r="W9" s="1196"/>
      <c r="X9" s="132"/>
      <c r="Y9" s="164" t="str">
        <f>CenAVS!A83</f>
        <v xml:space="preserve">Aventos HK-S słaby jasnoszary, zaślepka      </v>
      </c>
      <c r="Z9" s="164" t="str">
        <f>CenAVS!B83</f>
        <v>20K2B00.06</v>
      </c>
      <c r="AA9" s="301" t="str">
        <f>CenAVS!C83</f>
        <v>HGIG</v>
      </c>
      <c r="AB9" s="165">
        <f>SUM(AE9,AG9)</f>
        <v>0</v>
      </c>
      <c r="AC9" s="395">
        <f>CenAVS!F83</f>
        <v>76.927710000000005</v>
      </c>
      <c r="AD9" s="167">
        <f>AB9*AC9</f>
        <v>0</v>
      </c>
      <c r="AE9" s="407">
        <f>IF(AND($U$16=1,$T$44=1),ROUNDUP(SUM($O$11:$P$11)*$M$17,0),0)</f>
        <v>0</v>
      </c>
      <c r="AF9" s="168">
        <f t="shared" ref="AF9:AF35" si="0">$AC9*AE9</f>
        <v>0</v>
      </c>
      <c r="AG9" s="407">
        <f>IF(AND($U$27=1,$T$44=1),ROUNDUP(SUM($O$22:$P$22)*$M$28,0),0)</f>
        <v>0</v>
      </c>
      <c r="AH9" s="168">
        <f t="shared" ref="AH9:AH35" si="1">$AC9*AG9</f>
        <v>0</v>
      </c>
      <c r="AI9" s="108"/>
      <c r="AJ9" s="108"/>
      <c r="AK9" s="383" t="str">
        <f>" "&amp;ListAVS!$B$157</f>
        <v xml:space="preserve"> Rodzaje korpusów</v>
      </c>
      <c r="AL9" s="137"/>
      <c r="AM9" s="137"/>
      <c r="AN9" s="137"/>
      <c r="AO9" s="137"/>
      <c r="AP9" s="1200"/>
      <c r="AQ9" s="1201"/>
      <c r="AR9" s="1193"/>
      <c r="AS9" s="404"/>
      <c r="AT9" s="404"/>
      <c r="AU9" s="137"/>
      <c r="AV9" s="137"/>
    </row>
    <row r="10" spans="1:50" s="122" customFormat="1" ht="16.149999999999999" customHeight="1" thickBot="1" x14ac:dyDescent="0.25">
      <c r="A10" s="37"/>
      <c r="B10" s="1011" t="str">
        <f>ListAVS!$B$74&amp;" KB [mm] "</f>
        <v xml:space="preserve">Szerokość korpusu KB [mm] </v>
      </c>
      <c r="C10" s="1012"/>
      <c r="D10" s="1012"/>
      <c r="E10" s="1012"/>
      <c r="F10" s="1012"/>
      <c r="G10" s="1013"/>
      <c r="H10" s="257"/>
      <c r="I10" s="256" t="str">
        <f>IF($H10=0," ",IF($H10&lt;220," min. 220mm",IF($H10&gt;1800," max. 1 800mm"," ")))&amp;IF(H17&gt;0,IF(H10=0,"● "&amp;ListAVS!$B$129," ")," ")</f>
        <v xml:space="preserve">  </v>
      </c>
      <c r="J10" s="255"/>
      <c r="K10" s="255"/>
      <c r="L10" s="255"/>
      <c r="M10" s="37"/>
      <c r="N10" s="198" t="s">
        <v>32</v>
      </c>
      <c r="O10" s="199" t="s">
        <v>91</v>
      </c>
      <c r="P10" s="200" t="s">
        <v>92</v>
      </c>
      <c r="Q10" s="119"/>
      <c r="R10" s="750" t="s">
        <v>93</v>
      </c>
      <c r="S10" s="750" t="s">
        <v>76</v>
      </c>
      <c r="T10" s="751" t="s">
        <v>94</v>
      </c>
      <c r="U10" s="751" t="s">
        <v>95</v>
      </c>
      <c r="V10" s="1183" t="b">
        <v>0</v>
      </c>
      <c r="W10" s="1184"/>
      <c r="X10" s="444"/>
      <c r="Y10" s="164" t="str">
        <f>CenAVS!A84</f>
        <v xml:space="preserve">Aventos HK-S słaby, szary, nowa zaślepka     </v>
      </c>
      <c r="Z10" s="164" t="str">
        <f>CenAVS!B84</f>
        <v>20K2B00.06</v>
      </c>
      <c r="AA10" s="301" t="str">
        <f>CenAVS!C84</f>
        <v>TGIG</v>
      </c>
      <c r="AB10" s="165">
        <f t="shared" ref="AB10:AB35" si="2">SUM(AE10,AG10)</f>
        <v>0</v>
      </c>
      <c r="AC10" s="395">
        <f>CenAVS!F84</f>
        <v>79.448830000000001</v>
      </c>
      <c r="AD10" s="167">
        <f t="shared" ref="AD10:AD35" si="3">AB10*AC10</f>
        <v>0</v>
      </c>
      <c r="AE10" s="407">
        <f>IF(AND($U$16=1,$T$44=2),ROUNDUP(SUM($O$11:$P$11)*$M$17,0),0)</f>
        <v>0</v>
      </c>
      <c r="AF10" s="168">
        <f t="shared" si="0"/>
        <v>0</v>
      </c>
      <c r="AG10" s="407">
        <f>IF(AND($U$27=1,$T$44=2),ROUNDUP(SUM($O$22:$P$22)*$M$28,0),0)</f>
        <v>0</v>
      </c>
      <c r="AH10" s="168">
        <f t="shared" si="1"/>
        <v>0</v>
      </c>
      <c r="AI10" s="108"/>
      <c r="AJ10" s="108"/>
      <c r="AK10" s="383" t="str">
        <f>" "&amp;ListAVS!$B$158</f>
        <v xml:space="preserve"> Zamówienie</v>
      </c>
      <c r="AL10" s="137"/>
      <c r="AM10" s="137"/>
      <c r="AN10" s="137"/>
      <c r="AO10" s="137"/>
      <c r="AP10" s="1051" t="s">
        <v>109</v>
      </c>
      <c r="AQ10" s="1202"/>
      <c r="AR10" s="753" t="s">
        <v>110</v>
      </c>
      <c r="AS10" s="227"/>
      <c r="AT10" s="227"/>
      <c r="AU10" s="37"/>
      <c r="AV10" s="37"/>
    </row>
    <row r="11" spans="1:50" s="122" customFormat="1" ht="16.149999999999999" customHeight="1" x14ac:dyDescent="0.2">
      <c r="A11" s="37"/>
      <c r="B11" s="1011" t="str">
        <f>ListAVS!$B$75&amp;" KH [mm]  "</f>
        <v xml:space="preserve">Wysokość korpusu KH [mm]  </v>
      </c>
      <c r="C11" s="1012"/>
      <c r="D11" s="1012"/>
      <c r="E11" s="1012"/>
      <c r="F11" s="1012"/>
      <c r="G11" s="1013"/>
      <c r="H11" s="257"/>
      <c r="I11" s="256" t="str">
        <f>IF($H11=0," ",IF($H11&lt;190," min. 190mm",IF($H11&gt;600," max. 600 mm!"," ")))&amp;IF(H17&gt;0,IF(H11=0,"● "&amp;ListAVS!$B$129," ")," ")</f>
        <v xml:space="preserve">  </v>
      </c>
      <c r="J11" s="255"/>
      <c r="K11" s="255"/>
      <c r="L11" s="255"/>
      <c r="M11" s="37"/>
      <c r="N11" s="119" t="s">
        <v>111</v>
      </c>
      <c r="O11" s="132">
        <f>IF($V$10=FALSE,IF($H$16&gt;R11,IF($H$16&lt;S11,1,0),0),0)</f>
        <v>0</v>
      </c>
      <c r="P11" s="206">
        <f>IF($V$10=TRUE,IF($H$16&gt;V11,IF($H$16&lt;W11,2,0),0),0)</f>
        <v>0</v>
      </c>
      <c r="Q11" s="119"/>
      <c r="R11" s="718">
        <v>219.99</v>
      </c>
      <c r="S11" s="718">
        <v>450</v>
      </c>
      <c r="T11" s="752"/>
      <c r="U11" s="119"/>
      <c r="V11" s="718">
        <v>329.99</v>
      </c>
      <c r="W11" s="718">
        <v>670</v>
      </c>
      <c r="X11" s="718"/>
      <c r="Y11" s="164" t="str">
        <f>CenAVS!A85</f>
        <v xml:space="preserve">Aventos HK-S słaby jedwabiście biały, zaślepka     </v>
      </c>
      <c r="Z11" s="164" t="str">
        <f>CenAVS!B85</f>
        <v>20K2B00.06</v>
      </c>
      <c r="AA11" s="301" t="str">
        <f>CenAVS!C85</f>
        <v>SWIG</v>
      </c>
      <c r="AB11" s="165">
        <f t="shared" si="2"/>
        <v>0</v>
      </c>
      <c r="AC11" s="395">
        <f>CenAVS!F85</f>
        <v>79.448830000000001</v>
      </c>
      <c r="AD11" s="167">
        <f t="shared" si="3"/>
        <v>0</v>
      </c>
      <c r="AE11" s="407">
        <f>IF(AND($U$16=1,$T$44=3),ROUNDUP(SUM($O$11:$P$11)*$M$17,0),0)</f>
        <v>0</v>
      </c>
      <c r="AF11" s="168">
        <f t="shared" si="0"/>
        <v>0</v>
      </c>
      <c r="AG11" s="407">
        <f>IF(AND($U$27=1,$T$44=3),ROUNDUP(SUM($O$22:$P$22)*$M$28,0),0)</f>
        <v>0</v>
      </c>
      <c r="AH11" s="168">
        <f t="shared" si="1"/>
        <v>0</v>
      </c>
      <c r="AI11" s="108"/>
      <c r="AJ11" s="108"/>
      <c r="AK11" s="255"/>
      <c r="AL11" s="137"/>
      <c r="AM11" s="137"/>
      <c r="AN11" s="137"/>
      <c r="AO11" s="137"/>
      <c r="AP11" s="1051" t="s">
        <v>112</v>
      </c>
      <c r="AQ11" s="1202"/>
      <c r="AR11" s="753" t="s">
        <v>113</v>
      </c>
      <c r="AS11" s="227"/>
      <c r="AT11" s="227"/>
      <c r="AU11" s="37"/>
      <c r="AV11" s="37"/>
    </row>
    <row r="12" spans="1:50" s="122" customFormat="1" ht="16.149999999999999" customHeight="1" x14ac:dyDescent="0.2">
      <c r="A12" s="37"/>
      <c r="B12" s="1011" t="str">
        <f>ListAVS!$B$78&amp;" [kg] ** "</f>
        <v xml:space="preserve">Waga frontu wraz z 2 uchwytami [kg] ** </v>
      </c>
      <c r="C12" s="1012"/>
      <c r="D12" s="1012"/>
      <c r="E12" s="1012"/>
      <c r="F12" s="1012"/>
      <c r="G12" s="1013"/>
      <c r="H12" s="258"/>
      <c r="I12" s="227" t="str">
        <f>IF($H17=0," ",IF(SUM($H12,$H15)=0,$N$36," "))&amp;IF($M17&gt;0,IF($H12&gt;0,$N$37," ")," ")</f>
        <v xml:space="preserve">  </v>
      </c>
      <c r="J12" s="255"/>
      <c r="K12" s="255"/>
      <c r="L12" s="255"/>
      <c r="M12" s="37"/>
      <c r="N12" s="119" t="s">
        <v>114</v>
      </c>
      <c r="O12" s="132">
        <f>IF($V$10=FALSE,IF($H$16&gt;R12,IF($H$16&lt;S12,1,0),0),0)</f>
        <v>0</v>
      </c>
      <c r="P12" s="132">
        <f>IF($V$10=TRUE,IF($H$16&gt;V12,IF($H$16&lt;W12,1.5,0),0),0)</f>
        <v>0</v>
      </c>
      <c r="Q12" s="119"/>
      <c r="R12" s="718">
        <v>449.99</v>
      </c>
      <c r="S12" s="718">
        <v>980</v>
      </c>
      <c r="T12" s="752"/>
      <c r="U12" s="119"/>
      <c r="V12" s="718">
        <v>669.99</v>
      </c>
      <c r="W12" s="718">
        <v>1470</v>
      </c>
      <c r="X12" s="718"/>
      <c r="Y12" s="164" t="str">
        <f>CenAVS!A86</f>
        <v xml:space="preserve">Aventos HK-S średni jasnoszary, zaślepka      </v>
      </c>
      <c r="Z12" s="164" t="str">
        <f>CenAVS!B86</f>
        <v>20K2C00.06</v>
      </c>
      <c r="AA12" s="301" t="str">
        <f>CenAVS!C86</f>
        <v>HGIG</v>
      </c>
      <c r="AB12" s="165">
        <f t="shared" si="2"/>
        <v>0</v>
      </c>
      <c r="AC12" s="395">
        <f>CenAVS!F86</f>
        <v>82.860640000000004</v>
      </c>
      <c r="AD12" s="167">
        <f t="shared" si="3"/>
        <v>0</v>
      </c>
      <c r="AE12" s="407">
        <f>IF(AND($U$16=1,$T$44=1),ROUNDUP(SUM($O$12:$P$12)*$M$17,0),0)</f>
        <v>0</v>
      </c>
      <c r="AF12" s="168">
        <f t="shared" si="0"/>
        <v>0</v>
      </c>
      <c r="AG12" s="407">
        <f>IF(AND($U$27=1,$T$44=1),ROUNDUP(SUM($O$23:$P$23)*$M$28,0),0)</f>
        <v>0</v>
      </c>
      <c r="AH12" s="168">
        <f t="shared" si="1"/>
        <v>0</v>
      </c>
      <c r="AI12" s="108"/>
      <c r="AJ12" s="108"/>
      <c r="AK12" s="670"/>
      <c r="AL12" s="137"/>
      <c r="AM12" s="137"/>
      <c r="AN12" s="137"/>
      <c r="AO12" s="137"/>
      <c r="AP12" s="1197" t="s">
        <v>115</v>
      </c>
      <c r="AQ12" s="1197"/>
      <c r="AR12" s="753" t="s">
        <v>116</v>
      </c>
      <c r="AS12" s="227"/>
      <c r="AT12" s="227"/>
      <c r="AU12" s="37"/>
      <c r="AV12" s="37"/>
    </row>
    <row r="13" spans="1:50" s="122" customFormat="1" ht="16.149999999999999" customHeight="1" x14ac:dyDescent="0.2">
      <c r="A13" s="37"/>
      <c r="B13" s="1055" t="str">
        <f>ListAVS!$B$293</f>
        <v>Obliczenie wagi</v>
      </c>
      <c r="C13" s="1055"/>
      <c r="D13" s="1053" t="str">
        <f>ListAVS!$B$80&amp;" TS [mm] "</f>
        <v xml:space="preserve">Grubość frontu TS [mm] </v>
      </c>
      <c r="E13" s="1053"/>
      <c r="F13" s="1053"/>
      <c r="G13" s="1054"/>
      <c r="H13" s="258"/>
      <c r="I13" s="256" t="str">
        <f>IF(H17=0," ",IF(AND(H12=0, H13=0)," ● "&amp;ListAVS!$B$129," "))&amp;IF(H17=0," ",IF(AND(H12=0, H13&lt;14), " min. 14 mm", " "))</f>
        <v xml:space="preserve">  </v>
      </c>
      <c r="J13" s="255"/>
      <c r="K13" s="255"/>
      <c r="L13" s="255"/>
      <c r="M13" s="37"/>
      <c r="N13" s="119" t="s">
        <v>117</v>
      </c>
      <c r="O13" s="132">
        <f>IF($V$10=FALSE,IF($H$16&gt;R13,IF($H$16&lt;S13,1,0),0),0)</f>
        <v>0</v>
      </c>
      <c r="P13" s="132">
        <f>IF($V$10=TRUE,IF($H$16&gt;V13,IF($H$16&lt;W13,1.5,0),0),0)</f>
        <v>0</v>
      </c>
      <c r="Q13" s="119"/>
      <c r="R13" s="718">
        <v>979.99</v>
      </c>
      <c r="S13" s="718">
        <v>2216</v>
      </c>
      <c r="T13" s="37"/>
      <c r="U13" s="37"/>
      <c r="V13" s="718">
        <v>1469.99</v>
      </c>
      <c r="W13" s="718">
        <v>3323</v>
      </c>
      <c r="X13" s="718"/>
      <c r="Y13" s="164" t="str">
        <f>CenAVS!A87</f>
        <v xml:space="preserve">Aventos HK-S średni, szary, zaślepka      </v>
      </c>
      <c r="Z13" s="164" t="str">
        <f>CenAVS!B87</f>
        <v>20K2C00.06</v>
      </c>
      <c r="AA13" s="301" t="str">
        <f>CenAVS!C87</f>
        <v>TGIG</v>
      </c>
      <c r="AB13" s="165">
        <f t="shared" si="2"/>
        <v>0</v>
      </c>
      <c r="AC13" s="395">
        <f>CenAVS!F87</f>
        <v>85.38176</v>
      </c>
      <c r="AD13" s="167">
        <f t="shared" si="3"/>
        <v>0</v>
      </c>
      <c r="AE13" s="407">
        <f>IF(AND($U$16=1,$T$44=2),ROUNDUP(SUM($O$12:$P$12)*$M$17,0),0)</f>
        <v>0</v>
      </c>
      <c r="AF13" s="168">
        <f t="shared" si="0"/>
        <v>0</v>
      </c>
      <c r="AG13" s="407">
        <f>IF(AND($U$27=1,$T$44=2),ROUNDUP(SUM($O$23:$P$23)*$M$28,0),0)</f>
        <v>0</v>
      </c>
      <c r="AH13" s="168">
        <f t="shared" si="1"/>
        <v>0</v>
      </c>
      <c r="AI13" s="108"/>
      <c r="AJ13" s="108"/>
      <c r="AK13" s="670"/>
      <c r="AL13" s="137"/>
      <c r="AM13" s="137"/>
      <c r="AN13" s="137"/>
      <c r="AO13" s="137"/>
      <c r="AP13" s="1203"/>
      <c r="AQ13" s="1203"/>
      <c r="AR13" s="268"/>
      <c r="AS13" s="227"/>
      <c r="AT13" s="227"/>
      <c r="AU13" s="37"/>
      <c r="AV13" s="37"/>
    </row>
    <row r="14" spans="1:50" s="122" customFormat="1" ht="16.149999999999999" customHeight="1" x14ac:dyDescent="0.2">
      <c r="A14" s="37"/>
      <c r="B14" s="1055"/>
      <c r="C14" s="1055"/>
      <c r="D14" s="1053" t="str">
        <f>ListAVS!$B$83&amp;" [kg] "</f>
        <v xml:space="preserve">Waga uchwytu [kg] </v>
      </c>
      <c r="E14" s="1053"/>
      <c r="F14" s="1053"/>
      <c r="G14" s="1054"/>
      <c r="H14" s="258"/>
      <c r="I14" s="256" t="str">
        <f>IF(H17=0, " ", IF(AND(H12=0, U16=1, H14=0), " ● "&amp;ListAVS!$B$130," "))</f>
        <v xml:space="preserve"> </v>
      </c>
      <c r="J14" s="255"/>
      <c r="K14" s="255"/>
      <c r="L14" s="255"/>
      <c r="M14" s="37"/>
      <c r="N14" s="119"/>
      <c r="O14" s="132"/>
      <c r="P14" s="132"/>
      <c r="Q14" s="119"/>
      <c r="R14" s="718"/>
      <c r="S14" s="718"/>
      <c r="T14" s="37"/>
      <c r="U14" s="37"/>
      <c r="V14" s="718"/>
      <c r="W14" s="718"/>
      <c r="X14" s="718"/>
      <c r="Y14" s="164" t="str">
        <f>CenAVS!A88</f>
        <v xml:space="preserve">Aventos HK-S średni jedwabiście biały, zaślepka     </v>
      </c>
      <c r="Z14" s="164" t="str">
        <f>CenAVS!B88</f>
        <v>20K2C00.06</v>
      </c>
      <c r="AA14" s="301" t="str">
        <f>CenAVS!C88</f>
        <v>SWIG</v>
      </c>
      <c r="AB14" s="165">
        <f t="shared" si="2"/>
        <v>0</v>
      </c>
      <c r="AC14" s="395">
        <f>CenAVS!F88</f>
        <v>85.38176</v>
      </c>
      <c r="AD14" s="167">
        <f t="shared" si="3"/>
        <v>0</v>
      </c>
      <c r="AE14" s="407">
        <f>IF(AND($U$16=1,$T$44=3),ROUNDUP(SUM($O$12:$P$12)*$M$17,0),0)</f>
        <v>0</v>
      </c>
      <c r="AF14" s="168">
        <f t="shared" si="0"/>
        <v>0</v>
      </c>
      <c r="AG14" s="407">
        <f>IF(AND($U$27=1,$T$44=3),ROUNDUP(SUM($O$23:$P$23)*$M$28,0),0)</f>
        <v>0</v>
      </c>
      <c r="AH14" s="168">
        <f t="shared" si="1"/>
        <v>0</v>
      </c>
      <c r="AI14" s="108"/>
      <c r="AJ14" s="108"/>
      <c r="AK14" s="670"/>
      <c r="AL14" s="137"/>
      <c r="AM14" s="137"/>
      <c r="AN14" s="137"/>
      <c r="AO14" s="137"/>
      <c r="AP14" s="1101" t="str">
        <f>ListAVS!$B$86&amp;" LF = "&amp;ListAVS!$B$75&amp;" KH [mm] x "&amp;ListAVS!$B$78&amp;" [kg]"</f>
        <v>Współczynnik mocy LF = Wysokość korpusu KH [mm] x Waga frontu wraz z 2 uchwytami [kg]</v>
      </c>
      <c r="AQ14" s="1101"/>
      <c r="AR14" s="1101"/>
      <c r="AS14" s="1101"/>
      <c r="AT14" s="1101"/>
      <c r="AU14" s="37"/>
      <c r="AV14" s="37"/>
    </row>
    <row r="15" spans="1:50" s="122" customFormat="1" ht="16.149999999999999" customHeight="1" x14ac:dyDescent="0.2">
      <c r="A15" s="37"/>
      <c r="B15" s="1055"/>
      <c r="C15" s="1055"/>
      <c r="D15" s="1053" t="str">
        <f>ListAVS!$B$79&amp;" [kg] "</f>
        <v xml:space="preserve">Obliczona waga frontu [kg] </v>
      </c>
      <c r="E15" s="1053"/>
      <c r="F15" s="1053"/>
      <c r="G15" s="1054"/>
      <c r="H15" s="259">
        <f>$T$71</f>
        <v>0</v>
      </c>
      <c r="I15" s="227" t="str">
        <f>IF(AND($H17&gt;0,$H15&gt;0,$H12=0,$M17&gt;0), $N$37," ")&amp;IF(AND(H17&gt;0, H12=0, Z68=3, $J$4=0), $N$35, " ")</f>
        <v xml:space="preserve">  </v>
      </c>
      <c r="J15" s="255"/>
      <c r="K15" s="255"/>
      <c r="L15" s="255"/>
      <c r="M15" s="37"/>
      <c r="N15" s="37"/>
      <c r="O15" s="37"/>
      <c r="P15" s="37"/>
      <c r="Q15" s="37"/>
      <c r="R15" s="37"/>
      <c r="S15" s="37"/>
      <c r="T15" s="754"/>
      <c r="U15" s="755" t="str">
        <f>IF(U16=1,$V$46,IF(U16=2,$V$47,$V$48))</f>
        <v>Standard</v>
      </c>
      <c r="V15" s="37"/>
      <c r="W15" s="37"/>
      <c r="X15" s="37"/>
      <c r="Y15" s="164" t="str">
        <f>CenAVS!A89</f>
        <v xml:space="preserve">Aventos HK-S mocny jasnoszary, zaślepka      </v>
      </c>
      <c r="Z15" s="164" t="str">
        <f>CenAVS!B89</f>
        <v>20K2E00.06</v>
      </c>
      <c r="AA15" s="301" t="str">
        <f>CenAVS!C89</f>
        <v>HGIG</v>
      </c>
      <c r="AB15" s="165">
        <f t="shared" si="2"/>
        <v>0</v>
      </c>
      <c r="AC15" s="395">
        <f>CenAVS!F89</f>
        <v>82.860640000000004</v>
      </c>
      <c r="AD15" s="167">
        <f t="shared" si="3"/>
        <v>0</v>
      </c>
      <c r="AE15" s="407">
        <f>IF(AND($U$16=1,$T$44=1),ROUNDUP(SUM($O$13:$P$13)*$M$17,0),0)</f>
        <v>0</v>
      </c>
      <c r="AF15" s="168">
        <f t="shared" si="0"/>
        <v>0</v>
      </c>
      <c r="AG15" s="407">
        <f>IF(AND($U$27=1,$T$44=1),ROUNDUP(SUM($O$24:$P$24)*$M$28,0),0)</f>
        <v>0</v>
      </c>
      <c r="AH15" s="168">
        <f t="shared" si="1"/>
        <v>0</v>
      </c>
      <c r="AI15" s="108"/>
      <c r="AJ15" s="108"/>
      <c r="AK15" s="255"/>
      <c r="AL15" s="137"/>
      <c r="AM15" s="137"/>
      <c r="AN15" s="137"/>
      <c r="AO15" s="137"/>
      <c r="AP15" s="1101"/>
      <c r="AQ15" s="1101"/>
      <c r="AR15" s="1101"/>
      <c r="AS15" s="1101"/>
      <c r="AT15" s="1101"/>
      <c r="AU15" s="37"/>
      <c r="AV15" s="37"/>
    </row>
    <row r="16" spans="1:50" s="122" customFormat="1" ht="16.149999999999999" customHeight="1" thickBot="1" x14ac:dyDescent="0.25">
      <c r="A16" s="37"/>
      <c r="B16" s="1011" t="str">
        <f>ListAVS!$B$87&amp;" *      "</f>
        <v xml:space="preserve">Trzeci podnośnik *      </v>
      </c>
      <c r="C16" s="1012"/>
      <c r="D16" s="1011" t="str">
        <f>ListAVS!$B$86&amp;" LF "</f>
        <v xml:space="preserve">Współczynnik mocy LF </v>
      </c>
      <c r="E16" s="1012"/>
      <c r="F16" s="1012"/>
      <c r="G16" s="1013"/>
      <c r="H16" s="400">
        <f>IF(H12&gt;0,H11*H12,H11*H15)</f>
        <v>0</v>
      </c>
      <c r="I16" s="256" t="str">
        <f>IF(AND($H16&gt;0, $H16&lt;220), $N$39, IF($H16&gt;3322.5, $N$40, IF($H16&gt;2215.5, IF(V10=FALSE, $N$41, " ")," ")))</f>
        <v xml:space="preserve"> </v>
      </c>
      <c r="J16" s="255"/>
      <c r="K16" s="255"/>
      <c r="L16" s="255"/>
      <c r="M16" s="118"/>
      <c r="N16" s="119"/>
      <c r="O16" s="132"/>
      <c r="P16" s="132"/>
      <c r="Q16" s="119"/>
      <c r="R16" s="718"/>
      <c r="S16" s="718"/>
      <c r="T16" s="756"/>
      <c r="U16" s="207">
        <v>1</v>
      </c>
      <c r="V16" s="718"/>
      <c r="W16" s="718"/>
      <c r="X16" s="718"/>
      <c r="Y16" s="164" t="str">
        <f>CenAVS!A90</f>
        <v xml:space="preserve">Aventos HK-S mocny, szary, nowa zaślepka     </v>
      </c>
      <c r="Z16" s="164" t="str">
        <f>CenAVS!B90</f>
        <v>20K2E00.06</v>
      </c>
      <c r="AA16" s="301" t="str">
        <f>CenAVS!C90</f>
        <v>TGIG</v>
      </c>
      <c r="AB16" s="165">
        <f t="shared" si="2"/>
        <v>0</v>
      </c>
      <c r="AC16" s="395">
        <f>CenAVS!F90</f>
        <v>85.38176</v>
      </c>
      <c r="AD16" s="167">
        <f t="shared" si="3"/>
        <v>0</v>
      </c>
      <c r="AE16" s="407">
        <f>IF(AND($U$16=1,$T$44=2),ROUNDUP(SUM($O$13:$P$13)*$M$17,0),0)</f>
        <v>0</v>
      </c>
      <c r="AF16" s="168">
        <f t="shared" si="0"/>
        <v>0</v>
      </c>
      <c r="AG16" s="407">
        <f>IF(AND($U$27=1,$T$44=2),ROUNDUP(SUM($O$24:$P$24)*$M$28,0),0)</f>
        <v>0</v>
      </c>
      <c r="AH16" s="168">
        <f t="shared" si="1"/>
        <v>0</v>
      </c>
      <c r="AI16" s="108"/>
      <c r="AJ16" s="108"/>
      <c r="AK16" s="255"/>
      <c r="AL16" s="137"/>
      <c r="AM16" s="137"/>
      <c r="AN16" s="137"/>
      <c r="AO16" s="137"/>
      <c r="AP16" s="1101" t="str">
        <f>ListAVS!$B$355</f>
        <v>W razie wykorzystania trzeciego siłownika współczynnik mocy oraz waga frontu mogą się zwiększyć o 50 %.</v>
      </c>
      <c r="AQ16" s="1101"/>
      <c r="AR16" s="1101"/>
      <c r="AS16" s="1101"/>
      <c r="AT16" s="1101"/>
      <c r="AU16" s="37"/>
      <c r="AV16" s="37"/>
    </row>
    <row r="17" spans="1:49" s="122" customFormat="1" ht="16.149999999999999" customHeight="1" thickBot="1" x14ac:dyDescent="0.25">
      <c r="A17" s="37"/>
      <c r="B17" s="1155" t="str">
        <f>ListAVS!$B$71</f>
        <v>Ilość szafek</v>
      </c>
      <c r="C17" s="1156"/>
      <c r="D17" s="1156"/>
      <c r="E17" s="1156"/>
      <c r="F17" s="1156"/>
      <c r="G17" s="1156"/>
      <c r="H17" s="261"/>
      <c r="I17" s="256" t="str">
        <f>IF($H16&gt;3322.5," ",IF($H16&gt;2215.5,IF(V10=FALSE,$N$42," ")," "))</f>
        <v xml:space="preserve"> </v>
      </c>
      <c r="J17" s="255"/>
      <c r="K17" s="255"/>
      <c r="L17" s="255"/>
      <c r="M17" s="315">
        <f>IF($H10*$H11*$T17=0,0,IF($H11&lt;190,0,IF(H16&lt;220,0,IF($H16&gt;3322,0,IF(AND($H12=0,$H13&lt;14),0,IF(H16&gt;2215,IF(V10=FALSE,0,$H17),$H17))))))</f>
        <v>0</v>
      </c>
      <c r="N17" s="130"/>
      <c r="O17" s="132"/>
      <c r="P17" s="132"/>
      <c r="Q17" s="119"/>
      <c r="R17" s="718"/>
      <c r="S17" s="690" t="s">
        <v>51</v>
      </c>
      <c r="T17" s="757">
        <f>IF(H12&gt;0,H12,H15)</f>
        <v>0</v>
      </c>
      <c r="U17" s="37">
        <f>IF(SUM(H12,H15)=0,0,IF(H12&gt;0,1,2))</f>
        <v>0</v>
      </c>
      <c r="V17" s="571" t="s">
        <v>52</v>
      </c>
      <c r="W17" s="37"/>
      <c r="X17" s="718"/>
      <c r="Y17" s="164" t="str">
        <f>CenAVS!A91</f>
        <v xml:space="preserve">Aventos HK-S mocny jedwabiście biały      </v>
      </c>
      <c r="Z17" s="164" t="str">
        <f>CenAVS!B91</f>
        <v>20K2E00.06</v>
      </c>
      <c r="AA17" s="301" t="str">
        <f>CenAVS!C91</f>
        <v>SWIG</v>
      </c>
      <c r="AB17" s="165">
        <f t="shared" si="2"/>
        <v>0</v>
      </c>
      <c r="AC17" s="395">
        <f>CenAVS!F91</f>
        <v>85.38176</v>
      </c>
      <c r="AD17" s="167">
        <f t="shared" si="3"/>
        <v>0</v>
      </c>
      <c r="AE17" s="407">
        <f>IF(AND($U$16=1,$T$44=3),ROUNDUP(SUM($O$13:$P$13)*$M$17,0),0)</f>
        <v>0</v>
      </c>
      <c r="AF17" s="168">
        <f t="shared" si="0"/>
        <v>0</v>
      </c>
      <c r="AG17" s="407">
        <f>IF(AND($U$27=1,$T$44=3),ROUNDUP(SUM($O$24:$P$24)*$M$28,0),0)</f>
        <v>0</v>
      </c>
      <c r="AH17" s="168">
        <f t="shared" si="1"/>
        <v>0</v>
      </c>
      <c r="AI17" s="108"/>
      <c r="AJ17" s="108"/>
      <c r="AK17" s="692"/>
      <c r="AL17" s="137"/>
      <c r="AM17" s="137"/>
      <c r="AN17" s="137"/>
      <c r="AO17" s="137"/>
      <c r="AP17" s="1101"/>
      <c r="AQ17" s="1101"/>
      <c r="AR17" s="1101"/>
      <c r="AS17" s="1101"/>
      <c r="AT17" s="1101"/>
      <c r="AU17" s="37"/>
      <c r="AV17" s="37"/>
    </row>
    <row r="18" spans="1:49" s="122" customFormat="1" ht="16.149999999999999" customHeight="1" x14ac:dyDescent="0.2">
      <c r="A18" s="37"/>
      <c r="B18" s="227" t="str">
        <f>IF(M17&gt;0,IF(U17=0," ",IF(U17=1,$N$49,$N$50))," ")&amp;IF(M17&gt;0,IF(U17=0," ",IF(U17=1,$N$51,$N$52))," ")</f>
        <v xml:space="preserve">  </v>
      </c>
      <c r="C18" s="227"/>
      <c r="D18" s="227"/>
      <c r="E18" s="227"/>
      <c r="F18" s="262"/>
      <c r="G18" s="262"/>
      <c r="H18" s="227"/>
      <c r="I18" s="227"/>
      <c r="J18" s="255"/>
      <c r="K18" s="255"/>
      <c r="L18" s="255"/>
      <c r="M18" s="118"/>
      <c r="N18" s="119"/>
      <c r="O18" s="132"/>
      <c r="P18" s="132"/>
      <c r="Q18" s="119"/>
      <c r="R18" s="718"/>
      <c r="S18" s="718"/>
      <c r="T18" s="119"/>
      <c r="U18" s="151"/>
      <c r="V18" s="718"/>
      <c r="W18" s="718"/>
      <c r="X18" s="718"/>
      <c r="Y18" s="164" t="str">
        <f>CenAVS!A92</f>
        <v xml:space="preserve">          </v>
      </c>
      <c r="Z18" s="164">
        <f>CenAVS!B92</f>
        <v>0</v>
      </c>
      <c r="AA18" s="301">
        <f>CenAVS!C92</f>
        <v>0</v>
      </c>
      <c r="AB18" s="165">
        <f t="shared" si="2"/>
        <v>0</v>
      </c>
      <c r="AC18" s="395">
        <f>CenAVS!F92</f>
        <v>0</v>
      </c>
      <c r="AD18" s="167">
        <f t="shared" si="3"/>
        <v>0</v>
      </c>
      <c r="AE18" s="407"/>
      <c r="AF18" s="168">
        <f t="shared" si="0"/>
        <v>0</v>
      </c>
      <c r="AG18" s="407"/>
      <c r="AH18" s="168">
        <f t="shared" si="1"/>
        <v>0</v>
      </c>
      <c r="AI18" s="108"/>
      <c r="AJ18" s="108"/>
      <c r="AK18" s="255"/>
      <c r="AL18" s="137"/>
      <c r="AM18" s="137"/>
      <c r="AN18" s="137"/>
      <c r="AO18" s="137"/>
      <c r="AP18" s="227"/>
      <c r="AQ18" s="227"/>
      <c r="AR18" s="227"/>
      <c r="AS18" s="227"/>
      <c r="AT18" s="227"/>
      <c r="AU18" s="37"/>
      <c r="AV18" s="37"/>
    </row>
    <row r="19" spans="1:49" s="122" customFormat="1" ht="25.15" customHeight="1" thickBot="1" x14ac:dyDescent="0.25">
      <c r="A19" s="37"/>
      <c r="B19" s="227"/>
      <c r="C19" s="227"/>
      <c r="D19" s="227"/>
      <c r="E19" s="227"/>
      <c r="F19" s="262"/>
      <c r="G19" s="262"/>
      <c r="H19" s="227"/>
      <c r="I19" s="227"/>
      <c r="J19" s="255"/>
      <c r="K19" s="255"/>
      <c r="L19" s="255"/>
      <c r="M19" s="118"/>
      <c r="N19" s="119"/>
      <c r="O19" s="132"/>
      <c r="P19" s="132"/>
      <c r="Q19" s="119"/>
      <c r="R19" s="718"/>
      <c r="S19" s="718"/>
      <c r="T19" s="119"/>
      <c r="U19" s="151"/>
      <c r="V19" s="718"/>
      <c r="W19" s="718"/>
      <c r="X19" s="718"/>
      <c r="Y19" s="164" t="str">
        <f>CenAVS!A93</f>
        <v xml:space="preserve">Aventos HK-S Tip-on słaby jasnoszary bez Tip-on krytka   </v>
      </c>
      <c r="Z19" s="164" t="str">
        <f>CenAVS!B93</f>
        <v>20K2B00T06</v>
      </c>
      <c r="AA19" s="301" t="str">
        <f>CenAVS!C93</f>
        <v>HGIG</v>
      </c>
      <c r="AB19" s="165">
        <f t="shared" si="2"/>
        <v>0</v>
      </c>
      <c r="AC19" s="395">
        <f>CenAVS!F93</f>
        <v>77.645600000000002</v>
      </c>
      <c r="AD19" s="167">
        <f t="shared" si="3"/>
        <v>0</v>
      </c>
      <c r="AE19" s="407">
        <f>IF(AND($U$16=2,$T$44=1),ROUNDUP(SUM($O$11:$P$11)*$M$17,0),0)</f>
        <v>0</v>
      </c>
      <c r="AF19" s="168">
        <f t="shared" si="0"/>
        <v>0</v>
      </c>
      <c r="AG19" s="407">
        <f>IF(AND($U$27=2,$T$44=1),ROUNDUP(SUM($O$22:$P$22)*$M$28,0),0)</f>
        <v>0</v>
      </c>
      <c r="AH19" s="168">
        <f t="shared" si="1"/>
        <v>0</v>
      </c>
      <c r="AI19" s="108"/>
      <c r="AJ19" s="108"/>
      <c r="AK19" s="255"/>
      <c r="AL19" s="137"/>
      <c r="AM19" s="137"/>
      <c r="AN19" s="137"/>
      <c r="AO19" s="137"/>
      <c r="AP19" s="227"/>
      <c r="AQ19" s="227"/>
      <c r="AR19" s="227"/>
      <c r="AS19" s="227"/>
      <c r="AT19" s="227"/>
      <c r="AU19" s="37"/>
      <c r="AV19" s="37"/>
    </row>
    <row r="20" spans="1:49" s="122" customFormat="1" ht="16.149999999999999" customHeight="1" thickBot="1" x14ac:dyDescent="0.25">
      <c r="A20" s="37"/>
      <c r="B20" s="1051" t="str">
        <f>"▼ "&amp;ListAVS!$B$318</f>
        <v>▼ Sposób otwierania</v>
      </c>
      <c r="C20" s="1052"/>
      <c r="D20" s="406" t="str">
        <f>IF($M$28&gt;0, ListAVS!$B$37&amp;": ", " ")</f>
        <v xml:space="preserve"> </v>
      </c>
      <c r="E20" s="688" t="str">
        <f>IF(SUM(AG$9:AG$11)&gt;0, "B", IF(SUM(AG$12:AG$14)&gt;0, "C", IF(SUM(AG$15:AG$17)&gt;0, "E", IF(SUM(AG$19:AG$21)&gt;0, "B T", IF(SUM(AG$22:AG$24)&gt;0, "C T", IF(SUM(AG$25:AG$27)&gt;0, "E T",  " "))))))</f>
        <v xml:space="preserve"> </v>
      </c>
      <c r="F20" s="1056" t="str">
        <f>ListAVS!$B$64&amp;" B"</f>
        <v>Korpus B</v>
      </c>
      <c r="G20" s="1057"/>
      <c r="H20" s="1058"/>
      <c r="I20" s="256"/>
      <c r="J20" s="255"/>
      <c r="K20" s="255"/>
      <c r="L20" s="255"/>
      <c r="M20" s="37"/>
      <c r="N20" s="119"/>
      <c r="O20" s="132"/>
      <c r="P20" s="119"/>
      <c r="Q20" s="132"/>
      <c r="R20" s="1194" t="s">
        <v>89</v>
      </c>
      <c r="S20" s="1195"/>
      <c r="T20" s="747"/>
      <c r="U20" s="748"/>
      <c r="V20" s="1195" t="s">
        <v>90</v>
      </c>
      <c r="W20" s="1196"/>
      <c r="X20" s="132"/>
      <c r="Y20" s="164" t="str">
        <f>CenAVS!A94</f>
        <v xml:space="preserve">Aventos HK-S Tip-on słaby ciemnoszary bez Tip-on zaślepka   </v>
      </c>
      <c r="Z20" s="164" t="str">
        <f>CenAVS!B94</f>
        <v>20K2B00T06</v>
      </c>
      <c r="AA20" s="301" t="str">
        <f>CenAVS!C94</f>
        <v>TGIG</v>
      </c>
      <c r="AB20" s="165">
        <f t="shared" si="2"/>
        <v>0</v>
      </c>
      <c r="AC20" s="395">
        <f>CenAVS!F94</f>
        <v>80.166719999999998</v>
      </c>
      <c r="AD20" s="167">
        <f t="shared" si="3"/>
        <v>0</v>
      </c>
      <c r="AE20" s="407">
        <f>IF(AND($U$16=2,$T$44=2),ROUNDUP(SUM($O$11:$P$11)*$M$17,0),0)</f>
        <v>0</v>
      </c>
      <c r="AF20" s="168">
        <f t="shared" si="0"/>
        <v>0</v>
      </c>
      <c r="AG20" s="407">
        <f>IF(AND($U$27=2,$T$44=2),ROUNDUP(SUM($O$22:$P$22)*$M$28,0),0)</f>
        <v>0</v>
      </c>
      <c r="AH20" s="168">
        <f t="shared" si="1"/>
        <v>0</v>
      </c>
      <c r="AI20" s="108"/>
      <c r="AJ20" s="108"/>
      <c r="AK20" s="255"/>
      <c r="AL20" s="137"/>
      <c r="AM20" s="137"/>
      <c r="AN20" s="137"/>
      <c r="AO20" s="137"/>
      <c r="AP20" s="673"/>
      <c r="AQ20" s="227"/>
      <c r="AR20" s="227"/>
      <c r="AS20" s="227"/>
      <c r="AT20" s="227"/>
      <c r="AU20" s="37"/>
      <c r="AV20" s="37"/>
    </row>
    <row r="21" spans="1:49" s="122" customFormat="1" ht="16.149999999999999" customHeight="1" x14ac:dyDescent="0.2">
      <c r="A21" s="37"/>
      <c r="B21" s="1011" t="str">
        <f>ListAVS!$B$74&amp;" KB [mm] "</f>
        <v xml:space="preserve">Szerokość korpusu KB [mm] </v>
      </c>
      <c r="C21" s="1012"/>
      <c r="D21" s="1012"/>
      <c r="E21" s="1012"/>
      <c r="F21" s="1012"/>
      <c r="G21" s="1013"/>
      <c r="H21" s="257"/>
      <c r="I21" s="256" t="str">
        <f>IF($H21=0," ",IF($H21&lt;220," min. 220mm",IF($H21&gt;1800," max. 1 800mm"," ")))&amp;IF(H28&gt;0,IF(H21=0,"● "&amp;ListAVS!$B$129," ")," ")</f>
        <v xml:space="preserve">  </v>
      </c>
      <c r="J21" s="255"/>
      <c r="K21" s="255"/>
      <c r="L21" s="255"/>
      <c r="M21" s="37"/>
      <c r="N21" s="198" t="s">
        <v>32</v>
      </c>
      <c r="O21" s="199" t="s">
        <v>91</v>
      </c>
      <c r="P21" s="200" t="s">
        <v>92</v>
      </c>
      <c r="Q21" s="119"/>
      <c r="R21" s="750" t="s">
        <v>93</v>
      </c>
      <c r="S21" s="750" t="s">
        <v>76</v>
      </c>
      <c r="T21" s="751" t="s">
        <v>94</v>
      </c>
      <c r="U21" s="751" t="s">
        <v>95</v>
      </c>
      <c r="V21" s="1183" t="b">
        <v>0</v>
      </c>
      <c r="W21" s="1184"/>
      <c r="X21" s="444"/>
      <c r="Y21" s="164" t="str">
        <f>CenAVS!A95</f>
        <v xml:space="preserve">Aventos HK-S Tip-on słaby jedwabiście biały     </v>
      </c>
      <c r="Z21" s="164" t="str">
        <f>CenAVS!B95</f>
        <v>20K2B00T06</v>
      </c>
      <c r="AA21" s="301" t="str">
        <f>CenAVS!C95</f>
        <v>SWIG</v>
      </c>
      <c r="AB21" s="165">
        <f t="shared" si="2"/>
        <v>0</v>
      </c>
      <c r="AC21" s="395">
        <f>CenAVS!F95</f>
        <v>80.166719999999998</v>
      </c>
      <c r="AD21" s="167">
        <f t="shared" si="3"/>
        <v>0</v>
      </c>
      <c r="AE21" s="407">
        <f>IF(AND($U$16=2,$T$44=3),ROUNDUP(SUM($O$11:$P$11)*$M$17,0),0)</f>
        <v>0</v>
      </c>
      <c r="AF21" s="168">
        <f t="shared" si="0"/>
        <v>0</v>
      </c>
      <c r="AG21" s="407">
        <f>IF(AND($U$27=2,$T$44=3),ROUNDUP(SUM($O$22:$P$22)*$M$28,0),0)</f>
        <v>0</v>
      </c>
      <c r="AH21" s="168">
        <f t="shared" si="1"/>
        <v>0</v>
      </c>
      <c r="AI21" s="108"/>
      <c r="AJ21" s="108"/>
      <c r="AK21" s="255"/>
      <c r="AL21" s="137"/>
      <c r="AM21" s="137"/>
      <c r="AN21" s="137"/>
      <c r="AO21" s="137"/>
      <c r="AP21" s="227"/>
      <c r="AQ21" s="227"/>
      <c r="AR21" s="227"/>
      <c r="AS21" s="227"/>
      <c r="AT21" s="227"/>
      <c r="AU21" s="37"/>
      <c r="AV21" s="37"/>
    </row>
    <row r="22" spans="1:49" s="122" customFormat="1" ht="16.149999999999999" customHeight="1" x14ac:dyDescent="0.2">
      <c r="A22" s="37"/>
      <c r="B22" s="1011" t="str">
        <f>ListAVS!$B$75&amp;" KH [mm] "</f>
        <v xml:space="preserve">Wysokość korpusu KH [mm] </v>
      </c>
      <c r="C22" s="1012"/>
      <c r="D22" s="1012"/>
      <c r="E22" s="1012"/>
      <c r="F22" s="1012"/>
      <c r="G22" s="1013"/>
      <c r="H22" s="257"/>
      <c r="I22" s="256" t="str">
        <f>IF($H22=0," ",IF($H22&lt;190," min. 190mm",IF($H22&gt;600," max. 600 mm"," ")))&amp;IF(H28&gt;0,IF(H22=0,"● "&amp;ListAVS!$B$129," ")," ")</f>
        <v xml:space="preserve">  </v>
      </c>
      <c r="J22" s="255"/>
      <c r="K22" s="255"/>
      <c r="L22" s="255"/>
      <c r="M22" s="37"/>
      <c r="N22" s="119" t="s">
        <v>111</v>
      </c>
      <c r="O22" s="132">
        <f>IF($V$21=FALSE,IF($H$27&gt;R22,IF($H$27&lt;S22,1,0),0),0)</f>
        <v>0</v>
      </c>
      <c r="P22" s="132">
        <f>IF($V$21=TRUE,IF($H$27&gt;V22,IF($H$27&lt;W22,2,0),0),0)</f>
        <v>0</v>
      </c>
      <c r="Q22" s="119"/>
      <c r="R22" s="718">
        <v>219.99</v>
      </c>
      <c r="S22" s="718">
        <v>450</v>
      </c>
      <c r="T22" s="752"/>
      <c r="U22" s="119"/>
      <c r="V22" s="718">
        <v>329.99</v>
      </c>
      <c r="W22" s="718">
        <v>670</v>
      </c>
      <c r="X22" s="718"/>
      <c r="Y22" s="164" t="str">
        <f>CenAVS!A96</f>
        <v xml:space="preserve">Aventos HK-S Tip-on średni jasnoszary bez Tip-on zaślepka   </v>
      </c>
      <c r="Z22" s="164" t="str">
        <f>CenAVS!B96</f>
        <v>20K2C00T06</v>
      </c>
      <c r="AA22" s="301" t="str">
        <f>CenAVS!C96</f>
        <v>HGIG</v>
      </c>
      <c r="AB22" s="165">
        <f t="shared" si="2"/>
        <v>0</v>
      </c>
      <c r="AC22" s="395">
        <f>CenAVS!F96</f>
        <v>84.296419999999998</v>
      </c>
      <c r="AD22" s="167">
        <f t="shared" si="3"/>
        <v>0</v>
      </c>
      <c r="AE22" s="407">
        <f>IF(AND($U$16=2,$T$44=1),ROUNDUP(SUM($O$12:$P$12)*$M$17,0),0)</f>
        <v>0</v>
      </c>
      <c r="AF22" s="168">
        <f t="shared" si="0"/>
        <v>0</v>
      </c>
      <c r="AG22" s="407">
        <f>IF(AND($U$27=2,$T$44=1),ROUNDUP(SUM($O$23:$P$23)*$M$28,0),0)</f>
        <v>0</v>
      </c>
      <c r="AH22" s="168">
        <f t="shared" si="1"/>
        <v>0</v>
      </c>
      <c r="AI22" s="108"/>
      <c r="AJ22" s="108"/>
      <c r="AK22" s="255"/>
      <c r="AL22" s="137"/>
      <c r="AM22" s="137"/>
      <c r="AN22" s="137"/>
      <c r="AO22" s="137"/>
      <c r="AP22" s="227"/>
      <c r="AQ22" s="227"/>
      <c r="AR22" s="227"/>
      <c r="AS22" s="227"/>
      <c r="AT22" s="227"/>
      <c r="AU22" s="37"/>
      <c r="AV22" s="37"/>
    </row>
    <row r="23" spans="1:49" s="122" customFormat="1" ht="16.149999999999999" customHeight="1" x14ac:dyDescent="0.2">
      <c r="A23" s="37"/>
      <c r="B23" s="1011" t="str">
        <f>ListAVS!$B$78&amp;" [kg] ** "</f>
        <v xml:space="preserve">Waga frontu wraz z 2 uchwytami [kg] ** </v>
      </c>
      <c r="C23" s="1012"/>
      <c r="D23" s="1012"/>
      <c r="E23" s="1012"/>
      <c r="F23" s="1012"/>
      <c r="G23" s="1013"/>
      <c r="H23" s="263"/>
      <c r="I23" s="227" t="str">
        <f>IF($H28=0," ",IF(SUM($H23,$H26)=0,$N$36," "))&amp;IF($M28&gt;0,IF($H23&gt;0,$N$37," ")," ")</f>
        <v xml:space="preserve">  </v>
      </c>
      <c r="J23" s="255"/>
      <c r="K23" s="255"/>
      <c r="L23" s="255"/>
      <c r="M23" s="37"/>
      <c r="N23" s="119" t="s">
        <v>114</v>
      </c>
      <c r="O23" s="132">
        <f>IF($V$21=FALSE,IF($H$27&gt;R23,IF($H$27&lt;S23,1,0),0),0)</f>
        <v>0</v>
      </c>
      <c r="P23" s="132">
        <f>IF($V$21=TRUE,IF($H$27&gt;V23,IF($H$27&lt;W23,1.5,0),0),0)</f>
        <v>0</v>
      </c>
      <c r="Q23" s="119"/>
      <c r="R23" s="718">
        <v>449.99</v>
      </c>
      <c r="S23" s="718">
        <v>980</v>
      </c>
      <c r="T23" s="752"/>
      <c r="U23" s="119"/>
      <c r="V23" s="718">
        <v>669.99</v>
      </c>
      <c r="W23" s="718">
        <v>1470</v>
      </c>
      <c r="X23" s="718"/>
      <c r="Y23" s="164" t="str">
        <f>CenAVS!A97</f>
        <v xml:space="preserve">Aventos HK-S Tip-on średni ciemnoszary bez Tip-on zaślepka   </v>
      </c>
      <c r="Z23" s="164" t="str">
        <f>CenAVS!B97</f>
        <v>20K2C00T06</v>
      </c>
      <c r="AA23" s="301" t="str">
        <f>CenAVS!C97</f>
        <v>TGIG</v>
      </c>
      <c r="AB23" s="165">
        <f t="shared" si="2"/>
        <v>0</v>
      </c>
      <c r="AC23" s="395">
        <f>CenAVS!F97</f>
        <v>86.817539999999994</v>
      </c>
      <c r="AD23" s="167">
        <f t="shared" si="3"/>
        <v>0</v>
      </c>
      <c r="AE23" s="407">
        <f>IF(AND($U$16=2,$T$44=2),ROUNDUP(SUM($O$12:$P$12)*$M$17,0),0)</f>
        <v>0</v>
      </c>
      <c r="AF23" s="168">
        <f t="shared" si="0"/>
        <v>0</v>
      </c>
      <c r="AG23" s="407">
        <f>IF(AND($U$27=2,$T$44=2),ROUNDUP(SUM($O$23:$P$23)*$M$28,0),0)</f>
        <v>0</v>
      </c>
      <c r="AH23" s="168">
        <f t="shared" si="1"/>
        <v>0</v>
      </c>
      <c r="AI23" s="108"/>
      <c r="AJ23" s="108"/>
      <c r="AK23" s="255"/>
      <c r="AL23" s="137"/>
      <c r="AM23" s="37"/>
      <c r="AN23" s="37"/>
      <c r="AO23" s="37"/>
      <c r="AP23" s="37"/>
      <c r="AQ23" s="37"/>
      <c r="AR23" s="37"/>
      <c r="AS23" s="37"/>
      <c r="AT23" s="37"/>
      <c r="AU23" s="37"/>
      <c r="AV23" s="37"/>
    </row>
    <row r="24" spans="1:49" s="122" customFormat="1" ht="16.149999999999999" customHeight="1" x14ac:dyDescent="0.2">
      <c r="A24" s="37"/>
      <c r="B24" s="1055" t="str">
        <f>ListAVS!$B$293</f>
        <v>Obliczenie wagi</v>
      </c>
      <c r="C24" s="1055"/>
      <c r="D24" s="1053" t="str">
        <f>ListAVS!$B$80&amp;" TS [mm] "</f>
        <v xml:space="preserve">Grubość frontu TS [mm] </v>
      </c>
      <c r="E24" s="1053"/>
      <c r="F24" s="1053"/>
      <c r="G24" s="1054"/>
      <c r="H24" s="263"/>
      <c r="I24" s="256" t="str">
        <f>IF(H28=0," ",IF(AND(H23=0, H24=0)," ● "&amp;ListAVS!$B$129," "))&amp;IF(H28=0," ",IF(AND(H23=0, H24&lt;14), " min. 14 mm", " "))</f>
        <v xml:space="preserve">  </v>
      </c>
      <c r="J24" s="255"/>
      <c r="K24" s="255"/>
      <c r="L24" s="255"/>
      <c r="M24" s="37"/>
      <c r="N24" s="119" t="s">
        <v>117</v>
      </c>
      <c r="O24" s="132">
        <f>IF($V$21=FALSE,IF($H$27&gt;R24,IF($H$27&lt;S24,1,0),0),0)</f>
        <v>0</v>
      </c>
      <c r="P24" s="132">
        <f>IF($V$21=TRUE,IF($H$27&gt;V24,IF($H$27&lt;W24,1.5,0),0),0)</f>
        <v>0</v>
      </c>
      <c r="Q24" s="119"/>
      <c r="R24" s="718">
        <v>979.99</v>
      </c>
      <c r="S24" s="718">
        <v>2216</v>
      </c>
      <c r="T24" s="37"/>
      <c r="U24" s="37"/>
      <c r="V24" s="718">
        <v>1469.99</v>
      </c>
      <c r="W24" s="718">
        <v>3323</v>
      </c>
      <c r="X24" s="718"/>
      <c r="Y24" s="164" t="str">
        <f>CenAVS!A98</f>
        <v xml:space="preserve">Aventos HK-S Tip-on średni biały bez Tip-On zaślepka   </v>
      </c>
      <c r="Z24" s="164" t="str">
        <f>CenAVS!B98</f>
        <v>20K2C00T06</v>
      </c>
      <c r="AA24" s="301" t="str">
        <f>CenAVS!C98</f>
        <v>SWIG</v>
      </c>
      <c r="AB24" s="165">
        <f t="shared" si="2"/>
        <v>0</v>
      </c>
      <c r="AC24" s="395">
        <f>CenAVS!F98</f>
        <v>86.817539999999994</v>
      </c>
      <c r="AD24" s="167">
        <f t="shared" si="3"/>
        <v>0</v>
      </c>
      <c r="AE24" s="407">
        <f>IF(AND($U$16=2,$T$44=3),ROUNDUP(SUM($O$12:$P$12)*$M$17,0),0)</f>
        <v>0</v>
      </c>
      <c r="AF24" s="168">
        <f t="shared" si="0"/>
        <v>0</v>
      </c>
      <c r="AG24" s="407">
        <f>IF(AND($U$27=2,$T$44=3),ROUNDUP(SUM($O$23:$P$23)*$M$28,0),0)</f>
        <v>0</v>
      </c>
      <c r="AH24" s="168">
        <f t="shared" si="1"/>
        <v>0</v>
      </c>
      <c r="AI24" s="108"/>
      <c r="AJ24" s="108"/>
      <c r="AK24" s="137"/>
      <c r="AL24" s="37"/>
      <c r="AM24" s="137"/>
      <c r="AN24" s="137"/>
      <c r="AO24" s="137"/>
      <c r="AP24" s="137"/>
      <c r="AQ24" s="137"/>
      <c r="AR24" s="137"/>
      <c r="AS24" s="137"/>
      <c r="AT24" s="137"/>
      <c r="AU24" s="137"/>
      <c r="AV24" s="137"/>
    </row>
    <row r="25" spans="1:49" s="122" customFormat="1" ht="16.149999999999999" customHeight="1" x14ac:dyDescent="0.2">
      <c r="A25" s="37"/>
      <c r="B25" s="1055"/>
      <c r="C25" s="1055"/>
      <c r="D25" s="1053" t="str">
        <f>ListAVS!$B$83&amp;" [kg] "</f>
        <v xml:space="preserve">Waga uchwytu [kg] </v>
      </c>
      <c r="E25" s="1053"/>
      <c r="F25" s="1053"/>
      <c r="G25" s="1054"/>
      <c r="H25" s="263"/>
      <c r="I25" s="256" t="str">
        <f>IF(H28=0, " ", IF(AND(H23=0, U27=1, H25=0), " ● "&amp;ListAVS!$B$130," "))</f>
        <v xml:space="preserve"> </v>
      </c>
      <c r="J25" s="255"/>
      <c r="K25" s="255"/>
      <c r="L25" s="255"/>
      <c r="M25" s="118"/>
      <c r="N25" s="119"/>
      <c r="O25" s="132"/>
      <c r="P25" s="132"/>
      <c r="Q25" s="119"/>
      <c r="R25" s="718"/>
      <c r="S25" s="718"/>
      <c r="T25" s="37"/>
      <c r="U25" s="37"/>
      <c r="V25" s="718"/>
      <c r="W25" s="718"/>
      <c r="X25" s="718"/>
      <c r="Y25" s="164" t="str">
        <f>CenAVS!A99</f>
        <v xml:space="preserve">Aventos HK-S Tip-on mocny jasnoszary bez Tip-on zaślepka   </v>
      </c>
      <c r="Z25" s="164" t="str">
        <f>CenAVS!B99</f>
        <v>20K2E00T06</v>
      </c>
      <c r="AA25" s="301" t="str">
        <f>CenAVS!C99</f>
        <v>HGIG</v>
      </c>
      <c r="AB25" s="165">
        <f t="shared" si="2"/>
        <v>0</v>
      </c>
      <c r="AC25" s="395">
        <f>CenAVS!F99</f>
        <v>84.296419999999998</v>
      </c>
      <c r="AD25" s="167">
        <f t="shared" si="3"/>
        <v>0</v>
      </c>
      <c r="AE25" s="407">
        <f>IF(AND($U$16=2,$T$44=1),ROUNDUP(SUM($O$13:$P$13)*$M$17,0),0)</f>
        <v>0</v>
      </c>
      <c r="AF25" s="168">
        <f t="shared" si="0"/>
        <v>0</v>
      </c>
      <c r="AG25" s="407">
        <f>IF(AND($U$27=2,$T$44=1),ROUNDUP(SUM($O$24:$P$24)*$M$28,0),0)</f>
        <v>0</v>
      </c>
      <c r="AH25" s="168">
        <f t="shared" si="1"/>
        <v>0</v>
      </c>
      <c r="AI25" s="108"/>
      <c r="AJ25" s="108"/>
      <c r="AK25" s="137"/>
      <c r="AL25" s="137"/>
      <c r="AM25" s="137"/>
      <c r="AN25" s="137"/>
      <c r="AO25" s="137"/>
      <c r="AP25" s="137"/>
      <c r="AQ25" s="137"/>
      <c r="AR25" s="137"/>
      <c r="AS25" s="137"/>
      <c r="AT25" s="137"/>
      <c r="AU25" s="137"/>
      <c r="AV25" s="137"/>
    </row>
    <row r="26" spans="1:49" s="122" customFormat="1" ht="16.149999999999999" customHeight="1" x14ac:dyDescent="0.2">
      <c r="A26" s="37"/>
      <c r="B26" s="1055"/>
      <c r="C26" s="1055"/>
      <c r="D26" s="1053" t="str">
        <f>ListAVS!$B$79&amp;" [kg] "</f>
        <v xml:space="preserve">Obliczona waga frontu [kg] </v>
      </c>
      <c r="E26" s="1053"/>
      <c r="F26" s="1053"/>
      <c r="G26" s="1054"/>
      <c r="H26" s="259">
        <f>$T$80</f>
        <v>0</v>
      </c>
      <c r="I26" s="227" t="str">
        <f>IF(AND($H28&gt;0,$H26&gt;0,$H23=0,$M28&gt;0), $N$37," ")&amp;IF(AND(H28&gt;0, H23=0, Z68=3, $J$4=0), $N$35, " ")</f>
        <v xml:space="preserve">  </v>
      </c>
      <c r="J26" s="255"/>
      <c r="K26" s="255"/>
      <c r="L26" s="255"/>
      <c r="M26" s="37"/>
      <c r="N26" s="37"/>
      <c r="O26" s="37"/>
      <c r="P26" s="37"/>
      <c r="Q26" s="37"/>
      <c r="R26" s="37"/>
      <c r="S26" s="37"/>
      <c r="T26" s="754"/>
      <c r="U26" s="755" t="str">
        <f>IF(U27=1,$V$46,IF(U27=2,$V$47,$V$48))</f>
        <v>Standard</v>
      </c>
      <c r="V26" s="37"/>
      <c r="W26" s="37"/>
      <c r="X26" s="37"/>
      <c r="Y26" s="164" t="str">
        <f>CenAVS!A100</f>
        <v xml:space="preserve">Aventos HK-S Tip-on mocny ciemnoszary bez Tip-on zaślepka   </v>
      </c>
      <c r="Z26" s="164" t="str">
        <f>CenAVS!B100</f>
        <v>20K2E00T06</v>
      </c>
      <c r="AA26" s="301" t="str">
        <f>CenAVS!C100</f>
        <v>TGIG</v>
      </c>
      <c r="AB26" s="165">
        <f t="shared" si="2"/>
        <v>0</v>
      </c>
      <c r="AC26" s="395">
        <f>CenAVS!F100</f>
        <v>86.817539999999994</v>
      </c>
      <c r="AD26" s="167">
        <f t="shared" si="3"/>
        <v>0</v>
      </c>
      <c r="AE26" s="407">
        <f>IF(AND($U$16=2,$T$44=2),ROUNDUP(SUM($O$13:$P$13)*$M$17,0),0)</f>
        <v>0</v>
      </c>
      <c r="AF26" s="168">
        <f t="shared" si="0"/>
        <v>0</v>
      </c>
      <c r="AG26" s="407">
        <f>IF(AND($U$27=2,$T$44=2),ROUNDUP(SUM($O$24:$P$24)*$M$28,0),0)</f>
        <v>0</v>
      </c>
      <c r="AH26" s="168">
        <f t="shared" si="1"/>
        <v>0</v>
      </c>
      <c r="AI26" s="108"/>
      <c r="AJ26" s="108"/>
      <c r="AK26" s="108"/>
      <c r="AL26" s="137"/>
      <c r="AM26" s="137"/>
      <c r="AN26" s="137"/>
      <c r="AO26" s="137"/>
      <c r="AP26" s="137"/>
      <c r="AQ26" s="137"/>
      <c r="AR26" s="137"/>
      <c r="AS26" s="137"/>
      <c r="AT26" s="137"/>
      <c r="AU26" s="137"/>
      <c r="AV26" s="137"/>
      <c r="AW26" s="121"/>
    </row>
    <row r="27" spans="1:49" s="122" customFormat="1" ht="16.149999999999999" customHeight="1" thickBot="1" x14ac:dyDescent="0.25">
      <c r="A27" s="37"/>
      <c r="B27" s="1011" t="str">
        <f>ListAVS!$B$87&amp;" *      "</f>
        <v xml:space="preserve">Trzeci podnośnik *      </v>
      </c>
      <c r="C27" s="1012"/>
      <c r="D27" s="1011" t="str">
        <f>ListAVS!$B$86&amp;" LF "</f>
        <v xml:space="preserve">Współczynnik mocy LF </v>
      </c>
      <c r="E27" s="1012"/>
      <c r="F27" s="1012"/>
      <c r="G27" s="1013"/>
      <c r="H27" s="400">
        <f>IF(H23&gt;0,H22*H23,H22*H26)</f>
        <v>0</v>
      </c>
      <c r="I27" s="256" t="str">
        <f>IF(AND($H27&gt;0, $H27&lt;220), $N$39, IF($H27&gt;3322.5, $N$40, IF($H27&gt;2215.5, IF(V21=FALSE, $N$41, " ")," ")))</f>
        <v xml:space="preserve"> </v>
      </c>
      <c r="J27" s="255"/>
      <c r="K27" s="248"/>
      <c r="L27" s="255"/>
      <c r="M27" s="37"/>
      <c r="N27" s="137"/>
      <c r="O27" s="137"/>
      <c r="P27" s="137"/>
      <c r="Q27" s="137"/>
      <c r="R27" s="37"/>
      <c r="S27" s="37"/>
      <c r="T27" s="756"/>
      <c r="U27" s="207">
        <v>1</v>
      </c>
      <c r="V27" s="37"/>
      <c r="W27" s="37"/>
      <c r="X27" s="37"/>
      <c r="Y27" s="164" t="str">
        <f>CenAVS!A101</f>
        <v xml:space="preserve">Aventos HK-S Tip-on mocny biały bez Tip-on zaślepka   </v>
      </c>
      <c r="Z27" s="164" t="str">
        <f>CenAVS!B101</f>
        <v>20K2E00T06</v>
      </c>
      <c r="AA27" s="301" t="str">
        <f>CenAVS!C101</f>
        <v>SWIG</v>
      </c>
      <c r="AB27" s="165">
        <f t="shared" si="2"/>
        <v>0</v>
      </c>
      <c r="AC27" s="395">
        <f>CenAVS!F101</f>
        <v>86.817539999999994</v>
      </c>
      <c r="AD27" s="167">
        <f t="shared" si="3"/>
        <v>0</v>
      </c>
      <c r="AE27" s="407">
        <f>IF(AND($U$16=2,$T$44=3),ROUNDUP(SUM($O$13:$P$13)*$M$17,0),0)</f>
        <v>0</v>
      </c>
      <c r="AF27" s="168">
        <f t="shared" si="0"/>
        <v>0</v>
      </c>
      <c r="AG27" s="407">
        <f>IF(AND($U$27=2,$T$44=3),ROUNDUP(SUM($O$24:$P$24)*$M$28,0),0)</f>
        <v>0</v>
      </c>
      <c r="AH27" s="168">
        <f t="shared" si="1"/>
        <v>0</v>
      </c>
      <c r="AI27" s="108"/>
      <c r="AJ27" s="108"/>
      <c r="AK27" s="693"/>
      <c r="AL27" s="137"/>
      <c r="AM27" s="137"/>
      <c r="AN27" s="137"/>
      <c r="AO27" s="137"/>
      <c r="AP27" s="137"/>
      <c r="AQ27" s="137"/>
      <c r="AR27" s="137"/>
      <c r="AS27" s="137"/>
      <c r="AT27" s="137"/>
      <c r="AU27" s="137"/>
      <c r="AV27" s="137"/>
      <c r="AW27" s="121"/>
    </row>
    <row r="28" spans="1:49" ht="16.149999999999999" customHeight="1" thickBot="1" x14ac:dyDescent="0.25">
      <c r="B28" s="1155" t="str">
        <f>ListAVS!$B$71</f>
        <v>Ilość szafek</v>
      </c>
      <c r="C28" s="1156"/>
      <c r="D28" s="1156"/>
      <c r="E28" s="1156"/>
      <c r="F28" s="1156"/>
      <c r="G28" s="1156"/>
      <c r="H28" s="261"/>
      <c r="I28" s="256" t="str">
        <f>IF($H27&gt;3322.5," ",IF($H27&gt;2215.5,IF(V21=FALSE,$N$42," ")," "))</f>
        <v xml:space="preserve"> </v>
      </c>
      <c r="J28" s="264"/>
      <c r="K28" s="396"/>
      <c r="L28" s="265"/>
      <c r="M28" s="315">
        <f>IF($H21*$H22*$T28=0,0,IF($H22&lt;190,0,IF(H27&lt;220,0,IF($H27&gt;3322,0,IF(AND($H23=0,$H24&lt;14),0,IF(H27&gt;2215,IF(V21=FALSE,0,$H28),$H28))))))</f>
        <v>0</v>
      </c>
      <c r="N28" s="39"/>
      <c r="O28" s="39"/>
      <c r="P28" s="39"/>
      <c r="Q28" s="39"/>
      <c r="R28" s="137"/>
      <c r="S28" s="690" t="s">
        <v>51</v>
      </c>
      <c r="T28" s="691">
        <f>IF(H23&gt;0,H23,H26)</f>
        <v>0</v>
      </c>
      <c r="U28" s="37">
        <f>IF(SUM(H23,H26)=0,0,IF(H23&gt;0,1,2))</f>
        <v>0</v>
      </c>
      <c r="V28" s="571" t="s">
        <v>52</v>
      </c>
      <c r="Y28" s="164" t="str">
        <f>CenAVS!A102</f>
        <v xml:space="preserve">          </v>
      </c>
      <c r="Z28" s="164">
        <f>CenAVS!B102</f>
        <v>0</v>
      </c>
      <c r="AA28" s="301">
        <f>CenAVS!C102</f>
        <v>0</v>
      </c>
      <c r="AB28" s="165">
        <f t="shared" si="2"/>
        <v>0</v>
      </c>
      <c r="AC28" s="395">
        <f>CenAVS!F102</f>
        <v>0</v>
      </c>
      <c r="AD28" s="167">
        <f t="shared" si="3"/>
        <v>0</v>
      </c>
      <c r="AE28" s="407"/>
      <c r="AF28" s="168">
        <f t="shared" si="0"/>
        <v>0</v>
      </c>
      <c r="AG28" s="407"/>
      <c r="AH28" s="168">
        <f t="shared" si="1"/>
        <v>0</v>
      </c>
      <c r="AI28" s="108"/>
      <c r="AJ28" s="108"/>
      <c r="AK28" s="693"/>
      <c r="AL28" s="137"/>
      <c r="AM28" s="137"/>
      <c r="AN28" s="137"/>
      <c r="AO28" s="137"/>
      <c r="AP28" s="137"/>
      <c r="AQ28" s="137"/>
      <c r="AR28" s="137"/>
      <c r="AS28" s="137"/>
      <c r="AT28" s="137"/>
      <c r="AU28" s="137"/>
      <c r="AV28" s="137"/>
    </row>
    <row r="29" spans="1:49" ht="16.149999999999999" customHeight="1" x14ac:dyDescent="0.2">
      <c r="A29" s="137"/>
      <c r="B29" s="255" t="str">
        <f>IF(M28&gt;0,IF(U28=0," ",IF(U28=1,$N$49,$N$50))," ")&amp;IF(M28&gt;0,IF(U28=0," ",IF(U28=1,$N$51,$N$52))," ")</f>
        <v xml:space="preserve">  </v>
      </c>
      <c r="C29" s="255"/>
      <c r="D29" s="255"/>
      <c r="E29" s="255"/>
      <c r="F29" s="255"/>
      <c r="G29" s="255"/>
      <c r="H29" s="273"/>
      <c r="I29" s="273"/>
      <c r="J29" s="266"/>
      <c r="K29" s="266"/>
      <c r="L29" s="266"/>
      <c r="X29" s="118"/>
      <c r="Y29" s="164" t="str">
        <f>CenAVS!A103</f>
        <v xml:space="preserve">P+L, okucie Aventos HK-S do wąskich ALU ramek   </v>
      </c>
      <c r="Z29" s="164" t="str">
        <f>CenAVS!B103</f>
        <v>20K4A00A02</v>
      </c>
      <c r="AA29" s="301" t="str">
        <f>CenAVS!C103</f>
        <v>NI</v>
      </c>
      <c r="AB29" s="165">
        <f t="shared" si="2"/>
        <v>0</v>
      </c>
      <c r="AC29" s="395">
        <f>CenAVS!F103</f>
        <v>21.740570000000002</v>
      </c>
      <c r="AD29" s="167">
        <f t="shared" si="3"/>
        <v>0</v>
      </c>
      <c r="AE29" s="407"/>
      <c r="AF29" s="168">
        <f t="shared" si="0"/>
        <v>0</v>
      </c>
      <c r="AG29" s="407"/>
      <c r="AH29" s="168">
        <f t="shared" si="1"/>
        <v>0</v>
      </c>
      <c r="AI29" s="108"/>
      <c r="AJ29" s="108"/>
      <c r="AK29" s="693"/>
      <c r="AL29" s="137"/>
      <c r="AM29" s="137"/>
      <c r="AN29" s="137"/>
      <c r="AO29" s="137"/>
      <c r="AP29" s="137"/>
      <c r="AQ29" s="137"/>
      <c r="AR29" s="137"/>
      <c r="AS29" s="137"/>
      <c r="AT29" s="137"/>
      <c r="AU29" s="137"/>
      <c r="AV29" s="137"/>
    </row>
    <row r="30" spans="1:49" ht="16.149999999999999" customHeight="1" x14ac:dyDescent="0.2">
      <c r="B30" s="396"/>
      <c r="C30" s="248"/>
      <c r="D30" s="396"/>
      <c r="E30" s="396"/>
      <c r="F30" s="274"/>
      <c r="G30" s="274"/>
      <c r="H30" s="396"/>
      <c r="I30" s="264"/>
      <c r="J30" s="264"/>
      <c r="K30" s="396"/>
      <c r="L30" s="265"/>
      <c r="S30" s="138">
        <f>IF($T$30=FALSE,2,1)</f>
        <v>2</v>
      </c>
      <c r="T30" s="1063" t="b">
        <v>0</v>
      </c>
      <c r="U30" s="1064"/>
      <c r="V30" s="139" t="s">
        <v>56</v>
      </c>
      <c r="W30" s="140"/>
      <c r="Y30" s="164" t="str">
        <f>CenAVS!A166</f>
        <v xml:space="preserve">prowadnik prosty wkręt 8 5mm stal     </v>
      </c>
      <c r="Z30" s="164" t="str">
        <f>CenAVS!B166</f>
        <v>175H3100</v>
      </c>
      <c r="AA30" s="301" t="str">
        <f>CenAVS!C166</f>
        <v>NI</v>
      </c>
      <c r="AB30" s="165">
        <f>SUM(AE30,AG30)</f>
        <v>0</v>
      </c>
      <c r="AC30" s="395">
        <f>CenAVS!F166</f>
        <v>1.65564</v>
      </c>
      <c r="AD30" s="167">
        <f>AB30*AC30</f>
        <v>0</v>
      </c>
      <c r="AE30" s="407">
        <f>IF($R$44=2, SUM(AE$9:AE$27)*2, 0)</f>
        <v>0</v>
      </c>
      <c r="AF30" s="168">
        <f>$AC30*AE30</f>
        <v>0</v>
      </c>
      <c r="AG30" s="407">
        <f>IF($R$44=2, SUM(AG$9:AG$27)*2, 0)</f>
        <v>0</v>
      </c>
      <c r="AH30" s="168">
        <f>$AC30*AG30</f>
        <v>0</v>
      </c>
      <c r="AI30" s="108"/>
      <c r="AJ30" s="108"/>
      <c r="AK30" s="108"/>
      <c r="AL30" s="137"/>
      <c r="AM30" s="137"/>
      <c r="AN30" s="137"/>
      <c r="AO30" s="137"/>
      <c r="AP30" s="137"/>
      <c r="AQ30" s="137"/>
      <c r="AR30" s="137"/>
      <c r="AS30" s="137"/>
      <c r="AT30" s="137"/>
      <c r="AU30" s="137"/>
      <c r="AV30" s="137"/>
    </row>
    <row r="31" spans="1:49" ht="16.149999999999999" customHeight="1" x14ac:dyDescent="0.2">
      <c r="B31" s="255"/>
      <c r="C31" s="255"/>
      <c r="D31" s="266"/>
      <c r="E31" s="266"/>
      <c r="F31" s="266"/>
      <c r="G31" s="266"/>
      <c r="H31" s="266"/>
      <c r="I31" s="255"/>
      <c r="J31" s="266"/>
      <c r="K31" s="266"/>
      <c r="L31" s="397"/>
      <c r="Y31" s="164" t="str">
        <f>CenAVS!A167</f>
        <v xml:space="preserve">prowadnik prosty Expando 8 5mm stal     </v>
      </c>
      <c r="Z31" s="164" t="str">
        <f>CenAVS!B167</f>
        <v>177H3100E </v>
      </c>
      <c r="AA31" s="301" t="str">
        <f>CenAVS!C167</f>
        <v>NI</v>
      </c>
      <c r="AB31" s="165">
        <f>SUM(AE31,AG31)</f>
        <v>0</v>
      </c>
      <c r="AC31" s="395">
        <f>CenAVS!F167</f>
        <v>1.8724499999999999</v>
      </c>
      <c r="AD31" s="167">
        <f>AB31*AC31</f>
        <v>0</v>
      </c>
      <c r="AE31" s="407">
        <f>IF($R$44=1, SUM(AE$9:AE$27)*2, 0)</f>
        <v>0</v>
      </c>
      <c r="AF31" s="168">
        <f>$AC31*AE31</f>
        <v>0</v>
      </c>
      <c r="AG31" s="407">
        <f>IF($R$44=1, SUM(AG$9:AG$27)*2, 0)</f>
        <v>0</v>
      </c>
      <c r="AH31" s="168">
        <f>$AC31*AG31</f>
        <v>0</v>
      </c>
      <c r="AI31" s="108"/>
      <c r="AJ31" s="108"/>
      <c r="AK31" s="710"/>
      <c r="AL31" s="137"/>
      <c r="AM31" s="137"/>
      <c r="AN31" s="137"/>
      <c r="AO31" s="137"/>
      <c r="AP31" s="137"/>
      <c r="AQ31" s="137"/>
      <c r="AR31" s="137"/>
      <c r="AS31" s="137"/>
      <c r="AT31" s="137"/>
      <c r="AU31" s="137"/>
      <c r="AV31" s="137"/>
    </row>
    <row r="32" spans="1:49" ht="16.149999999999999" customHeight="1" x14ac:dyDescent="0.2">
      <c r="B32" s="272"/>
      <c r="C32" s="273" t="str">
        <f>IF(OR($V$10=TRUE, $V$21=TRUE), ListAVS!$B$183, " ")</f>
        <v xml:space="preserve"> </v>
      </c>
      <c r="D32" s="266"/>
      <c r="E32" s="266"/>
      <c r="F32" s="266"/>
      <c r="G32" s="266"/>
      <c r="H32" s="266"/>
      <c r="I32" s="255"/>
      <c r="J32" s="266"/>
      <c r="K32" s="266"/>
      <c r="L32" s="397"/>
      <c r="Y32" s="164"/>
      <c r="Z32" s="164"/>
      <c r="AA32" s="301"/>
      <c r="AB32" s="165"/>
      <c r="AC32" s="395"/>
      <c r="AD32" s="167"/>
      <c r="AE32" s="407"/>
      <c r="AF32" s="168"/>
      <c r="AG32" s="407"/>
      <c r="AH32" s="168"/>
      <c r="AI32" s="108"/>
      <c r="AJ32" s="108"/>
      <c r="AK32" s="108"/>
      <c r="AL32" s="137"/>
      <c r="AM32" s="137"/>
      <c r="AN32" s="137"/>
      <c r="AO32" s="137"/>
      <c r="AP32" s="137"/>
      <c r="AQ32" s="137"/>
      <c r="AR32" s="137"/>
      <c r="AS32" s="137"/>
      <c r="AT32" s="137"/>
      <c r="AU32" s="137"/>
      <c r="AV32" s="137"/>
    </row>
    <row r="33" spans="2:49" ht="16.149999999999999" customHeight="1" x14ac:dyDescent="0.2">
      <c r="B33" s="272"/>
      <c r="C33" s="255"/>
      <c r="D33" s="255"/>
      <c r="E33" s="255"/>
      <c r="F33" s="255"/>
      <c r="G33" s="255"/>
      <c r="H33" s="255"/>
      <c r="I33" s="255"/>
      <c r="J33" s="255"/>
      <c r="K33" s="255"/>
      <c r="L33" s="255"/>
      <c r="Y33" s="164"/>
      <c r="Z33" s="164"/>
      <c r="AA33" s="301"/>
      <c r="AB33" s="165"/>
      <c r="AC33" s="395"/>
      <c r="AD33" s="167"/>
      <c r="AE33" s="407"/>
      <c r="AF33" s="168"/>
      <c r="AG33" s="407"/>
      <c r="AH33" s="168"/>
      <c r="AI33" s="108"/>
      <c r="AJ33" s="108"/>
      <c r="AK33" s="108"/>
      <c r="AL33" s="137"/>
      <c r="AM33" s="137"/>
      <c r="AN33" s="137"/>
      <c r="AO33" s="137"/>
      <c r="AP33" s="137"/>
      <c r="AQ33" s="137"/>
      <c r="AR33" s="137"/>
      <c r="AS33" s="137"/>
      <c r="AT33" s="137"/>
      <c r="AU33" s="137"/>
      <c r="AV33" s="137"/>
    </row>
    <row r="34" spans="2:49" ht="16.149999999999999" customHeight="1" x14ac:dyDescent="0.2">
      <c r="B34" s="274" t="s">
        <v>63</v>
      </c>
      <c r="C34" s="1044" t="str">
        <f>ListAVS!$B$231&amp;" "&amp;ListAVS!$B$232</f>
        <v>Przy szerokich korpusach zalecamy trzeci siłownik. Powodem tego jest wyginanie się frontu w pozycji otwartej. Również współczynnik mocy LF i waga frontów mogą być zwiększone o 50%.</v>
      </c>
      <c r="D34" s="1044"/>
      <c r="E34" s="1044"/>
      <c r="F34" s="1044"/>
      <c r="G34" s="1044"/>
      <c r="H34" s="1044"/>
      <c r="I34" s="1044"/>
      <c r="J34" s="1044"/>
      <c r="K34" s="1044"/>
      <c r="L34" s="255"/>
      <c r="Y34" s="164"/>
      <c r="Z34" s="164"/>
      <c r="AA34" s="301"/>
      <c r="AB34" s="165"/>
      <c r="AC34" s="395"/>
      <c r="AD34" s="167"/>
      <c r="AE34" s="407"/>
      <c r="AF34" s="168"/>
      <c r="AG34" s="407"/>
      <c r="AH34" s="168"/>
      <c r="AI34" s="108"/>
      <c r="AJ34" s="108"/>
      <c r="AK34" s="108"/>
      <c r="AL34" s="137"/>
      <c r="AM34" s="137"/>
      <c r="AN34" s="137"/>
      <c r="AO34" s="137"/>
      <c r="AP34" s="137"/>
      <c r="AQ34" s="137"/>
      <c r="AR34" s="137"/>
      <c r="AS34" s="137"/>
      <c r="AT34" s="137"/>
      <c r="AU34" s="137"/>
      <c r="AV34" s="137"/>
    </row>
    <row r="35" spans="2:49" ht="16.149999999999999" customHeight="1" x14ac:dyDescent="0.2">
      <c r="B35" s="255"/>
      <c r="C35" s="1044"/>
      <c r="D35" s="1044"/>
      <c r="E35" s="1044"/>
      <c r="F35" s="1044"/>
      <c r="G35" s="1044"/>
      <c r="H35" s="1044"/>
      <c r="I35" s="1044"/>
      <c r="J35" s="1044"/>
      <c r="K35" s="1044"/>
      <c r="L35" s="255"/>
      <c r="N35" s="37" t="str">
        <f>" "&amp;ListAVS!$B$118</f>
        <v xml:space="preserve"> Wprowadź na górze masę objętościową </v>
      </c>
      <c r="Y35" s="164" t="str">
        <f>CenAVS!A185</f>
        <v xml:space="preserve">Tip-on do zawiasu 50mm PG, szary     </v>
      </c>
      <c r="Z35" s="164" t="str">
        <f>CenAVS!B185</f>
        <v>956.1004</v>
      </c>
      <c r="AA35" s="301" t="str">
        <f>CenAVS!C185</f>
        <v>R7036</v>
      </c>
      <c r="AB35" s="165">
        <f t="shared" si="2"/>
        <v>0</v>
      </c>
      <c r="AC35" s="395">
        <f>CenAVS!F185</f>
        <v>12.830769999999999</v>
      </c>
      <c r="AD35" s="167">
        <f t="shared" si="3"/>
        <v>0</v>
      </c>
      <c r="AE35" s="407">
        <f>IF(AND($T$44&lt;3,$U$16=2),$M$17,0)</f>
        <v>0</v>
      </c>
      <c r="AF35" s="168">
        <f t="shared" si="0"/>
        <v>0</v>
      </c>
      <c r="AG35" s="407">
        <f>IF(AND($T$44&lt;3,$U$27=2),$M$28,0)</f>
        <v>0</v>
      </c>
      <c r="AH35" s="168">
        <f t="shared" si="1"/>
        <v>0</v>
      </c>
      <c r="AI35" s="108"/>
      <c r="AJ35" s="108"/>
      <c r="AK35" s="108"/>
      <c r="AL35" s="137"/>
      <c r="AM35" s="137"/>
      <c r="AN35" s="137"/>
      <c r="AO35" s="137"/>
      <c r="AP35" s="137"/>
      <c r="AQ35" s="137"/>
      <c r="AR35" s="137"/>
      <c r="AS35" s="137"/>
      <c r="AT35" s="137"/>
      <c r="AU35" s="137"/>
      <c r="AV35" s="137"/>
    </row>
    <row r="36" spans="2:49" ht="16.149999999999999" customHeight="1" x14ac:dyDescent="0.2">
      <c r="B36" s="255"/>
      <c r="C36" s="1044"/>
      <c r="D36" s="1044"/>
      <c r="E36" s="1044"/>
      <c r="F36" s="1044"/>
      <c r="G36" s="1044"/>
      <c r="H36" s="1044"/>
      <c r="I36" s="1044"/>
      <c r="J36" s="1044"/>
      <c r="K36" s="1044"/>
      <c r="L36" s="255"/>
      <c r="N36" s="37" t="str">
        <f>" "&amp;ListAVS!$B$116</f>
        <v xml:space="preserve"> Wprowadź wagę lub wypełnij wszystkie komórki</v>
      </c>
      <c r="Y36" s="164" t="str">
        <f>CenAVS!A186</f>
        <v xml:space="preserve">Tip-on do zawiasu 50mm SW, biały     </v>
      </c>
      <c r="Z36" s="164" t="str">
        <f>CenAVS!B186</f>
        <v>956.1004</v>
      </c>
      <c r="AA36" s="301" t="str">
        <f>CenAVS!C186</f>
        <v>SW</v>
      </c>
      <c r="AB36" s="165">
        <f>SUM(AE36,AG36)</f>
        <v>0</v>
      </c>
      <c r="AC36" s="395">
        <f>CenAVS!F186</f>
        <v>12.830769999999999</v>
      </c>
      <c r="AD36" s="167">
        <f>AB36*AC36</f>
        <v>0</v>
      </c>
      <c r="AE36" s="407">
        <f>IF(AND($T$44=3,$U$16=2),$M$17,0)</f>
        <v>0</v>
      </c>
      <c r="AF36" s="168">
        <f>$AC36*AE36</f>
        <v>0</v>
      </c>
      <c r="AG36" s="407">
        <f>IF(AND($T$44=3,$U$27=2),$M$28,0)</f>
        <v>0</v>
      </c>
      <c r="AH36" s="168">
        <f>$AC36*AG36</f>
        <v>0</v>
      </c>
      <c r="AI36" s="108"/>
      <c r="AJ36" s="108"/>
      <c r="AK36" s="108"/>
      <c r="AL36" s="137"/>
      <c r="AM36" s="137"/>
      <c r="AN36" s="137"/>
      <c r="AO36" s="137"/>
      <c r="AP36" s="137"/>
      <c r="AQ36" s="137"/>
      <c r="AR36" s="137"/>
      <c r="AS36" s="137"/>
      <c r="AT36" s="137"/>
      <c r="AU36" s="137"/>
      <c r="AV36" s="137"/>
    </row>
    <row r="37" spans="2:49" ht="16.149999999999999" customHeight="1" x14ac:dyDescent="0.2">
      <c r="B37" s="255"/>
      <c r="C37" s="1044"/>
      <c r="D37" s="1044"/>
      <c r="E37" s="1044"/>
      <c r="F37" s="1044"/>
      <c r="G37" s="1044"/>
      <c r="H37" s="1044"/>
      <c r="I37" s="1044"/>
      <c r="J37" s="1044"/>
      <c r="K37" s="1044"/>
      <c r="L37" s="255"/>
      <c r="N37" s="37" t="str">
        <f>"◄ "&amp;ListAVS!$B$112</f>
        <v>◄ wartość będzie wykorzystana do obliczenia LF</v>
      </c>
      <c r="Y37" s="164" t="str">
        <f>CenAVS!A187</f>
        <v xml:space="preserve">Tip-on do zawiasu krótki 50mm z magnesem,komplet, karbon czarny CS </v>
      </c>
      <c r="Z37" s="164" t="str">
        <f>CenAVS!B187</f>
        <v>956.1004</v>
      </c>
      <c r="AA37" s="301" t="str">
        <f>CenAVS!C187</f>
        <v>CS</v>
      </c>
      <c r="AB37" s="165">
        <f>SUM(AE37,AG37)</f>
        <v>0</v>
      </c>
      <c r="AC37" s="395">
        <f>CenAVS!F187</f>
        <v>12.830769999999999</v>
      </c>
      <c r="AD37" s="167">
        <f>AB37*AC37</f>
        <v>0</v>
      </c>
      <c r="AE37" s="407"/>
      <c r="AF37" s="168">
        <f>$AC37*AE37</f>
        <v>0</v>
      </c>
      <c r="AG37" s="407"/>
      <c r="AH37" s="168">
        <f>$AC37*AG37</f>
        <v>0</v>
      </c>
      <c r="AI37" s="108"/>
      <c r="AJ37" s="108"/>
      <c r="AK37" s="108"/>
      <c r="AL37" s="137"/>
      <c r="AM37" s="137"/>
      <c r="AN37" s="137"/>
      <c r="AO37" s="137"/>
      <c r="AP37" s="137"/>
      <c r="AQ37" s="137"/>
      <c r="AR37" s="137"/>
      <c r="AS37" s="137"/>
      <c r="AT37" s="137"/>
      <c r="AU37" s="137"/>
      <c r="AV37" s="137"/>
    </row>
    <row r="38" spans="2:49" ht="16.149999999999999" customHeight="1" x14ac:dyDescent="0.2">
      <c r="B38" s="274" t="s">
        <v>83</v>
      </c>
      <c r="C38" s="255" t="str">
        <f>ListAVS!$B$187</f>
        <v>Jeżeli znasz wagę i nie chcesz skorzystać z "obliczenie wagi"</v>
      </c>
      <c r="D38" s="255"/>
      <c r="E38" s="255"/>
      <c r="F38" s="255"/>
      <c r="G38" s="255"/>
      <c r="H38" s="255"/>
      <c r="I38" s="255"/>
      <c r="J38" s="255"/>
      <c r="K38" s="255"/>
      <c r="L38" s="255"/>
      <c r="N38" s="37" t="str">
        <f>" * "&amp;ListAVS!$B$128</f>
        <v xml:space="preserve"> * Wypełnij wartości</v>
      </c>
      <c r="Y38" s="164"/>
      <c r="Z38" s="164"/>
      <c r="AA38" s="301"/>
      <c r="AB38" s="165"/>
      <c r="AC38" s="395"/>
      <c r="AD38" s="167"/>
      <c r="AE38" s="408"/>
      <c r="AF38" s="168"/>
      <c r="AG38" s="408"/>
      <c r="AH38" s="168"/>
      <c r="AI38" s="108"/>
      <c r="AJ38" s="108"/>
      <c r="AK38" s="108"/>
      <c r="AL38" s="137"/>
      <c r="AM38" s="37"/>
      <c r="AN38" s="37"/>
      <c r="AO38" s="37"/>
      <c r="AP38" s="37"/>
      <c r="AQ38" s="37"/>
      <c r="AR38" s="37"/>
      <c r="AS38" s="37"/>
      <c r="AT38" s="37"/>
      <c r="AU38" s="37"/>
      <c r="AV38" s="37"/>
    </row>
    <row r="39" spans="2:49" ht="16.149999999999999" customHeight="1" x14ac:dyDescent="0.2">
      <c r="B39" s="255"/>
      <c r="C39" s="255"/>
      <c r="D39" s="255"/>
      <c r="E39" s="255"/>
      <c r="F39" s="255"/>
      <c r="G39" s="255"/>
      <c r="H39" s="255"/>
      <c r="I39" s="255"/>
      <c r="J39" s="255"/>
      <c r="K39" s="255"/>
      <c r="L39" s="255"/>
      <c r="N39" s="37" t="str">
        <f>" min. 220! "&amp;ListAVS!$B$122</f>
        <v xml:space="preserve"> min. 220! Popraw wagę albo wysokość</v>
      </c>
      <c r="Y39" s="164"/>
      <c r="Z39" s="164"/>
      <c r="AA39" s="301"/>
      <c r="AB39" s="165"/>
      <c r="AC39" s="395"/>
      <c r="AD39" s="167"/>
      <c r="AE39" s="408"/>
      <c r="AF39" s="168"/>
      <c r="AG39" s="408"/>
      <c r="AH39" s="168"/>
      <c r="AI39" s="108"/>
      <c r="AJ39" s="108"/>
      <c r="AK39" s="108"/>
      <c r="AL39" s="37"/>
      <c r="AM39" s="37"/>
      <c r="AN39" s="37"/>
      <c r="AO39" s="37"/>
      <c r="AP39" s="37"/>
      <c r="AQ39" s="37"/>
      <c r="AR39" s="37"/>
      <c r="AS39" s="37"/>
      <c r="AT39" s="37"/>
      <c r="AU39" s="37"/>
      <c r="AV39" s="37"/>
    </row>
    <row r="40" spans="2:49" ht="16.149999999999999" customHeight="1" x14ac:dyDescent="0.2">
      <c r="N40" s="37" t="str">
        <f>" max. 3.322! "&amp;ListAVS!$B$122</f>
        <v xml:space="preserve"> max. 3.322! Popraw wagę albo wysokość</v>
      </c>
      <c r="O40" s="37"/>
      <c r="Q40" s="37"/>
      <c r="Y40" s="164"/>
      <c r="Z40" s="164"/>
      <c r="AA40" s="301"/>
      <c r="AB40" s="165"/>
      <c r="AC40" s="395"/>
      <c r="AD40" s="167"/>
      <c r="AE40" s="408"/>
      <c r="AF40" s="168"/>
      <c r="AG40" s="408"/>
      <c r="AH40" s="168"/>
      <c r="AI40" s="108"/>
      <c r="AJ40" s="108"/>
      <c r="AK40" s="108"/>
      <c r="AL40" s="37"/>
      <c r="AM40" s="37"/>
      <c r="AN40" s="37"/>
      <c r="AO40" s="37"/>
      <c r="AP40" s="37"/>
      <c r="AQ40" s="37"/>
      <c r="AR40" s="37"/>
      <c r="AS40" s="37"/>
      <c r="AT40" s="37"/>
      <c r="AU40" s="37"/>
      <c r="AV40" s="37"/>
      <c r="AW40" s="37"/>
    </row>
    <row r="41" spans="2:49" ht="16.149999999999999" customHeight="1" x14ac:dyDescent="0.2">
      <c r="N41" s="37" t="str">
        <f>" max. 2.215! "&amp;ListAVS!$B$122</f>
        <v xml:space="preserve"> max. 2.215! Popraw wagę albo wysokość</v>
      </c>
      <c r="Y41" s="164"/>
      <c r="Z41" s="164"/>
      <c r="AA41" s="301"/>
      <c r="AB41" s="165"/>
      <c r="AC41" s="395"/>
      <c r="AD41" s="167"/>
      <c r="AE41" s="408"/>
      <c r="AF41" s="168"/>
      <c r="AG41" s="408"/>
      <c r="AH41" s="168"/>
      <c r="AI41" s="108"/>
      <c r="AJ41" s="108"/>
      <c r="AK41" s="108"/>
      <c r="AL41" s="37"/>
      <c r="AM41" s="137"/>
      <c r="AN41" s="137"/>
      <c r="AO41" s="137"/>
      <c r="AP41" s="137"/>
      <c r="AQ41" s="137"/>
      <c r="AR41" s="137"/>
      <c r="AS41" s="137"/>
      <c r="AT41" s="137"/>
      <c r="AU41" s="137"/>
      <c r="AV41" s="137"/>
      <c r="AW41" s="37"/>
    </row>
    <row r="42" spans="2:49" s="37" customFormat="1" ht="16.149999999999999" customHeight="1" x14ac:dyDescent="0.2">
      <c r="N42" s="149" t="str">
        <f>"                       "&amp;ListAVS!$B$123</f>
        <v xml:space="preserve">                       lub dodaj trzeci siłownik</v>
      </c>
      <c r="O42" s="118"/>
      <c r="Q42" s="118"/>
      <c r="Y42" s="164"/>
      <c r="Z42" s="164"/>
      <c r="AA42" s="301"/>
      <c r="AB42" s="165"/>
      <c r="AC42" s="395"/>
      <c r="AD42" s="167"/>
      <c r="AE42" s="408"/>
      <c r="AF42" s="168"/>
      <c r="AG42" s="408"/>
      <c r="AH42" s="168"/>
      <c r="AI42" s="108"/>
      <c r="AJ42" s="108"/>
      <c r="AK42" s="108"/>
      <c r="AL42" s="137"/>
      <c r="AM42" s="137"/>
      <c r="AN42" s="137"/>
      <c r="AO42" s="137"/>
      <c r="AP42" s="137"/>
      <c r="AQ42" s="137"/>
      <c r="AR42" s="137"/>
      <c r="AS42" s="137"/>
      <c r="AT42" s="137"/>
      <c r="AU42" s="137"/>
      <c r="AV42" s="137"/>
    </row>
    <row r="43" spans="2:49" s="37" customFormat="1" ht="16.149999999999999" customHeight="1" x14ac:dyDescent="0.2">
      <c r="B43" s="147"/>
      <c r="O43" s="118"/>
      <c r="Q43" s="118"/>
      <c r="Y43" s="164"/>
      <c r="Z43" s="164"/>
      <c r="AA43" s="301"/>
      <c r="AB43" s="165"/>
      <c r="AC43" s="395"/>
      <c r="AD43" s="167"/>
      <c r="AE43" s="408"/>
      <c r="AF43" s="168"/>
      <c r="AG43" s="408"/>
      <c r="AH43" s="168"/>
      <c r="AI43" s="108"/>
      <c r="AJ43" s="108"/>
      <c r="AK43" s="108"/>
      <c r="AL43" s="137"/>
      <c r="AM43" s="137"/>
      <c r="AN43" s="137"/>
      <c r="AO43" s="137"/>
      <c r="AP43" s="137"/>
      <c r="AQ43" s="137"/>
      <c r="AR43" s="137"/>
      <c r="AS43" s="137"/>
      <c r="AT43" s="137"/>
      <c r="AU43" s="137"/>
      <c r="AV43" s="137"/>
      <c r="AW43" s="121"/>
    </row>
    <row r="44" spans="2:49" s="37" customFormat="1" ht="16.149999999999999" customHeight="1" x14ac:dyDescent="0.2">
      <c r="B44" s="142"/>
      <c r="N44" s="117">
        <v>1</v>
      </c>
      <c r="O44" s="118"/>
      <c r="P44" s="117">
        <v>1</v>
      </c>
      <c r="Q44" s="118"/>
      <c r="R44" s="117">
        <f>HKS!$N$26</f>
        <v>1</v>
      </c>
      <c r="T44" s="117">
        <f>MenuAVS!$P$28</f>
        <v>1</v>
      </c>
      <c r="Y44" s="164"/>
      <c r="Z44" s="164"/>
      <c r="AA44" s="301"/>
      <c r="AB44" s="165"/>
      <c r="AC44" s="395"/>
      <c r="AD44" s="167"/>
      <c r="AE44" s="408"/>
      <c r="AF44" s="168"/>
      <c r="AG44" s="408"/>
      <c r="AH44" s="168"/>
      <c r="AI44" s="108"/>
      <c r="AJ44" s="108"/>
      <c r="AK44" s="108"/>
      <c r="AL44" s="137"/>
      <c r="AM44" s="137"/>
      <c r="AN44" s="137"/>
      <c r="AO44" s="137"/>
      <c r="AP44" s="137"/>
      <c r="AQ44" s="137"/>
      <c r="AR44" s="137"/>
      <c r="AS44" s="137"/>
      <c r="AT44" s="137"/>
      <c r="AU44" s="137"/>
      <c r="AV44" s="137"/>
      <c r="AW44" s="121"/>
    </row>
    <row r="45" spans="2:49" ht="16.149999999999999" customHeight="1" x14ac:dyDescent="0.2">
      <c r="B45" s="349"/>
      <c r="D45" s="148"/>
      <c r="E45" s="148"/>
      <c r="F45" s="148"/>
      <c r="G45" s="148"/>
      <c r="H45" s="148"/>
      <c r="I45" s="148"/>
      <c r="J45" s="148"/>
      <c r="K45" s="148"/>
      <c r="N45" s="153" t="s">
        <v>7</v>
      </c>
      <c r="P45" s="153" t="s">
        <v>8</v>
      </c>
      <c r="R45" s="153" t="s">
        <v>84</v>
      </c>
      <c r="T45" s="153" t="s">
        <v>6</v>
      </c>
      <c r="V45" s="208" t="s">
        <v>18</v>
      </c>
      <c r="AG45" s="118"/>
      <c r="AI45" s="108"/>
      <c r="AJ45" s="108"/>
      <c r="AK45" s="108"/>
      <c r="AL45" s="137"/>
      <c r="AM45" s="137"/>
      <c r="AN45" s="137"/>
      <c r="AO45" s="137"/>
      <c r="AP45" s="137"/>
      <c r="AQ45" s="137"/>
      <c r="AR45" s="137"/>
      <c r="AS45" s="137"/>
      <c r="AT45" s="137"/>
      <c r="AU45" s="137"/>
      <c r="AV45" s="137"/>
    </row>
    <row r="46" spans="2:49" ht="16.149999999999999" customHeight="1" x14ac:dyDescent="0.2">
      <c r="B46" s="350"/>
      <c r="C46" s="148"/>
      <c r="D46" s="148"/>
      <c r="E46" s="148"/>
      <c r="F46" s="148"/>
      <c r="G46" s="148"/>
      <c r="H46" s="148"/>
      <c r="I46" s="148"/>
      <c r="J46" s="148"/>
      <c r="K46" s="148"/>
      <c r="R46" s="118" t="str">
        <f>ListAVS!$B$143</f>
        <v>Expando</v>
      </c>
      <c r="T46" s="37" t="str">
        <f>ListAVS!$B$146</f>
        <v>Jasnoszary (HGR)</v>
      </c>
      <c r="V46" s="209" t="s">
        <v>58</v>
      </c>
      <c r="AC46" s="144" t="str">
        <f>ListAVS!$B$61&amp;" "</f>
        <v xml:space="preserve">Cena całkowita bez VAT </v>
      </c>
      <c r="AD46" s="171">
        <f>SUM(AD9:AD43)</f>
        <v>0</v>
      </c>
      <c r="AF46" s="201">
        <f>SUM(AF9:AF45)</f>
        <v>0</v>
      </c>
      <c r="AH46" s="201">
        <f>SUM(AH9:AH45)</f>
        <v>0</v>
      </c>
      <c r="AI46" s="108"/>
      <c r="AJ46" s="108"/>
      <c r="AK46" s="108"/>
      <c r="AL46" s="137"/>
      <c r="AM46" s="137"/>
      <c r="AN46" s="137"/>
      <c r="AO46" s="137"/>
      <c r="AP46" s="137"/>
      <c r="AQ46" s="137"/>
      <c r="AR46" s="137"/>
      <c r="AS46" s="137"/>
      <c r="AT46" s="137"/>
      <c r="AU46" s="137"/>
      <c r="AV46" s="137"/>
    </row>
    <row r="47" spans="2:49" ht="16.149999999999999" customHeight="1" x14ac:dyDescent="0.2">
      <c r="B47" s="316"/>
      <c r="C47" s="317"/>
      <c r="D47" s="317"/>
      <c r="E47" s="317"/>
      <c r="F47" s="317"/>
      <c r="G47" s="317"/>
      <c r="I47" s="317"/>
      <c r="J47" s="317"/>
      <c r="R47" s="118" t="str">
        <f>ListAVS!$B$144</f>
        <v>na wkręty</v>
      </c>
      <c r="T47" s="37" t="str">
        <f>ListAVS!$B$147</f>
        <v>Ciemnoszary (TGR)</v>
      </c>
      <c r="V47" s="209" t="s">
        <v>107</v>
      </c>
      <c r="AI47" s="108"/>
      <c r="AJ47" s="108"/>
      <c r="AK47" s="108"/>
      <c r="AL47" s="137"/>
      <c r="AM47" s="137"/>
      <c r="AN47" s="137"/>
      <c r="AO47" s="137"/>
      <c r="AP47" s="137"/>
      <c r="AQ47" s="137"/>
      <c r="AR47" s="137"/>
      <c r="AS47" s="137"/>
      <c r="AT47" s="137"/>
      <c r="AU47" s="137"/>
      <c r="AV47" s="137"/>
    </row>
    <row r="48" spans="2:49" ht="16.149999999999999" customHeight="1" x14ac:dyDescent="0.2">
      <c r="B48" s="317"/>
      <c r="C48" s="317"/>
      <c r="D48" s="317"/>
      <c r="E48" s="317"/>
      <c r="F48" s="317"/>
      <c r="G48" s="317"/>
      <c r="I48" s="317"/>
      <c r="J48" s="317"/>
      <c r="T48" s="37" t="str">
        <f>ListAVS!$B$148</f>
        <v>Jedwabiście biały (SW)</v>
      </c>
      <c r="AI48" s="108"/>
      <c r="AJ48" s="108"/>
      <c r="AK48" s="108"/>
      <c r="AL48" s="137"/>
      <c r="AM48" s="137"/>
      <c r="AN48" s="137"/>
      <c r="AO48" s="137"/>
      <c r="AP48" s="137"/>
      <c r="AQ48" s="137"/>
      <c r="AR48" s="137"/>
      <c r="AS48" s="137"/>
      <c r="AT48" s="137"/>
      <c r="AU48" s="137"/>
      <c r="AV48" s="137"/>
    </row>
    <row r="49" spans="1:49" ht="16.149999999999999" customHeight="1" x14ac:dyDescent="0.2">
      <c r="B49" s="316"/>
      <c r="C49" s="317"/>
      <c r="D49" s="317"/>
      <c r="E49" s="317"/>
      <c r="F49" s="317"/>
      <c r="G49" s="317"/>
      <c r="I49" s="317"/>
      <c r="J49" s="317"/>
      <c r="N49" s="37" t="str">
        <f>ListAVS!B188&amp;". "</f>
        <v xml:space="preserve">W celu określenia rodzaju siłownika będzie wykorzystana podana waga. </v>
      </c>
      <c r="AI49" s="108"/>
      <c r="AJ49" s="108"/>
      <c r="AK49" s="108"/>
      <c r="AL49" s="137"/>
      <c r="AM49" s="137"/>
      <c r="AN49" s="137"/>
      <c r="AO49" s="137"/>
      <c r="AP49" s="137"/>
      <c r="AQ49" s="137"/>
      <c r="AR49" s="137"/>
      <c r="AS49" s="137"/>
      <c r="AT49" s="137"/>
      <c r="AU49" s="137"/>
      <c r="AV49" s="137"/>
    </row>
    <row r="50" spans="1:49" ht="16.149999999999999" customHeight="1" x14ac:dyDescent="0.2">
      <c r="B50" s="144"/>
      <c r="C50" s="317"/>
      <c r="N50" s="37" t="str">
        <f>ListAVS!B189&amp;". "</f>
        <v xml:space="preserve">W celu określenia rodzaju siłownika będzie wykorzystana obliczona waga. </v>
      </c>
      <c r="AI50" s="108"/>
      <c r="AJ50" s="108"/>
      <c r="AK50" s="108"/>
      <c r="AL50" s="137"/>
      <c r="AM50" s="137"/>
      <c r="AN50" s="137"/>
      <c r="AO50" s="137"/>
      <c r="AP50" s="137"/>
      <c r="AQ50" s="137"/>
      <c r="AR50" s="137"/>
      <c r="AS50" s="137"/>
      <c r="AT50" s="137"/>
      <c r="AU50" s="137"/>
      <c r="AV50" s="137"/>
    </row>
    <row r="51" spans="1:49" ht="16.149999999999999" customHeight="1" x14ac:dyDescent="0.2">
      <c r="B51" s="144"/>
      <c r="N51" s="37" t="str">
        <f>ListAVS!B190</f>
        <v>Jeżeli chcesz wykorzystać obliczoną wagę, zmaż podaną wartość</v>
      </c>
      <c r="AI51" s="108"/>
      <c r="AJ51" s="108"/>
      <c r="AK51" s="108"/>
      <c r="AL51" s="137"/>
      <c r="AM51" s="137"/>
      <c r="AN51" s="137"/>
      <c r="AO51" s="137"/>
      <c r="AP51" s="137"/>
      <c r="AQ51" s="137"/>
      <c r="AR51" s="137"/>
      <c r="AS51" s="137"/>
      <c r="AT51" s="137"/>
      <c r="AU51" s="137"/>
      <c r="AV51" s="137"/>
    </row>
    <row r="52" spans="1:49" ht="16.149999999999999" customHeight="1" x14ac:dyDescent="0.2">
      <c r="B52" s="155"/>
      <c r="D52" s="155"/>
      <c r="E52" s="155"/>
      <c r="F52" s="155"/>
      <c r="G52" s="155"/>
      <c r="I52" s="155"/>
      <c r="J52" s="155"/>
      <c r="N52" s="37" t="str">
        <f>ListAVS!B191</f>
        <v>Jeżeli chcesz wykorzystać podaną wagą, wpisz ją w pole</v>
      </c>
      <c r="AI52" s="108"/>
      <c r="AJ52" s="108"/>
      <c r="AK52" s="108"/>
      <c r="AL52" s="137"/>
      <c r="AM52" s="137"/>
      <c r="AN52" s="137"/>
      <c r="AO52" s="137"/>
      <c r="AP52" s="137"/>
      <c r="AQ52" s="137"/>
      <c r="AR52" s="137"/>
      <c r="AS52" s="137"/>
      <c r="AT52" s="137"/>
      <c r="AU52" s="137"/>
      <c r="AV52" s="137"/>
    </row>
    <row r="53" spans="1:49" ht="16.149999999999999" customHeight="1" x14ac:dyDescent="0.2">
      <c r="AI53" s="108"/>
      <c r="AJ53" s="108"/>
      <c r="AK53" s="108"/>
      <c r="AL53" s="137"/>
      <c r="AM53" s="137"/>
      <c r="AN53" s="137"/>
      <c r="AO53" s="137"/>
      <c r="AP53" s="137"/>
      <c r="AQ53" s="137"/>
      <c r="AR53" s="137"/>
      <c r="AS53" s="137"/>
      <c r="AT53" s="137"/>
      <c r="AU53" s="137"/>
      <c r="AV53" s="137"/>
    </row>
    <row r="54" spans="1:49" ht="16.149999999999999" customHeight="1" x14ac:dyDescent="0.2">
      <c r="AI54" s="108"/>
      <c r="AJ54" s="108"/>
      <c r="AK54" s="108"/>
      <c r="AL54" s="137"/>
      <c r="AM54" s="137"/>
      <c r="AN54" s="137"/>
      <c r="AO54" s="137"/>
      <c r="AP54" s="137"/>
      <c r="AQ54" s="137"/>
      <c r="AR54" s="137"/>
      <c r="AS54" s="137"/>
      <c r="AT54" s="137"/>
      <c r="AU54" s="137"/>
      <c r="AV54" s="137"/>
    </row>
    <row r="55" spans="1:49" ht="16.149999999999999" customHeight="1" x14ac:dyDescent="0.2">
      <c r="AI55" s="108"/>
      <c r="AJ55" s="108"/>
      <c r="AK55" s="108"/>
      <c r="AL55" s="137"/>
      <c r="AM55" s="137"/>
      <c r="AN55" s="137"/>
      <c r="AO55" s="137"/>
      <c r="AP55" s="37"/>
      <c r="AQ55" s="37"/>
      <c r="AR55" s="37"/>
      <c r="AS55" s="37"/>
      <c r="AT55" s="37"/>
      <c r="AU55" s="37"/>
      <c r="AV55" s="37"/>
    </row>
    <row r="56" spans="1:49" ht="16.149999999999999" customHeight="1" x14ac:dyDescent="0.2">
      <c r="AI56" s="108"/>
      <c r="AJ56" s="108"/>
      <c r="AK56" s="108"/>
      <c r="AL56" s="137"/>
      <c r="AM56" s="137"/>
      <c r="AN56" s="137"/>
      <c r="AO56" s="137"/>
      <c r="AP56" s="37"/>
      <c r="AQ56" s="37"/>
      <c r="AR56" s="37"/>
      <c r="AS56" s="37"/>
      <c r="AT56" s="37"/>
      <c r="AU56" s="37"/>
      <c r="AV56" s="37"/>
    </row>
    <row r="57" spans="1:49" ht="16.149999999999999" customHeight="1" x14ac:dyDescent="0.2">
      <c r="O57" s="37"/>
      <c r="Q57" s="37"/>
      <c r="AI57" s="108"/>
      <c r="AJ57" s="108"/>
      <c r="AK57" s="108"/>
      <c r="AL57" s="137"/>
      <c r="AM57" s="137"/>
      <c r="AN57" s="137"/>
      <c r="AO57" s="137"/>
      <c r="AP57" s="137"/>
      <c r="AQ57" s="137"/>
      <c r="AR57" s="137"/>
      <c r="AS57" s="137"/>
      <c r="AT57" s="137"/>
      <c r="AU57" s="137"/>
      <c r="AV57" s="137"/>
      <c r="AW57" s="37"/>
    </row>
    <row r="58" spans="1:49" x14ac:dyDescent="0.2">
      <c r="AI58" s="108"/>
      <c r="AJ58" s="108"/>
      <c r="AK58" s="108"/>
      <c r="AL58" s="137"/>
      <c r="AM58" s="137"/>
      <c r="AN58" s="137"/>
      <c r="AO58" s="137"/>
      <c r="AP58" s="137"/>
      <c r="AQ58" s="137"/>
      <c r="AR58" s="137"/>
      <c r="AS58" s="137"/>
      <c r="AT58" s="137"/>
      <c r="AU58" s="137"/>
      <c r="AV58" s="137"/>
    </row>
    <row r="59" spans="1:49" ht="12.75" x14ac:dyDescent="0.2">
      <c r="A59" s="255"/>
      <c r="N59" s="255"/>
      <c r="O59" s="255"/>
      <c r="P59" s="255"/>
      <c r="Q59" s="255"/>
      <c r="R59" s="255"/>
      <c r="S59" s="255"/>
      <c r="T59" s="255"/>
      <c r="U59" s="255"/>
      <c r="V59" s="255"/>
      <c r="W59" s="255"/>
      <c r="AI59" s="108"/>
      <c r="AJ59" s="108"/>
      <c r="AK59" s="108"/>
      <c r="AL59" s="137"/>
      <c r="AM59" s="137"/>
      <c r="AN59" s="137"/>
      <c r="AO59" s="137"/>
      <c r="AP59" s="137"/>
      <c r="AQ59" s="137"/>
      <c r="AR59" s="137"/>
      <c r="AS59" s="137"/>
      <c r="AT59" s="137"/>
      <c r="AU59" s="137"/>
      <c r="AV59" s="137"/>
    </row>
    <row r="60" spans="1:49" ht="12.75" x14ac:dyDescent="0.2">
      <c r="A60" s="255"/>
      <c r="N60" s="517" t="str">
        <f>ListAVS!$B$73</f>
        <v>Obliczanie wagi frontów</v>
      </c>
      <c r="O60" s="518"/>
      <c r="P60" s="518"/>
      <c r="Q60" s="518"/>
      <c r="R60" s="518"/>
      <c r="S60" s="255"/>
      <c r="T60" s="255"/>
      <c r="U60" s="255"/>
      <c r="V60" s="255"/>
      <c r="W60" s="255"/>
      <c r="AI60" s="108"/>
      <c r="AJ60" s="108"/>
      <c r="AK60" s="108"/>
      <c r="AL60" s="137"/>
      <c r="AM60" s="137"/>
      <c r="AN60" s="137"/>
      <c r="AO60" s="137"/>
      <c r="AP60" s="137"/>
      <c r="AQ60" s="137"/>
      <c r="AR60" s="137"/>
      <c r="AS60" s="137"/>
      <c r="AT60" s="137"/>
      <c r="AU60" s="137"/>
      <c r="AV60" s="137"/>
    </row>
    <row r="61" spans="1:49" ht="15.75" customHeight="1" x14ac:dyDescent="0.2">
      <c r="A61" s="255"/>
      <c r="N61" s="255"/>
      <c r="O61" s="269"/>
      <c r="P61" s="269" t="str">
        <f>ListAVS!$B$180&amp;"  "</f>
        <v xml:space="preserve">Wykonanie frontów  </v>
      </c>
      <c r="Q61" s="255"/>
      <c r="R61" s="255"/>
      <c r="S61" s="255"/>
      <c r="T61" s="829">
        <f>J4</f>
        <v>0</v>
      </c>
      <c r="U61" s="262" t="str">
        <f>IF(Z68=3,IF(T61=0,Y63," "),IF(T61&gt;0,Y64," "))</f>
        <v xml:space="preserve"> </v>
      </c>
      <c r="V61" s="255"/>
      <c r="W61" s="255"/>
      <c r="Y61" s="149" t="str">
        <f>IF($Z$68=1,$Z$69,IF($Z$68=2,$Z$70,$Z$71&amp;" "&amp;$Y$71&amp;"kg/m3"))&amp;" A~"&amp;$T$69&amp;"/ B~"&amp;$T$78&amp;"mm"</f>
        <v>MDF (760 kg/m3) A~0/ B~0mm</v>
      </c>
      <c r="Z61" s="118"/>
      <c r="AB61" s="118"/>
      <c r="AI61" s="108"/>
      <c r="AJ61" s="108"/>
      <c r="AK61" s="108"/>
      <c r="AL61" s="137"/>
      <c r="AM61" s="137"/>
      <c r="AN61" s="137"/>
      <c r="AO61" s="137"/>
      <c r="AP61" s="137"/>
      <c r="AQ61" s="137"/>
      <c r="AR61" s="137"/>
      <c r="AS61" s="137"/>
      <c r="AT61" s="137"/>
      <c r="AU61" s="137"/>
      <c r="AV61" s="137"/>
    </row>
    <row r="62" spans="1:49" ht="13.5" customHeight="1" x14ac:dyDescent="0.2">
      <c r="A62" s="255"/>
      <c r="N62" s="255"/>
      <c r="O62" s="255"/>
      <c r="P62" s="1151" t="str">
        <f>IF($Z$68&lt;&gt;3,$Y$62," ")&amp;"      "</f>
        <v xml:space="preserve"> Możesz zmienić wartości we Wstępie do planowania      </v>
      </c>
      <c r="Q62" s="1151"/>
      <c r="R62" s="1151"/>
      <c r="S62" s="1151"/>
      <c r="T62" s="1151"/>
      <c r="U62" s="255"/>
      <c r="V62" s="255"/>
      <c r="W62" s="255"/>
      <c r="Y62" s="37" t="str">
        <f>" "&amp;ListAVS!$B$410</f>
        <v xml:space="preserve"> Możesz zmienić wartości we Wstępie do planowania</v>
      </c>
      <c r="Z62" s="118"/>
      <c r="AB62" s="118"/>
      <c r="AI62" s="108"/>
      <c r="AJ62" s="108"/>
      <c r="AK62" s="108"/>
      <c r="AL62" s="137"/>
      <c r="AM62" s="137"/>
      <c r="AN62" s="137"/>
      <c r="AO62" s="137"/>
      <c r="AP62" s="137"/>
      <c r="AQ62" s="137"/>
      <c r="AR62" s="137"/>
      <c r="AS62" s="137"/>
      <c r="AT62" s="137"/>
      <c r="AU62" s="137"/>
      <c r="AV62" s="137"/>
    </row>
    <row r="63" spans="1:49" ht="15" customHeight="1" x14ac:dyDescent="0.2">
      <c r="A63" s="255"/>
      <c r="N63" s="266"/>
      <c r="O63" s="255"/>
      <c r="P63" s="255"/>
      <c r="Q63" s="255"/>
      <c r="R63" s="255"/>
      <c r="S63" s="255"/>
      <c r="T63" s="255"/>
      <c r="U63" s="255"/>
      <c r="V63" s="255"/>
      <c r="W63" s="255"/>
      <c r="Y63" s="37" t="str">
        <f>" "&amp;ListAVS!$B$245&amp;" [kg/m3]"</f>
        <v xml:space="preserve"> Podaj masę objętościową [kg/m3]</v>
      </c>
      <c r="Z63" s="118"/>
      <c r="AB63" s="118"/>
      <c r="AI63" s="108"/>
      <c r="AJ63" s="108"/>
      <c r="AK63" s="108"/>
      <c r="AL63" s="137"/>
      <c r="AM63" s="137"/>
      <c r="AN63" s="137"/>
      <c r="AO63" s="137"/>
      <c r="AP63" s="118"/>
      <c r="AQ63" s="118"/>
      <c r="AR63" s="118"/>
      <c r="AS63" s="118"/>
      <c r="AT63" s="118"/>
      <c r="AU63" s="118"/>
      <c r="AV63" s="118"/>
    </row>
    <row r="64" spans="1:49" ht="15" customHeight="1" x14ac:dyDescent="0.2">
      <c r="A64" s="255"/>
      <c r="N64" s="266"/>
      <c r="O64" s="255"/>
      <c r="P64" s="255"/>
      <c r="Q64" s="255"/>
      <c r="R64" s="255"/>
      <c r="S64" s="255"/>
      <c r="T64" s="255"/>
      <c r="U64" s="255"/>
      <c r="V64" s="255"/>
      <c r="W64" s="255"/>
      <c r="Y64" s="37" t="str">
        <f>" "&amp;ListAVS!$B$241&amp;" '"&amp;ListAVS!$B$92&amp;"'"</f>
        <v xml:space="preserve"> Wartość obowiązuje tylko dla opcji 'Inne – wybrana gęstość materiału'</v>
      </c>
      <c r="Z64" s="118"/>
      <c r="AB64" s="118"/>
      <c r="AI64" s="108"/>
      <c r="AJ64" s="108"/>
      <c r="AK64" s="108"/>
      <c r="AL64" s="137"/>
      <c r="AM64" s="137"/>
      <c r="AN64" s="137"/>
      <c r="AO64" s="137"/>
      <c r="AP64" s="118"/>
      <c r="AQ64" s="118"/>
      <c r="AR64" s="118"/>
      <c r="AS64" s="118"/>
      <c r="AT64" s="118"/>
      <c r="AU64" s="118"/>
      <c r="AV64" s="118"/>
    </row>
    <row r="65" spans="1:49" ht="15" customHeight="1" x14ac:dyDescent="0.2">
      <c r="A65" s="255"/>
      <c r="N65" s="255"/>
      <c r="O65" s="255"/>
      <c r="P65" s="255"/>
      <c r="Q65" s="255"/>
      <c r="R65" s="255"/>
      <c r="S65" s="255"/>
      <c r="T65" s="255"/>
      <c r="U65" s="255"/>
      <c r="V65" s="255"/>
      <c r="W65" s="255"/>
      <c r="Z65" s="118"/>
      <c r="AB65" s="118"/>
      <c r="AI65" s="108"/>
      <c r="AJ65" s="108"/>
      <c r="AK65" s="108"/>
      <c r="AL65" s="137"/>
      <c r="AM65" s="137"/>
      <c r="AN65" s="137"/>
      <c r="AO65" s="137"/>
      <c r="AP65" s="118"/>
      <c r="AQ65" s="118"/>
      <c r="AR65" s="118"/>
      <c r="AS65" s="118"/>
      <c r="AT65" s="118"/>
      <c r="AU65" s="118"/>
      <c r="AV65" s="118"/>
      <c r="AW65" s="118"/>
    </row>
    <row r="66" spans="1:49" ht="15" customHeight="1" x14ac:dyDescent="0.2">
      <c r="A66" s="255"/>
      <c r="N66" s="266"/>
      <c r="O66" s="266"/>
      <c r="P66" s="266"/>
      <c r="Q66" s="255"/>
      <c r="R66" s="1148" t="str">
        <f>D9</f>
        <v xml:space="preserve"> </v>
      </c>
      <c r="S66" s="1149"/>
      <c r="T66" s="1150"/>
      <c r="U66" s="255"/>
      <c r="V66" s="255"/>
      <c r="W66" s="255"/>
      <c r="Z66" s="118"/>
      <c r="AB66" s="118"/>
      <c r="AI66" s="108"/>
      <c r="AJ66" s="108"/>
      <c r="AK66" s="108"/>
      <c r="AL66" s="137"/>
      <c r="AM66" s="137"/>
      <c r="AN66" s="137"/>
      <c r="AO66" s="137"/>
      <c r="AP66" s="118"/>
      <c r="AQ66" s="118"/>
      <c r="AR66" s="118"/>
      <c r="AS66" s="118"/>
      <c r="AT66" s="118"/>
      <c r="AU66" s="118"/>
      <c r="AV66" s="118"/>
      <c r="AW66" s="118"/>
    </row>
    <row r="67" spans="1:49" s="118" customFormat="1" ht="15" customHeight="1" x14ac:dyDescent="0.2">
      <c r="A67" s="255"/>
      <c r="N67" s="1138" t="str">
        <f>ListAVS!$B$74&amp;" KB [mm]       "</f>
        <v xml:space="preserve">Szerokość korpusu KB [mm]       </v>
      </c>
      <c r="O67" s="1139"/>
      <c r="P67" s="1139"/>
      <c r="Q67" s="1139"/>
      <c r="R67" s="1139"/>
      <c r="S67" s="1140"/>
      <c r="T67" s="829">
        <f>H10</f>
        <v>0</v>
      </c>
      <c r="U67" s="670"/>
      <c r="V67" s="248"/>
      <c r="W67" s="255"/>
      <c r="X67" s="37"/>
      <c r="Y67" s="37">
        <f>T67*T68*T69</f>
        <v>0</v>
      </c>
      <c r="Z67" s="37"/>
      <c r="AA67" s="37"/>
      <c r="AC67" s="37"/>
      <c r="AD67" s="37">
        <v>3.51</v>
      </c>
      <c r="AE67" s="149" t="s">
        <v>67</v>
      </c>
      <c r="AF67" s="37"/>
      <c r="AG67" s="37"/>
      <c r="AI67" s="108"/>
      <c r="AJ67" s="108"/>
      <c r="AK67" s="108"/>
      <c r="AL67" s="137"/>
      <c r="AM67" s="137"/>
      <c r="AN67" s="137"/>
      <c r="AO67" s="137"/>
    </row>
    <row r="68" spans="1:49" s="118" customFormat="1" ht="15" customHeight="1" x14ac:dyDescent="0.2">
      <c r="A68" s="255"/>
      <c r="N68" s="1138" t="str">
        <f>ListAVS!$B$75&amp;" KH [mm]       "</f>
        <v xml:space="preserve">Wysokość korpusu KH [mm]       </v>
      </c>
      <c r="O68" s="1139"/>
      <c r="P68" s="1139"/>
      <c r="Q68" s="1139"/>
      <c r="R68" s="1139"/>
      <c r="S68" s="1140"/>
      <c r="T68" s="829">
        <f>H11</f>
        <v>0</v>
      </c>
      <c r="U68" s="670"/>
      <c r="V68" s="248"/>
      <c r="W68" s="255"/>
      <c r="X68" s="37"/>
      <c r="Y68" s="37">
        <f>Y67/1000000000</f>
        <v>0</v>
      </c>
      <c r="Z68" s="117">
        <v>1</v>
      </c>
      <c r="AC68" s="37"/>
      <c r="AD68" s="144" t="s">
        <v>71</v>
      </c>
      <c r="AE68" s="37">
        <f>SUM(T67*2,T68*2)*AD67/10000</f>
        <v>0</v>
      </c>
      <c r="AF68" s="117">
        <v>3</v>
      </c>
      <c r="AG68" s="37"/>
      <c r="AI68" s="108"/>
      <c r="AJ68" s="108"/>
      <c r="AK68" s="108"/>
      <c r="AL68" s="137"/>
      <c r="AM68" s="137"/>
      <c r="AN68" s="137"/>
      <c r="AO68" s="137"/>
      <c r="AP68" s="137"/>
      <c r="AQ68" s="137"/>
      <c r="AR68" s="137"/>
      <c r="AS68" s="137"/>
      <c r="AT68" s="137"/>
      <c r="AU68" s="137"/>
      <c r="AV68" s="137"/>
    </row>
    <row r="69" spans="1:49" s="118" customFormat="1" ht="15" customHeight="1" x14ac:dyDescent="0.2">
      <c r="A69" s="255"/>
      <c r="N69" s="1143" t="str">
        <f>ListAVS!$B$80&amp;" TS [mm] "</f>
        <v xml:space="preserve">Grubość frontu TS [mm] </v>
      </c>
      <c r="O69" s="1144"/>
      <c r="P69" s="1144"/>
      <c r="Q69" s="1144"/>
      <c r="R69" s="1144"/>
      <c r="S69" s="1145"/>
      <c r="T69" s="829">
        <f>H13</f>
        <v>0</v>
      </c>
      <c r="U69" s="256" t="str">
        <f>IF(SUM(T67,T68)=0," ",IF(T69=0," ● "&amp;ListAVS!$B$129," "))</f>
        <v xml:space="preserve"> </v>
      </c>
      <c r="V69" s="248"/>
      <c r="W69" s="255"/>
      <c r="X69" s="37"/>
      <c r="Y69" s="319">
        <f>MenuAVS!$C$31</f>
        <v>760</v>
      </c>
      <c r="Z69" s="175" t="str">
        <f>ListAVS!$B$90&amp;" ("&amp;Y69&amp;" kg/m3)"</f>
        <v>MDF (760 kg/m3)</v>
      </c>
      <c r="AC69" s="37"/>
      <c r="AD69" s="37">
        <v>10</v>
      </c>
      <c r="AE69" s="37">
        <f>SUM($T$67*$T$68*$AD69)/1000000</f>
        <v>0</v>
      </c>
      <c r="AF69" s="149" t="str">
        <f>ListAVS!$B$93</f>
        <v>Ramki aluminiowe z 4mm szkłem</v>
      </c>
      <c r="AG69" s="37"/>
      <c r="AI69" s="108"/>
      <c r="AJ69" s="108"/>
      <c r="AK69" s="108"/>
      <c r="AL69" s="137"/>
      <c r="AM69" s="137"/>
      <c r="AN69" s="137"/>
      <c r="AO69" s="137"/>
      <c r="AP69" s="137"/>
      <c r="AQ69" s="137"/>
      <c r="AR69" s="137"/>
      <c r="AS69" s="137"/>
      <c r="AT69" s="137"/>
      <c r="AU69" s="137"/>
      <c r="AV69" s="137"/>
    </row>
    <row r="70" spans="1:49" s="118" customFormat="1" ht="15" customHeight="1" x14ac:dyDescent="0.2">
      <c r="A70" s="255"/>
      <c r="N70" s="1143" t="str">
        <f>ListAVS!$B$83&amp;" [kg] "</f>
        <v xml:space="preserve">Waga uchwytu [kg] </v>
      </c>
      <c r="O70" s="1144"/>
      <c r="P70" s="1144"/>
      <c r="Q70" s="1144"/>
      <c r="R70" s="1144"/>
      <c r="S70" s="1145"/>
      <c r="T70" s="829">
        <f>H14</f>
        <v>0</v>
      </c>
      <c r="U70" s="256" t="str">
        <f>IF($U$16=2," ",IF(SUM(T67,T68)=0," ",IF(T70=0," ● "&amp;ListAVS!$B$130," ")))</f>
        <v xml:space="preserve"> </v>
      </c>
      <c r="V70" s="248"/>
      <c r="W70" s="255"/>
      <c r="X70" s="37"/>
      <c r="Y70" s="319">
        <f>MenuAVS!$C$32</f>
        <v>680</v>
      </c>
      <c r="Z70" s="175" t="str">
        <f>ListAVS!$B$91&amp;" ("&amp;Y70&amp;" kg/m3)"</f>
        <v>Płyta wiórowa (680 kg/m3)</v>
      </c>
      <c r="AC70" s="37"/>
      <c r="AD70" s="37">
        <v>15</v>
      </c>
      <c r="AE70" s="37">
        <f>SUM($T$67*$T$68*$AD70)/1000000</f>
        <v>0</v>
      </c>
      <c r="AF70" s="149" t="str">
        <f>ListAVS!$B$94</f>
        <v>Ramki aluminiowe z 5mm szkłem</v>
      </c>
      <c r="AG70" s="37"/>
      <c r="AI70" s="108"/>
      <c r="AJ70" s="108"/>
      <c r="AK70" s="108"/>
      <c r="AL70" s="137"/>
      <c r="AM70" s="137"/>
      <c r="AN70" s="137"/>
      <c r="AO70" s="137"/>
      <c r="AW70" s="121"/>
    </row>
    <row r="71" spans="1:49" s="118" customFormat="1" ht="15" customHeight="1" x14ac:dyDescent="0.2">
      <c r="A71" s="255"/>
      <c r="N71" s="1143" t="str">
        <f>ListAVS!$B$79&amp;" [kg] "</f>
        <v xml:space="preserve">Obliczona waga frontu [kg] </v>
      </c>
      <c r="O71" s="1144"/>
      <c r="P71" s="1144"/>
      <c r="Q71" s="1144"/>
      <c r="R71" s="1144"/>
      <c r="S71" s="1145"/>
      <c r="T71" s="533">
        <f>IF(X71=0,0,X71+2*T70)</f>
        <v>0</v>
      </c>
      <c r="U71" s="227"/>
      <c r="V71" s="248"/>
      <c r="W71" s="255"/>
      <c r="X71" s="186">
        <f>IF(T67*T68*T69=0,0,IF(Z68=1,Y68*Y69,IF(Z68=2,Y68*Y70,Y68*Y71)))</f>
        <v>0</v>
      </c>
      <c r="Y71" s="37">
        <f>$T$61</f>
        <v>0</v>
      </c>
      <c r="Z71" s="175" t="str">
        <f>ListAVS!$B$92</f>
        <v>Inne – wybrana gęstość materiału</v>
      </c>
      <c r="AC71" s="37"/>
      <c r="AD71" s="334">
        <f>2.5*$T$61</f>
        <v>0</v>
      </c>
      <c r="AE71" s="37">
        <f>SUM($T$67*$T$68*$AD71)/1000000</f>
        <v>0</v>
      </c>
      <c r="AF71" s="149" t="str">
        <f>ListAVS!$B$95</f>
        <v>Ramki aluminiowe z innym szkłem</v>
      </c>
      <c r="AG71" s="37"/>
      <c r="AI71" s="108"/>
      <c r="AJ71" s="108"/>
      <c r="AK71" s="108"/>
      <c r="AL71" s="137"/>
      <c r="AM71" s="137"/>
      <c r="AN71" s="137"/>
      <c r="AO71" s="137"/>
      <c r="AW71" s="121"/>
    </row>
    <row r="72" spans="1:49" ht="15" customHeight="1" x14ac:dyDescent="0.2">
      <c r="A72" s="255"/>
      <c r="N72" s="255"/>
      <c r="O72" s="273" t="str">
        <f>IF((U16=2)*AND(T71&gt;0)*AND(T70&gt;0),$Y$89&amp;" "&amp;$Y$90,IF((U16&lt;&gt;2)*AND(T71&gt;0),IF(T70=0,$Y$88," ")," "))</f>
        <v xml:space="preserve"> </v>
      </c>
      <c r="P72" s="255"/>
      <c r="Q72" s="255"/>
      <c r="R72" s="255"/>
      <c r="S72" s="255"/>
      <c r="T72" s="255"/>
      <c r="U72" s="255"/>
      <c r="V72" s="255"/>
      <c r="W72" s="255"/>
      <c r="Z72" s="118"/>
      <c r="AB72" s="118"/>
      <c r="AD72" s="186">
        <f>IF(AF68=1,AE69,IF(AF68=2,AE70,AE71))</f>
        <v>0</v>
      </c>
      <c r="AI72" s="108"/>
      <c r="AJ72" s="108"/>
      <c r="AK72" s="108"/>
      <c r="AL72" s="137"/>
      <c r="AM72" s="137"/>
      <c r="AN72" s="137"/>
      <c r="AO72" s="137"/>
      <c r="AP72" s="118"/>
      <c r="AQ72" s="118"/>
      <c r="AR72" s="118"/>
      <c r="AS72" s="118"/>
      <c r="AT72" s="118"/>
      <c r="AU72" s="118"/>
      <c r="AV72" s="118"/>
      <c r="AW72" s="118"/>
    </row>
    <row r="73" spans="1:49" ht="15" customHeight="1" x14ac:dyDescent="0.2">
      <c r="A73" s="255"/>
      <c r="N73" s="255"/>
      <c r="O73" s="255"/>
      <c r="P73" s="255"/>
      <c r="Q73" s="255"/>
      <c r="R73" s="255"/>
      <c r="S73" s="255"/>
      <c r="T73" s="255"/>
      <c r="U73" s="255"/>
      <c r="V73" s="255"/>
      <c r="W73" s="255"/>
      <c r="Z73" s="118"/>
      <c r="AB73" s="118"/>
      <c r="AI73" s="108"/>
      <c r="AJ73" s="108"/>
      <c r="AK73" s="108"/>
      <c r="AL73" s="137"/>
      <c r="AM73" s="137"/>
      <c r="AN73" s="137"/>
      <c r="AO73" s="137"/>
      <c r="AP73" s="118"/>
      <c r="AQ73" s="118"/>
      <c r="AR73" s="118"/>
      <c r="AS73" s="118"/>
      <c r="AT73" s="118"/>
      <c r="AU73" s="118"/>
      <c r="AV73" s="118"/>
      <c r="AW73" s="118"/>
    </row>
    <row r="74" spans="1:49" s="118" customFormat="1" ht="15" customHeight="1" x14ac:dyDescent="0.2">
      <c r="A74" s="255"/>
      <c r="N74" s="255"/>
      <c r="O74" s="255"/>
      <c r="P74" s="255"/>
      <c r="Q74" s="255"/>
      <c r="R74" s="255"/>
      <c r="S74" s="255"/>
      <c r="T74" s="255"/>
      <c r="U74" s="255"/>
      <c r="V74" s="255"/>
      <c r="W74" s="255"/>
      <c r="X74" s="37"/>
      <c r="Y74" s="37"/>
      <c r="AA74" s="37"/>
      <c r="AC74" s="37"/>
      <c r="AD74" s="37"/>
      <c r="AE74" s="37"/>
      <c r="AF74" s="37"/>
      <c r="AG74" s="37"/>
      <c r="AI74" s="108"/>
      <c r="AJ74" s="108"/>
      <c r="AK74" s="108"/>
      <c r="AL74" s="137"/>
      <c r="AM74" s="137"/>
      <c r="AN74" s="137"/>
      <c r="AO74" s="137"/>
    </row>
    <row r="75" spans="1:49" s="118" customFormat="1" ht="15" customHeight="1" x14ac:dyDescent="0.2">
      <c r="A75" s="255"/>
      <c r="N75" s="248"/>
      <c r="O75" s="248"/>
      <c r="P75" s="248"/>
      <c r="Q75" s="255"/>
      <c r="R75" s="1148" t="str">
        <f>D20</f>
        <v xml:space="preserve"> </v>
      </c>
      <c r="S75" s="1149"/>
      <c r="T75" s="1150"/>
      <c r="U75" s="255"/>
      <c r="V75" s="255"/>
      <c r="W75" s="255"/>
      <c r="X75" s="37"/>
      <c r="AA75" s="37"/>
      <c r="AC75" s="37"/>
      <c r="AD75" s="37"/>
      <c r="AE75" s="37"/>
      <c r="AF75" s="37"/>
      <c r="AG75" s="37"/>
      <c r="AI75" s="108"/>
      <c r="AJ75" s="108"/>
      <c r="AK75" s="108"/>
      <c r="AL75" s="137"/>
      <c r="AM75" s="137"/>
      <c r="AN75" s="137"/>
      <c r="AO75" s="137"/>
    </row>
    <row r="76" spans="1:49" s="118" customFormat="1" ht="15" customHeight="1" x14ac:dyDescent="0.2">
      <c r="A76" s="255"/>
      <c r="N76" s="1138" t="str">
        <f>ListAVS!$B$74&amp;" KB [mm]       "</f>
        <v xml:space="preserve">Szerokość korpusu KB [mm]       </v>
      </c>
      <c r="O76" s="1139"/>
      <c r="P76" s="1139"/>
      <c r="Q76" s="1139"/>
      <c r="R76" s="1139"/>
      <c r="S76" s="1140"/>
      <c r="T76" s="829">
        <f>H21</f>
        <v>0</v>
      </c>
      <c r="U76" s="670"/>
      <c r="V76" s="255"/>
      <c r="W76" s="255"/>
      <c r="X76" s="37"/>
      <c r="Y76" s="37">
        <f>T76*T77*T78</f>
        <v>0</v>
      </c>
      <c r="Z76" s="37"/>
      <c r="AA76" s="37"/>
      <c r="AC76" s="37"/>
      <c r="AD76" s="37">
        <f>AD67</f>
        <v>3.51</v>
      </c>
      <c r="AE76" s="149" t="s">
        <v>67</v>
      </c>
      <c r="AF76" s="37"/>
      <c r="AG76" s="37"/>
      <c r="AI76" s="108"/>
      <c r="AJ76" s="108"/>
      <c r="AK76" s="108"/>
      <c r="AL76" s="137"/>
      <c r="AM76" s="137"/>
      <c r="AN76" s="137"/>
      <c r="AO76" s="137"/>
    </row>
    <row r="77" spans="1:49" s="118" customFormat="1" ht="15" customHeight="1" x14ac:dyDescent="0.2">
      <c r="A77" s="255"/>
      <c r="N77" s="1138" t="str">
        <f>ListAVS!$B$75&amp;" KH [mm]       "</f>
        <v xml:space="preserve">Wysokość korpusu KH [mm]       </v>
      </c>
      <c r="O77" s="1139"/>
      <c r="P77" s="1139"/>
      <c r="Q77" s="1139"/>
      <c r="R77" s="1139"/>
      <c r="S77" s="1140"/>
      <c r="T77" s="829">
        <f>H22</f>
        <v>0</v>
      </c>
      <c r="U77" s="670"/>
      <c r="V77" s="255"/>
      <c r="W77" s="255"/>
      <c r="X77" s="37"/>
      <c r="Y77" s="37">
        <f>Y76/1000000000</f>
        <v>0</v>
      </c>
      <c r="Z77" s="182">
        <f>Z68</f>
        <v>1</v>
      </c>
      <c r="AC77" s="37"/>
      <c r="AD77" s="144" t="s">
        <v>71</v>
      </c>
      <c r="AE77" s="37">
        <f>SUM(T76*2,T77*2)*AD76/10000</f>
        <v>0</v>
      </c>
      <c r="AF77" s="117">
        <f>AF68</f>
        <v>3</v>
      </c>
      <c r="AG77" s="37"/>
      <c r="AI77" s="108"/>
      <c r="AJ77" s="108"/>
      <c r="AK77" s="108"/>
      <c r="AL77" s="137"/>
      <c r="AM77" s="137"/>
      <c r="AN77" s="137"/>
      <c r="AO77" s="137"/>
    </row>
    <row r="78" spans="1:49" s="118" customFormat="1" ht="15" customHeight="1" x14ac:dyDescent="0.2">
      <c r="A78" s="255"/>
      <c r="N78" s="1143" t="str">
        <f>ListAVS!$B$80&amp;" TS [mm] "</f>
        <v xml:space="preserve">Grubość frontu TS [mm] </v>
      </c>
      <c r="O78" s="1144"/>
      <c r="P78" s="1144"/>
      <c r="Q78" s="1144"/>
      <c r="R78" s="1144"/>
      <c r="S78" s="1145"/>
      <c r="T78" s="829">
        <f>H24</f>
        <v>0</v>
      </c>
      <c r="U78" s="256" t="str">
        <f>IF(SUM(T76,T77)=0," ",IF(T78=0," ● "&amp;ListAVS!$B$129," "))</f>
        <v xml:space="preserve"> </v>
      </c>
      <c r="V78" s="248"/>
      <c r="W78" s="248"/>
      <c r="X78" s="37"/>
      <c r="Y78" s="319">
        <f>$Y$69</f>
        <v>760</v>
      </c>
      <c r="Z78" s="37" t="str">
        <f>$Z$69</f>
        <v>MDF (760 kg/m3)</v>
      </c>
      <c r="AC78" s="37"/>
      <c r="AD78" s="37">
        <f>AD69</f>
        <v>10</v>
      </c>
      <c r="AE78" s="37">
        <f>SUM($T$76*$T$77*$AD78)/1000000</f>
        <v>0</v>
      </c>
      <c r="AF78" s="149" t="str">
        <f>ListAVS!$B$93</f>
        <v>Ramki aluminiowe z 4mm szkłem</v>
      </c>
      <c r="AG78" s="37"/>
      <c r="AI78" s="108"/>
      <c r="AJ78" s="108"/>
      <c r="AK78" s="108"/>
      <c r="AL78" s="137"/>
      <c r="AM78" s="137"/>
      <c r="AN78" s="137"/>
      <c r="AO78" s="137"/>
    </row>
    <row r="79" spans="1:49" s="118" customFormat="1" ht="15" customHeight="1" x14ac:dyDescent="0.2">
      <c r="A79" s="255"/>
      <c r="N79" s="1143" t="str">
        <f>ListAVS!$B$83&amp;" [kg] "</f>
        <v xml:space="preserve">Waga uchwytu [kg] </v>
      </c>
      <c r="O79" s="1144"/>
      <c r="P79" s="1144"/>
      <c r="Q79" s="1144"/>
      <c r="R79" s="1144"/>
      <c r="S79" s="1145"/>
      <c r="T79" s="829">
        <f>H25</f>
        <v>0</v>
      </c>
      <c r="U79" s="256" t="str">
        <f>IF($U$27=2," ",IF(SUM(T76,T77)=0," ",IF(T79=0," ● "&amp;ListAVS!$B$130," ")))</f>
        <v xml:space="preserve"> </v>
      </c>
      <c r="V79" s="248"/>
      <c r="W79" s="248"/>
      <c r="X79" s="37"/>
      <c r="Y79" s="319">
        <f>$Y$70</f>
        <v>680</v>
      </c>
      <c r="Z79" s="37" t="str">
        <f>$Z$70</f>
        <v>Płyta wiórowa (680 kg/m3)</v>
      </c>
      <c r="AC79" s="37"/>
      <c r="AD79" s="37">
        <f>AD70</f>
        <v>15</v>
      </c>
      <c r="AE79" s="37">
        <f>SUM($T$76*$T$77*$AD79)/1000000</f>
        <v>0</v>
      </c>
      <c r="AF79" s="149" t="str">
        <f>ListAVS!$B$94</f>
        <v>Ramki aluminiowe z 5mm szkłem</v>
      </c>
      <c r="AG79" s="37"/>
      <c r="AI79" s="108"/>
      <c r="AJ79" s="108"/>
      <c r="AK79" s="108"/>
      <c r="AL79" s="137"/>
      <c r="AM79" s="137"/>
      <c r="AN79" s="137"/>
      <c r="AO79" s="137"/>
    </row>
    <row r="80" spans="1:49" s="118" customFormat="1" ht="15" customHeight="1" x14ac:dyDescent="0.2">
      <c r="A80" s="255"/>
      <c r="N80" s="1143" t="str">
        <f>ListAVS!$B$79&amp;" [kg] "</f>
        <v xml:space="preserve">Obliczona waga frontu [kg] </v>
      </c>
      <c r="O80" s="1144"/>
      <c r="P80" s="1144"/>
      <c r="Q80" s="1144"/>
      <c r="R80" s="1144"/>
      <c r="S80" s="1145"/>
      <c r="T80" s="533">
        <f>IF(X80=0,0,X80+2*T79)</f>
        <v>0</v>
      </c>
      <c r="U80" s="227"/>
      <c r="V80" s="248"/>
      <c r="W80" s="248"/>
      <c r="X80" s="186">
        <f>IF(T76*T77*T78=0,0,IF(Z77=1,Y77*Y78,IF(Z77=2,Y77*Y79,Y77*Y80)))</f>
        <v>0</v>
      </c>
      <c r="Y80" s="37">
        <f>$Y$71</f>
        <v>0</v>
      </c>
      <c r="Z80" s="37" t="str">
        <f>$Z$71</f>
        <v>Inne – wybrana gęstość materiału</v>
      </c>
      <c r="AC80" s="37"/>
      <c r="AD80" s="334">
        <f>AD71</f>
        <v>0</v>
      </c>
      <c r="AE80" s="37">
        <f>SUM($T$76*$T$77*$AD80)/1000000</f>
        <v>0</v>
      </c>
      <c r="AF80" s="149" t="str">
        <f>ListAVS!$B$95</f>
        <v>Ramki aluminiowe z innym szkłem</v>
      </c>
      <c r="AG80" s="37"/>
      <c r="AI80" s="108"/>
      <c r="AJ80" s="108"/>
      <c r="AK80" s="108"/>
      <c r="AL80" s="137"/>
      <c r="AM80" s="137"/>
      <c r="AN80" s="137"/>
      <c r="AO80" s="137"/>
    </row>
    <row r="81" spans="1:49" s="118" customFormat="1" ht="15" customHeight="1" x14ac:dyDescent="0.2">
      <c r="A81" s="255"/>
      <c r="N81" s="255"/>
      <c r="O81" s="273" t="str">
        <f>IF((U27=2)*AND(T80&gt;0)*AND(T79&gt;0),$Y$89&amp;" "&amp;$Y$90,IF((U27&lt;&gt;2)*AND(T80&gt;0),IF(T79=0,$Y$88," ")," "))</f>
        <v xml:space="preserve"> </v>
      </c>
      <c r="P81" s="255"/>
      <c r="Q81" s="255"/>
      <c r="R81" s="255"/>
      <c r="S81" s="255"/>
      <c r="T81" s="255"/>
      <c r="U81" s="255"/>
      <c r="V81" s="255"/>
      <c r="W81" s="255"/>
      <c r="X81" s="37"/>
      <c r="Y81" s="37"/>
      <c r="AA81" s="37"/>
      <c r="AC81" s="37"/>
      <c r="AD81" s="186">
        <f>IF(AF77=1,AE78,IF(AF77=2,AE79,AE80))</f>
        <v>0</v>
      </c>
      <c r="AE81" s="37"/>
      <c r="AF81" s="37"/>
      <c r="AG81" s="37"/>
      <c r="AI81" s="108"/>
      <c r="AJ81" s="108"/>
      <c r="AK81" s="108"/>
      <c r="AL81" s="137"/>
      <c r="AM81" s="137"/>
      <c r="AN81" s="137"/>
      <c r="AO81" s="137"/>
    </row>
    <row r="82" spans="1:49" s="118" customFormat="1" ht="15" customHeight="1" x14ac:dyDescent="0.2">
      <c r="A82" s="255"/>
      <c r="N82" s="255"/>
      <c r="O82" s="255"/>
      <c r="P82" s="255"/>
      <c r="Q82" s="255"/>
      <c r="R82" s="255"/>
      <c r="S82" s="255"/>
      <c r="T82" s="255"/>
      <c r="U82" s="255"/>
      <c r="V82" s="255"/>
      <c r="W82" s="255"/>
      <c r="X82" s="37"/>
      <c r="Y82" s="37"/>
      <c r="AA82" s="37"/>
      <c r="AC82" s="37"/>
      <c r="AD82" s="37"/>
      <c r="AE82" s="37"/>
      <c r="AF82" s="37"/>
      <c r="AG82" s="37"/>
      <c r="AI82" s="108"/>
      <c r="AJ82" s="108"/>
      <c r="AK82" s="108"/>
      <c r="AL82" s="137"/>
      <c r="AM82" s="137"/>
      <c r="AN82" s="137"/>
      <c r="AO82" s="137"/>
    </row>
    <row r="83" spans="1:49" s="118" customFormat="1" ht="15" customHeight="1" x14ac:dyDescent="0.2">
      <c r="A83" s="255"/>
      <c r="N83" s="255"/>
      <c r="O83" s="255"/>
      <c r="P83" s="255"/>
      <c r="Q83" s="255"/>
      <c r="R83" s="255"/>
      <c r="S83" s="255"/>
      <c r="T83" s="255"/>
      <c r="U83" s="255"/>
      <c r="V83" s="255"/>
      <c r="W83" s="255"/>
      <c r="X83" s="37"/>
      <c r="Y83" s="37"/>
      <c r="AA83" s="37"/>
      <c r="AC83" s="37"/>
      <c r="AD83" s="37"/>
      <c r="AE83" s="37"/>
      <c r="AF83" s="37"/>
      <c r="AG83" s="37"/>
      <c r="AI83" s="108"/>
      <c r="AJ83" s="108"/>
      <c r="AK83" s="108"/>
      <c r="AL83" s="137"/>
      <c r="AM83" s="137"/>
      <c r="AN83" s="137"/>
      <c r="AO83" s="137"/>
    </row>
    <row r="84" spans="1:49" s="118" customFormat="1" ht="15" customHeight="1" x14ac:dyDescent="0.2">
      <c r="A84" s="255"/>
      <c r="N84" s="255"/>
      <c r="O84" s="255"/>
      <c r="P84" s="255"/>
      <c r="Q84" s="255"/>
      <c r="R84" s="255"/>
      <c r="S84" s="255"/>
      <c r="T84" s="255"/>
      <c r="U84" s="255"/>
      <c r="V84" s="255"/>
      <c r="W84" s="255"/>
      <c r="X84" s="37"/>
      <c r="Y84" s="37"/>
      <c r="AA84" s="37"/>
      <c r="AC84" s="37"/>
      <c r="AD84" s="37"/>
      <c r="AE84" s="37"/>
      <c r="AF84" s="37"/>
      <c r="AG84" s="37"/>
      <c r="AI84" s="108"/>
      <c r="AJ84" s="108"/>
      <c r="AK84" s="108"/>
      <c r="AL84" s="137"/>
      <c r="AM84" s="137"/>
      <c r="AN84" s="137"/>
      <c r="AO84" s="137"/>
    </row>
    <row r="85" spans="1:49" s="118" customFormat="1" ht="15" customHeight="1" x14ac:dyDescent="0.2">
      <c r="A85" s="255"/>
      <c r="N85" s="255"/>
      <c r="O85" s="255"/>
      <c r="P85" s="255"/>
      <c r="Q85" s="255"/>
      <c r="R85" s="255"/>
      <c r="S85" s="1128" t="str">
        <f>ListAVS!$B$168</f>
        <v>Z powrotem</v>
      </c>
      <c r="T85" s="1128"/>
      <c r="U85" s="255"/>
      <c r="V85" s="255"/>
      <c r="W85" s="255"/>
      <c r="X85" s="37"/>
      <c r="Y85" s="37"/>
      <c r="AA85" s="37"/>
      <c r="AC85" s="37"/>
      <c r="AD85" s="37"/>
      <c r="AE85" s="37"/>
      <c r="AF85" s="37"/>
      <c r="AG85" s="37"/>
      <c r="AI85" s="108"/>
      <c r="AJ85" s="108"/>
      <c r="AK85" s="108"/>
      <c r="AL85" s="137"/>
      <c r="AM85" s="137"/>
      <c r="AN85" s="137"/>
      <c r="AO85" s="137"/>
    </row>
    <row r="86" spans="1:49" s="118" customFormat="1" ht="15" customHeight="1" x14ac:dyDescent="0.2">
      <c r="A86" s="255"/>
      <c r="N86" s="255"/>
      <c r="O86" s="255"/>
      <c r="P86" s="255"/>
      <c r="Q86" s="255"/>
      <c r="R86" s="255"/>
      <c r="S86" s="255"/>
      <c r="T86" s="255"/>
      <c r="U86" s="255"/>
      <c r="V86" s="255"/>
      <c r="W86" s="255"/>
      <c r="X86" s="37"/>
      <c r="Y86" s="37"/>
      <c r="AA86" s="37"/>
      <c r="AC86" s="37"/>
      <c r="AD86" s="37"/>
      <c r="AE86" s="37"/>
      <c r="AF86" s="37"/>
      <c r="AG86" s="37"/>
      <c r="AI86" s="108"/>
      <c r="AJ86" s="108"/>
      <c r="AK86" s="108"/>
      <c r="AL86" s="137"/>
      <c r="AM86" s="137"/>
      <c r="AN86" s="137"/>
      <c r="AO86" s="137"/>
      <c r="AP86" s="37"/>
      <c r="AQ86" s="37"/>
      <c r="AR86" s="37"/>
      <c r="AS86" s="37"/>
      <c r="AT86" s="37"/>
      <c r="AU86" s="37"/>
      <c r="AV86" s="37"/>
    </row>
    <row r="87" spans="1:49" s="118" customFormat="1" ht="15" customHeight="1" x14ac:dyDescent="0.2">
      <c r="A87" s="255"/>
      <c r="N87" s="255"/>
      <c r="O87" s="255"/>
      <c r="P87" s="255"/>
      <c r="Q87" s="255"/>
      <c r="R87" s="255"/>
      <c r="S87" s="248"/>
      <c r="T87" s="248"/>
      <c r="U87" s="255"/>
      <c r="V87" s="255"/>
      <c r="W87" s="255"/>
      <c r="X87" s="37"/>
      <c r="Y87" s="37"/>
      <c r="AA87" s="37"/>
      <c r="AC87" s="37"/>
      <c r="AD87" s="37"/>
      <c r="AE87" s="37"/>
      <c r="AF87" s="37"/>
      <c r="AG87" s="37"/>
      <c r="AI87" s="108"/>
      <c r="AJ87" s="108"/>
      <c r="AK87" s="108"/>
      <c r="AL87" s="137"/>
      <c r="AM87" s="137"/>
      <c r="AN87" s="137"/>
      <c r="AO87" s="137"/>
      <c r="AP87" s="37"/>
      <c r="AQ87" s="37"/>
      <c r="AR87" s="37"/>
      <c r="AS87" s="37"/>
      <c r="AT87" s="37"/>
      <c r="AU87" s="37"/>
      <c r="AV87" s="37"/>
    </row>
    <row r="88" spans="1:49" s="118" customFormat="1" ht="15" customHeight="1" x14ac:dyDescent="0.2">
      <c r="A88" s="255"/>
      <c r="N88" s="255"/>
      <c r="O88" s="442"/>
      <c r="P88" s="442"/>
      <c r="Q88" s="442"/>
      <c r="R88" s="442"/>
      <c r="S88" s="442"/>
      <c r="T88" s="442"/>
      <c r="U88" s="442"/>
      <c r="V88" s="442"/>
      <c r="W88" s="442"/>
      <c r="X88" s="37"/>
      <c r="Y88" s="37" t="str">
        <f>ListAVS!$B$103&amp;"!"</f>
        <v>Bez wagi uchwytu!</v>
      </c>
      <c r="AA88" s="37"/>
      <c r="AC88" s="37"/>
      <c r="AD88" s="37"/>
      <c r="AE88" s="37"/>
      <c r="AF88" s="37"/>
      <c r="AG88" s="37"/>
      <c r="AI88" s="108"/>
      <c r="AJ88" s="108"/>
      <c r="AK88" s="108"/>
      <c r="AL88" s="137"/>
      <c r="AM88" s="137"/>
      <c r="AN88" s="137"/>
      <c r="AO88" s="137"/>
      <c r="AP88" s="37"/>
      <c r="AQ88" s="37"/>
      <c r="AR88" s="37"/>
      <c r="AS88" s="37"/>
      <c r="AT88" s="37"/>
      <c r="AU88" s="37"/>
      <c r="AV88" s="37"/>
      <c r="AW88" s="37"/>
    </row>
    <row r="89" spans="1:49" s="118" customFormat="1" ht="15" customHeight="1" x14ac:dyDescent="0.2">
      <c r="A89" s="255"/>
      <c r="N89" s="255"/>
      <c r="O89" s="442"/>
      <c r="P89" s="442"/>
      <c r="Q89" s="442"/>
      <c r="R89" s="442"/>
      <c r="S89" s="442"/>
      <c r="T89" s="442"/>
      <c r="U89" s="442"/>
      <c r="V89" s="442"/>
      <c r="W89" s="442"/>
      <c r="X89" s="37"/>
      <c r="Y89" s="37" t="str">
        <f>ListAVS!B104</f>
        <v>Na pewno masz uchwyt do wersji TIP-ON?</v>
      </c>
      <c r="AA89" s="37"/>
      <c r="AC89" s="37"/>
      <c r="AD89" s="37"/>
      <c r="AE89" s="37"/>
      <c r="AF89" s="37"/>
      <c r="AG89" s="37"/>
      <c r="AH89" s="37"/>
      <c r="AI89" s="108"/>
      <c r="AJ89" s="108"/>
      <c r="AK89" s="108"/>
      <c r="AL89" s="137"/>
      <c r="AM89" s="137"/>
      <c r="AN89" s="137"/>
      <c r="AO89" s="137"/>
      <c r="AP89" s="37"/>
      <c r="AQ89" s="37"/>
      <c r="AR89" s="37"/>
      <c r="AS89" s="37"/>
      <c r="AT89" s="37"/>
      <c r="AU89" s="37"/>
      <c r="AV89" s="37"/>
      <c r="AW89" s="37"/>
    </row>
    <row r="90" spans="1:49" s="37" customFormat="1" ht="15" customHeight="1" x14ac:dyDescent="0.2">
      <c r="A90" s="255"/>
      <c r="N90" s="255"/>
      <c r="O90" s="442"/>
      <c r="P90" s="442"/>
      <c r="Q90" s="442"/>
      <c r="R90" s="442"/>
      <c r="S90" s="442"/>
      <c r="T90" s="442"/>
      <c r="U90" s="442"/>
      <c r="V90" s="442"/>
      <c r="W90" s="442"/>
      <c r="Y90" s="37" t="str">
        <f>ListAVS!B105&amp;"!"</f>
        <v>Jeśli nie wymaż wagę uchwytu!</v>
      </c>
      <c r="Z90" s="118"/>
      <c r="AB90" s="118"/>
      <c r="AI90" s="108"/>
      <c r="AJ90" s="108"/>
      <c r="AK90" s="108"/>
      <c r="AL90" s="137"/>
      <c r="AM90" s="137"/>
      <c r="AN90" s="137"/>
      <c r="AO90" s="137"/>
    </row>
    <row r="91" spans="1:49" s="37" customFormat="1" ht="15" customHeight="1" x14ac:dyDescent="0.2">
      <c r="A91" s="255"/>
      <c r="B91" s="255"/>
      <c r="C91" s="255"/>
      <c r="D91" s="255"/>
      <c r="E91" s="255"/>
      <c r="F91" s="255"/>
      <c r="G91" s="255"/>
      <c r="H91" s="255"/>
      <c r="I91" s="255"/>
      <c r="J91" s="255"/>
      <c r="K91" s="255"/>
      <c r="O91" s="118"/>
      <c r="Q91" s="118"/>
      <c r="AI91" s="108"/>
      <c r="AJ91" s="108"/>
      <c r="AK91" s="108"/>
      <c r="AL91" s="137"/>
      <c r="AM91" s="137"/>
      <c r="AN91" s="137"/>
      <c r="AO91" s="137"/>
    </row>
    <row r="92" spans="1:49" s="37" customFormat="1" ht="15" customHeight="1" x14ac:dyDescent="0.2">
      <c r="A92" s="255"/>
      <c r="B92" s="255"/>
      <c r="C92" s="255"/>
      <c r="D92" s="255"/>
      <c r="E92" s="255"/>
      <c r="F92" s="255"/>
      <c r="G92" s="255"/>
      <c r="H92" s="255"/>
      <c r="I92" s="255"/>
      <c r="J92" s="255"/>
      <c r="K92" s="255"/>
      <c r="O92" s="118"/>
      <c r="Q92" s="118"/>
      <c r="AI92" s="108"/>
      <c r="AJ92" s="108"/>
      <c r="AK92" s="108"/>
      <c r="AL92" s="137"/>
      <c r="AM92" s="137"/>
      <c r="AN92" s="137"/>
      <c r="AO92" s="137"/>
    </row>
    <row r="93" spans="1:49" s="37" customFormat="1" ht="15" customHeight="1" x14ac:dyDescent="0.2">
      <c r="A93" s="255"/>
      <c r="B93" s="255"/>
      <c r="C93" s="255"/>
      <c r="D93" s="255"/>
      <c r="E93" s="255"/>
      <c r="F93" s="255"/>
      <c r="G93" s="255"/>
      <c r="H93" s="255"/>
      <c r="I93" s="255"/>
      <c r="J93" s="255"/>
      <c r="K93" s="255"/>
      <c r="O93" s="118"/>
      <c r="Q93" s="118"/>
      <c r="AI93" s="108"/>
      <c r="AJ93" s="108"/>
      <c r="AK93" s="108"/>
      <c r="AL93" s="137"/>
      <c r="AM93" s="137"/>
      <c r="AN93" s="137"/>
      <c r="AO93" s="137"/>
    </row>
    <row r="94" spans="1:49" s="37" customFormat="1" ht="15" customHeight="1" x14ac:dyDescent="0.2">
      <c r="A94" s="255"/>
      <c r="B94" s="255"/>
      <c r="C94" s="255"/>
      <c r="D94" s="255"/>
      <c r="E94" s="255"/>
      <c r="F94" s="255"/>
      <c r="G94" s="255"/>
      <c r="H94" s="255"/>
      <c r="I94" s="255"/>
      <c r="J94" s="255"/>
      <c r="K94" s="255"/>
      <c r="O94" s="118"/>
      <c r="Q94" s="118"/>
      <c r="AI94" s="108"/>
      <c r="AJ94" s="108"/>
      <c r="AK94" s="108"/>
      <c r="AL94" s="137"/>
      <c r="AM94" s="137"/>
      <c r="AN94" s="137"/>
      <c r="AO94" s="137"/>
    </row>
    <row r="95" spans="1:49" s="37" customFormat="1" ht="15" customHeight="1" x14ac:dyDescent="0.2">
      <c r="A95" s="255"/>
      <c r="B95" s="255"/>
      <c r="C95" s="255"/>
      <c r="D95" s="255"/>
      <c r="E95" s="255"/>
      <c r="F95" s="255"/>
      <c r="G95" s="255"/>
      <c r="H95" s="255"/>
      <c r="I95" s="255"/>
      <c r="J95" s="255"/>
      <c r="K95" s="255"/>
      <c r="O95" s="118"/>
      <c r="Q95" s="118"/>
      <c r="AI95" s="108"/>
      <c r="AJ95" s="108"/>
      <c r="AK95" s="108"/>
      <c r="AL95" s="137"/>
      <c r="AM95" s="137"/>
      <c r="AN95" s="137"/>
      <c r="AO95" s="137"/>
    </row>
    <row r="96" spans="1:49" s="37" customFormat="1" ht="15" customHeight="1" x14ac:dyDescent="0.2">
      <c r="A96" s="255"/>
      <c r="B96" s="255"/>
      <c r="C96" s="255"/>
      <c r="D96" s="255"/>
      <c r="E96" s="255"/>
      <c r="F96" s="255"/>
      <c r="G96" s="255"/>
      <c r="H96" s="255"/>
      <c r="I96" s="255"/>
      <c r="J96" s="255"/>
      <c r="K96" s="255"/>
      <c r="O96" s="118"/>
      <c r="Q96" s="118"/>
      <c r="AI96" s="108"/>
      <c r="AJ96" s="108"/>
      <c r="AK96" s="108"/>
      <c r="AL96" s="137"/>
      <c r="AM96" s="137"/>
      <c r="AN96" s="137"/>
      <c r="AO96" s="137"/>
    </row>
    <row r="97" spans="1:48" s="37" customFormat="1" ht="15" customHeight="1" x14ac:dyDescent="0.2">
      <c r="A97" s="255"/>
      <c r="B97" s="255"/>
      <c r="C97" s="255"/>
      <c r="D97" s="255"/>
      <c r="E97" s="255"/>
      <c r="F97" s="255"/>
      <c r="G97" s="255"/>
      <c r="H97" s="255"/>
      <c r="I97" s="255"/>
      <c r="J97" s="255"/>
      <c r="K97" s="255"/>
      <c r="O97" s="118"/>
      <c r="Q97" s="118"/>
      <c r="AI97" s="108"/>
      <c r="AJ97" s="108"/>
      <c r="AK97" s="108"/>
      <c r="AL97" s="137"/>
      <c r="AM97" s="137"/>
      <c r="AN97" s="137"/>
      <c r="AO97" s="137"/>
    </row>
    <row r="98" spans="1:48" s="37" customFormat="1" ht="15" customHeight="1" x14ac:dyDescent="0.2">
      <c r="A98" s="255"/>
      <c r="B98" s="255"/>
      <c r="C98" s="255"/>
      <c r="D98" s="255"/>
      <c r="E98" s="255"/>
      <c r="F98" s="255"/>
      <c r="G98" s="255"/>
      <c r="H98" s="255"/>
      <c r="I98" s="255"/>
      <c r="J98" s="255"/>
      <c r="K98" s="255"/>
      <c r="O98" s="118"/>
      <c r="Q98" s="118"/>
      <c r="AI98" s="108"/>
      <c r="AJ98" s="108"/>
      <c r="AK98" s="108"/>
      <c r="AL98" s="137"/>
      <c r="AM98" s="137"/>
      <c r="AN98" s="137"/>
      <c r="AO98" s="137"/>
    </row>
    <row r="99" spans="1:48" x14ac:dyDescent="0.2">
      <c r="A99" s="1045"/>
      <c r="AI99" s="108"/>
      <c r="AJ99" s="108"/>
      <c r="AK99" s="108"/>
      <c r="AL99" s="137"/>
      <c r="AM99" s="137"/>
      <c r="AN99" s="137"/>
      <c r="AO99" s="137"/>
      <c r="AP99" s="137"/>
      <c r="AQ99" s="137"/>
      <c r="AR99" s="137"/>
      <c r="AS99" s="137"/>
      <c r="AT99" s="137"/>
      <c r="AU99" s="137"/>
      <c r="AV99" s="137"/>
    </row>
    <row r="100" spans="1:48" ht="15" customHeight="1" x14ac:dyDescent="0.2">
      <c r="A100" s="1045"/>
      <c r="B100" s="308" t="s">
        <v>22</v>
      </c>
      <c r="C100" s="321"/>
      <c r="D100" s="308"/>
      <c r="E100" s="308"/>
      <c r="F100" s="308"/>
      <c r="G100" s="308"/>
      <c r="H100" s="308"/>
      <c r="I100" s="308"/>
      <c r="J100" s="308"/>
      <c r="K100" s="308"/>
      <c r="L100" s="308"/>
      <c r="AI100" s="108"/>
      <c r="AJ100" s="108"/>
      <c r="AK100" s="108"/>
      <c r="AL100" s="137"/>
      <c r="AM100" s="137"/>
      <c r="AN100" s="137"/>
      <c r="AO100" s="137"/>
      <c r="AP100" s="137"/>
      <c r="AQ100" s="137"/>
      <c r="AR100" s="137"/>
      <c r="AS100" s="137"/>
      <c r="AT100" s="137"/>
      <c r="AU100" s="137"/>
      <c r="AV100" s="137"/>
    </row>
    <row r="101" spans="1:48" x14ac:dyDescent="0.2">
      <c r="A101" s="1045"/>
      <c r="AI101" s="108"/>
      <c r="AJ101" s="108"/>
      <c r="AK101" s="108"/>
      <c r="AL101" s="137"/>
      <c r="AM101" s="137"/>
      <c r="AN101" s="137"/>
      <c r="AO101" s="137"/>
      <c r="AP101" s="137"/>
      <c r="AQ101" s="137"/>
      <c r="AR101" s="137"/>
      <c r="AS101" s="137"/>
      <c r="AT101" s="137"/>
      <c r="AU101" s="137"/>
      <c r="AV101" s="137"/>
    </row>
    <row r="102" spans="1:48" ht="15" customHeight="1" x14ac:dyDescent="0.2">
      <c r="A102" s="1045"/>
      <c r="B102" s="255" t="str">
        <f>ListAVS!$B$303</f>
        <v>Odpowiedni siłownik będzie określony za pomocą współczynnika mocy</v>
      </c>
      <c r="C102" s="255"/>
      <c r="D102" s="255"/>
      <c r="E102" s="255"/>
      <c r="F102" s="255"/>
      <c r="G102" s="255"/>
      <c r="H102" s="255"/>
      <c r="I102" s="255"/>
      <c r="J102" s="255"/>
      <c r="K102" s="255"/>
      <c r="L102" s="255"/>
      <c r="AI102" s="108"/>
      <c r="AJ102" s="108"/>
      <c r="AK102" s="108"/>
      <c r="AL102" s="137"/>
      <c r="AM102" s="137"/>
      <c r="AN102" s="137"/>
      <c r="AO102" s="137"/>
      <c r="AP102" s="137"/>
      <c r="AQ102" s="137"/>
      <c r="AR102" s="137"/>
      <c r="AS102" s="137"/>
      <c r="AT102" s="137"/>
      <c r="AU102" s="137"/>
      <c r="AV102" s="137"/>
    </row>
    <row r="103" spans="1:48" ht="15" customHeight="1" x14ac:dyDescent="0.2">
      <c r="A103" s="1045"/>
      <c r="B103" s="255" t="str">
        <f>ListAVS!$B$341</f>
        <v>Współczynnik mocy zależy od wagi frontu (wraz z podwójną wagą uchwytu) i od wysokości korpusu.</v>
      </c>
      <c r="C103" s="255"/>
      <c r="D103" s="255"/>
      <c r="E103" s="255"/>
      <c r="F103" s="255"/>
      <c r="G103" s="255"/>
      <c r="H103" s="255"/>
      <c r="I103" s="255"/>
      <c r="J103" s="255"/>
      <c r="K103" s="255"/>
      <c r="L103" s="255"/>
      <c r="AI103" s="108"/>
      <c r="AJ103" s="108"/>
      <c r="AK103" s="108"/>
      <c r="AL103" s="137"/>
      <c r="AM103" s="137"/>
      <c r="AN103" s="137"/>
      <c r="AO103" s="137"/>
      <c r="AP103" s="137"/>
      <c r="AQ103" s="137"/>
      <c r="AR103" s="137"/>
      <c r="AS103" s="137"/>
      <c r="AT103" s="137"/>
      <c r="AU103" s="137"/>
      <c r="AV103" s="137"/>
    </row>
    <row r="104" spans="1:48" ht="15" customHeight="1" x14ac:dyDescent="0.2">
      <c r="A104" s="1045"/>
      <c r="B104" s="255"/>
      <c r="C104" s="695"/>
      <c r="D104" s="695"/>
      <c r="E104" s="695"/>
      <c r="F104" s="695"/>
      <c r="G104" s="695"/>
      <c r="H104" s="695"/>
      <c r="I104" s="695"/>
      <c r="J104" s="695"/>
      <c r="K104" s="695"/>
      <c r="L104" s="695"/>
      <c r="AI104" s="108"/>
      <c r="AJ104" s="108"/>
      <c r="AK104" s="108"/>
      <c r="AL104" s="137"/>
      <c r="AM104" s="137"/>
      <c r="AN104" s="137"/>
      <c r="AO104" s="137"/>
      <c r="AP104" s="137"/>
      <c r="AQ104" s="137"/>
      <c r="AR104" s="137"/>
      <c r="AS104" s="137"/>
      <c r="AT104" s="137"/>
      <c r="AU104" s="137"/>
      <c r="AV104" s="137"/>
    </row>
    <row r="105" spans="1:48" ht="15" customHeight="1" x14ac:dyDescent="0.2">
      <c r="A105" s="1045"/>
      <c r="B105" s="696" t="e">
        <f>" "&amp;ListAVS!#REF!</f>
        <v>#REF!</v>
      </c>
      <c r="C105" s="696"/>
      <c r="D105" s="696"/>
      <c r="E105" s="696"/>
      <c r="F105" s="696"/>
      <c r="G105" s="696"/>
      <c r="H105" s="696"/>
      <c r="I105" s="696"/>
      <c r="J105" s="696"/>
      <c r="K105" s="696"/>
      <c r="L105" s="696"/>
      <c r="AI105" s="108"/>
      <c r="AJ105" s="108"/>
      <c r="AK105" s="108"/>
      <c r="AL105" s="137"/>
      <c r="AM105" s="137"/>
      <c r="AN105" s="137"/>
      <c r="AO105" s="137"/>
      <c r="AP105" s="137"/>
      <c r="AQ105" s="137"/>
      <c r="AR105" s="137"/>
      <c r="AS105" s="137"/>
      <c r="AT105" s="137"/>
      <c r="AU105" s="137"/>
      <c r="AV105" s="137"/>
    </row>
    <row r="106" spans="1:48" ht="15" customHeight="1" x14ac:dyDescent="0.2">
      <c r="A106" s="1045"/>
      <c r="B106" s="746"/>
      <c r="C106" s="746"/>
      <c r="D106" s="698" t="str">
        <f>ListAVS!$B$86&amp;" = "</f>
        <v xml:space="preserve">Współczynnik mocy = </v>
      </c>
      <c r="E106" s="1068" t="str">
        <f>ListAVS!$B$342&amp;" [kg]"</f>
        <v>wysokość korpusu (KH) [mm] x waga frontu wraz z podwójną wagą uchwytu [kg]</v>
      </c>
      <c r="F106" s="1068"/>
      <c r="G106" s="1068"/>
      <c r="H106" s="1068"/>
      <c r="I106" s="1068"/>
      <c r="J106" s="1068"/>
      <c r="K106" s="1068"/>
      <c r="L106" s="1068"/>
      <c r="N106" s="108"/>
      <c r="AI106" s="108"/>
      <c r="AJ106" s="108"/>
      <c r="AK106" s="108"/>
      <c r="AL106" s="137"/>
      <c r="AM106" s="137"/>
      <c r="AN106" s="137"/>
      <c r="AO106" s="137"/>
      <c r="AP106" s="137"/>
      <c r="AQ106" s="137"/>
      <c r="AR106" s="137"/>
      <c r="AS106" s="137"/>
      <c r="AT106" s="137"/>
      <c r="AU106" s="137"/>
      <c r="AV106" s="137"/>
    </row>
    <row r="107" spans="1:48" ht="15" customHeight="1" x14ac:dyDescent="0.2">
      <c r="A107" s="1045"/>
      <c r="B107" s="255"/>
      <c r="C107" s="255"/>
      <c r="D107" s="255"/>
      <c r="E107" s="255"/>
      <c r="F107" s="255"/>
      <c r="G107" s="255"/>
      <c r="H107" s="255"/>
      <c r="I107" s="255"/>
      <c r="J107" s="255"/>
      <c r="K107" s="255"/>
      <c r="L107" s="255"/>
      <c r="AI107" s="108"/>
      <c r="AJ107" s="108"/>
      <c r="AK107" s="108"/>
      <c r="AL107" s="137"/>
      <c r="AM107" s="137"/>
      <c r="AN107" s="137"/>
      <c r="AO107" s="137"/>
      <c r="AP107" s="137"/>
      <c r="AQ107" s="137"/>
      <c r="AR107" s="137"/>
      <c r="AS107" s="137"/>
      <c r="AT107" s="137"/>
      <c r="AU107" s="137"/>
      <c r="AV107" s="137"/>
    </row>
    <row r="108" spans="1:48" ht="15" customHeight="1" x14ac:dyDescent="0.2">
      <c r="A108" s="1045"/>
      <c r="B108" s="255" t="str">
        <f>ListAVS!$B$355</f>
        <v>W razie wykorzystania trzeciego siłownika współczynnik mocy oraz waga frontu mogą się zwiększyć o 50 %.</v>
      </c>
      <c r="C108" s="255"/>
      <c r="D108" s="255"/>
      <c r="E108" s="255"/>
      <c r="F108" s="255"/>
      <c r="G108" s="255"/>
      <c r="H108" s="255"/>
      <c r="I108" s="255"/>
      <c r="J108" s="255"/>
      <c r="K108" s="255"/>
      <c r="L108" s="255"/>
      <c r="AI108" s="108"/>
      <c r="AJ108" s="108"/>
      <c r="AK108" s="108"/>
      <c r="AL108" s="137"/>
      <c r="AM108" s="137"/>
      <c r="AN108" s="137"/>
      <c r="AO108" s="137"/>
      <c r="AP108" s="137"/>
      <c r="AQ108" s="137"/>
      <c r="AR108" s="137"/>
      <c r="AS108" s="137"/>
      <c r="AT108" s="137"/>
      <c r="AU108" s="137"/>
      <c r="AV108" s="137"/>
    </row>
    <row r="109" spans="1:48" ht="15" customHeight="1" x14ac:dyDescent="0.2">
      <c r="A109" s="1045"/>
      <c r="B109" s="255" t="str">
        <f>"("&amp;ListAVS!$B$356&amp;")"</f>
        <v>(Dotyczy tylko siłownika 20K2E00)</v>
      </c>
      <c r="C109" s="255"/>
      <c r="D109" s="255"/>
      <c r="E109" s="255"/>
      <c r="F109" s="255"/>
      <c r="G109" s="255"/>
      <c r="H109" s="255"/>
      <c r="I109" s="255"/>
      <c r="J109" s="255"/>
      <c r="K109" s="255"/>
      <c r="L109" s="255"/>
      <c r="AI109" s="108"/>
      <c r="AJ109" s="108"/>
      <c r="AK109" s="108"/>
      <c r="AL109" s="137"/>
      <c r="AM109" s="137"/>
      <c r="AN109" s="137"/>
      <c r="AO109" s="137"/>
      <c r="AP109" s="137"/>
      <c r="AQ109" s="137"/>
      <c r="AR109" s="137"/>
      <c r="AS109" s="137"/>
      <c r="AT109" s="137"/>
      <c r="AU109" s="137"/>
      <c r="AV109" s="137"/>
    </row>
    <row r="110" spans="1:48" ht="15" customHeight="1" x14ac:dyDescent="0.2">
      <c r="A110" s="1045"/>
      <c r="B110" s="273" t="str">
        <f>ListAVS!$B$183</f>
        <v>Dodatkowy trzeci siłownik można zastosować jedynie z pełnym frontem!</v>
      </c>
      <c r="C110" s="255"/>
      <c r="D110" s="255"/>
      <c r="E110" s="255"/>
      <c r="F110" s="255"/>
      <c r="G110" s="255"/>
      <c r="H110" s="255"/>
      <c r="I110" s="255"/>
      <c r="J110" s="255"/>
      <c r="K110" s="255"/>
      <c r="L110" s="255"/>
      <c r="AI110" s="108"/>
      <c r="AJ110" s="108"/>
      <c r="AK110" s="108"/>
      <c r="AL110" s="137"/>
      <c r="AM110" s="137"/>
      <c r="AN110" s="137"/>
      <c r="AO110" s="137"/>
      <c r="AP110" s="137"/>
      <c r="AQ110" s="137"/>
      <c r="AR110" s="137"/>
      <c r="AS110" s="137"/>
      <c r="AT110" s="137"/>
      <c r="AU110" s="137"/>
      <c r="AV110" s="137"/>
    </row>
    <row r="111" spans="1:48" ht="15" customHeight="1" x14ac:dyDescent="0.2">
      <c r="A111" s="1045"/>
      <c r="B111" s="255"/>
      <c r="C111" s="255"/>
      <c r="D111" s="255"/>
      <c r="E111" s="255"/>
      <c r="F111" s="255"/>
      <c r="G111" s="255"/>
      <c r="H111" s="255"/>
      <c r="I111" s="255"/>
      <c r="J111" s="255"/>
      <c r="K111" s="255"/>
      <c r="L111" s="255"/>
      <c r="AI111" s="108"/>
      <c r="AJ111" s="108"/>
      <c r="AK111" s="108"/>
      <c r="AL111" s="137"/>
      <c r="AM111" s="137"/>
      <c r="AN111" s="137"/>
      <c r="AO111" s="137"/>
      <c r="AP111" s="137"/>
      <c r="AQ111" s="137"/>
      <c r="AR111" s="137"/>
      <c r="AS111" s="137"/>
      <c r="AT111" s="137"/>
      <c r="AU111" s="137"/>
      <c r="AV111" s="137"/>
    </row>
    <row r="112" spans="1:48" ht="15" customHeight="1" x14ac:dyDescent="0.2">
      <c r="A112" s="1045"/>
      <c r="B112" s="255" t="str">
        <f>ListAVS!$B$312</f>
        <v>Jeśli znasz wagę frontu, możesz ją wprowadzić, w przeciwnym razie skorzystaj z „Obliczenia wagi”.</v>
      </c>
      <c r="C112" s="255"/>
      <c r="D112" s="255"/>
      <c r="E112" s="255"/>
      <c r="F112" s="255"/>
      <c r="G112" s="255"/>
      <c r="H112" s="255"/>
      <c r="I112" s="255"/>
      <c r="J112" s="255"/>
      <c r="K112" s="255"/>
      <c r="L112" s="255"/>
      <c r="AI112" s="108"/>
      <c r="AJ112" s="108"/>
      <c r="AK112" s="108"/>
      <c r="AL112" s="137"/>
      <c r="AM112" s="137"/>
      <c r="AN112" s="137"/>
      <c r="AO112" s="137"/>
      <c r="AP112" s="137"/>
      <c r="AQ112" s="137"/>
      <c r="AR112" s="137"/>
      <c r="AS112" s="137"/>
      <c r="AT112" s="137"/>
      <c r="AU112" s="137"/>
      <c r="AV112" s="137"/>
    </row>
    <row r="113" spans="1:48" ht="15" customHeight="1" x14ac:dyDescent="0.2">
      <c r="A113" s="1045"/>
      <c r="B113" s="255" t="str">
        <f>ListAVS!$B$313</f>
        <v>W tabeli wprowadzona wartość ma pierwszeństwo aby skorzystać z wagi obliczeniowej, należy usunąć wprowadzoną wartość.</v>
      </c>
      <c r="C113" s="255"/>
      <c r="D113" s="255"/>
      <c r="E113" s="255"/>
      <c r="F113" s="255"/>
      <c r="G113" s="255"/>
      <c r="H113" s="255"/>
      <c r="I113" s="255"/>
      <c r="J113" s="255"/>
      <c r="K113" s="255"/>
      <c r="L113" s="255"/>
      <c r="AI113" s="108"/>
      <c r="AJ113" s="108"/>
      <c r="AK113" s="108"/>
      <c r="AL113" s="137"/>
      <c r="AM113" s="137"/>
      <c r="AN113" s="137"/>
      <c r="AO113" s="137"/>
      <c r="AP113" s="137"/>
      <c r="AQ113" s="137"/>
      <c r="AR113" s="137"/>
      <c r="AS113" s="137"/>
      <c r="AT113" s="137"/>
      <c r="AU113" s="137"/>
      <c r="AV113" s="137"/>
    </row>
    <row r="114" spans="1:48" ht="15" customHeight="1" x14ac:dyDescent="0.2">
      <c r="A114" s="1045"/>
      <c r="B114" s="255"/>
      <c r="C114" s="255"/>
      <c r="D114" s="255"/>
      <c r="E114" s="255"/>
      <c r="F114" s="255"/>
      <c r="G114" s="255"/>
      <c r="H114" s="255"/>
      <c r="I114" s="255"/>
      <c r="J114" s="255"/>
      <c r="K114" s="255"/>
      <c r="L114" s="255"/>
      <c r="AI114" s="108"/>
      <c r="AJ114" s="108"/>
      <c r="AK114" s="108"/>
      <c r="AL114" s="137"/>
      <c r="AM114" s="137"/>
      <c r="AN114" s="137"/>
      <c r="AO114" s="137"/>
      <c r="AP114" s="137"/>
      <c r="AQ114" s="137"/>
      <c r="AR114" s="137"/>
      <c r="AS114" s="137"/>
      <c r="AT114" s="137"/>
      <c r="AU114" s="137"/>
      <c r="AV114" s="137"/>
    </row>
    <row r="115" spans="1:48" ht="15" customHeight="1" x14ac:dyDescent="0.2">
      <c r="A115" s="1045"/>
      <c r="B115" s="255"/>
      <c r="C115" s="255"/>
      <c r="D115" s="255"/>
      <c r="E115" s="255"/>
      <c r="F115" s="255"/>
      <c r="G115" s="255"/>
      <c r="H115" s="255"/>
      <c r="I115" s="255"/>
      <c r="J115" s="255"/>
      <c r="K115" s="255"/>
      <c r="L115" s="255"/>
      <c r="AI115" s="108"/>
      <c r="AJ115" s="108"/>
      <c r="AK115" s="108"/>
      <c r="AL115" s="137"/>
      <c r="AM115" s="137"/>
      <c r="AN115" s="137"/>
      <c r="AO115" s="137"/>
      <c r="AP115" s="137"/>
      <c r="AQ115" s="137"/>
      <c r="AR115" s="137"/>
      <c r="AS115" s="137"/>
      <c r="AT115" s="137"/>
      <c r="AU115" s="137"/>
      <c r="AV115" s="137"/>
    </row>
    <row r="116" spans="1:48" ht="15" customHeight="1" x14ac:dyDescent="0.2">
      <c r="A116" s="1045"/>
      <c r="B116" s="255" t="str">
        <f>ListAVS!$B$306</f>
        <v>Aby zmienić kolor zaślepek przejdź do „Wprowadzenie do planowania”</v>
      </c>
      <c r="C116" s="255"/>
      <c r="D116" s="255"/>
      <c r="E116" s="255"/>
      <c r="F116" s="255"/>
      <c r="G116" s="255"/>
      <c r="H116" s="255"/>
      <c r="I116" s="255"/>
      <c r="J116" s="255"/>
      <c r="K116" s="255"/>
      <c r="L116" s="255"/>
      <c r="AI116" s="108"/>
      <c r="AJ116" s="108"/>
      <c r="AK116" s="108"/>
      <c r="AL116" s="137"/>
      <c r="AM116" s="137"/>
      <c r="AN116" s="137"/>
      <c r="AO116" s="137"/>
      <c r="AP116" s="137"/>
      <c r="AQ116" s="137"/>
      <c r="AR116" s="137"/>
      <c r="AS116" s="137"/>
      <c r="AT116" s="137"/>
      <c r="AU116" s="137"/>
      <c r="AV116" s="137"/>
    </row>
    <row r="117" spans="1:48" ht="15" customHeight="1" x14ac:dyDescent="0.2">
      <c r="A117" s="1045"/>
      <c r="B117" s="255"/>
      <c r="C117" s="255"/>
      <c r="D117" s="255"/>
      <c r="E117" s="255"/>
      <c r="F117" s="255"/>
      <c r="G117" s="255"/>
      <c r="H117" s="255"/>
      <c r="I117" s="255"/>
      <c r="J117" s="255"/>
      <c r="K117" s="255"/>
      <c r="L117" s="255"/>
      <c r="AI117" s="108"/>
      <c r="AJ117" s="108"/>
      <c r="AK117" s="108"/>
      <c r="AL117" s="137"/>
      <c r="AM117" s="137"/>
      <c r="AN117" s="137"/>
      <c r="AO117" s="137"/>
      <c r="AP117" s="137"/>
      <c r="AQ117" s="137"/>
      <c r="AR117" s="137"/>
      <c r="AS117" s="137"/>
      <c r="AT117" s="137"/>
      <c r="AU117" s="137"/>
      <c r="AV117" s="137"/>
    </row>
    <row r="118" spans="1:48" ht="15" customHeight="1" x14ac:dyDescent="0.2">
      <c r="A118" s="1045"/>
      <c r="B118" s="255"/>
      <c r="C118" s="255"/>
      <c r="D118" s="255"/>
      <c r="E118" s="255"/>
      <c r="F118" s="255"/>
      <c r="G118" s="255"/>
      <c r="H118" s="255"/>
      <c r="I118" s="255"/>
      <c r="J118" s="255"/>
      <c r="K118" s="255"/>
      <c r="L118" s="255"/>
      <c r="AI118" s="108"/>
      <c r="AJ118" s="108"/>
      <c r="AK118" s="108"/>
      <c r="AL118" s="137"/>
      <c r="AM118" s="137"/>
      <c r="AN118" s="137"/>
      <c r="AO118" s="137"/>
      <c r="AP118" s="137"/>
      <c r="AQ118" s="137"/>
      <c r="AR118" s="137"/>
      <c r="AS118" s="137"/>
      <c r="AT118" s="137"/>
      <c r="AU118" s="137"/>
      <c r="AV118" s="137"/>
    </row>
    <row r="119" spans="1:48" ht="15" customHeight="1" x14ac:dyDescent="0.2">
      <c r="A119" s="1045"/>
      <c r="B119" s="255"/>
      <c r="C119" s="255"/>
      <c r="D119" s="255"/>
      <c r="E119" s="255"/>
      <c r="F119" s="255"/>
      <c r="G119" s="255"/>
      <c r="H119" s="255"/>
      <c r="I119" s="255"/>
      <c r="J119" s="255"/>
      <c r="K119" s="255"/>
      <c r="L119" s="255"/>
      <c r="AI119" s="108"/>
      <c r="AJ119" s="108"/>
      <c r="AK119" s="108"/>
      <c r="AL119" s="137"/>
      <c r="AM119" s="137"/>
      <c r="AN119" s="137"/>
      <c r="AO119" s="137"/>
      <c r="AP119" s="137"/>
      <c r="AQ119" s="137"/>
      <c r="AR119" s="137"/>
      <c r="AS119" s="137"/>
      <c r="AT119" s="137"/>
      <c r="AU119" s="137"/>
      <c r="AV119" s="137"/>
    </row>
    <row r="120" spans="1:48" ht="15" customHeight="1" x14ac:dyDescent="0.2">
      <c r="A120" s="1045"/>
      <c r="B120" s="255"/>
      <c r="C120" s="255"/>
      <c r="D120" s="255"/>
      <c r="E120" s="255"/>
      <c r="F120" s="255"/>
      <c r="G120" s="255"/>
      <c r="H120" s="255"/>
      <c r="I120" s="255"/>
      <c r="J120" s="255"/>
      <c r="K120" s="255"/>
      <c r="L120" s="255"/>
      <c r="AI120" s="108"/>
      <c r="AJ120" s="108"/>
      <c r="AK120" s="108"/>
      <c r="AL120" s="137"/>
      <c r="AM120" s="137"/>
      <c r="AN120" s="137"/>
      <c r="AO120" s="137"/>
      <c r="AP120" s="137"/>
      <c r="AQ120" s="137"/>
      <c r="AR120" s="137"/>
      <c r="AS120" s="137"/>
      <c r="AT120" s="137"/>
      <c r="AU120" s="137"/>
      <c r="AV120" s="137"/>
    </row>
    <row r="121" spans="1:48" ht="15" customHeight="1" x14ac:dyDescent="0.2">
      <c r="A121" s="1045"/>
      <c r="B121" s="255"/>
      <c r="C121" s="255"/>
      <c r="D121" s="255"/>
      <c r="E121" s="255"/>
      <c r="F121" s="255"/>
      <c r="G121" s="255"/>
      <c r="H121" s="255"/>
      <c r="I121" s="255"/>
      <c r="J121" s="255"/>
      <c r="K121" s="255"/>
      <c r="L121" s="255"/>
      <c r="AI121" s="108"/>
      <c r="AJ121" s="108"/>
      <c r="AK121" s="108"/>
      <c r="AL121" s="137"/>
      <c r="AM121" s="137"/>
      <c r="AN121" s="137"/>
      <c r="AO121" s="137"/>
      <c r="AP121" s="137"/>
      <c r="AQ121" s="137"/>
      <c r="AR121" s="137"/>
      <c r="AS121" s="137"/>
      <c r="AT121" s="137"/>
      <c r="AU121" s="137"/>
      <c r="AV121" s="137"/>
    </row>
    <row r="122" spans="1:48" ht="15" customHeight="1" x14ac:dyDescent="0.2">
      <c r="A122" s="1045"/>
      <c r="B122" s="255"/>
      <c r="C122" s="255"/>
      <c r="D122" s="255"/>
      <c r="E122" s="255"/>
      <c r="F122" s="255"/>
      <c r="G122" s="255"/>
      <c r="H122" s="255"/>
      <c r="I122" s="255"/>
      <c r="J122" s="255"/>
      <c r="K122" s="255"/>
      <c r="L122" s="255"/>
      <c r="AI122" s="108"/>
      <c r="AJ122" s="108"/>
      <c r="AK122" s="108"/>
      <c r="AL122" s="137"/>
      <c r="AM122" s="137"/>
      <c r="AN122" s="137"/>
      <c r="AO122" s="137"/>
      <c r="AP122" s="137"/>
      <c r="AQ122" s="137"/>
      <c r="AR122" s="137"/>
      <c r="AS122" s="137"/>
      <c r="AT122" s="137"/>
      <c r="AU122" s="137"/>
      <c r="AV122" s="137"/>
    </row>
    <row r="123" spans="1:48" ht="15" customHeight="1" x14ac:dyDescent="0.2">
      <c r="A123" s="1045"/>
      <c r="B123" s="255"/>
      <c r="C123" s="255"/>
      <c r="D123" s="255"/>
      <c r="E123" s="255"/>
      <c r="F123" s="255"/>
      <c r="G123" s="255"/>
      <c r="H123" s="255"/>
      <c r="I123" s="255"/>
      <c r="J123" s="255"/>
      <c r="K123" s="255"/>
      <c r="L123" s="255"/>
      <c r="AI123" s="108"/>
      <c r="AJ123" s="108"/>
      <c r="AK123" s="108"/>
      <c r="AL123" s="137"/>
      <c r="AM123" s="137"/>
      <c r="AN123" s="137"/>
      <c r="AO123" s="137"/>
      <c r="AP123" s="137"/>
      <c r="AQ123" s="137"/>
      <c r="AR123" s="137"/>
      <c r="AS123" s="137"/>
      <c r="AT123" s="137"/>
      <c r="AU123" s="137"/>
      <c r="AV123" s="137"/>
    </row>
    <row r="124" spans="1:48" ht="15" customHeight="1" x14ac:dyDescent="0.2">
      <c r="A124" s="1045"/>
      <c r="B124" s="255"/>
      <c r="C124" s="255"/>
      <c r="D124" s="255"/>
      <c r="E124" s="255"/>
      <c r="F124" s="255"/>
      <c r="G124" s="255"/>
      <c r="H124" s="255"/>
      <c r="I124" s="255"/>
      <c r="J124" s="255"/>
      <c r="K124" s="255"/>
      <c r="L124" s="255"/>
      <c r="AI124" s="108"/>
      <c r="AJ124" s="108"/>
      <c r="AK124" s="108"/>
      <c r="AL124" s="137"/>
      <c r="AM124" s="137"/>
      <c r="AN124" s="137"/>
      <c r="AO124" s="137"/>
      <c r="AP124" s="137"/>
      <c r="AQ124" s="137"/>
      <c r="AR124" s="137"/>
      <c r="AS124" s="137"/>
      <c r="AT124" s="137"/>
      <c r="AU124" s="137"/>
      <c r="AV124" s="137"/>
    </row>
    <row r="125" spans="1:48" ht="12.75" x14ac:dyDescent="0.2">
      <c r="A125" s="1045"/>
      <c r="B125" s="255"/>
      <c r="C125" s="255"/>
      <c r="D125" s="255"/>
      <c r="E125" s="255"/>
      <c r="F125" s="255"/>
      <c r="G125" s="255"/>
      <c r="H125" s="255"/>
      <c r="I125" s="255"/>
      <c r="J125" s="255"/>
      <c r="K125" s="255"/>
      <c r="L125" s="702" t="str">
        <f>ListAVS!$B$168</f>
        <v>Z powrotem</v>
      </c>
      <c r="AI125" s="108"/>
      <c r="AJ125" s="108"/>
      <c r="AK125" s="108"/>
      <c r="AL125" s="137"/>
      <c r="AM125" s="137"/>
      <c r="AN125" s="137"/>
      <c r="AO125" s="137"/>
      <c r="AP125" s="137"/>
      <c r="AQ125" s="137"/>
      <c r="AR125" s="137"/>
      <c r="AS125" s="137"/>
      <c r="AT125" s="137"/>
      <c r="AU125" s="137"/>
      <c r="AV125" s="137"/>
    </row>
    <row r="126" spans="1:48" ht="12.75" x14ac:dyDescent="0.2">
      <c r="A126" s="1045"/>
      <c r="B126" s="255"/>
      <c r="C126" s="255"/>
      <c r="D126" s="255"/>
      <c r="E126" s="255"/>
      <c r="F126" s="255"/>
      <c r="G126" s="255"/>
      <c r="H126" s="255"/>
      <c r="I126" s="255"/>
      <c r="J126" s="255"/>
      <c r="K126" s="255"/>
      <c r="L126" s="255"/>
      <c r="AI126" s="108"/>
      <c r="AJ126" s="108"/>
      <c r="AK126" s="108"/>
      <c r="AL126" s="137"/>
      <c r="AM126" s="137"/>
      <c r="AN126" s="137"/>
      <c r="AO126" s="137"/>
      <c r="AP126" s="137"/>
      <c r="AQ126" s="137"/>
      <c r="AR126" s="137"/>
      <c r="AS126" s="137"/>
      <c r="AT126" s="137"/>
      <c r="AU126" s="137"/>
      <c r="AV126" s="137"/>
    </row>
    <row r="127" spans="1:48" ht="15" customHeight="1" x14ac:dyDescent="0.2">
      <c r="A127" s="1045"/>
      <c r="AI127" s="108"/>
      <c r="AJ127" s="108"/>
      <c r="AK127" s="108"/>
      <c r="AL127" s="137"/>
      <c r="AM127" s="137"/>
      <c r="AN127" s="137"/>
      <c r="AO127" s="137"/>
      <c r="AP127" s="137"/>
      <c r="AQ127" s="137"/>
      <c r="AR127" s="137"/>
      <c r="AS127" s="137"/>
      <c r="AT127" s="137"/>
      <c r="AU127" s="137"/>
      <c r="AV127" s="137"/>
    </row>
    <row r="128" spans="1:48" x14ac:dyDescent="0.2">
      <c r="A128" s="1045"/>
      <c r="AI128" s="108"/>
      <c r="AJ128" s="108"/>
      <c r="AK128" s="108"/>
      <c r="AL128" s="137"/>
      <c r="AM128" s="137"/>
      <c r="AN128" s="137"/>
      <c r="AO128" s="137"/>
      <c r="AP128" s="137"/>
      <c r="AQ128" s="137"/>
      <c r="AR128" s="137"/>
      <c r="AS128" s="137"/>
      <c r="AT128" s="137"/>
      <c r="AU128" s="137"/>
      <c r="AV128" s="137"/>
    </row>
    <row r="129" spans="1:48" x14ac:dyDescent="0.2">
      <c r="A129" s="1045"/>
      <c r="AI129" s="108"/>
      <c r="AJ129" s="108"/>
      <c r="AK129" s="108"/>
      <c r="AL129" s="137"/>
      <c r="AM129" s="137"/>
      <c r="AN129" s="137"/>
      <c r="AO129" s="137"/>
      <c r="AP129" s="137"/>
      <c r="AQ129" s="137"/>
      <c r="AR129" s="137"/>
      <c r="AS129" s="137"/>
      <c r="AT129" s="137"/>
      <c r="AU129" s="137"/>
      <c r="AV129" s="137"/>
    </row>
    <row r="130" spans="1:48" x14ac:dyDescent="0.2">
      <c r="A130" s="1045"/>
      <c r="AI130" s="108"/>
      <c r="AJ130" s="108"/>
      <c r="AK130" s="108"/>
      <c r="AL130" s="137"/>
      <c r="AM130" s="137"/>
      <c r="AN130" s="137"/>
      <c r="AO130" s="137"/>
      <c r="AP130" s="137"/>
      <c r="AQ130" s="137"/>
      <c r="AR130" s="137"/>
      <c r="AS130" s="137"/>
      <c r="AT130" s="137"/>
      <c r="AU130" s="137"/>
      <c r="AV130" s="137"/>
    </row>
    <row r="131" spans="1:48" x14ac:dyDescent="0.2">
      <c r="A131" s="1045"/>
      <c r="AI131" s="108"/>
      <c r="AJ131" s="108"/>
      <c r="AK131" s="108"/>
      <c r="AL131" s="137"/>
      <c r="AM131" s="137"/>
      <c r="AN131" s="137"/>
      <c r="AO131" s="137"/>
      <c r="AP131" s="137"/>
      <c r="AQ131" s="137"/>
      <c r="AR131" s="137"/>
      <c r="AS131" s="137"/>
      <c r="AT131" s="137"/>
      <c r="AU131" s="137"/>
      <c r="AV131" s="137"/>
    </row>
    <row r="132" spans="1:48" x14ac:dyDescent="0.2">
      <c r="A132" s="1045"/>
      <c r="AI132" s="108"/>
      <c r="AJ132" s="108"/>
      <c r="AK132" s="108"/>
      <c r="AL132" s="137"/>
      <c r="AM132" s="137"/>
      <c r="AN132" s="137"/>
      <c r="AO132" s="137"/>
      <c r="AP132" s="137"/>
      <c r="AQ132" s="137"/>
      <c r="AR132" s="137"/>
      <c r="AS132" s="137"/>
      <c r="AT132" s="137"/>
      <c r="AU132" s="137"/>
      <c r="AV132" s="137"/>
    </row>
    <row r="133" spans="1:48" x14ac:dyDescent="0.2">
      <c r="A133" s="1045"/>
      <c r="AI133" s="108"/>
      <c r="AJ133" s="108"/>
      <c r="AK133" s="108"/>
      <c r="AL133" s="137"/>
      <c r="AM133" s="137"/>
      <c r="AN133" s="137"/>
      <c r="AO133" s="137"/>
      <c r="AP133" s="137"/>
      <c r="AQ133" s="137"/>
      <c r="AR133" s="137"/>
      <c r="AS133" s="137"/>
      <c r="AT133" s="137"/>
      <c r="AU133" s="137"/>
      <c r="AV133" s="137"/>
    </row>
    <row r="134" spans="1:48" x14ac:dyDescent="0.2">
      <c r="A134" s="1045"/>
      <c r="AI134" s="108"/>
      <c r="AJ134" s="108"/>
      <c r="AK134" s="108"/>
      <c r="AL134" s="137"/>
      <c r="AM134" s="137"/>
      <c r="AN134" s="137"/>
      <c r="AO134" s="137"/>
      <c r="AP134" s="137"/>
      <c r="AQ134" s="137"/>
      <c r="AR134" s="137"/>
      <c r="AS134" s="137"/>
      <c r="AT134" s="137"/>
      <c r="AU134" s="137"/>
      <c r="AV134" s="137"/>
    </row>
    <row r="135" spans="1:48" x14ac:dyDescent="0.2">
      <c r="A135" s="1045"/>
      <c r="AI135" s="108"/>
      <c r="AJ135" s="108"/>
      <c r="AK135" s="108"/>
      <c r="AL135" s="137"/>
      <c r="AM135" s="137"/>
      <c r="AN135" s="137"/>
      <c r="AO135" s="137"/>
      <c r="AP135" s="137"/>
      <c r="AQ135" s="137"/>
      <c r="AR135" s="137"/>
      <c r="AS135" s="137"/>
      <c r="AT135" s="137"/>
      <c r="AU135" s="137"/>
      <c r="AV135" s="137"/>
    </row>
    <row r="136" spans="1:48" x14ac:dyDescent="0.2">
      <c r="A136" s="1045"/>
      <c r="AI136" s="108"/>
      <c r="AJ136" s="108"/>
      <c r="AK136" s="108"/>
      <c r="AL136" s="137"/>
      <c r="AM136" s="137"/>
      <c r="AN136" s="137"/>
      <c r="AO136" s="137"/>
      <c r="AP136" s="137"/>
      <c r="AQ136" s="137"/>
      <c r="AR136" s="137"/>
      <c r="AS136" s="137"/>
      <c r="AT136" s="137"/>
      <c r="AU136" s="137"/>
      <c r="AV136" s="137"/>
    </row>
    <row r="137" spans="1:48" x14ac:dyDescent="0.2">
      <c r="A137" s="1045"/>
      <c r="AI137" s="108"/>
      <c r="AJ137" s="108"/>
      <c r="AK137" s="108"/>
      <c r="AL137" s="137"/>
      <c r="AM137" s="137"/>
      <c r="AN137" s="137"/>
      <c r="AO137" s="137"/>
      <c r="AP137" s="137"/>
      <c r="AQ137" s="137"/>
      <c r="AR137" s="137"/>
      <c r="AS137" s="137"/>
      <c r="AT137" s="137"/>
      <c r="AU137" s="137"/>
      <c r="AV137" s="137"/>
    </row>
    <row r="138" spans="1:48" x14ac:dyDescent="0.2">
      <c r="A138" s="1045"/>
      <c r="AI138" s="108"/>
      <c r="AJ138" s="108"/>
      <c r="AK138" s="108"/>
      <c r="AL138" s="137"/>
      <c r="AM138" s="137"/>
      <c r="AN138" s="137"/>
      <c r="AO138" s="137"/>
      <c r="AP138" s="137"/>
      <c r="AQ138" s="137"/>
      <c r="AR138" s="137"/>
      <c r="AS138" s="137"/>
      <c r="AT138" s="137"/>
      <c r="AU138" s="137"/>
      <c r="AV138" s="137"/>
    </row>
    <row r="139" spans="1:48" x14ac:dyDescent="0.2">
      <c r="A139" s="1045"/>
      <c r="AI139" s="108"/>
      <c r="AJ139" s="108"/>
      <c r="AK139" s="108"/>
      <c r="AL139" s="137"/>
      <c r="AM139" s="137"/>
      <c r="AN139" s="137"/>
      <c r="AO139" s="137"/>
      <c r="AP139" s="137"/>
      <c r="AQ139" s="137"/>
      <c r="AR139" s="137"/>
      <c r="AS139" s="137"/>
      <c r="AT139" s="137"/>
      <c r="AU139" s="137"/>
      <c r="AV139" s="137"/>
    </row>
    <row r="140" spans="1:48" x14ac:dyDescent="0.2">
      <c r="A140" s="1045"/>
      <c r="AI140" s="108"/>
      <c r="AJ140" s="108"/>
      <c r="AK140" s="108"/>
      <c r="AL140" s="137"/>
      <c r="AM140" s="137"/>
      <c r="AN140" s="137"/>
      <c r="AO140" s="137"/>
      <c r="AP140" s="137"/>
      <c r="AQ140" s="137"/>
      <c r="AR140" s="137"/>
      <c r="AS140" s="137"/>
      <c r="AT140" s="137"/>
      <c r="AU140" s="137"/>
      <c r="AV140" s="137"/>
    </row>
    <row r="141" spans="1:48" x14ac:dyDescent="0.2">
      <c r="AI141" s="108"/>
      <c r="AJ141" s="108"/>
      <c r="AK141" s="108"/>
      <c r="AL141" s="137"/>
      <c r="AM141" s="137"/>
      <c r="AN141" s="137"/>
      <c r="AO141" s="137"/>
      <c r="AP141" s="137"/>
      <c r="AQ141" s="137"/>
      <c r="AR141" s="137"/>
      <c r="AS141" s="137"/>
      <c r="AT141" s="137"/>
      <c r="AU141" s="137"/>
      <c r="AV141" s="137"/>
    </row>
    <row r="142" spans="1:48" x14ac:dyDescent="0.2">
      <c r="AI142" s="108"/>
      <c r="AJ142" s="108"/>
      <c r="AK142" s="108"/>
      <c r="AL142" s="137"/>
      <c r="AM142" s="137"/>
      <c r="AN142" s="137"/>
      <c r="AO142" s="137"/>
      <c r="AP142" s="137"/>
      <c r="AQ142" s="137"/>
      <c r="AR142" s="137"/>
      <c r="AS142" s="137"/>
      <c r="AT142" s="137"/>
      <c r="AU142" s="137"/>
      <c r="AV142" s="137"/>
    </row>
    <row r="143" spans="1:48" x14ac:dyDescent="0.2">
      <c r="AI143" s="108"/>
      <c r="AJ143" s="108"/>
      <c r="AK143" s="108"/>
      <c r="AL143" s="137"/>
      <c r="AM143" s="137"/>
      <c r="AN143" s="137"/>
      <c r="AO143" s="137"/>
      <c r="AP143" s="137"/>
      <c r="AQ143" s="137"/>
      <c r="AR143" s="137"/>
      <c r="AS143" s="137"/>
      <c r="AT143" s="137"/>
      <c r="AU143" s="137"/>
      <c r="AV143" s="137"/>
    </row>
    <row r="144" spans="1:48" x14ac:dyDescent="0.2">
      <c r="AI144" s="108"/>
      <c r="AJ144" s="108"/>
      <c r="AK144" s="108"/>
      <c r="AL144" s="137"/>
      <c r="AM144" s="137"/>
      <c r="AN144" s="137"/>
      <c r="AO144" s="137"/>
      <c r="AP144" s="137"/>
      <c r="AQ144" s="137"/>
      <c r="AR144" s="137"/>
      <c r="AS144" s="137"/>
      <c r="AT144" s="137"/>
      <c r="AU144" s="137"/>
      <c r="AV144" s="137"/>
    </row>
    <row r="145" spans="35:48" x14ac:dyDescent="0.2">
      <c r="AI145" s="108"/>
      <c r="AJ145" s="108"/>
      <c r="AK145" s="108"/>
      <c r="AL145" s="137"/>
      <c r="AM145" s="137"/>
      <c r="AN145" s="137"/>
      <c r="AO145" s="137"/>
      <c r="AP145" s="137"/>
      <c r="AQ145" s="137"/>
      <c r="AR145" s="137"/>
      <c r="AS145" s="137"/>
      <c r="AT145" s="137"/>
      <c r="AU145" s="137"/>
      <c r="AV145" s="137"/>
    </row>
    <row r="146" spans="35:48" x14ac:dyDescent="0.2">
      <c r="AI146" s="108"/>
      <c r="AJ146" s="108"/>
      <c r="AK146" s="108"/>
      <c r="AL146" s="137"/>
      <c r="AM146" s="137"/>
      <c r="AN146" s="137"/>
      <c r="AO146" s="137"/>
      <c r="AP146" s="137"/>
      <c r="AQ146" s="137"/>
      <c r="AR146" s="137"/>
      <c r="AS146" s="137"/>
      <c r="AT146" s="137"/>
      <c r="AU146" s="137"/>
      <c r="AV146" s="137"/>
    </row>
    <row r="147" spans="35:48" x14ac:dyDescent="0.2">
      <c r="AI147" s="108"/>
      <c r="AJ147" s="108"/>
      <c r="AK147" s="108"/>
      <c r="AL147" s="137"/>
      <c r="AM147" s="137"/>
      <c r="AN147" s="137"/>
      <c r="AO147" s="137"/>
      <c r="AP147" s="137"/>
      <c r="AQ147" s="137"/>
      <c r="AR147" s="137"/>
      <c r="AS147" s="137"/>
      <c r="AT147" s="137"/>
      <c r="AU147" s="137"/>
      <c r="AV147" s="137"/>
    </row>
    <row r="148" spans="35:48" x14ac:dyDescent="0.2">
      <c r="AI148" s="108"/>
      <c r="AJ148" s="108"/>
      <c r="AK148" s="108"/>
      <c r="AL148" s="137"/>
      <c r="AM148" s="137"/>
      <c r="AN148" s="137"/>
      <c r="AO148" s="137"/>
      <c r="AP148" s="137"/>
      <c r="AQ148" s="137"/>
      <c r="AR148" s="137"/>
      <c r="AS148" s="137"/>
      <c r="AT148" s="137"/>
      <c r="AU148" s="137"/>
      <c r="AV148" s="137"/>
    </row>
    <row r="149" spans="35:48" x14ac:dyDescent="0.2">
      <c r="AI149" s="108"/>
      <c r="AJ149" s="108"/>
      <c r="AK149" s="108"/>
      <c r="AL149" s="137"/>
      <c r="AM149" s="137"/>
      <c r="AN149" s="137"/>
      <c r="AO149" s="137"/>
      <c r="AP149" s="137"/>
      <c r="AQ149" s="137"/>
      <c r="AR149" s="137"/>
      <c r="AS149" s="137"/>
      <c r="AT149" s="137"/>
      <c r="AU149" s="137"/>
      <c r="AV149" s="137"/>
    </row>
    <row r="150" spans="35:48" x14ac:dyDescent="0.2">
      <c r="AI150" s="108"/>
      <c r="AJ150" s="108"/>
      <c r="AK150" s="108"/>
      <c r="AL150" s="137"/>
      <c r="AM150" s="137"/>
      <c r="AN150" s="137"/>
      <c r="AO150" s="137"/>
      <c r="AP150" s="137"/>
      <c r="AQ150" s="137"/>
      <c r="AR150" s="137"/>
      <c r="AS150" s="137"/>
      <c r="AT150" s="137"/>
      <c r="AU150" s="137"/>
      <c r="AV150" s="137"/>
    </row>
    <row r="151" spans="35:48" x14ac:dyDescent="0.2">
      <c r="AI151" s="108"/>
      <c r="AJ151" s="108"/>
      <c r="AK151" s="108"/>
      <c r="AL151" s="137"/>
      <c r="AM151" s="137"/>
      <c r="AN151" s="137"/>
      <c r="AO151" s="137"/>
      <c r="AP151" s="137"/>
      <c r="AQ151" s="137"/>
      <c r="AR151" s="137"/>
      <c r="AS151" s="137"/>
      <c r="AT151" s="137"/>
      <c r="AU151" s="137"/>
      <c r="AV151" s="137"/>
    </row>
    <row r="152" spans="35:48" x14ac:dyDescent="0.2">
      <c r="AI152" s="108"/>
      <c r="AJ152" s="108"/>
      <c r="AK152" s="108"/>
      <c r="AL152" s="137"/>
      <c r="AM152" s="137"/>
      <c r="AN152" s="137"/>
      <c r="AO152" s="137"/>
      <c r="AP152" s="137"/>
      <c r="AQ152" s="137"/>
      <c r="AR152" s="137"/>
      <c r="AS152" s="137"/>
      <c r="AT152" s="137"/>
      <c r="AU152" s="137"/>
      <c r="AV152" s="137"/>
    </row>
    <row r="153" spans="35:48" x14ac:dyDescent="0.2">
      <c r="AI153" s="108"/>
      <c r="AJ153" s="108"/>
      <c r="AK153" s="108"/>
      <c r="AL153" s="137"/>
      <c r="AM153" s="137"/>
      <c r="AN153" s="137"/>
      <c r="AO153" s="137"/>
      <c r="AP153" s="137"/>
      <c r="AQ153" s="137"/>
      <c r="AR153" s="137"/>
      <c r="AS153" s="137"/>
      <c r="AT153" s="137"/>
      <c r="AU153" s="137"/>
      <c r="AV153" s="137"/>
    </row>
    <row r="154" spans="35:48" x14ac:dyDescent="0.2">
      <c r="AI154" s="108"/>
      <c r="AJ154" s="108"/>
      <c r="AK154" s="108"/>
      <c r="AL154" s="137"/>
      <c r="AM154" s="137"/>
      <c r="AN154" s="137"/>
      <c r="AO154" s="137"/>
      <c r="AP154" s="137"/>
      <c r="AQ154" s="137"/>
      <c r="AR154" s="137"/>
      <c r="AS154" s="137"/>
      <c r="AT154" s="137"/>
      <c r="AU154" s="137"/>
      <c r="AV154" s="137"/>
    </row>
    <row r="155" spans="35:48" x14ac:dyDescent="0.2">
      <c r="AI155" s="108"/>
      <c r="AJ155" s="108"/>
      <c r="AK155" s="108"/>
      <c r="AL155" s="137"/>
      <c r="AM155" s="137"/>
      <c r="AN155" s="137"/>
      <c r="AO155" s="137"/>
      <c r="AP155" s="137"/>
      <c r="AQ155" s="137"/>
      <c r="AR155" s="137"/>
      <c r="AS155" s="137"/>
      <c r="AT155" s="137"/>
      <c r="AU155" s="137"/>
      <c r="AV155" s="137"/>
    </row>
    <row r="156" spans="35:48" x14ac:dyDescent="0.2">
      <c r="AI156" s="108"/>
      <c r="AJ156" s="108"/>
      <c r="AK156" s="108"/>
      <c r="AL156" s="137"/>
      <c r="AM156" s="137"/>
      <c r="AN156" s="137"/>
      <c r="AO156" s="137"/>
      <c r="AP156" s="137"/>
      <c r="AQ156" s="137"/>
      <c r="AR156" s="137"/>
      <c r="AS156" s="137"/>
      <c r="AT156" s="137"/>
      <c r="AU156" s="137"/>
      <c r="AV156" s="137"/>
    </row>
    <row r="157" spans="35:48" x14ac:dyDescent="0.2">
      <c r="AI157" s="108"/>
      <c r="AJ157" s="108"/>
      <c r="AK157" s="108"/>
      <c r="AL157" s="137"/>
      <c r="AM157" s="137"/>
      <c r="AN157" s="137"/>
      <c r="AO157" s="137"/>
      <c r="AP157" s="137"/>
      <c r="AQ157" s="137"/>
      <c r="AR157" s="137"/>
      <c r="AS157" s="137"/>
      <c r="AT157" s="137"/>
      <c r="AU157" s="137"/>
      <c r="AV157" s="137"/>
    </row>
    <row r="158" spans="35:48" x14ac:dyDescent="0.2">
      <c r="AI158" s="108"/>
      <c r="AJ158" s="108"/>
      <c r="AK158" s="108"/>
      <c r="AL158" s="137"/>
      <c r="AM158" s="137"/>
      <c r="AN158" s="137"/>
      <c r="AO158" s="137"/>
      <c r="AP158" s="137"/>
      <c r="AQ158" s="137"/>
      <c r="AR158" s="137"/>
      <c r="AS158" s="137"/>
      <c r="AT158" s="137"/>
      <c r="AU158" s="137"/>
      <c r="AV158" s="137"/>
    </row>
    <row r="159" spans="35:48" x14ac:dyDescent="0.2">
      <c r="AI159" s="108"/>
      <c r="AJ159" s="108"/>
      <c r="AK159" s="108"/>
      <c r="AL159" s="137"/>
      <c r="AM159" s="137"/>
      <c r="AN159" s="137"/>
      <c r="AO159" s="137"/>
      <c r="AP159" s="137"/>
      <c r="AQ159" s="137"/>
      <c r="AR159" s="137"/>
      <c r="AS159" s="137"/>
      <c r="AT159" s="137"/>
      <c r="AU159" s="137"/>
      <c r="AV159" s="137"/>
    </row>
    <row r="160" spans="35:48" x14ac:dyDescent="0.2">
      <c r="AI160" s="108"/>
      <c r="AJ160" s="108"/>
      <c r="AK160" s="108"/>
      <c r="AL160" s="137"/>
      <c r="AM160" s="137"/>
      <c r="AN160" s="137"/>
      <c r="AO160" s="137"/>
      <c r="AP160" s="137"/>
      <c r="AQ160" s="137"/>
      <c r="AR160" s="137"/>
      <c r="AS160" s="137"/>
      <c r="AT160" s="137"/>
      <c r="AU160" s="137"/>
      <c r="AV160" s="137"/>
    </row>
    <row r="161" spans="35:48" x14ac:dyDescent="0.2">
      <c r="AI161" s="108"/>
      <c r="AJ161" s="108"/>
      <c r="AK161" s="108"/>
      <c r="AL161" s="137"/>
      <c r="AM161" s="137"/>
      <c r="AN161" s="137"/>
      <c r="AO161" s="137"/>
      <c r="AP161" s="137"/>
      <c r="AQ161" s="137"/>
      <c r="AR161" s="137"/>
      <c r="AS161" s="137"/>
      <c r="AT161" s="137"/>
      <c r="AU161" s="137"/>
      <c r="AV161" s="137"/>
    </row>
    <row r="162" spans="35:48" x14ac:dyDescent="0.2">
      <c r="AI162" s="108"/>
      <c r="AJ162" s="108"/>
      <c r="AK162" s="108"/>
      <c r="AL162" s="137"/>
      <c r="AM162" s="137"/>
      <c r="AN162" s="137"/>
      <c r="AO162" s="137"/>
      <c r="AP162" s="137"/>
      <c r="AQ162" s="137"/>
      <c r="AR162" s="137"/>
      <c r="AS162" s="137"/>
      <c r="AT162" s="137"/>
      <c r="AU162" s="137"/>
      <c r="AV162" s="137"/>
    </row>
    <row r="163" spans="35:48" x14ac:dyDescent="0.2">
      <c r="AI163" s="108"/>
      <c r="AJ163" s="108"/>
      <c r="AK163" s="108"/>
      <c r="AL163" s="137"/>
      <c r="AM163" s="137"/>
      <c r="AN163" s="137"/>
      <c r="AO163" s="137"/>
      <c r="AP163" s="137"/>
      <c r="AQ163" s="137"/>
      <c r="AR163" s="137"/>
      <c r="AS163" s="137"/>
      <c r="AT163" s="137"/>
      <c r="AU163" s="137"/>
      <c r="AV163" s="137"/>
    </row>
    <row r="164" spans="35:48" x14ac:dyDescent="0.2">
      <c r="AI164" s="108"/>
      <c r="AJ164" s="108"/>
      <c r="AK164" s="108"/>
      <c r="AL164" s="137"/>
      <c r="AM164" s="137"/>
      <c r="AN164" s="137"/>
      <c r="AO164" s="137"/>
      <c r="AP164" s="137"/>
      <c r="AQ164" s="137"/>
      <c r="AR164" s="137"/>
      <c r="AS164" s="137"/>
      <c r="AT164" s="137"/>
      <c r="AU164" s="137"/>
      <c r="AV164" s="137"/>
    </row>
    <row r="165" spans="35:48" x14ac:dyDescent="0.2">
      <c r="AI165" s="108"/>
      <c r="AJ165" s="108"/>
      <c r="AK165" s="108"/>
      <c r="AL165" s="137"/>
      <c r="AM165" s="137"/>
      <c r="AN165" s="137"/>
      <c r="AO165" s="137"/>
      <c r="AP165" s="137"/>
      <c r="AQ165" s="137"/>
      <c r="AR165" s="137"/>
      <c r="AS165" s="137"/>
      <c r="AT165" s="137"/>
      <c r="AU165" s="137"/>
      <c r="AV165" s="137"/>
    </row>
    <row r="166" spans="35:48" x14ac:dyDescent="0.2">
      <c r="AI166" s="108"/>
      <c r="AJ166" s="108"/>
      <c r="AK166" s="108"/>
      <c r="AL166" s="137"/>
      <c r="AM166" s="137"/>
      <c r="AN166" s="137"/>
      <c r="AO166" s="137"/>
      <c r="AP166" s="137"/>
      <c r="AQ166" s="137"/>
      <c r="AR166" s="137"/>
      <c r="AS166" s="137"/>
      <c r="AT166" s="137"/>
      <c r="AU166" s="137"/>
      <c r="AV166" s="137"/>
    </row>
    <row r="167" spans="35:48" x14ac:dyDescent="0.2">
      <c r="AI167" s="108"/>
      <c r="AJ167" s="108"/>
      <c r="AK167" s="108"/>
      <c r="AL167" s="137"/>
      <c r="AM167" s="137"/>
      <c r="AN167" s="137"/>
      <c r="AO167" s="137"/>
      <c r="AP167" s="137"/>
      <c r="AQ167" s="137"/>
      <c r="AR167" s="137"/>
      <c r="AS167" s="137"/>
      <c r="AT167" s="137"/>
      <c r="AU167" s="137"/>
      <c r="AV167" s="137"/>
    </row>
    <row r="168" spans="35:48" x14ac:dyDescent="0.2">
      <c r="AI168" s="108"/>
      <c r="AJ168" s="108"/>
      <c r="AK168" s="108"/>
      <c r="AL168" s="137"/>
      <c r="AM168" s="137"/>
      <c r="AN168" s="137"/>
      <c r="AO168" s="137"/>
      <c r="AP168" s="137"/>
      <c r="AQ168" s="137"/>
      <c r="AR168" s="137"/>
      <c r="AS168" s="137"/>
      <c r="AT168" s="137"/>
      <c r="AU168" s="137"/>
      <c r="AV168" s="137"/>
    </row>
    <row r="169" spans="35:48" x14ac:dyDescent="0.2">
      <c r="AI169" s="108"/>
      <c r="AJ169" s="108"/>
      <c r="AK169" s="108"/>
      <c r="AL169" s="137"/>
      <c r="AM169" s="137"/>
      <c r="AN169" s="137"/>
      <c r="AO169" s="137"/>
      <c r="AP169" s="137"/>
      <c r="AQ169" s="137"/>
      <c r="AR169" s="137"/>
      <c r="AS169" s="137"/>
      <c r="AT169" s="137"/>
      <c r="AU169" s="137"/>
      <c r="AV169" s="137"/>
    </row>
    <row r="170" spans="35:48" x14ac:dyDescent="0.2">
      <c r="AI170" s="108"/>
      <c r="AJ170" s="108"/>
      <c r="AK170" s="108"/>
      <c r="AL170" s="137"/>
      <c r="AM170" s="137"/>
      <c r="AN170" s="137"/>
      <c r="AO170" s="137"/>
      <c r="AP170" s="137"/>
      <c r="AQ170" s="137"/>
      <c r="AR170" s="137"/>
      <c r="AS170" s="137"/>
      <c r="AT170" s="137"/>
      <c r="AU170" s="137"/>
      <c r="AV170" s="137"/>
    </row>
    <row r="171" spans="35:48" x14ac:dyDescent="0.2">
      <c r="AI171" s="108"/>
      <c r="AJ171" s="108"/>
      <c r="AK171" s="108"/>
      <c r="AL171" s="137"/>
      <c r="AM171" s="137"/>
      <c r="AN171" s="137"/>
      <c r="AO171" s="137"/>
      <c r="AP171" s="137"/>
      <c r="AQ171" s="137"/>
      <c r="AR171" s="137"/>
      <c r="AS171" s="137"/>
      <c r="AT171" s="137"/>
      <c r="AU171" s="137"/>
      <c r="AV171" s="137"/>
    </row>
    <row r="172" spans="35:48" x14ac:dyDescent="0.2">
      <c r="AI172" s="108"/>
      <c r="AJ172" s="108"/>
      <c r="AK172" s="108"/>
      <c r="AL172" s="137"/>
      <c r="AM172" s="137"/>
      <c r="AN172" s="137"/>
      <c r="AO172" s="137"/>
      <c r="AP172" s="137"/>
      <c r="AQ172" s="137"/>
      <c r="AR172" s="137"/>
      <c r="AS172" s="137"/>
      <c r="AT172" s="137"/>
      <c r="AU172" s="137"/>
      <c r="AV172" s="137"/>
    </row>
    <row r="173" spans="35:48" x14ac:dyDescent="0.2">
      <c r="AI173" s="108"/>
      <c r="AJ173" s="108"/>
      <c r="AK173" s="108"/>
      <c r="AL173" s="137"/>
      <c r="AM173" s="137"/>
      <c r="AN173" s="137"/>
      <c r="AO173" s="137"/>
      <c r="AP173" s="137"/>
      <c r="AQ173" s="137"/>
      <c r="AR173" s="137"/>
      <c r="AS173" s="137"/>
      <c r="AT173" s="137"/>
      <c r="AU173" s="137"/>
      <c r="AV173" s="137"/>
    </row>
    <row r="174" spans="35:48" x14ac:dyDescent="0.2">
      <c r="AI174" s="108"/>
      <c r="AJ174" s="108"/>
      <c r="AK174" s="108"/>
      <c r="AL174" s="137"/>
      <c r="AM174" s="137"/>
      <c r="AN174" s="137"/>
      <c r="AO174" s="137"/>
      <c r="AP174" s="137"/>
      <c r="AQ174" s="137"/>
      <c r="AR174" s="137"/>
      <c r="AS174" s="137"/>
      <c r="AT174" s="137"/>
      <c r="AU174" s="137"/>
      <c r="AV174" s="137"/>
    </row>
    <row r="175" spans="35:48" x14ac:dyDescent="0.2">
      <c r="AI175" s="108"/>
      <c r="AJ175" s="108"/>
      <c r="AK175" s="108"/>
      <c r="AL175" s="137"/>
      <c r="AM175" s="137"/>
      <c r="AN175" s="137"/>
      <c r="AO175" s="137"/>
      <c r="AP175" s="137"/>
      <c r="AQ175" s="137"/>
      <c r="AR175" s="137"/>
      <c r="AS175" s="137"/>
      <c r="AT175" s="137"/>
      <c r="AU175" s="137"/>
      <c r="AV175" s="137"/>
    </row>
    <row r="176" spans="35:48" x14ac:dyDescent="0.2">
      <c r="AI176" s="108"/>
      <c r="AJ176" s="108"/>
      <c r="AK176" s="108"/>
      <c r="AL176" s="137"/>
      <c r="AM176" s="137"/>
      <c r="AN176" s="137"/>
      <c r="AO176" s="137"/>
      <c r="AP176" s="137"/>
      <c r="AQ176" s="137"/>
      <c r="AR176" s="137"/>
      <c r="AS176" s="137"/>
      <c r="AT176" s="137"/>
      <c r="AU176" s="137"/>
      <c r="AV176" s="137"/>
    </row>
    <row r="177" spans="35:48" x14ac:dyDescent="0.2">
      <c r="AI177" s="108"/>
      <c r="AJ177" s="108"/>
      <c r="AK177" s="108"/>
      <c r="AL177" s="137"/>
      <c r="AM177" s="137"/>
      <c r="AN177" s="137"/>
      <c r="AO177" s="137"/>
      <c r="AP177" s="137"/>
      <c r="AQ177" s="137"/>
      <c r="AR177" s="137"/>
      <c r="AS177" s="137"/>
      <c r="AT177" s="137"/>
      <c r="AU177" s="137"/>
      <c r="AV177" s="137"/>
    </row>
    <row r="178" spans="35:48" x14ac:dyDescent="0.2">
      <c r="AI178" s="108"/>
      <c r="AJ178" s="108"/>
      <c r="AK178" s="108"/>
      <c r="AL178" s="137"/>
      <c r="AM178" s="137"/>
      <c r="AN178" s="137"/>
      <c r="AO178" s="137"/>
      <c r="AP178" s="137"/>
      <c r="AQ178" s="137"/>
      <c r="AR178" s="137"/>
      <c r="AS178" s="137"/>
      <c r="AT178" s="137"/>
      <c r="AU178" s="137"/>
      <c r="AV178" s="137"/>
    </row>
    <row r="179" spans="35:48" x14ac:dyDescent="0.2">
      <c r="AI179" s="108"/>
      <c r="AJ179" s="108"/>
      <c r="AK179" s="108"/>
      <c r="AL179" s="137"/>
      <c r="AM179" s="137"/>
      <c r="AN179" s="137"/>
      <c r="AO179" s="137"/>
      <c r="AP179" s="137"/>
      <c r="AQ179" s="137"/>
      <c r="AR179" s="137"/>
      <c r="AS179" s="137"/>
      <c r="AT179" s="137"/>
      <c r="AU179" s="137"/>
      <c r="AV179" s="137"/>
    </row>
    <row r="180" spans="35:48" x14ac:dyDescent="0.2">
      <c r="AI180" s="108"/>
      <c r="AJ180" s="108"/>
      <c r="AK180" s="108"/>
      <c r="AL180" s="137"/>
      <c r="AM180" s="137"/>
      <c r="AN180" s="137"/>
      <c r="AO180" s="137"/>
      <c r="AP180" s="137"/>
      <c r="AQ180" s="137"/>
      <c r="AR180" s="137"/>
      <c r="AS180" s="137"/>
      <c r="AT180" s="137"/>
      <c r="AU180" s="137"/>
      <c r="AV180" s="137"/>
    </row>
    <row r="181" spans="35:48" x14ac:dyDescent="0.2">
      <c r="AI181" s="108"/>
      <c r="AJ181" s="108"/>
      <c r="AK181" s="108"/>
      <c r="AL181" s="137"/>
      <c r="AM181" s="137"/>
      <c r="AN181" s="137"/>
      <c r="AO181" s="137"/>
      <c r="AP181" s="137"/>
      <c r="AQ181" s="137"/>
      <c r="AR181" s="137"/>
      <c r="AS181" s="137"/>
      <c r="AT181" s="137"/>
      <c r="AU181" s="137"/>
      <c r="AV181" s="137"/>
    </row>
    <row r="182" spans="35:48" x14ac:dyDescent="0.2">
      <c r="AI182" s="108"/>
      <c r="AJ182" s="108"/>
      <c r="AK182" s="108"/>
      <c r="AL182" s="137"/>
      <c r="AM182" s="137"/>
      <c r="AN182" s="137"/>
      <c r="AO182" s="137"/>
      <c r="AP182" s="137"/>
      <c r="AQ182" s="137"/>
      <c r="AR182" s="137"/>
      <c r="AS182" s="137"/>
      <c r="AT182" s="137"/>
      <c r="AU182" s="137"/>
      <c r="AV182" s="137"/>
    </row>
    <row r="183" spans="35:48" x14ac:dyDescent="0.2">
      <c r="AI183" s="108"/>
      <c r="AJ183" s="108"/>
      <c r="AK183" s="108"/>
      <c r="AL183" s="137"/>
      <c r="AM183" s="137"/>
      <c r="AN183" s="137"/>
      <c r="AO183" s="137"/>
      <c r="AP183" s="137"/>
      <c r="AQ183" s="137"/>
      <c r="AR183" s="137"/>
      <c r="AS183" s="137"/>
      <c r="AT183" s="137"/>
      <c r="AU183" s="137"/>
      <c r="AV183" s="137"/>
    </row>
    <row r="184" spans="35:48" x14ac:dyDescent="0.2">
      <c r="AI184" s="108"/>
      <c r="AJ184" s="108"/>
      <c r="AK184" s="108"/>
      <c r="AL184" s="137"/>
      <c r="AM184" s="137"/>
      <c r="AN184" s="137"/>
      <c r="AO184" s="137"/>
      <c r="AP184" s="137"/>
      <c r="AQ184" s="137"/>
      <c r="AR184" s="137"/>
      <c r="AS184" s="137"/>
      <c r="AT184" s="137"/>
      <c r="AU184" s="137"/>
      <c r="AV184" s="137"/>
    </row>
    <row r="185" spans="35:48" x14ac:dyDescent="0.2">
      <c r="AI185" s="108"/>
      <c r="AJ185" s="108"/>
      <c r="AK185" s="108"/>
      <c r="AL185" s="137"/>
      <c r="AM185" s="137"/>
      <c r="AN185" s="137"/>
      <c r="AO185" s="137"/>
      <c r="AP185" s="137"/>
      <c r="AQ185" s="137"/>
      <c r="AR185" s="137"/>
      <c r="AS185" s="137"/>
      <c r="AT185" s="137"/>
      <c r="AU185" s="137"/>
      <c r="AV185" s="137"/>
    </row>
    <row r="186" spans="35:48" x14ac:dyDescent="0.2">
      <c r="AI186" s="108"/>
      <c r="AJ186" s="108"/>
      <c r="AK186" s="108"/>
      <c r="AL186" s="137"/>
      <c r="AM186" s="137"/>
      <c r="AN186" s="137"/>
      <c r="AO186" s="137"/>
      <c r="AP186" s="137"/>
      <c r="AQ186" s="137"/>
      <c r="AR186" s="137"/>
      <c r="AS186" s="137"/>
      <c r="AT186" s="137"/>
      <c r="AU186" s="137"/>
      <c r="AV186" s="137"/>
    </row>
    <row r="187" spans="35:48" x14ac:dyDescent="0.2">
      <c r="AI187" s="108"/>
      <c r="AJ187" s="108"/>
      <c r="AK187" s="108"/>
      <c r="AL187" s="137"/>
      <c r="AM187" s="137"/>
      <c r="AN187" s="137"/>
      <c r="AO187" s="137"/>
      <c r="AP187" s="137"/>
      <c r="AQ187" s="137"/>
      <c r="AR187" s="137"/>
      <c r="AS187" s="137"/>
      <c r="AT187" s="137"/>
      <c r="AU187" s="137"/>
      <c r="AV187" s="137"/>
    </row>
    <row r="188" spans="35:48" x14ac:dyDescent="0.2">
      <c r="AI188" s="108"/>
      <c r="AJ188" s="108"/>
      <c r="AK188" s="108"/>
      <c r="AL188" s="137"/>
      <c r="AM188" s="137"/>
      <c r="AN188" s="137"/>
      <c r="AO188" s="137"/>
      <c r="AP188" s="137"/>
      <c r="AQ188" s="137"/>
      <c r="AR188" s="137"/>
      <c r="AS188" s="137"/>
      <c r="AT188" s="137"/>
      <c r="AU188" s="137"/>
      <c r="AV188" s="137"/>
    </row>
    <row r="189" spans="35:48" x14ac:dyDescent="0.2">
      <c r="AI189" s="108"/>
      <c r="AJ189" s="108"/>
      <c r="AK189" s="108"/>
      <c r="AL189" s="137"/>
      <c r="AM189" s="137"/>
      <c r="AN189" s="137"/>
      <c r="AO189" s="137"/>
      <c r="AP189" s="137"/>
      <c r="AQ189" s="137"/>
      <c r="AR189" s="137"/>
      <c r="AS189" s="137"/>
      <c r="AT189" s="137"/>
      <c r="AU189" s="137"/>
      <c r="AV189" s="137"/>
    </row>
    <row r="190" spans="35:48" x14ac:dyDescent="0.2">
      <c r="AI190" s="108"/>
      <c r="AJ190" s="108"/>
      <c r="AK190" s="108"/>
      <c r="AL190" s="137"/>
      <c r="AM190" s="137"/>
      <c r="AN190" s="137"/>
      <c r="AO190" s="137"/>
      <c r="AP190" s="137"/>
      <c r="AQ190" s="137"/>
      <c r="AR190" s="137"/>
      <c r="AS190" s="137"/>
      <c r="AT190" s="137"/>
      <c r="AU190" s="137"/>
      <c r="AV190" s="137"/>
    </row>
    <row r="191" spans="35:48" x14ac:dyDescent="0.2">
      <c r="AI191" s="108"/>
      <c r="AJ191" s="108"/>
      <c r="AK191" s="108"/>
      <c r="AL191" s="137"/>
      <c r="AM191" s="137"/>
      <c r="AN191" s="137"/>
      <c r="AO191" s="137"/>
      <c r="AP191" s="137"/>
      <c r="AQ191" s="137"/>
      <c r="AR191" s="137"/>
      <c r="AS191" s="137"/>
      <c r="AT191" s="137"/>
      <c r="AU191" s="137"/>
      <c r="AV191" s="137"/>
    </row>
    <row r="192" spans="35:48" x14ac:dyDescent="0.2">
      <c r="AI192" s="108"/>
      <c r="AJ192" s="108"/>
      <c r="AK192" s="108"/>
      <c r="AL192" s="137"/>
      <c r="AM192" s="137"/>
      <c r="AN192" s="137"/>
      <c r="AO192" s="137"/>
      <c r="AP192" s="137"/>
      <c r="AQ192" s="137"/>
      <c r="AR192" s="137"/>
      <c r="AS192" s="137"/>
      <c r="AT192" s="137"/>
      <c r="AU192" s="137"/>
      <c r="AV192" s="137"/>
    </row>
    <row r="193" spans="35:48" x14ac:dyDescent="0.2">
      <c r="AI193" s="108"/>
      <c r="AJ193" s="108"/>
      <c r="AK193" s="108"/>
      <c r="AL193" s="137"/>
      <c r="AM193" s="137"/>
      <c r="AN193" s="137"/>
      <c r="AO193" s="137"/>
      <c r="AP193" s="137"/>
      <c r="AQ193" s="137"/>
      <c r="AR193" s="137"/>
      <c r="AS193" s="137"/>
      <c r="AT193" s="137"/>
      <c r="AU193" s="137"/>
      <c r="AV193" s="137"/>
    </row>
    <row r="194" spans="35:48" x14ac:dyDescent="0.2">
      <c r="AI194" s="108"/>
      <c r="AJ194" s="108"/>
      <c r="AK194" s="108"/>
      <c r="AL194" s="137"/>
      <c r="AM194" s="137"/>
      <c r="AN194" s="137"/>
      <c r="AO194" s="137"/>
      <c r="AP194" s="137"/>
      <c r="AQ194" s="137"/>
      <c r="AR194" s="137"/>
      <c r="AS194" s="137"/>
      <c r="AT194" s="137"/>
      <c r="AU194" s="137"/>
      <c r="AV194" s="137"/>
    </row>
    <row r="195" spans="35:48" x14ac:dyDescent="0.2">
      <c r="AI195" s="108"/>
      <c r="AJ195" s="108"/>
      <c r="AK195" s="108"/>
      <c r="AL195" s="137"/>
      <c r="AM195" s="137"/>
      <c r="AN195" s="137"/>
      <c r="AO195" s="137"/>
      <c r="AP195" s="137"/>
      <c r="AQ195" s="137"/>
      <c r="AR195" s="137"/>
      <c r="AS195" s="137"/>
      <c r="AT195" s="137"/>
      <c r="AU195" s="137"/>
      <c r="AV195" s="137"/>
    </row>
    <row r="196" spans="35:48" x14ac:dyDescent="0.2">
      <c r="AI196" s="108"/>
      <c r="AJ196" s="108"/>
      <c r="AK196" s="108"/>
      <c r="AL196" s="137"/>
      <c r="AM196" s="137"/>
      <c r="AN196" s="137"/>
      <c r="AO196" s="137"/>
      <c r="AP196" s="137"/>
      <c r="AQ196" s="137"/>
      <c r="AR196" s="137"/>
      <c r="AS196" s="137"/>
      <c r="AT196" s="137"/>
      <c r="AU196" s="137"/>
      <c r="AV196" s="137"/>
    </row>
    <row r="197" spans="35:48" x14ac:dyDescent="0.2">
      <c r="AI197" s="108"/>
      <c r="AJ197" s="108"/>
      <c r="AK197" s="108"/>
      <c r="AL197" s="137"/>
      <c r="AM197" s="137"/>
      <c r="AN197" s="137"/>
      <c r="AO197" s="137"/>
      <c r="AP197" s="137"/>
      <c r="AQ197" s="137"/>
      <c r="AR197" s="137"/>
      <c r="AS197" s="137"/>
      <c r="AT197" s="137"/>
      <c r="AU197" s="137"/>
      <c r="AV197" s="137"/>
    </row>
    <row r="198" spans="35:48" x14ac:dyDescent="0.2">
      <c r="AI198" s="108"/>
      <c r="AJ198" s="108"/>
      <c r="AK198" s="108"/>
      <c r="AL198" s="137"/>
      <c r="AM198" s="137"/>
      <c r="AN198" s="137"/>
      <c r="AO198" s="137"/>
      <c r="AP198" s="137"/>
      <c r="AQ198" s="137"/>
      <c r="AR198" s="137"/>
      <c r="AS198" s="137"/>
      <c r="AT198" s="137"/>
      <c r="AU198" s="137"/>
      <c r="AV198" s="137"/>
    </row>
    <row r="199" spans="35:48" x14ac:dyDescent="0.2">
      <c r="AI199" s="108"/>
      <c r="AJ199" s="108"/>
      <c r="AK199" s="108"/>
      <c r="AL199" s="137"/>
      <c r="AM199" s="137"/>
      <c r="AN199" s="137"/>
      <c r="AO199" s="137"/>
      <c r="AP199" s="137"/>
      <c r="AQ199" s="137"/>
      <c r="AR199" s="137"/>
      <c r="AS199" s="137"/>
      <c r="AT199" s="137"/>
      <c r="AU199" s="137"/>
      <c r="AV199" s="137"/>
    </row>
    <row r="200" spans="35:48" x14ac:dyDescent="0.2">
      <c r="AI200" s="108"/>
      <c r="AJ200" s="108"/>
      <c r="AK200" s="108"/>
      <c r="AL200" s="137"/>
      <c r="AM200" s="137"/>
      <c r="AN200" s="137"/>
      <c r="AO200" s="137"/>
      <c r="AP200" s="137"/>
      <c r="AQ200" s="137"/>
      <c r="AR200" s="137"/>
      <c r="AS200" s="137"/>
      <c r="AT200" s="137"/>
      <c r="AU200" s="137"/>
      <c r="AV200" s="137"/>
    </row>
    <row r="201" spans="35:48" x14ac:dyDescent="0.2">
      <c r="AI201" s="108"/>
      <c r="AJ201" s="108"/>
      <c r="AK201" s="108"/>
      <c r="AL201" s="137"/>
      <c r="AM201" s="137"/>
      <c r="AN201" s="137"/>
      <c r="AO201" s="137"/>
      <c r="AP201" s="137"/>
      <c r="AQ201" s="137"/>
      <c r="AR201" s="137"/>
      <c r="AS201" s="137"/>
      <c r="AT201" s="137"/>
      <c r="AU201" s="137"/>
      <c r="AV201" s="137"/>
    </row>
    <row r="202" spans="35:48" x14ac:dyDescent="0.2">
      <c r="AI202" s="108"/>
      <c r="AJ202" s="108"/>
      <c r="AK202" s="108"/>
      <c r="AL202" s="137"/>
      <c r="AM202" s="137"/>
      <c r="AN202" s="137"/>
      <c r="AO202" s="137"/>
      <c r="AP202" s="137"/>
      <c r="AQ202" s="137"/>
      <c r="AR202" s="137"/>
      <c r="AS202" s="137"/>
      <c r="AT202" s="137"/>
      <c r="AU202" s="137"/>
      <c r="AV202" s="137"/>
    </row>
    <row r="203" spans="35:48" x14ac:dyDescent="0.2">
      <c r="AI203" s="108"/>
      <c r="AJ203" s="108"/>
      <c r="AK203" s="108"/>
      <c r="AL203" s="137"/>
      <c r="AM203" s="137"/>
      <c r="AN203" s="137"/>
      <c r="AO203" s="137"/>
      <c r="AP203" s="137"/>
      <c r="AQ203" s="137"/>
      <c r="AR203" s="137"/>
      <c r="AS203" s="137"/>
      <c r="AT203" s="137"/>
      <c r="AU203" s="137"/>
      <c r="AV203" s="137"/>
    </row>
    <row r="204" spans="35:48" x14ac:dyDescent="0.2">
      <c r="AI204" s="108"/>
      <c r="AJ204" s="108"/>
      <c r="AK204" s="108"/>
      <c r="AL204" s="137"/>
      <c r="AM204" s="137"/>
      <c r="AN204" s="137"/>
      <c r="AO204" s="137"/>
      <c r="AP204" s="137"/>
      <c r="AQ204" s="137"/>
      <c r="AR204" s="137"/>
      <c r="AS204" s="137"/>
      <c r="AT204" s="137"/>
      <c r="AU204" s="137"/>
      <c r="AV204" s="137"/>
    </row>
    <row r="205" spans="35:48" x14ac:dyDescent="0.2">
      <c r="AI205" s="108"/>
      <c r="AJ205" s="108"/>
      <c r="AK205" s="108"/>
      <c r="AL205" s="137"/>
      <c r="AM205" s="137"/>
      <c r="AN205" s="137"/>
      <c r="AO205" s="137"/>
      <c r="AP205" s="137"/>
      <c r="AQ205" s="137"/>
      <c r="AR205" s="137"/>
      <c r="AS205" s="137"/>
      <c r="AT205" s="137"/>
      <c r="AU205" s="137"/>
      <c r="AV205" s="137"/>
    </row>
    <row r="206" spans="35:48" x14ac:dyDescent="0.2">
      <c r="AI206" s="108"/>
      <c r="AJ206" s="108"/>
      <c r="AK206" s="108"/>
      <c r="AL206" s="137"/>
      <c r="AM206" s="137"/>
      <c r="AN206" s="137"/>
      <c r="AO206" s="137"/>
      <c r="AP206" s="137"/>
      <c r="AQ206" s="137"/>
      <c r="AR206" s="137"/>
      <c r="AS206" s="137"/>
      <c r="AT206" s="137"/>
      <c r="AU206" s="137"/>
      <c r="AV206" s="137"/>
    </row>
    <row r="207" spans="35:48" x14ac:dyDescent="0.2">
      <c r="AI207" s="108"/>
      <c r="AJ207" s="108"/>
      <c r="AK207" s="108"/>
      <c r="AL207" s="137"/>
      <c r="AM207" s="137"/>
      <c r="AN207" s="137"/>
      <c r="AO207" s="137"/>
      <c r="AP207" s="137"/>
      <c r="AQ207" s="137"/>
      <c r="AR207" s="137"/>
      <c r="AS207" s="137"/>
      <c r="AT207" s="137"/>
      <c r="AU207" s="137"/>
      <c r="AV207" s="137"/>
    </row>
    <row r="208" spans="35:48" x14ac:dyDescent="0.2">
      <c r="AI208" s="108"/>
      <c r="AJ208" s="108"/>
      <c r="AK208" s="108"/>
      <c r="AL208" s="137"/>
      <c r="AM208" s="137"/>
      <c r="AN208" s="137"/>
      <c r="AO208" s="137"/>
      <c r="AP208" s="137"/>
      <c r="AQ208" s="137"/>
      <c r="AR208" s="137"/>
      <c r="AS208" s="137"/>
      <c r="AT208" s="137"/>
      <c r="AU208" s="137"/>
      <c r="AV208" s="137"/>
    </row>
    <row r="209" spans="35:48" x14ac:dyDescent="0.2">
      <c r="AI209" s="108"/>
      <c r="AJ209" s="108"/>
      <c r="AK209" s="108"/>
      <c r="AL209" s="137"/>
      <c r="AM209" s="137"/>
      <c r="AN209" s="137"/>
      <c r="AO209" s="137"/>
      <c r="AP209" s="137"/>
      <c r="AQ209" s="137"/>
      <c r="AR209" s="137"/>
      <c r="AS209" s="137"/>
      <c r="AT209" s="137"/>
      <c r="AU209" s="137"/>
      <c r="AV209" s="137"/>
    </row>
    <row r="210" spans="35:48" x14ac:dyDescent="0.2">
      <c r="AI210" s="108"/>
      <c r="AJ210" s="108"/>
      <c r="AK210" s="108"/>
      <c r="AL210" s="137"/>
      <c r="AM210" s="137"/>
      <c r="AN210" s="137"/>
      <c r="AO210" s="137"/>
      <c r="AP210" s="137"/>
      <c r="AQ210" s="137"/>
      <c r="AR210" s="137"/>
      <c r="AS210" s="137"/>
      <c r="AT210" s="137"/>
      <c r="AU210" s="137"/>
      <c r="AV210" s="137"/>
    </row>
    <row r="211" spans="35:48" x14ac:dyDescent="0.2">
      <c r="AI211" s="108"/>
      <c r="AJ211" s="108"/>
      <c r="AK211" s="108"/>
      <c r="AL211" s="137"/>
      <c r="AM211" s="137"/>
      <c r="AN211" s="137"/>
      <c r="AO211" s="137"/>
      <c r="AP211" s="137"/>
      <c r="AQ211" s="137"/>
      <c r="AR211" s="137"/>
      <c r="AS211" s="137"/>
      <c r="AT211" s="137"/>
      <c r="AU211" s="137"/>
      <c r="AV211" s="137"/>
    </row>
    <row r="212" spans="35:48" x14ac:dyDescent="0.2">
      <c r="AI212" s="108"/>
      <c r="AJ212" s="108"/>
      <c r="AK212" s="108"/>
      <c r="AL212" s="137"/>
      <c r="AM212" s="137"/>
      <c r="AN212" s="137"/>
      <c r="AO212" s="137"/>
      <c r="AP212" s="137"/>
      <c r="AQ212" s="137"/>
      <c r="AR212" s="137"/>
      <c r="AS212" s="137"/>
      <c r="AT212" s="137"/>
      <c r="AU212" s="137"/>
      <c r="AV212" s="137"/>
    </row>
    <row r="213" spans="35:48" x14ac:dyDescent="0.2">
      <c r="AI213" s="108"/>
      <c r="AJ213" s="108"/>
      <c r="AK213" s="108"/>
      <c r="AL213" s="137"/>
      <c r="AM213" s="137"/>
      <c r="AN213" s="137"/>
      <c r="AO213" s="137"/>
      <c r="AP213" s="137"/>
      <c r="AQ213" s="137"/>
      <c r="AR213" s="137"/>
      <c r="AS213" s="137"/>
      <c r="AT213" s="137"/>
      <c r="AU213" s="137"/>
      <c r="AV213" s="137"/>
    </row>
    <row r="214" spans="35:48" x14ac:dyDescent="0.2">
      <c r="AI214" s="108"/>
      <c r="AJ214" s="108"/>
      <c r="AK214" s="108"/>
      <c r="AL214" s="137"/>
      <c r="AM214" s="137"/>
      <c r="AN214" s="137"/>
      <c r="AO214" s="137"/>
      <c r="AP214" s="137"/>
      <c r="AQ214" s="137"/>
      <c r="AR214" s="137"/>
      <c r="AS214" s="137"/>
      <c r="AT214" s="137"/>
      <c r="AU214" s="137"/>
      <c r="AV214" s="137"/>
    </row>
    <row r="215" spans="35:48" x14ac:dyDescent="0.2">
      <c r="AI215" s="108"/>
      <c r="AJ215" s="108"/>
      <c r="AK215" s="108"/>
      <c r="AL215" s="137"/>
      <c r="AM215" s="137"/>
      <c r="AN215" s="137"/>
      <c r="AO215" s="137"/>
      <c r="AP215" s="137"/>
      <c r="AQ215" s="137"/>
      <c r="AR215" s="137"/>
      <c r="AS215" s="137"/>
      <c r="AT215" s="137"/>
      <c r="AU215" s="137"/>
      <c r="AV215" s="137"/>
    </row>
    <row r="216" spans="35:48" x14ac:dyDescent="0.2">
      <c r="AI216" s="108"/>
      <c r="AJ216" s="108"/>
      <c r="AK216" s="108"/>
      <c r="AL216" s="137"/>
      <c r="AM216" s="137"/>
      <c r="AN216" s="137"/>
      <c r="AO216" s="137"/>
      <c r="AP216" s="137"/>
      <c r="AQ216" s="137"/>
      <c r="AR216" s="137"/>
      <c r="AS216" s="137"/>
      <c r="AT216" s="137"/>
      <c r="AU216" s="137"/>
      <c r="AV216" s="137"/>
    </row>
    <row r="217" spans="35:48" x14ac:dyDescent="0.2">
      <c r="AI217" s="108"/>
      <c r="AJ217" s="108"/>
      <c r="AK217" s="108"/>
      <c r="AL217" s="137"/>
      <c r="AM217" s="137"/>
      <c r="AN217" s="137"/>
      <c r="AO217" s="137"/>
      <c r="AP217" s="137"/>
      <c r="AQ217" s="137"/>
      <c r="AR217" s="137"/>
      <c r="AS217" s="137"/>
      <c r="AT217" s="137"/>
      <c r="AU217" s="137"/>
      <c r="AV217" s="137"/>
    </row>
    <row r="218" spans="35:48" x14ac:dyDescent="0.2">
      <c r="AI218" s="108"/>
      <c r="AJ218" s="108"/>
      <c r="AK218" s="108"/>
      <c r="AL218" s="137"/>
      <c r="AM218" s="137"/>
      <c r="AN218" s="137"/>
      <c r="AO218" s="137"/>
      <c r="AP218" s="137"/>
      <c r="AQ218" s="137"/>
      <c r="AR218" s="137"/>
      <c r="AS218" s="137"/>
      <c r="AT218" s="137"/>
      <c r="AU218" s="137"/>
      <c r="AV218" s="137"/>
    </row>
    <row r="219" spans="35:48" x14ac:dyDescent="0.2">
      <c r="AI219" s="108"/>
      <c r="AJ219" s="108"/>
      <c r="AK219" s="108"/>
      <c r="AL219" s="137"/>
      <c r="AM219" s="137"/>
      <c r="AN219" s="137"/>
      <c r="AO219" s="137"/>
      <c r="AP219" s="137"/>
      <c r="AQ219" s="137"/>
      <c r="AR219" s="137"/>
      <c r="AS219" s="137"/>
      <c r="AT219" s="137"/>
      <c r="AU219" s="137"/>
      <c r="AV219" s="137"/>
    </row>
    <row r="220" spans="35:48" x14ac:dyDescent="0.2">
      <c r="AI220" s="108"/>
      <c r="AJ220" s="108"/>
      <c r="AK220" s="108"/>
      <c r="AL220" s="137"/>
      <c r="AM220" s="137"/>
      <c r="AN220" s="137"/>
      <c r="AO220" s="137"/>
      <c r="AP220" s="137"/>
      <c r="AQ220" s="137"/>
      <c r="AR220" s="137"/>
      <c r="AS220" s="137"/>
      <c r="AT220" s="137"/>
      <c r="AU220" s="137"/>
      <c r="AV220" s="137"/>
    </row>
    <row r="221" spans="35:48" x14ac:dyDescent="0.2">
      <c r="AI221" s="108"/>
      <c r="AJ221" s="108"/>
      <c r="AK221" s="108"/>
      <c r="AL221" s="137"/>
      <c r="AM221" s="137"/>
      <c r="AN221" s="137"/>
      <c r="AO221" s="137"/>
      <c r="AP221" s="137"/>
      <c r="AQ221" s="137"/>
      <c r="AR221" s="137"/>
      <c r="AS221" s="137"/>
      <c r="AT221" s="137"/>
      <c r="AU221" s="137"/>
      <c r="AV221" s="137"/>
    </row>
    <row r="222" spans="35:48" x14ac:dyDescent="0.2">
      <c r="AI222" s="108"/>
      <c r="AJ222" s="108"/>
      <c r="AK222" s="108"/>
      <c r="AL222" s="137"/>
      <c r="AM222" s="137"/>
      <c r="AN222" s="137"/>
      <c r="AO222" s="137"/>
      <c r="AP222" s="137"/>
      <c r="AQ222" s="137"/>
      <c r="AR222" s="137"/>
      <c r="AS222" s="137"/>
      <c r="AT222" s="137"/>
      <c r="AU222" s="137"/>
      <c r="AV222" s="137"/>
    </row>
    <row r="223" spans="35:48" x14ac:dyDescent="0.2">
      <c r="AI223" s="108"/>
      <c r="AJ223" s="108"/>
      <c r="AK223" s="108"/>
      <c r="AL223" s="137"/>
      <c r="AM223" s="137"/>
      <c r="AN223" s="137"/>
      <c r="AO223" s="137"/>
      <c r="AP223" s="137"/>
      <c r="AQ223" s="137"/>
      <c r="AR223" s="137"/>
      <c r="AS223" s="137"/>
      <c r="AT223" s="137"/>
      <c r="AU223" s="137"/>
      <c r="AV223" s="137"/>
    </row>
    <row r="224" spans="35:48" x14ac:dyDescent="0.2">
      <c r="AI224" s="108"/>
      <c r="AJ224" s="108"/>
      <c r="AK224" s="108"/>
      <c r="AL224" s="137"/>
      <c r="AM224" s="137"/>
      <c r="AN224" s="137"/>
      <c r="AO224" s="137"/>
      <c r="AP224" s="137"/>
      <c r="AQ224" s="137"/>
      <c r="AR224" s="137"/>
      <c r="AS224" s="137"/>
      <c r="AT224" s="137"/>
      <c r="AU224" s="137"/>
      <c r="AV224" s="137"/>
    </row>
    <row r="225" spans="35:48" x14ac:dyDescent="0.2">
      <c r="AI225" s="108"/>
      <c r="AJ225" s="108"/>
      <c r="AK225" s="108"/>
      <c r="AL225" s="137"/>
      <c r="AM225" s="137"/>
      <c r="AN225" s="137"/>
      <c r="AO225" s="137"/>
      <c r="AP225" s="137"/>
      <c r="AQ225" s="137"/>
      <c r="AR225" s="137"/>
      <c r="AS225" s="137"/>
      <c r="AT225" s="137"/>
      <c r="AU225" s="137"/>
      <c r="AV225" s="137"/>
    </row>
    <row r="226" spans="35:48" x14ac:dyDescent="0.2">
      <c r="AI226" s="108"/>
      <c r="AJ226" s="108"/>
      <c r="AK226" s="108"/>
      <c r="AL226" s="137"/>
      <c r="AM226" s="137"/>
      <c r="AN226" s="137"/>
      <c r="AO226" s="137"/>
      <c r="AP226" s="137"/>
      <c r="AQ226" s="137"/>
      <c r="AR226" s="137"/>
      <c r="AS226" s="137"/>
      <c r="AT226" s="137"/>
      <c r="AU226" s="137"/>
      <c r="AV226" s="137"/>
    </row>
    <row r="227" spans="35:48" x14ac:dyDescent="0.2">
      <c r="AI227" s="108"/>
      <c r="AJ227" s="108"/>
      <c r="AK227" s="108"/>
      <c r="AL227" s="137"/>
      <c r="AM227" s="137"/>
      <c r="AN227" s="137"/>
      <c r="AO227" s="137"/>
      <c r="AP227" s="137"/>
      <c r="AQ227" s="137"/>
      <c r="AR227" s="137"/>
      <c r="AS227" s="137"/>
      <c r="AT227" s="137"/>
      <c r="AU227" s="137"/>
      <c r="AV227" s="137"/>
    </row>
    <row r="228" spans="35:48" x14ac:dyDescent="0.2">
      <c r="AI228" s="108"/>
      <c r="AJ228" s="108"/>
      <c r="AK228" s="108"/>
      <c r="AL228" s="137"/>
      <c r="AM228" s="137"/>
      <c r="AN228" s="137"/>
      <c r="AO228" s="137"/>
      <c r="AP228" s="137"/>
      <c r="AQ228" s="137"/>
      <c r="AR228" s="137"/>
      <c r="AS228" s="137"/>
      <c r="AT228" s="137"/>
      <c r="AU228" s="137"/>
      <c r="AV228" s="137"/>
    </row>
    <row r="229" spans="35:48" x14ac:dyDescent="0.2">
      <c r="AI229" s="108"/>
      <c r="AJ229" s="108"/>
      <c r="AK229" s="108"/>
      <c r="AL229" s="137"/>
      <c r="AM229" s="137"/>
      <c r="AN229" s="137"/>
      <c r="AO229" s="137"/>
      <c r="AP229" s="137"/>
      <c r="AQ229" s="137"/>
      <c r="AR229" s="137"/>
      <c r="AS229" s="137"/>
      <c r="AT229" s="137"/>
      <c r="AU229" s="137"/>
      <c r="AV229" s="137"/>
    </row>
    <row r="230" spans="35:48" x14ac:dyDescent="0.2">
      <c r="AI230" s="108"/>
      <c r="AJ230" s="108"/>
      <c r="AK230" s="108"/>
      <c r="AL230" s="137"/>
      <c r="AM230" s="137"/>
      <c r="AN230" s="137"/>
      <c r="AO230" s="137"/>
      <c r="AP230" s="137"/>
      <c r="AQ230" s="137"/>
      <c r="AR230" s="137"/>
      <c r="AS230" s="137"/>
      <c r="AT230" s="137"/>
      <c r="AU230" s="137"/>
      <c r="AV230" s="137"/>
    </row>
    <row r="231" spans="35:48" x14ac:dyDescent="0.2">
      <c r="AI231" s="108"/>
      <c r="AJ231" s="108"/>
      <c r="AK231" s="108"/>
      <c r="AL231" s="137"/>
      <c r="AM231" s="137"/>
      <c r="AN231" s="137"/>
      <c r="AO231" s="137"/>
      <c r="AP231" s="137"/>
      <c r="AQ231" s="137"/>
      <c r="AR231" s="137"/>
      <c r="AS231" s="137"/>
      <c r="AT231" s="137"/>
      <c r="AU231" s="137"/>
      <c r="AV231" s="137"/>
    </row>
    <row r="232" spans="35:48" x14ac:dyDescent="0.2">
      <c r="AI232" s="108"/>
      <c r="AJ232" s="108"/>
      <c r="AK232" s="108"/>
      <c r="AL232" s="137"/>
      <c r="AM232" s="137"/>
      <c r="AN232" s="137"/>
      <c r="AO232" s="137"/>
      <c r="AP232" s="137"/>
      <c r="AQ232" s="137"/>
      <c r="AR232" s="137"/>
      <c r="AS232" s="137"/>
      <c r="AT232" s="137"/>
      <c r="AU232" s="137"/>
      <c r="AV232" s="137"/>
    </row>
  </sheetData>
  <sheetProtection algorithmName="SHA-512" hashValue="5cd4Fj7OcYsKuY6kScC3Xt2P+o5wbOd0uill0cuaUI00n5PL0LtVoDW8MdQpGbFahCs6/fvr1mr7ezF8k9R5fw==" saltValue="3oXObGvSdS9Xb4GLQwu9tw==" spinCount="100000" sheet="1" objects="1" scenarios="1"/>
  <mergeCells count="62">
    <mergeCell ref="S85:T85"/>
    <mergeCell ref="N79:S79"/>
    <mergeCell ref="A99:A140"/>
    <mergeCell ref="E106:L106"/>
    <mergeCell ref="N77:S77"/>
    <mergeCell ref="N78:S78"/>
    <mergeCell ref="N80:S80"/>
    <mergeCell ref="B28:G28"/>
    <mergeCell ref="N68:S68"/>
    <mergeCell ref="N69:S69"/>
    <mergeCell ref="N70:S70"/>
    <mergeCell ref="N71:S71"/>
    <mergeCell ref="T30:U30"/>
    <mergeCell ref="C34:K37"/>
    <mergeCell ref="P62:T62"/>
    <mergeCell ref="R66:T66"/>
    <mergeCell ref="N67:S67"/>
    <mergeCell ref="R20:S20"/>
    <mergeCell ref="V20:W20"/>
    <mergeCell ref="B21:G21"/>
    <mergeCell ref="V21:W21"/>
    <mergeCell ref="N76:S76"/>
    <mergeCell ref="B22:G22"/>
    <mergeCell ref="B23:G23"/>
    <mergeCell ref="B27:C27"/>
    <mergeCell ref="D27:G27"/>
    <mergeCell ref="B20:C20"/>
    <mergeCell ref="F20:H20"/>
    <mergeCell ref="B24:C26"/>
    <mergeCell ref="D24:G24"/>
    <mergeCell ref="D25:G25"/>
    <mergeCell ref="D26:G26"/>
    <mergeCell ref="R75:T75"/>
    <mergeCell ref="AP13:AQ13"/>
    <mergeCell ref="B16:C16"/>
    <mergeCell ref="D16:G16"/>
    <mergeCell ref="AP14:AT15"/>
    <mergeCell ref="B17:G17"/>
    <mergeCell ref="B13:C15"/>
    <mergeCell ref="D13:G13"/>
    <mergeCell ref="D14:G14"/>
    <mergeCell ref="D15:G15"/>
    <mergeCell ref="AP16:AT17"/>
    <mergeCell ref="AP12:AQ12"/>
    <mergeCell ref="B7:C7"/>
    <mergeCell ref="G7:H7"/>
    <mergeCell ref="AP8:AQ9"/>
    <mergeCell ref="B10:G10"/>
    <mergeCell ref="V10:W10"/>
    <mergeCell ref="AP10:AQ10"/>
    <mergeCell ref="B11:G11"/>
    <mergeCell ref="AP11:AQ11"/>
    <mergeCell ref="B9:C9"/>
    <mergeCell ref="B12:G12"/>
    <mergeCell ref="B2:D2"/>
    <mergeCell ref="AR8:AR9"/>
    <mergeCell ref="R9:S9"/>
    <mergeCell ref="V9:W9"/>
    <mergeCell ref="AP1:AX1"/>
    <mergeCell ref="F5:J5"/>
    <mergeCell ref="K4:L5"/>
    <mergeCell ref="F9:H9"/>
  </mergeCells>
  <conditionalFormatting sqref="B16:C16">
    <cfRule type="expression" dxfId="149" priority="17" stopIfTrue="1">
      <formula>$V$10=TRUE</formula>
    </cfRule>
  </conditionalFormatting>
  <conditionalFormatting sqref="B27:C27">
    <cfRule type="expression" dxfId="148" priority="18" stopIfTrue="1">
      <formula>$V$21=TRUE</formula>
    </cfRule>
  </conditionalFormatting>
  <conditionalFormatting sqref="I26">
    <cfRule type="containsText" dxfId="147" priority="4" operator="containsText" text="Doplňte">
      <formula>NOT(ISERROR(SEARCH("Doplňte",I26)))</formula>
    </cfRule>
  </conditionalFormatting>
  <conditionalFormatting sqref="E9">
    <cfRule type="expression" dxfId="146" priority="82">
      <formula>$M$17&gt;0</formula>
    </cfRule>
  </conditionalFormatting>
  <conditionalFormatting sqref="I15 I12">
    <cfRule type="expression" dxfId="145" priority="83">
      <formula>$M$17=0</formula>
    </cfRule>
    <cfRule type="containsText" dxfId="144" priority="84" operator="containsText" text="Doplňte">
      <formula>NOT(ISERROR(SEARCH("Doplňte",I12)))</formula>
    </cfRule>
  </conditionalFormatting>
  <conditionalFormatting sqref="E20">
    <cfRule type="expression" dxfId="143" priority="94">
      <formula>$M$28&gt;0</formula>
    </cfRule>
  </conditionalFormatting>
  <conditionalFormatting sqref="I26">
    <cfRule type="expression" dxfId="142" priority="95">
      <formula>$M$28=0</formula>
    </cfRule>
  </conditionalFormatting>
  <conditionalFormatting sqref="I23">
    <cfRule type="containsText" dxfId="141" priority="1" operator="containsText" text="Doplňte">
      <formula>NOT(ISERROR(SEARCH("Doplňte",I23)))</formula>
    </cfRule>
  </conditionalFormatting>
  <conditionalFormatting sqref="I23">
    <cfRule type="expression" dxfId="140" priority="2">
      <formula>$M$28=0</formula>
    </cfRule>
  </conditionalFormatting>
  <hyperlinks>
    <hyperlink ref="S85:T85" location="HKSw!A1" tooltip=" " display="HKSw!A1" xr:uid="{02D06E0D-A737-4954-82E8-9201DE48B348}"/>
    <hyperlink ref="N67:S67" location="HKSw!H10" tooltip=" " display="HKSw!H10" xr:uid="{F0B49582-0675-41B1-96BE-C3EBAB1E4C5B}"/>
    <hyperlink ref="N68:S68" location="HKSw!H11" tooltip=" " display="HKSw!H11" xr:uid="{98EBB7A1-E88B-41D8-AD16-FB3DC5EA5728}"/>
    <hyperlink ref="N76:S76" location="HKSw!H19" tooltip=" " display="HKSw!H19" xr:uid="{45FC97ED-BD1A-47B9-A3C3-FA4DB9C48EC0}"/>
    <hyperlink ref="N77:S77" location="HKSw!H20" tooltip=" " display="HKSw!H20" xr:uid="{97935FB5-70F0-4339-99E2-878595BC32D1}"/>
    <hyperlink ref="AK5" location="HKSw!A100" tooltip=" " display="HKSw!A100" xr:uid="{8584F4D7-CB88-4B3B-84AC-B2080FEF5EA1}"/>
    <hyperlink ref="L125" location="HKSw!A1" tooltip=" " display="HKSw!A1" xr:uid="{DC13EE3B-2550-4B26-8F9E-4C1382AC8D7B}"/>
    <hyperlink ref="AK9" location="SumAVS!A1" tooltip=" " display="SumAVS!A1" xr:uid="{B02F5069-DFF1-4254-88B0-713D87CB4EA7}"/>
    <hyperlink ref="AK10" location="OrdAVS!A1" tooltip=" " display="OrdAVS!A1" xr:uid="{F4E96A8E-954B-4FCC-B8D9-ADE837E4ABC4}"/>
    <hyperlink ref="AK7" location="AcsAVS!A1" tooltip=" " display="AcsAVS!A1" xr:uid="{D818D751-3011-4BE8-BC99-6E147B499549}"/>
    <hyperlink ref="AK4" location="MenuAVS!A1" tooltip=" " display="MenuAVS!A1" xr:uid="{91FFA35D-C688-4F1D-863A-BCB26700E821}"/>
    <hyperlink ref="B2:C2" location="HK!A1" tooltip=" " display="AVENTOS HK top" xr:uid="{98BCDBEB-DC72-41C1-8670-96E57E045BE8}"/>
    <hyperlink ref="B2:L2" location="HKS!A1" tooltip=" " display="AVENTOS HK-S" xr:uid="{31456612-7898-4537-8A23-265CFB5820EB}"/>
  </hyperlinks>
  <pageMargins left="0.62992125984251968" right="0.23622047244094488" top="0.74803149606299213" bottom="0.74803149606299213" header="0.31496062992125984" footer="0.31496062992125984"/>
  <pageSetup paperSize="9" orientation="portrait" horizontalDpi="4294967293"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72033" r:id="rId4" name="Drop Down 1">
              <controlPr defaultSize="0" autoLine="0" autoPict="0">
                <anchor moveWithCells="1">
                  <from>
                    <xdr:col>3</xdr:col>
                    <xdr:colOff>19050</xdr:colOff>
                    <xdr:row>6</xdr:row>
                    <xdr:rowOff>9525</xdr:rowOff>
                  </from>
                  <to>
                    <xdr:col>6</xdr:col>
                    <xdr:colOff>0</xdr:colOff>
                    <xdr:row>7</xdr:row>
                    <xdr:rowOff>0</xdr:rowOff>
                  </to>
                </anchor>
              </controlPr>
            </control>
          </mc:Choice>
        </mc:AlternateContent>
        <mc:AlternateContent xmlns:mc="http://schemas.openxmlformats.org/markup-compatibility/2006">
          <mc:Choice Requires="x14">
            <control shapeId="172035" r:id="rId5" name="Check Box 3">
              <controlPr defaultSize="0" autoFill="0" autoLine="0" autoPict="0">
                <anchor moveWithCells="1">
                  <from>
                    <xdr:col>2</xdr:col>
                    <xdr:colOff>400050</xdr:colOff>
                    <xdr:row>14</xdr:row>
                    <xdr:rowOff>190500</xdr:rowOff>
                  </from>
                  <to>
                    <xdr:col>3</xdr:col>
                    <xdr:colOff>76200</xdr:colOff>
                    <xdr:row>16</xdr:row>
                    <xdr:rowOff>9525</xdr:rowOff>
                  </to>
                </anchor>
              </controlPr>
            </control>
          </mc:Choice>
        </mc:AlternateContent>
        <mc:AlternateContent xmlns:mc="http://schemas.openxmlformats.org/markup-compatibility/2006">
          <mc:Choice Requires="x14">
            <control shapeId="172036" r:id="rId6" name="Check Box 4">
              <controlPr defaultSize="0" autoFill="0" autoLine="0" autoPict="0">
                <anchor moveWithCells="1">
                  <from>
                    <xdr:col>2</xdr:col>
                    <xdr:colOff>400050</xdr:colOff>
                    <xdr:row>25</xdr:row>
                    <xdr:rowOff>180975</xdr:rowOff>
                  </from>
                  <to>
                    <xdr:col>3</xdr:col>
                    <xdr:colOff>76200</xdr:colOff>
                    <xdr:row>27</xdr:row>
                    <xdr:rowOff>0</xdr:rowOff>
                  </to>
                </anchor>
              </controlPr>
            </control>
          </mc:Choice>
        </mc:AlternateContent>
        <mc:AlternateContent xmlns:mc="http://schemas.openxmlformats.org/markup-compatibility/2006">
          <mc:Choice Requires="x14">
            <control shapeId="172037" r:id="rId7" name="Drop Down 5">
              <controlPr defaultSize="0" autoLine="0" autoPict="0">
                <anchor moveWithCells="1">
                  <from>
                    <xdr:col>1</xdr:col>
                    <xdr:colOff>0</xdr:colOff>
                    <xdr:row>9</xdr:row>
                    <xdr:rowOff>9525</xdr:rowOff>
                  </from>
                  <to>
                    <xdr:col>2</xdr:col>
                    <xdr:colOff>571500</xdr:colOff>
                    <xdr:row>10</xdr:row>
                    <xdr:rowOff>9525</xdr:rowOff>
                  </to>
                </anchor>
              </controlPr>
            </control>
          </mc:Choice>
        </mc:AlternateContent>
        <mc:AlternateContent xmlns:mc="http://schemas.openxmlformats.org/markup-compatibility/2006">
          <mc:Choice Requires="x14">
            <control shapeId="172038" r:id="rId8" name="Drop Down 6">
              <controlPr defaultSize="0" autoLine="0" autoPict="0">
                <anchor moveWithCells="1">
                  <from>
                    <xdr:col>1</xdr:col>
                    <xdr:colOff>0</xdr:colOff>
                    <xdr:row>20</xdr:row>
                    <xdr:rowOff>9525</xdr:rowOff>
                  </from>
                  <to>
                    <xdr:col>2</xdr:col>
                    <xdr:colOff>571500</xdr:colOff>
                    <xdr:row>21</xdr:row>
                    <xdr:rowOff>9525</xdr:rowOff>
                  </to>
                </anchor>
              </controlPr>
            </control>
          </mc:Choice>
        </mc:AlternateContent>
        <mc:AlternateContent xmlns:mc="http://schemas.openxmlformats.org/markup-compatibility/2006">
          <mc:Choice Requires="x14">
            <control shapeId="172041" r:id="rId9" name="Drop Down 9">
              <controlPr defaultSize="0" autoLine="0" autoPict="0">
                <anchor moveWithCells="1">
                  <from>
                    <xdr:col>6</xdr:col>
                    <xdr:colOff>9525</xdr:colOff>
                    <xdr:row>3</xdr:row>
                    <xdr:rowOff>0</xdr:rowOff>
                  </from>
                  <to>
                    <xdr:col>9</xdr:col>
                    <xdr:colOff>0</xdr:colOff>
                    <xdr:row>4</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EE28D-CA01-4280-9D30-BC0806F7C244}">
  <sheetPr codeName="Sheet9"/>
  <dimension ref="A1:AC110"/>
  <sheetViews>
    <sheetView showGridLines="0" showRowColHeaders="0" zoomScale="85" zoomScaleNormal="85" workbookViewId="0">
      <selection activeCell="U5" sqref="U5"/>
    </sheetView>
  </sheetViews>
  <sheetFormatPr defaultColWidth="8.7109375" defaultRowHeight="12" x14ac:dyDescent="0.2"/>
  <cols>
    <col min="1" max="1" width="2.7109375" style="36" customWidth="1"/>
    <col min="2" max="3" width="10.42578125" style="36" customWidth="1"/>
    <col min="4" max="4" width="3.7109375" style="36" customWidth="1"/>
    <col min="5" max="6" width="10.42578125" style="36" customWidth="1"/>
    <col min="7" max="7" width="3.7109375" style="36" customWidth="1"/>
    <col min="8" max="9" width="10.42578125" style="36" customWidth="1"/>
    <col min="10" max="10" width="8.28515625" style="36" customWidth="1"/>
    <col min="11" max="19" width="8.28515625" style="36" hidden="1" customWidth="1"/>
    <col min="20" max="20" width="8.7109375" style="36" customWidth="1"/>
    <col min="21" max="21" width="20.7109375" style="108" customWidth="1"/>
    <col min="22" max="16384" width="8.7109375" style="36"/>
  </cols>
  <sheetData>
    <row r="1" spans="1:22" x14ac:dyDescent="0.2">
      <c r="A1" s="108"/>
      <c r="B1" s="108"/>
      <c r="C1" s="108"/>
      <c r="D1" s="108"/>
      <c r="E1" s="108"/>
      <c r="F1" s="108"/>
      <c r="G1" s="108"/>
      <c r="H1" s="108"/>
      <c r="I1" s="108"/>
      <c r="J1" s="108"/>
      <c r="K1" s="108"/>
      <c r="L1" s="108"/>
      <c r="M1" s="108"/>
      <c r="N1" s="108"/>
      <c r="O1" s="108"/>
      <c r="P1" s="108"/>
      <c r="Q1" s="108"/>
      <c r="R1" s="108"/>
      <c r="S1" s="108"/>
      <c r="T1" s="108"/>
      <c r="V1" s="108"/>
    </row>
    <row r="2" spans="1:22" ht="6" customHeight="1" thickBot="1" x14ac:dyDescent="0.25">
      <c r="A2" s="108"/>
      <c r="B2" s="303"/>
      <c r="C2" s="305"/>
      <c r="D2" s="303"/>
      <c r="E2" s="303"/>
      <c r="F2" s="303"/>
      <c r="G2" s="303"/>
      <c r="H2" s="303"/>
      <c r="I2" s="303"/>
      <c r="J2" s="306"/>
      <c r="K2" s="108"/>
      <c r="L2" s="108"/>
      <c r="M2" s="108"/>
      <c r="N2" s="108"/>
      <c r="O2" s="108"/>
      <c r="P2" s="108"/>
      <c r="Q2" s="108"/>
      <c r="R2" s="108"/>
      <c r="S2" s="108"/>
      <c r="T2" s="108"/>
      <c r="V2" s="108"/>
    </row>
    <row r="3" spans="1:22" ht="18" customHeight="1" thickBot="1" x14ac:dyDescent="0.25">
      <c r="A3" s="108"/>
      <c r="B3" s="304" t="s">
        <v>670</v>
      </c>
      <c r="C3" s="305"/>
      <c r="D3" s="303"/>
      <c r="E3" s="303"/>
      <c r="F3" s="303"/>
      <c r="G3" s="303"/>
      <c r="H3" s="303"/>
      <c r="I3" s="303"/>
      <c r="J3" s="306"/>
      <c r="K3" s="108"/>
      <c r="L3" s="108"/>
      <c r="M3" s="108"/>
      <c r="N3" s="108"/>
      <c r="O3" s="108"/>
      <c r="P3" s="108"/>
      <c r="Q3" s="108"/>
      <c r="R3" s="108"/>
      <c r="S3" s="108"/>
      <c r="T3" s="108"/>
      <c r="U3" s="379" t="str">
        <f>ListAVS!$B$153</f>
        <v>Przejdź do</v>
      </c>
      <c r="V3" s="108"/>
    </row>
    <row r="4" spans="1:22" ht="4.5" customHeight="1" x14ac:dyDescent="0.2">
      <c r="A4" s="108"/>
      <c r="B4" s="303"/>
      <c r="C4" s="303"/>
      <c r="D4" s="303"/>
      <c r="E4" s="303"/>
      <c r="F4" s="303"/>
      <c r="G4" s="303"/>
      <c r="H4" s="303"/>
      <c r="I4" s="303"/>
      <c r="J4" s="306"/>
      <c r="K4" s="108"/>
      <c r="L4" s="108"/>
      <c r="M4" s="108"/>
      <c r="N4" s="108"/>
      <c r="O4" s="108"/>
      <c r="P4" s="108"/>
      <c r="Q4" s="108"/>
      <c r="R4" s="108"/>
      <c r="S4" s="108"/>
      <c r="T4" s="108"/>
      <c r="V4" s="108"/>
    </row>
    <row r="5" spans="1:22" s="245" customFormat="1" ht="15" customHeight="1" thickBot="1" x14ac:dyDescent="0.25">
      <c r="A5" s="670"/>
      <c r="B5" s="670"/>
      <c r="C5" s="670"/>
      <c r="D5" s="670"/>
      <c r="E5" s="670"/>
      <c r="F5" s="670"/>
      <c r="G5" s="670"/>
      <c r="H5" s="670"/>
      <c r="I5" s="670"/>
      <c r="J5" s="670"/>
      <c r="K5" s="670"/>
      <c r="L5" s="670"/>
      <c r="M5" s="670"/>
      <c r="N5" s="670"/>
      <c r="O5" s="670"/>
      <c r="P5" s="670"/>
      <c r="Q5" s="670"/>
      <c r="R5" s="670"/>
      <c r="S5" s="670"/>
      <c r="T5" s="670"/>
      <c r="U5" s="383" t="str">
        <f>" "&amp;ListAVS!$B$154</f>
        <v xml:space="preserve"> Wprowadzenie do planowania</v>
      </c>
      <c r="V5" s="670"/>
    </row>
    <row r="6" spans="1:22" s="245" customFormat="1" ht="15" customHeight="1" x14ac:dyDescent="0.2">
      <c r="A6" s="670"/>
      <c r="B6" s="670"/>
      <c r="C6" s="670"/>
      <c r="D6" s="670"/>
      <c r="E6" s="800" t="str">
        <f>" "&amp;ListAVS!$B$74&amp;" (KB)"</f>
        <v xml:space="preserve"> Szerokość korpusu (KB)</v>
      </c>
      <c r="F6" s="801"/>
      <c r="G6" s="670"/>
      <c r="H6" s="670"/>
      <c r="I6" s="670"/>
      <c r="J6" s="670"/>
      <c r="K6" s="670"/>
      <c r="L6" s="670"/>
      <c r="M6" s="670"/>
      <c r="N6" s="670"/>
      <c r="O6" s="670"/>
      <c r="P6" s="670"/>
      <c r="Q6" s="670"/>
      <c r="R6" s="670"/>
      <c r="S6" s="670"/>
      <c r="T6" s="670"/>
      <c r="U6" s="634" t="str">
        <f>" "&amp;ListAVS!$B$155</f>
        <v xml:space="preserve"> Pomoc</v>
      </c>
      <c r="V6" s="670"/>
    </row>
    <row r="7" spans="1:22" s="245" customFormat="1" ht="16.149999999999999" customHeight="1" x14ac:dyDescent="0.2">
      <c r="A7" s="670"/>
      <c r="B7" s="670"/>
      <c r="C7" s="670"/>
      <c r="D7" s="670"/>
      <c r="E7" s="1028" t="str">
        <f>" "&amp;ListAVS!$B$171&amp;" 1800 mm"</f>
        <v xml:space="preserve"> do 1800 mm</v>
      </c>
      <c r="F7" s="1029"/>
      <c r="G7" s="670"/>
      <c r="H7" s="670"/>
      <c r="I7" s="670"/>
      <c r="J7" s="670"/>
      <c r="K7" s="670"/>
      <c r="L7" s="670"/>
      <c r="M7" s="670"/>
      <c r="N7" s="670"/>
      <c r="O7" s="670"/>
      <c r="P7" s="670"/>
      <c r="Q7" s="670"/>
      <c r="R7" s="670"/>
      <c r="S7" s="670"/>
      <c r="T7" s="670"/>
      <c r="U7" s="891"/>
      <c r="V7" s="670"/>
    </row>
    <row r="8" spans="1:22" s="245" customFormat="1" ht="15" customHeight="1" x14ac:dyDescent="0.2">
      <c r="A8" s="670"/>
      <c r="B8" s="670"/>
      <c r="C8" s="670"/>
      <c r="D8" s="670"/>
      <c r="E8" s="800" t="str">
        <f>" "&amp;ListAVS!$B$75&amp;" (KH)"</f>
        <v xml:space="preserve"> Wysokość korpusu (KH)</v>
      </c>
      <c r="F8" s="801"/>
      <c r="G8" s="670"/>
      <c r="H8" s="670"/>
      <c r="I8" s="670"/>
      <c r="J8" s="670"/>
      <c r="K8" s="670"/>
      <c r="L8" s="670"/>
      <c r="M8" s="670"/>
      <c r="N8" s="670"/>
      <c r="O8" s="670"/>
      <c r="P8" s="670"/>
      <c r="Q8" s="670"/>
      <c r="R8" s="670"/>
      <c r="S8" s="670"/>
      <c r="T8" s="670"/>
      <c r="U8" s="675" t="str">
        <f>" "&amp;ListAVS!$B$160</f>
        <v xml:space="preserve"> Dodatki</v>
      </c>
      <c r="V8" s="670"/>
    </row>
    <row r="9" spans="1:22" s="245" customFormat="1" ht="15" customHeight="1" x14ac:dyDescent="0.2">
      <c r="A9" s="670"/>
      <c r="B9" s="670"/>
      <c r="C9" s="670"/>
      <c r="D9" s="670"/>
      <c r="E9" s="804" t="s">
        <v>709</v>
      </c>
      <c r="F9" s="805"/>
      <c r="G9" s="670"/>
      <c r="H9" s="670"/>
      <c r="I9" s="670"/>
      <c r="J9" s="670"/>
      <c r="K9" s="670"/>
      <c r="L9" s="670"/>
      <c r="M9" s="670"/>
      <c r="N9" s="670"/>
      <c r="O9" s="670"/>
      <c r="P9" s="670"/>
      <c r="Q9" s="670"/>
      <c r="R9" s="670"/>
      <c r="S9" s="670"/>
      <c r="T9" s="670"/>
      <c r="U9" s="671"/>
      <c r="V9" s="670"/>
    </row>
    <row r="10" spans="1:22" s="245" customFormat="1" ht="15" customHeight="1" thickBot="1" x14ac:dyDescent="0.25">
      <c r="A10" s="670"/>
      <c r="B10" s="670"/>
      <c r="C10" s="670"/>
      <c r="D10" s="670"/>
      <c r="E10" s="670"/>
      <c r="F10" s="670"/>
      <c r="G10" s="670"/>
      <c r="H10" s="670"/>
      <c r="I10" s="670"/>
      <c r="J10" s="670"/>
      <c r="K10" s="670"/>
      <c r="L10" s="670"/>
      <c r="M10" s="670"/>
      <c r="N10" s="670"/>
      <c r="O10" s="670"/>
      <c r="P10" s="670"/>
      <c r="Q10" s="670"/>
      <c r="R10" s="670"/>
      <c r="S10" s="670"/>
      <c r="T10" s="670"/>
      <c r="U10" s="383" t="str">
        <f>" "&amp;ListAVS!$B$157</f>
        <v xml:space="preserve"> Rodzaje korpusów</v>
      </c>
      <c r="V10" s="670"/>
    </row>
    <row r="11" spans="1:22" s="245" customFormat="1" ht="15" customHeight="1" thickBot="1" x14ac:dyDescent="0.25">
      <c r="A11" s="670"/>
      <c r="B11" s="670"/>
      <c r="C11" s="670"/>
      <c r="D11" s="670"/>
      <c r="E11" s="670"/>
      <c r="F11" s="670"/>
      <c r="G11" s="670"/>
      <c r="H11" s="670"/>
      <c r="I11" s="670"/>
      <c r="J11" s="670"/>
      <c r="K11" s="670"/>
      <c r="L11" s="670"/>
      <c r="M11" s="670"/>
      <c r="N11" s="670"/>
      <c r="O11" s="670"/>
      <c r="P11" s="670"/>
      <c r="Q11" s="670"/>
      <c r="R11" s="670"/>
      <c r="S11" s="670"/>
      <c r="T11" s="670"/>
      <c r="U11" s="383" t="str">
        <f>" "&amp;ListAVS!$B$158</f>
        <v xml:space="preserve"> Zamówienie</v>
      </c>
      <c r="V11" s="670"/>
    </row>
    <row r="12" spans="1:22" s="245" customFormat="1" ht="15" customHeight="1" thickBot="1" x14ac:dyDescent="0.25">
      <c r="A12" s="670"/>
      <c r="B12" s="1030" t="str">
        <f>ListAVS!$B$16</f>
        <v>Fronty drewniane</v>
      </c>
      <c r="C12" s="1030"/>
      <c r="D12" s="670"/>
      <c r="E12" s="670"/>
      <c r="F12" s="670"/>
      <c r="G12" s="670"/>
      <c r="H12" s="670"/>
      <c r="I12" s="670"/>
      <c r="J12" s="670"/>
      <c r="K12" s="670"/>
      <c r="L12" s="670"/>
      <c r="M12" s="670"/>
      <c r="N12" s="670"/>
      <c r="O12" s="670"/>
      <c r="P12" s="670"/>
      <c r="Q12" s="670"/>
      <c r="R12" s="670"/>
      <c r="S12" s="670"/>
      <c r="T12" s="670"/>
      <c r="U12" s="891"/>
      <c r="V12" s="670"/>
    </row>
    <row r="13" spans="1:22" s="245" customFormat="1" ht="15" customHeight="1" x14ac:dyDescent="0.2">
      <c r="A13" s="670"/>
      <c r="B13" s="670"/>
      <c r="C13" s="670"/>
      <c r="D13" s="670"/>
      <c r="E13" s="670"/>
      <c r="F13" s="670"/>
      <c r="G13" s="670"/>
      <c r="H13" s="670"/>
      <c r="I13" s="670"/>
      <c r="J13" s="670"/>
      <c r="K13" s="670"/>
      <c r="L13" s="670"/>
      <c r="M13" s="670"/>
      <c r="N13" s="670"/>
      <c r="O13" s="670"/>
      <c r="P13" s="670"/>
      <c r="Q13" s="670"/>
      <c r="R13" s="670"/>
      <c r="S13" s="670"/>
      <c r="T13" s="670"/>
      <c r="U13" s="891"/>
      <c r="V13" s="670"/>
    </row>
    <row r="14" spans="1:22" s="245" customFormat="1" ht="15" customHeight="1" x14ac:dyDescent="0.2">
      <c r="A14" s="670"/>
      <c r="B14" s="674"/>
      <c r="C14" s="674"/>
      <c r="D14" s="670"/>
      <c r="E14" s="670"/>
      <c r="F14" s="670"/>
      <c r="G14" s="670"/>
      <c r="H14" s="670"/>
      <c r="I14" s="670"/>
      <c r="J14" s="670"/>
      <c r="K14" s="670"/>
      <c r="L14" s="670"/>
      <c r="M14" s="670"/>
      <c r="N14" s="670"/>
      <c r="O14" s="670"/>
      <c r="P14" s="670"/>
      <c r="Q14" s="670"/>
      <c r="R14" s="670"/>
      <c r="S14" s="670"/>
      <c r="T14" s="670"/>
      <c r="U14" s="891"/>
      <c r="V14" s="670"/>
    </row>
    <row r="15" spans="1:22" s="245" customFormat="1" ht="15" customHeight="1" x14ac:dyDescent="0.2">
      <c r="A15" s="670"/>
      <c r="B15" s="670"/>
      <c r="C15" s="670"/>
      <c r="D15" s="670"/>
      <c r="E15" s="670"/>
      <c r="F15" s="670"/>
      <c r="G15" s="670"/>
      <c r="H15" s="670"/>
      <c r="I15" s="670"/>
      <c r="J15" s="670"/>
      <c r="K15" s="670"/>
      <c r="L15" s="670"/>
      <c r="M15" s="670"/>
      <c r="N15" s="670"/>
      <c r="O15" s="670"/>
      <c r="P15" s="670"/>
      <c r="Q15" s="670"/>
      <c r="R15" s="670"/>
      <c r="S15" s="670"/>
      <c r="T15" s="670"/>
      <c r="U15" s="671"/>
      <c r="V15" s="670"/>
    </row>
    <row r="16" spans="1:22" s="245" customFormat="1" ht="15" customHeight="1" x14ac:dyDescent="0.2">
      <c r="A16" s="670"/>
      <c r="B16" s="670"/>
      <c r="C16" s="670"/>
      <c r="D16" s="670"/>
      <c r="E16" s="670"/>
      <c r="F16" s="670"/>
      <c r="G16" s="670"/>
      <c r="H16" s="670"/>
      <c r="I16" s="670"/>
      <c r="J16" s="670"/>
      <c r="K16" s="670"/>
      <c r="L16" s="670"/>
      <c r="M16" s="670"/>
      <c r="N16" s="670"/>
      <c r="O16" s="670"/>
      <c r="P16" s="670"/>
      <c r="Q16" s="670"/>
      <c r="R16" s="670"/>
      <c r="S16" s="670"/>
      <c r="T16" s="670"/>
      <c r="V16" s="670"/>
    </row>
    <row r="17" spans="1:22" s="245" customFormat="1" ht="15" customHeight="1" x14ac:dyDescent="0.2">
      <c r="A17" s="670"/>
      <c r="B17" s="670"/>
      <c r="C17" s="670"/>
      <c r="D17" s="670"/>
      <c r="E17" s="670"/>
      <c r="F17" s="670"/>
      <c r="G17" s="670"/>
      <c r="H17" s="670"/>
      <c r="I17" s="670"/>
      <c r="J17" s="670"/>
      <c r="K17" s="670"/>
      <c r="L17" s="670"/>
      <c r="M17" s="670"/>
      <c r="N17" s="670"/>
      <c r="O17" s="670"/>
      <c r="P17" s="670"/>
      <c r="Q17" s="670"/>
      <c r="R17" s="670"/>
      <c r="S17" s="670"/>
      <c r="T17" s="670"/>
      <c r="V17" s="670"/>
    </row>
    <row r="18" spans="1:22" s="245" customFormat="1" ht="15" customHeight="1" x14ac:dyDescent="0.2">
      <c r="A18" s="670"/>
      <c r="B18" s="670"/>
      <c r="C18" s="670"/>
      <c r="D18" s="670"/>
      <c r="E18" s="670"/>
      <c r="F18" s="670"/>
      <c r="G18" s="670"/>
      <c r="H18" s="670"/>
      <c r="I18" s="670"/>
      <c r="J18" s="670"/>
      <c r="K18" s="670"/>
      <c r="L18" s="670"/>
      <c r="M18" s="670"/>
      <c r="N18" s="670"/>
      <c r="O18" s="670"/>
      <c r="P18" s="670"/>
      <c r="Q18" s="670"/>
      <c r="R18" s="670"/>
      <c r="S18" s="670"/>
      <c r="T18" s="670"/>
      <c r="V18" s="670"/>
    </row>
    <row r="19" spans="1:22" s="245" customFormat="1" ht="15" customHeight="1" x14ac:dyDescent="0.2">
      <c r="A19" s="670"/>
      <c r="B19" s="670"/>
      <c r="C19" s="670"/>
      <c r="D19" s="670"/>
      <c r="E19" s="670"/>
      <c r="F19" s="670"/>
      <c r="G19" s="670"/>
      <c r="H19" s="670"/>
      <c r="I19" s="670"/>
      <c r="J19" s="670"/>
      <c r="K19" s="670"/>
      <c r="L19" s="670"/>
      <c r="M19" s="670"/>
      <c r="N19" s="670"/>
      <c r="O19" s="670"/>
      <c r="P19" s="670"/>
      <c r="Q19" s="670"/>
      <c r="R19" s="670"/>
      <c r="S19" s="670"/>
      <c r="T19" s="670"/>
      <c r="V19" s="670"/>
    </row>
    <row r="20" spans="1:22" s="245" customFormat="1" ht="15" customHeight="1" x14ac:dyDescent="0.2">
      <c r="A20" s="670"/>
      <c r="B20" s="670"/>
      <c r="C20" s="670"/>
      <c r="D20" s="670"/>
      <c r="E20" s="670"/>
      <c r="F20" s="670"/>
      <c r="G20" s="670"/>
      <c r="H20" s="670"/>
      <c r="I20" s="670"/>
      <c r="J20" s="670"/>
      <c r="K20" s="670"/>
      <c r="L20" s="670"/>
      <c r="M20" s="670"/>
      <c r="N20" s="670"/>
      <c r="O20" s="670"/>
      <c r="P20" s="670"/>
      <c r="Q20" s="670"/>
      <c r="R20" s="670"/>
      <c r="S20" s="670"/>
      <c r="T20" s="670"/>
      <c r="U20" s="670"/>
      <c r="V20" s="670"/>
    </row>
    <row r="21" spans="1:22" s="245" customFormat="1" ht="15" customHeight="1" thickBot="1" x14ac:dyDescent="0.25">
      <c r="A21" s="670"/>
      <c r="B21" s="1030" t="str">
        <f>ListAVS!$B$19</f>
        <v>Szerokie ramki aluminiowe</v>
      </c>
      <c r="C21" s="1030"/>
      <c r="D21" s="670"/>
      <c r="E21" s="1030" t="str">
        <f>ListAVS!$B$17</f>
        <v>Front drewniany</v>
      </c>
      <c r="F21" s="1030"/>
      <c r="G21" s="670"/>
      <c r="H21" s="1030" t="str">
        <f>ListAVS!$B$20</f>
        <v>Szeroka ramka aluminiowa</v>
      </c>
      <c r="I21" s="1030"/>
      <c r="J21" s="670"/>
      <c r="K21" s="670"/>
      <c r="L21" s="670"/>
      <c r="M21" s="670"/>
      <c r="N21" s="670"/>
      <c r="O21" s="670"/>
      <c r="P21" s="670"/>
      <c r="Q21" s="670"/>
      <c r="R21" s="670"/>
      <c r="S21" s="670"/>
      <c r="T21" s="670"/>
      <c r="U21" s="670"/>
      <c r="V21" s="670"/>
    </row>
    <row r="22" spans="1:22" s="245" customFormat="1" ht="15" customHeight="1" x14ac:dyDescent="0.2">
      <c r="A22" s="670"/>
      <c r="B22" s="674"/>
      <c r="C22" s="674"/>
      <c r="D22" s="670"/>
      <c r="E22" s="1031" t="str">
        <f>ListAVS!$B$20</f>
        <v>Szeroka ramka aluminiowa</v>
      </c>
      <c r="F22" s="1031"/>
      <c r="G22" s="670"/>
      <c r="H22" s="1031" t="str">
        <f>ListAVS!$B$17</f>
        <v>Front drewniany</v>
      </c>
      <c r="I22" s="1031"/>
      <c r="J22" s="670"/>
      <c r="K22" s="670"/>
      <c r="L22" s="670"/>
      <c r="M22" s="670"/>
      <c r="N22" s="670"/>
      <c r="O22" s="670"/>
      <c r="P22" s="670"/>
      <c r="Q22" s="670"/>
      <c r="R22" s="670"/>
      <c r="S22" s="670"/>
      <c r="T22" s="670"/>
      <c r="U22" s="670"/>
      <c r="V22" s="670"/>
    </row>
    <row r="23" spans="1:22" s="245" customFormat="1" ht="15" customHeight="1" x14ac:dyDescent="0.2">
      <c r="A23" s="670"/>
      <c r="B23" s="670"/>
      <c r="C23" s="670"/>
      <c r="D23" s="670"/>
      <c r="E23" s="670"/>
      <c r="F23" s="670"/>
      <c r="G23" s="670"/>
      <c r="H23" s="670"/>
      <c r="I23" s="670"/>
      <c r="J23" s="670"/>
      <c r="K23" s="670"/>
      <c r="L23" s="670"/>
      <c r="M23" s="670"/>
      <c r="N23" s="670"/>
      <c r="O23" s="670"/>
      <c r="P23" s="670"/>
      <c r="Q23" s="670"/>
      <c r="R23" s="670"/>
      <c r="S23" s="670"/>
      <c r="T23" s="670"/>
      <c r="U23" s="670"/>
      <c r="V23" s="670"/>
    </row>
    <row r="24" spans="1:22" s="245" customFormat="1" ht="15" customHeight="1" x14ac:dyDescent="0.2">
      <c r="A24" s="670"/>
      <c r="B24" s="670"/>
      <c r="C24" s="670"/>
      <c r="D24" s="670"/>
      <c r="E24" s="670"/>
      <c r="F24" s="670"/>
      <c r="G24" s="670"/>
      <c r="H24" s="670"/>
      <c r="I24" s="670"/>
      <c r="J24" s="670"/>
      <c r="K24" s="670"/>
      <c r="L24" s="670"/>
      <c r="M24" s="670"/>
      <c r="N24" s="670"/>
      <c r="O24" s="670"/>
      <c r="P24" s="670"/>
      <c r="Q24" s="670"/>
      <c r="R24" s="670"/>
      <c r="S24" s="670"/>
      <c r="T24" s="670"/>
      <c r="U24" s="670"/>
      <c r="V24" s="670"/>
    </row>
    <row r="25" spans="1:22" s="245" customFormat="1" ht="15" customHeight="1" x14ac:dyDescent="0.2">
      <c r="A25" s="670"/>
      <c r="B25" s="670"/>
      <c r="C25" s="670"/>
      <c r="D25" s="670"/>
      <c r="E25" s="670"/>
      <c r="F25" s="670"/>
      <c r="G25" s="670"/>
      <c r="H25" s="670"/>
      <c r="I25" s="670"/>
      <c r="J25" s="670"/>
      <c r="K25" s="670"/>
      <c r="L25" s="670"/>
      <c r="M25" s="670"/>
      <c r="N25" s="670"/>
      <c r="O25" s="670"/>
      <c r="P25" s="670"/>
      <c r="Q25" s="670"/>
      <c r="R25" s="670"/>
      <c r="S25" s="670"/>
      <c r="T25" s="670"/>
      <c r="U25" s="670"/>
      <c r="V25" s="670"/>
    </row>
    <row r="26" spans="1:22" s="245" customFormat="1" ht="15" customHeight="1" x14ac:dyDescent="0.2">
      <c r="A26" s="670"/>
      <c r="B26" s="670"/>
      <c r="C26" s="670"/>
      <c r="D26" s="670"/>
      <c r="E26" s="670"/>
      <c r="F26" s="670"/>
      <c r="G26" s="670"/>
      <c r="H26" s="670"/>
      <c r="I26" s="670"/>
      <c r="J26" s="670"/>
      <c r="K26" s="670"/>
      <c r="L26" s="670"/>
      <c r="M26" s="670"/>
      <c r="N26" s="670"/>
      <c r="O26" s="670"/>
      <c r="P26" s="670"/>
      <c r="Q26" s="670"/>
      <c r="R26" s="670"/>
      <c r="S26" s="670"/>
      <c r="T26" s="670"/>
      <c r="U26" s="670"/>
      <c r="V26" s="670"/>
    </row>
    <row r="27" spans="1:22" s="245" customFormat="1" ht="15" customHeight="1" x14ac:dyDescent="0.2">
      <c r="A27" s="670"/>
      <c r="B27" s="670"/>
      <c r="C27" s="670"/>
      <c r="D27" s="670"/>
      <c r="E27" s="670"/>
      <c r="F27" s="670"/>
      <c r="G27" s="670"/>
      <c r="H27" s="670"/>
      <c r="I27" s="670"/>
      <c r="J27" s="670"/>
      <c r="K27" s="670"/>
      <c r="L27" s="670"/>
      <c r="M27" s="670"/>
      <c r="N27" s="670"/>
      <c r="O27" s="670"/>
      <c r="P27" s="670"/>
      <c r="Q27" s="670"/>
      <c r="R27" s="670"/>
      <c r="S27" s="670"/>
      <c r="T27" s="670"/>
      <c r="U27" s="670"/>
      <c r="V27" s="670"/>
    </row>
    <row r="28" spans="1:22" s="245" customFormat="1" ht="15" customHeight="1" x14ac:dyDescent="0.2">
      <c r="A28" s="670"/>
      <c r="B28" s="670"/>
      <c r="C28" s="670"/>
      <c r="D28" s="670"/>
      <c r="E28" s="670"/>
      <c r="F28" s="670"/>
      <c r="G28" s="670"/>
      <c r="H28" s="670"/>
      <c r="I28" s="670"/>
      <c r="J28" s="670"/>
      <c r="K28" s="670"/>
      <c r="L28" s="670"/>
      <c r="M28" s="670"/>
      <c r="N28" s="670"/>
      <c r="O28" s="670"/>
      <c r="P28" s="670"/>
      <c r="Q28" s="670"/>
      <c r="R28" s="670"/>
      <c r="S28" s="670"/>
      <c r="T28" s="670"/>
      <c r="U28" s="670"/>
      <c r="V28" s="670"/>
    </row>
    <row r="29" spans="1:22" s="245" customFormat="1" ht="15" customHeight="1" x14ac:dyDescent="0.2">
      <c r="A29" s="670"/>
      <c r="B29" s="670"/>
      <c r="C29" s="670"/>
      <c r="D29" s="670"/>
      <c r="E29" s="670"/>
      <c r="F29" s="670"/>
      <c r="G29" s="670"/>
      <c r="H29" s="670"/>
      <c r="I29" s="670"/>
      <c r="J29" s="670"/>
      <c r="K29" s="670"/>
      <c r="L29" s="670"/>
      <c r="M29" s="670"/>
      <c r="N29" s="670"/>
      <c r="O29" s="670"/>
      <c r="P29" s="670"/>
      <c r="Q29" s="670"/>
      <c r="R29" s="670"/>
      <c r="S29" s="670"/>
      <c r="T29" s="670"/>
      <c r="U29" s="670"/>
      <c r="V29" s="670"/>
    </row>
    <row r="30" spans="1:22" s="245" customFormat="1" ht="15" customHeight="1" thickBot="1" x14ac:dyDescent="0.25">
      <c r="A30" s="670"/>
      <c r="B30" s="1030" t="str">
        <f>ListAVS!$B$21</f>
        <v>Wąskie ramki aluminiowe</v>
      </c>
      <c r="C30" s="1030"/>
      <c r="D30" s="796"/>
      <c r="E30" s="1030" t="str">
        <f>ListAVS!$B$17</f>
        <v>Front drewniany</v>
      </c>
      <c r="F30" s="1030"/>
      <c r="G30" s="796"/>
      <c r="H30" s="1030" t="str">
        <f>ListAVS!$B$22</f>
        <v>Wąska ramka aluminiowa</v>
      </c>
      <c r="I30" s="1030"/>
      <c r="J30" s="670"/>
      <c r="K30" s="670"/>
      <c r="L30" s="670"/>
      <c r="M30" s="670"/>
      <c r="N30" s="670"/>
      <c r="O30" s="670"/>
      <c r="P30" s="670"/>
      <c r="Q30" s="670"/>
      <c r="R30" s="670"/>
      <c r="S30" s="670"/>
      <c r="T30" s="670"/>
      <c r="U30" s="670"/>
      <c r="V30" s="670"/>
    </row>
    <row r="31" spans="1:22" s="245" customFormat="1" ht="15" customHeight="1" x14ac:dyDescent="0.2">
      <c r="A31" s="670"/>
      <c r="B31" s="676"/>
      <c r="C31" s="676"/>
      <c r="D31" s="796"/>
      <c r="E31" s="1031" t="str">
        <f>ListAVS!$B$22</f>
        <v>Wąska ramka aluminiowa</v>
      </c>
      <c r="F31" s="1031"/>
      <c r="G31" s="796"/>
      <c r="H31" s="1031" t="str">
        <f>ListAVS!$B$17</f>
        <v>Front drewniany</v>
      </c>
      <c r="I31" s="1031"/>
      <c r="J31" s="670"/>
      <c r="K31" s="670"/>
      <c r="L31" s="670"/>
      <c r="M31" s="670"/>
      <c r="N31" s="670"/>
      <c r="O31" s="670"/>
      <c r="P31" s="670"/>
      <c r="Q31" s="670"/>
      <c r="R31" s="670"/>
      <c r="S31" s="670"/>
      <c r="T31" s="670"/>
      <c r="U31" s="670"/>
      <c r="V31" s="670"/>
    </row>
    <row r="32" spans="1:22" s="245" customFormat="1" ht="15" customHeight="1" x14ac:dyDescent="0.2">
      <c r="A32" s="670"/>
      <c r="B32" s="670"/>
      <c r="C32" s="670"/>
      <c r="D32" s="670"/>
      <c r="E32" s="670"/>
      <c r="F32" s="670"/>
      <c r="G32" s="670"/>
      <c r="H32" s="670"/>
      <c r="I32" s="670"/>
      <c r="J32" s="670"/>
      <c r="K32" s="670"/>
      <c r="L32" s="670"/>
      <c r="M32" s="670"/>
      <c r="N32" s="670"/>
      <c r="O32" s="670"/>
      <c r="P32" s="670"/>
      <c r="Q32" s="670"/>
      <c r="R32" s="670"/>
      <c r="S32" s="670"/>
      <c r="T32" s="670"/>
      <c r="U32" s="670"/>
      <c r="V32" s="670"/>
    </row>
    <row r="33" spans="1:22" s="245" customFormat="1" ht="15" customHeight="1" x14ac:dyDescent="0.2">
      <c r="A33" s="670"/>
      <c r="E33" s="670"/>
      <c r="F33" s="670"/>
      <c r="G33" s="670"/>
      <c r="H33" s="670"/>
      <c r="I33" s="670"/>
      <c r="J33" s="670"/>
      <c r="K33" s="670"/>
      <c r="L33" s="523">
        <v>1</v>
      </c>
      <c r="M33" s="248"/>
      <c r="N33" s="523">
        <v>1</v>
      </c>
      <c r="O33" s="248"/>
      <c r="P33" s="523">
        <v>1</v>
      </c>
      <c r="Q33" s="523"/>
      <c r="R33" s="523">
        <v>1</v>
      </c>
      <c r="S33" s="523"/>
      <c r="T33" s="670"/>
      <c r="U33" s="670"/>
      <c r="V33" s="670"/>
    </row>
    <row r="34" spans="1:22" s="245" customFormat="1" ht="15.75" customHeight="1" x14ac:dyDescent="0.2">
      <c r="A34" s="670"/>
      <c r="B34" s="1011" t="str">
        <f>ListAVS!$B$133&amp;" "</f>
        <v xml:space="preserve">Zawiasy górne </v>
      </c>
      <c r="C34" s="1012"/>
      <c r="D34" s="1013"/>
      <c r="E34" s="269"/>
      <c r="F34" s="266"/>
      <c r="G34" s="670"/>
      <c r="H34" s="670"/>
      <c r="I34" s="670"/>
      <c r="J34" s="670"/>
      <c r="K34" s="670"/>
      <c r="L34" s="38" t="s">
        <v>7</v>
      </c>
      <c r="M34" s="248"/>
      <c r="N34" s="38" t="s">
        <v>8</v>
      </c>
      <c r="O34" s="248"/>
      <c r="P34" s="38" t="s">
        <v>9</v>
      </c>
      <c r="Q34" s="38"/>
      <c r="R34" s="38" t="s">
        <v>679</v>
      </c>
      <c r="S34" s="38"/>
      <c r="T34" s="670"/>
      <c r="U34" s="670"/>
      <c r="V34" s="670"/>
    </row>
    <row r="35" spans="1:22" s="245" customFormat="1" ht="15.75" customHeight="1" x14ac:dyDescent="0.2">
      <c r="A35" s="670"/>
      <c r="B35" s="1011" t="str">
        <f>ListAVS!$B$136&amp;" "</f>
        <v xml:space="preserve">Zawiasy środkowe </v>
      </c>
      <c r="C35" s="1012"/>
      <c r="D35" s="1013"/>
      <c r="E35" s="269"/>
      <c r="F35" s="266"/>
      <c r="G35" s="670"/>
      <c r="H35" s="670"/>
      <c r="I35" s="670"/>
      <c r="J35" s="670"/>
      <c r="K35" s="670"/>
      <c r="L35" s="248" t="s">
        <v>10</v>
      </c>
      <c r="M35" s="248"/>
      <c r="N35" s="248" t="s">
        <v>10</v>
      </c>
      <c r="O35" s="248"/>
      <c r="P35" s="248" t="s">
        <v>10</v>
      </c>
      <c r="Q35" s="248"/>
      <c r="R35" s="248" t="str">
        <f>ListAVS!$B$350</f>
        <v>wkręty</v>
      </c>
      <c r="S35" s="248"/>
      <c r="T35" s="670"/>
      <c r="U35" s="670"/>
      <c r="V35" s="670"/>
    </row>
    <row r="36" spans="1:22" s="245" customFormat="1" ht="15.75" customHeight="1" x14ac:dyDescent="0.2">
      <c r="A36" s="670"/>
      <c r="B36" s="1011" t="str">
        <f>ListAVS!$B$139&amp;" "</f>
        <v xml:space="preserve">Prowadniki </v>
      </c>
      <c r="C36" s="1012"/>
      <c r="D36" s="1013"/>
      <c r="E36" s="269"/>
      <c r="F36" s="266"/>
      <c r="G36" s="670"/>
      <c r="H36" s="670"/>
      <c r="I36" s="670"/>
      <c r="J36" s="670"/>
      <c r="K36" s="670"/>
      <c r="L36" s="248" t="str">
        <f>ListAVS!$B$135</f>
        <v>na wkręty</v>
      </c>
      <c r="M36" s="248"/>
      <c r="N36" s="248" t="str">
        <f>ListAVS!$B$138</f>
        <v>na wkręty</v>
      </c>
      <c r="O36" s="248"/>
      <c r="P36" s="248" t="str">
        <f>ListAVS!$B$141</f>
        <v>na wkręty</v>
      </c>
      <c r="Q36" s="248"/>
      <c r="R36" s="248" t="str">
        <f>ListAVS!$B$351</f>
        <v>wstępnie zamontowane eurowkręty</v>
      </c>
      <c r="S36" s="248"/>
      <c r="T36" s="670"/>
      <c r="U36" s="670"/>
      <c r="V36" s="670"/>
    </row>
    <row r="37" spans="1:22" s="245" customFormat="1" ht="15.4" customHeight="1" x14ac:dyDescent="0.2">
      <c r="A37" s="670"/>
      <c r="B37" s="1033" t="str">
        <f>ListAVS!$B$347&amp;"** "</f>
        <v xml:space="preserve">funkcja podnośnika** </v>
      </c>
      <c r="C37" s="1034"/>
      <c r="D37" s="1035"/>
      <c r="E37" s="670"/>
      <c r="F37" s="670"/>
      <c r="G37" s="670"/>
      <c r="H37" s="670"/>
      <c r="I37" s="670"/>
      <c r="J37" s="670"/>
      <c r="K37" s="670"/>
      <c r="L37" s="670"/>
      <c r="M37" s="670"/>
      <c r="N37" s="670"/>
      <c r="O37" s="670"/>
      <c r="P37" s="670"/>
      <c r="Q37" s="670"/>
      <c r="R37" s="670"/>
      <c r="S37" s="670"/>
      <c r="T37" s="670"/>
      <c r="U37" s="670"/>
      <c r="V37" s="670"/>
    </row>
    <row r="38" spans="1:22" s="245" customFormat="1" ht="12.75" x14ac:dyDescent="0.2">
      <c r="A38" s="670"/>
      <c r="B38" s="670"/>
      <c r="C38" s="670"/>
      <c r="D38" s="670"/>
      <c r="E38" s="670"/>
      <c r="F38" s="670"/>
      <c r="G38" s="670"/>
      <c r="H38" s="670"/>
      <c r="I38" s="670"/>
      <c r="J38" s="670"/>
      <c r="K38" s="670"/>
      <c r="L38" s="670"/>
      <c r="M38" s="670"/>
      <c r="N38" s="670"/>
      <c r="O38" s="670"/>
      <c r="P38" s="670"/>
      <c r="Q38" s="670"/>
      <c r="R38" s="670"/>
      <c r="S38" s="670"/>
      <c r="T38" s="670"/>
      <c r="U38" s="670"/>
      <c r="V38" s="670"/>
    </row>
    <row r="39" spans="1:22" ht="12.75" x14ac:dyDescent="0.2">
      <c r="A39" s="108"/>
      <c r="B39" s="807" t="str">
        <f>" ** "&amp;ListAVS!$B$349&amp;":"</f>
        <v xml:space="preserve"> ** Wybierz sposób montażu:</v>
      </c>
      <c r="C39" s="108"/>
      <c r="D39" s="108"/>
      <c r="E39" s="108"/>
      <c r="F39" s="108"/>
      <c r="G39" s="108"/>
      <c r="H39" s="108"/>
      <c r="I39" s="108"/>
      <c r="J39" s="108"/>
      <c r="K39" s="108"/>
      <c r="L39" s="108"/>
      <c r="M39" s="108"/>
      <c r="N39" s="108"/>
      <c r="O39" s="108"/>
      <c r="P39" s="108"/>
      <c r="Q39" s="108"/>
      <c r="R39" s="108"/>
      <c r="S39" s="108"/>
      <c r="T39" s="108"/>
      <c r="V39" s="108"/>
    </row>
    <row r="40" spans="1:22" ht="12.75" x14ac:dyDescent="0.2">
      <c r="A40" s="108"/>
      <c r="B40" s="807" t="str">
        <f>"    "&amp;ListAVS!$B$350&amp;" = "&amp;ListAVS!$B$352</f>
        <v xml:space="preserve">    wkręty = podnośniki z zintegrowanym szablonem (nie ma potrzeby mierzenia)</v>
      </c>
      <c r="C40" s="108"/>
      <c r="D40" s="108"/>
      <c r="E40" s="108"/>
      <c r="F40" s="108"/>
      <c r="G40" s="108"/>
      <c r="H40" s="108"/>
      <c r="I40" s="108"/>
      <c r="J40" s="108"/>
      <c r="K40" s="108"/>
      <c r="L40" s="108"/>
      <c r="M40" s="108"/>
      <c r="N40" s="108"/>
      <c r="O40" s="108"/>
      <c r="P40" s="108"/>
      <c r="Q40" s="108"/>
      <c r="R40" s="108"/>
      <c r="S40" s="108"/>
      <c r="T40" s="108"/>
      <c r="V40" s="108"/>
    </row>
    <row r="41" spans="1:22" ht="12.75" x14ac:dyDescent="0.2">
      <c r="A41" s="108"/>
      <c r="B41" s="807" t="str">
        <f>"    "&amp;ListAVS!$B$351&amp;" = "&amp;ListAVS!$B$353</f>
        <v xml:space="preserve">    wstępnie zamontowane eurowkręty = podnośniki ze wstępnie zamontowanymi wkrętami (wymagane wstępne nawiercenie)</v>
      </c>
      <c r="C41" s="108"/>
      <c r="D41" s="108"/>
      <c r="E41" s="108"/>
      <c r="F41" s="108"/>
      <c r="G41" s="108"/>
      <c r="H41" s="108"/>
      <c r="I41" s="108"/>
      <c r="J41" s="108"/>
      <c r="K41" s="108"/>
      <c r="L41" s="108"/>
      <c r="M41" s="108"/>
      <c r="N41" s="108"/>
      <c r="O41" s="108"/>
      <c r="P41" s="108"/>
      <c r="Q41" s="108"/>
      <c r="R41" s="108"/>
      <c r="S41" s="108"/>
      <c r="T41" s="108"/>
      <c r="V41" s="108"/>
    </row>
    <row r="42" spans="1:22" x14ac:dyDescent="0.2">
      <c r="A42" s="108"/>
      <c r="B42" s="108"/>
      <c r="C42" s="108"/>
      <c r="D42" s="108"/>
      <c r="E42" s="108"/>
      <c r="F42" s="108"/>
      <c r="G42" s="108"/>
      <c r="H42" s="108"/>
      <c r="I42" s="108"/>
      <c r="J42" s="108"/>
      <c r="K42" s="108"/>
      <c r="L42" s="108"/>
      <c r="M42" s="108"/>
      <c r="N42" s="108"/>
      <c r="O42" s="108"/>
      <c r="P42" s="108"/>
      <c r="Q42" s="108"/>
      <c r="R42" s="108"/>
      <c r="S42" s="108"/>
      <c r="T42" s="108"/>
      <c r="V42" s="108"/>
    </row>
    <row r="43" spans="1:22" x14ac:dyDescent="0.2">
      <c r="A43" s="108"/>
      <c r="B43" s="108"/>
      <c r="C43" s="108"/>
      <c r="D43" s="108"/>
      <c r="E43" s="108"/>
      <c r="F43" s="108"/>
      <c r="G43" s="108"/>
      <c r="H43" s="108"/>
      <c r="I43" s="108"/>
      <c r="J43" s="108"/>
      <c r="K43" s="108"/>
      <c r="L43" s="108"/>
      <c r="M43" s="108"/>
      <c r="N43" s="108"/>
      <c r="O43" s="108"/>
      <c r="P43" s="108"/>
      <c r="Q43" s="108"/>
      <c r="R43" s="108"/>
      <c r="S43" s="108"/>
      <c r="T43" s="108"/>
      <c r="V43" s="108"/>
    </row>
    <row r="44" spans="1:22" x14ac:dyDescent="0.2">
      <c r="A44" s="108"/>
      <c r="B44" s="108"/>
      <c r="C44" s="108"/>
      <c r="D44" s="108"/>
      <c r="E44" s="108"/>
      <c r="F44" s="108"/>
      <c r="G44" s="108"/>
      <c r="H44" s="108"/>
      <c r="I44" s="108"/>
      <c r="J44" s="108"/>
      <c r="K44" s="108"/>
      <c r="L44" s="108"/>
      <c r="M44" s="108"/>
      <c r="N44" s="108"/>
      <c r="O44" s="108"/>
      <c r="P44" s="108"/>
      <c r="Q44" s="108"/>
      <c r="R44" s="108"/>
      <c r="S44" s="108"/>
      <c r="T44" s="108"/>
      <c r="V44" s="108"/>
    </row>
    <row r="45" spans="1:22" x14ac:dyDescent="0.2">
      <c r="A45" s="108"/>
      <c r="B45" s="108"/>
      <c r="C45" s="108"/>
      <c r="D45" s="108"/>
      <c r="E45" s="108"/>
      <c r="F45" s="108"/>
      <c r="G45" s="108"/>
      <c r="H45" s="108"/>
      <c r="I45" s="108"/>
      <c r="J45" s="108"/>
      <c r="K45" s="108"/>
      <c r="L45" s="108"/>
      <c r="M45" s="108"/>
      <c r="N45" s="108"/>
      <c r="O45" s="108"/>
      <c r="P45" s="108"/>
      <c r="Q45" s="108"/>
      <c r="R45" s="108"/>
      <c r="S45" s="108"/>
      <c r="T45" s="108"/>
      <c r="V45" s="108"/>
    </row>
    <row r="46" spans="1:22" x14ac:dyDescent="0.2">
      <c r="A46" s="108"/>
      <c r="B46" s="108"/>
      <c r="C46" s="108"/>
      <c r="D46" s="108"/>
      <c r="E46" s="108"/>
      <c r="F46" s="108"/>
      <c r="G46" s="108"/>
      <c r="H46" s="108"/>
      <c r="I46" s="108"/>
      <c r="J46" s="108"/>
      <c r="K46" s="108"/>
      <c r="L46" s="108"/>
      <c r="M46" s="108"/>
      <c r="N46" s="108"/>
      <c r="O46" s="108"/>
      <c r="P46" s="108"/>
      <c r="Q46" s="108"/>
      <c r="R46" s="108"/>
      <c r="S46" s="108"/>
      <c r="T46" s="108"/>
      <c r="V46" s="108"/>
    </row>
    <row r="47" spans="1:22" x14ac:dyDescent="0.2">
      <c r="A47" s="108"/>
      <c r="B47" s="108"/>
      <c r="C47" s="108"/>
      <c r="D47" s="108"/>
      <c r="E47" s="108"/>
      <c r="F47" s="108"/>
      <c r="G47" s="108"/>
      <c r="H47" s="108"/>
      <c r="I47" s="108"/>
      <c r="J47" s="108"/>
      <c r="K47" s="108"/>
      <c r="L47" s="108"/>
      <c r="M47" s="108"/>
      <c r="N47" s="108"/>
      <c r="O47" s="108"/>
      <c r="P47" s="108"/>
      <c r="Q47" s="108"/>
      <c r="R47" s="108"/>
      <c r="S47" s="108"/>
      <c r="T47" s="108"/>
      <c r="V47" s="108"/>
    </row>
    <row r="48" spans="1:22" x14ac:dyDescent="0.2">
      <c r="A48" s="108"/>
      <c r="B48" s="108"/>
      <c r="C48" s="108"/>
      <c r="D48" s="108"/>
      <c r="E48" s="108"/>
      <c r="F48" s="108"/>
      <c r="G48" s="108"/>
      <c r="H48" s="108"/>
      <c r="I48" s="108"/>
      <c r="J48" s="108"/>
      <c r="K48" s="108"/>
      <c r="L48" s="108"/>
      <c r="M48" s="108"/>
      <c r="N48" s="108"/>
      <c r="O48" s="108"/>
      <c r="P48" s="108"/>
      <c r="Q48" s="108"/>
      <c r="R48" s="108"/>
      <c r="S48" s="108"/>
      <c r="T48" s="108"/>
      <c r="V48" s="108"/>
    </row>
    <row r="49" spans="1:22" x14ac:dyDescent="0.2">
      <c r="A49" s="108"/>
      <c r="B49" s="108"/>
      <c r="C49" s="108"/>
      <c r="D49" s="108"/>
      <c r="E49" s="108"/>
      <c r="F49" s="108"/>
      <c r="G49" s="108"/>
      <c r="H49" s="108"/>
      <c r="I49" s="108"/>
      <c r="J49" s="108"/>
      <c r="K49" s="108"/>
      <c r="L49" s="108"/>
      <c r="M49" s="108"/>
      <c r="N49" s="108"/>
      <c r="O49" s="108"/>
      <c r="P49" s="108"/>
      <c r="Q49" s="108"/>
      <c r="R49" s="108"/>
      <c r="S49" s="108"/>
      <c r="T49" s="108"/>
      <c r="V49" s="108"/>
    </row>
    <row r="50" spans="1:22" x14ac:dyDescent="0.2">
      <c r="A50" s="108"/>
      <c r="B50" s="108"/>
      <c r="C50" s="108"/>
      <c r="D50" s="108"/>
      <c r="E50" s="108"/>
      <c r="F50" s="108"/>
      <c r="G50" s="108"/>
      <c r="H50" s="108"/>
      <c r="I50" s="108"/>
      <c r="J50" s="108"/>
      <c r="K50" s="108"/>
      <c r="L50" s="108"/>
      <c r="M50" s="108"/>
      <c r="N50" s="108"/>
      <c r="O50" s="108"/>
      <c r="P50" s="108"/>
      <c r="Q50" s="108"/>
      <c r="R50" s="108"/>
      <c r="S50" s="108"/>
      <c r="T50" s="108"/>
      <c r="V50" s="108"/>
    </row>
    <row r="51" spans="1:22" x14ac:dyDescent="0.2">
      <c r="A51" s="108"/>
      <c r="B51" s="108"/>
      <c r="C51" s="108"/>
      <c r="D51" s="108"/>
      <c r="E51" s="108"/>
      <c r="F51" s="108"/>
      <c r="G51" s="108"/>
      <c r="H51" s="108"/>
      <c r="I51" s="108"/>
      <c r="J51" s="108"/>
      <c r="K51" s="108"/>
      <c r="L51" s="108"/>
      <c r="M51" s="108"/>
      <c r="N51" s="108"/>
      <c r="O51" s="108"/>
      <c r="P51" s="108"/>
      <c r="Q51" s="108"/>
      <c r="R51" s="108"/>
      <c r="S51" s="108"/>
      <c r="T51" s="108"/>
      <c r="V51" s="108"/>
    </row>
    <row r="52" spans="1:22" x14ac:dyDescent="0.2">
      <c r="A52" s="108"/>
      <c r="B52" s="108"/>
      <c r="C52" s="108"/>
      <c r="D52" s="108"/>
      <c r="E52" s="108"/>
      <c r="F52" s="108"/>
      <c r="G52" s="108"/>
      <c r="H52" s="108"/>
      <c r="I52" s="108"/>
      <c r="J52" s="108"/>
      <c r="K52" s="108"/>
      <c r="L52" s="108"/>
      <c r="M52" s="108"/>
      <c r="N52" s="108"/>
      <c r="O52" s="108"/>
      <c r="P52" s="108"/>
      <c r="Q52" s="108"/>
      <c r="R52" s="108"/>
      <c r="S52" s="108"/>
      <c r="T52" s="108"/>
      <c r="V52" s="108"/>
    </row>
    <row r="53" spans="1:22" x14ac:dyDescent="0.2">
      <c r="A53" s="108"/>
      <c r="B53" s="108"/>
      <c r="C53" s="108"/>
      <c r="D53" s="108"/>
      <c r="E53" s="108"/>
      <c r="F53" s="108"/>
      <c r="G53" s="108"/>
      <c r="H53" s="108"/>
      <c r="I53" s="108"/>
      <c r="J53" s="108"/>
      <c r="K53" s="108"/>
      <c r="L53" s="108"/>
      <c r="M53" s="108"/>
      <c r="N53" s="108"/>
      <c r="O53" s="108"/>
      <c r="P53" s="108"/>
      <c r="Q53" s="108"/>
      <c r="R53" s="108"/>
      <c r="S53" s="108"/>
      <c r="T53" s="108"/>
      <c r="V53" s="108"/>
    </row>
    <row r="54" spans="1:22" x14ac:dyDescent="0.2">
      <c r="A54" s="108"/>
      <c r="B54" s="108"/>
      <c r="C54" s="108"/>
      <c r="D54" s="108"/>
      <c r="E54" s="108"/>
      <c r="F54" s="108"/>
      <c r="G54" s="108"/>
      <c r="H54" s="108"/>
      <c r="I54" s="108"/>
      <c r="J54" s="108"/>
      <c r="K54" s="108"/>
      <c r="L54" s="108"/>
      <c r="M54" s="108"/>
      <c r="N54" s="108"/>
      <c r="O54" s="108"/>
      <c r="P54" s="108"/>
      <c r="Q54" s="108"/>
      <c r="R54" s="108"/>
      <c r="S54" s="108"/>
      <c r="T54" s="108"/>
      <c r="V54" s="108"/>
    </row>
    <row r="55" spans="1:22" x14ac:dyDescent="0.2">
      <c r="A55" s="108"/>
      <c r="B55" s="108"/>
      <c r="C55" s="108"/>
      <c r="D55" s="108"/>
      <c r="E55" s="108"/>
      <c r="F55" s="108"/>
      <c r="G55" s="108"/>
      <c r="H55" s="108"/>
      <c r="I55" s="108"/>
      <c r="J55" s="108"/>
      <c r="K55" s="108"/>
      <c r="L55" s="108"/>
      <c r="M55" s="108"/>
      <c r="N55" s="108"/>
      <c r="O55" s="108"/>
      <c r="P55" s="108"/>
      <c r="Q55" s="108"/>
      <c r="R55" s="108"/>
      <c r="S55" s="108"/>
      <c r="T55" s="108"/>
      <c r="V55" s="108"/>
    </row>
    <row r="56" spans="1:22" x14ac:dyDescent="0.2">
      <c r="A56" s="108"/>
      <c r="B56" s="108"/>
      <c r="C56" s="108"/>
      <c r="D56" s="108"/>
      <c r="E56" s="108"/>
      <c r="F56" s="108"/>
      <c r="G56" s="108"/>
      <c r="H56" s="108"/>
      <c r="I56" s="108"/>
      <c r="J56" s="108"/>
      <c r="K56" s="108"/>
      <c r="L56" s="108"/>
      <c r="M56" s="108"/>
      <c r="N56" s="108"/>
      <c r="O56" s="108"/>
      <c r="P56" s="108"/>
      <c r="Q56" s="108"/>
      <c r="R56" s="108"/>
      <c r="S56" s="108"/>
      <c r="T56" s="108"/>
      <c r="V56" s="108"/>
    </row>
    <row r="57" spans="1:22" x14ac:dyDescent="0.2">
      <c r="A57" s="108"/>
      <c r="B57" s="108"/>
      <c r="C57" s="108"/>
      <c r="D57" s="108"/>
      <c r="E57" s="108"/>
      <c r="F57" s="108"/>
      <c r="G57" s="108"/>
      <c r="H57" s="108"/>
      <c r="I57" s="108"/>
      <c r="J57" s="108"/>
      <c r="K57" s="108"/>
      <c r="L57" s="108"/>
      <c r="M57" s="108"/>
      <c r="N57" s="108"/>
      <c r="O57" s="108"/>
      <c r="P57" s="108"/>
      <c r="Q57" s="108"/>
      <c r="R57" s="108"/>
      <c r="S57" s="108"/>
      <c r="T57" s="108"/>
      <c r="V57" s="108"/>
    </row>
    <row r="58" spans="1:22" x14ac:dyDescent="0.2">
      <c r="A58" s="108"/>
      <c r="B58" s="108"/>
      <c r="C58" s="108"/>
      <c r="D58" s="108"/>
      <c r="E58" s="108"/>
      <c r="F58" s="108"/>
      <c r="G58" s="108"/>
      <c r="H58" s="108"/>
      <c r="I58" s="108"/>
      <c r="J58" s="108"/>
      <c r="K58" s="108"/>
      <c r="L58" s="108"/>
      <c r="M58" s="108"/>
      <c r="N58" s="108"/>
      <c r="O58" s="108"/>
      <c r="P58" s="108"/>
      <c r="Q58" s="108"/>
      <c r="R58" s="108"/>
      <c r="S58" s="108"/>
      <c r="T58" s="108"/>
      <c r="V58" s="108"/>
    </row>
    <row r="59" spans="1:22" x14ac:dyDescent="0.2">
      <c r="A59" s="108"/>
      <c r="B59" s="108"/>
      <c r="C59" s="108"/>
      <c r="D59" s="108"/>
      <c r="E59" s="108"/>
      <c r="F59" s="108"/>
      <c r="G59" s="108"/>
      <c r="H59" s="108"/>
      <c r="I59" s="108"/>
      <c r="J59" s="108"/>
      <c r="K59" s="108"/>
      <c r="L59" s="108"/>
      <c r="M59" s="108"/>
      <c r="N59" s="108"/>
      <c r="O59" s="108"/>
      <c r="P59" s="108"/>
      <c r="Q59" s="108"/>
      <c r="R59" s="108"/>
      <c r="S59" s="108"/>
      <c r="T59" s="108"/>
      <c r="V59" s="108"/>
    </row>
    <row r="60" spans="1:22" x14ac:dyDescent="0.2">
      <c r="A60" s="108"/>
      <c r="B60" s="108"/>
      <c r="C60" s="108"/>
      <c r="D60" s="108"/>
      <c r="E60" s="108"/>
      <c r="F60" s="108"/>
      <c r="G60" s="108"/>
      <c r="H60" s="108"/>
      <c r="I60" s="108"/>
      <c r="J60" s="108"/>
      <c r="K60" s="108"/>
      <c r="L60" s="108"/>
      <c r="M60" s="108"/>
      <c r="N60" s="108"/>
      <c r="O60" s="108"/>
      <c r="P60" s="108"/>
      <c r="Q60" s="108"/>
      <c r="R60" s="108"/>
      <c r="S60" s="108"/>
      <c r="T60" s="108"/>
      <c r="V60" s="108"/>
    </row>
    <row r="61" spans="1:22" x14ac:dyDescent="0.2">
      <c r="A61" s="108"/>
      <c r="B61" s="108"/>
      <c r="C61" s="108"/>
      <c r="D61" s="108"/>
      <c r="E61" s="108"/>
      <c r="F61" s="108"/>
      <c r="G61" s="108"/>
      <c r="H61" s="108"/>
      <c r="I61" s="108"/>
      <c r="J61" s="108"/>
      <c r="K61" s="108"/>
      <c r="L61" s="108"/>
      <c r="M61" s="108"/>
      <c r="N61" s="108"/>
      <c r="O61" s="108"/>
      <c r="P61" s="108"/>
      <c r="Q61" s="108"/>
      <c r="R61" s="108"/>
      <c r="S61" s="108"/>
      <c r="T61" s="108"/>
      <c r="V61" s="108"/>
    </row>
    <row r="62" spans="1:22" x14ac:dyDescent="0.2">
      <c r="A62" s="108"/>
      <c r="B62" s="108"/>
      <c r="C62" s="108"/>
      <c r="D62" s="108"/>
      <c r="E62" s="108"/>
      <c r="F62" s="108"/>
      <c r="G62" s="108"/>
      <c r="H62" s="108"/>
      <c r="I62" s="108"/>
      <c r="J62" s="108"/>
      <c r="K62" s="108"/>
      <c r="L62" s="108"/>
      <c r="M62" s="108"/>
      <c r="N62" s="108"/>
      <c r="O62" s="108"/>
      <c r="P62" s="108"/>
      <c r="Q62" s="108"/>
      <c r="R62" s="108"/>
      <c r="S62" s="108"/>
      <c r="T62" s="108"/>
      <c r="V62" s="108"/>
    </row>
    <row r="63" spans="1:22" x14ac:dyDescent="0.2">
      <c r="A63" s="108"/>
      <c r="B63" s="108"/>
      <c r="C63" s="108"/>
      <c r="D63" s="108"/>
      <c r="E63" s="108"/>
      <c r="F63" s="108"/>
      <c r="G63" s="108"/>
      <c r="H63" s="108"/>
      <c r="I63" s="108"/>
      <c r="J63" s="108"/>
      <c r="K63" s="108"/>
      <c r="L63" s="108"/>
      <c r="M63" s="108"/>
      <c r="N63" s="108"/>
      <c r="O63" s="108"/>
      <c r="P63" s="108"/>
      <c r="Q63" s="108"/>
      <c r="R63" s="108"/>
      <c r="S63" s="108"/>
      <c r="T63" s="108"/>
      <c r="V63" s="108"/>
    </row>
    <row r="64" spans="1:22" x14ac:dyDescent="0.2">
      <c r="A64" s="108"/>
      <c r="B64" s="108"/>
      <c r="C64" s="108"/>
      <c r="D64" s="108"/>
      <c r="E64" s="108"/>
      <c r="F64" s="108"/>
      <c r="G64" s="108"/>
      <c r="H64" s="108"/>
      <c r="I64" s="108"/>
      <c r="J64" s="108"/>
      <c r="K64" s="108"/>
      <c r="L64" s="108"/>
      <c r="M64" s="108"/>
      <c r="N64" s="108"/>
      <c r="O64" s="108"/>
      <c r="P64" s="108"/>
      <c r="Q64" s="108"/>
      <c r="R64" s="108"/>
      <c r="S64" s="108"/>
      <c r="T64" s="108"/>
      <c r="V64" s="108"/>
    </row>
    <row r="65" spans="1:29" x14ac:dyDescent="0.2">
      <c r="A65" s="108"/>
      <c r="B65" s="108"/>
      <c r="C65" s="108"/>
      <c r="D65" s="108"/>
      <c r="E65" s="108"/>
      <c r="F65" s="108"/>
      <c r="G65" s="108"/>
      <c r="H65" s="108"/>
      <c r="I65" s="108"/>
      <c r="J65" s="108"/>
      <c r="K65" s="108"/>
      <c r="L65" s="108"/>
      <c r="M65" s="108"/>
      <c r="N65" s="108"/>
      <c r="O65" s="108"/>
      <c r="P65" s="108"/>
      <c r="Q65" s="108"/>
      <c r="R65" s="108"/>
      <c r="S65" s="108"/>
      <c r="T65" s="108"/>
      <c r="V65" s="108"/>
    </row>
    <row r="66" spans="1:29" x14ac:dyDescent="0.2">
      <c r="A66" s="108"/>
      <c r="B66" s="108"/>
      <c r="C66" s="108"/>
      <c r="D66" s="108"/>
      <c r="E66" s="108"/>
      <c r="F66" s="108"/>
      <c r="G66" s="108"/>
      <c r="H66" s="108"/>
      <c r="I66" s="108"/>
      <c r="J66" s="108"/>
      <c r="K66" s="108"/>
      <c r="L66" s="108"/>
      <c r="M66" s="108"/>
      <c r="N66" s="108"/>
      <c r="O66" s="108"/>
      <c r="P66" s="108"/>
      <c r="Q66" s="108"/>
      <c r="R66" s="108"/>
      <c r="S66" s="108"/>
      <c r="T66" s="108"/>
      <c r="V66" s="108"/>
    </row>
    <row r="67" spans="1:29" x14ac:dyDescent="0.2">
      <c r="A67" s="108"/>
      <c r="B67" s="108"/>
      <c r="C67" s="108"/>
      <c r="D67" s="108"/>
      <c r="E67" s="108"/>
      <c r="F67" s="108"/>
      <c r="G67" s="108"/>
      <c r="H67" s="108"/>
      <c r="I67" s="108"/>
      <c r="J67" s="108"/>
      <c r="K67" s="108"/>
      <c r="L67" s="108"/>
      <c r="M67" s="108"/>
      <c r="N67" s="108"/>
      <c r="O67" s="108"/>
      <c r="P67" s="108"/>
      <c r="Q67" s="108"/>
      <c r="R67" s="108"/>
      <c r="S67" s="108"/>
      <c r="T67" s="108"/>
      <c r="V67" s="108"/>
    </row>
    <row r="68" spans="1:29" x14ac:dyDescent="0.2">
      <c r="A68" s="108"/>
      <c r="B68" s="108"/>
      <c r="C68" s="108"/>
      <c r="D68" s="108"/>
      <c r="E68" s="108"/>
      <c r="F68" s="108"/>
      <c r="G68" s="108"/>
      <c r="H68" s="108"/>
      <c r="I68" s="108"/>
      <c r="J68" s="108"/>
      <c r="K68" s="108"/>
      <c r="L68" s="108"/>
      <c r="M68" s="108"/>
      <c r="N68" s="108"/>
      <c r="O68" s="108"/>
      <c r="P68" s="108"/>
      <c r="Q68" s="108"/>
      <c r="R68" s="108"/>
      <c r="S68" s="108"/>
      <c r="T68" s="108"/>
      <c r="V68" s="108"/>
    </row>
    <row r="69" spans="1:29" x14ac:dyDescent="0.2">
      <c r="A69" s="980"/>
      <c r="B69" s="108"/>
      <c r="C69" s="108"/>
      <c r="D69" s="108"/>
      <c r="E69" s="108"/>
      <c r="F69" s="108"/>
      <c r="G69" s="108"/>
      <c r="H69" s="108"/>
      <c r="I69" s="108"/>
      <c r="J69" s="108"/>
      <c r="K69" s="108"/>
      <c r="L69" s="108"/>
      <c r="M69" s="108"/>
      <c r="N69" s="108"/>
      <c r="O69" s="108"/>
      <c r="P69" s="108"/>
      <c r="Q69" s="108"/>
      <c r="R69" s="108"/>
      <c r="S69" s="108"/>
      <c r="T69" s="108"/>
      <c r="V69" s="108"/>
    </row>
    <row r="70" spans="1:29" s="253" customFormat="1" ht="15" customHeight="1" x14ac:dyDescent="0.2">
      <c r="A70" s="980"/>
      <c r="B70" s="266"/>
      <c r="C70" s="308" t="s">
        <v>11</v>
      </c>
      <c r="D70" s="609"/>
      <c r="E70" s="609"/>
      <c r="F70" s="609"/>
      <c r="G70" s="609"/>
      <c r="H70" s="609"/>
      <c r="I70" s="609"/>
      <c r="J70" s="609"/>
      <c r="K70" s="609"/>
      <c r="L70" s="609"/>
      <c r="M70" s="255"/>
      <c r="N70" s="255"/>
      <c r="O70" s="248"/>
      <c r="P70" s="255"/>
      <c r="Q70" s="255"/>
      <c r="R70" s="255"/>
      <c r="S70" s="255"/>
      <c r="T70" s="248"/>
      <c r="U70" s="108"/>
      <c r="V70" s="255"/>
      <c r="W70" s="255"/>
      <c r="X70" s="255"/>
      <c r="Y70" s="255"/>
      <c r="Z70" s="255"/>
      <c r="AA70" s="825"/>
      <c r="AB70" s="825"/>
      <c r="AC70" s="825"/>
    </row>
    <row r="71" spans="1:29" s="253" customFormat="1" ht="15" customHeight="1" x14ac:dyDescent="0.2">
      <c r="A71" s="980"/>
      <c r="B71" s="266"/>
      <c r="C71" s="313"/>
      <c r="D71" s="313"/>
      <c r="E71" s="313"/>
      <c r="F71" s="313"/>
      <c r="G71" s="313"/>
      <c r="H71" s="313"/>
      <c r="I71" s="313"/>
      <c r="J71" s="313"/>
      <c r="K71" s="313"/>
      <c r="L71" s="313"/>
      <c r="M71" s="255"/>
      <c r="N71" s="255"/>
      <c r="O71" s="248"/>
      <c r="P71" s="255"/>
      <c r="Q71" s="255"/>
      <c r="R71" s="255"/>
      <c r="S71" s="255"/>
      <c r="T71" s="248"/>
      <c r="U71" s="670"/>
      <c r="V71" s="255"/>
      <c r="W71" s="255"/>
      <c r="X71" s="255"/>
      <c r="Y71" s="255"/>
      <c r="Z71" s="255"/>
      <c r="AA71" s="825"/>
      <c r="AB71" s="825"/>
      <c r="AC71" s="825"/>
    </row>
    <row r="72" spans="1:29" s="607" customFormat="1" ht="15" customHeight="1" x14ac:dyDescent="0.2">
      <c r="A72" s="980"/>
      <c r="B72" s="670"/>
      <c r="C72" s="670"/>
      <c r="D72" s="670"/>
      <c r="E72" s="670"/>
      <c r="F72" s="670"/>
      <c r="G72" s="670"/>
      <c r="H72" s="670"/>
      <c r="I72" s="670"/>
      <c r="J72" s="670"/>
      <c r="K72" s="670"/>
      <c r="L72" s="670"/>
      <c r="M72" s="670"/>
      <c r="N72" s="670"/>
      <c r="O72" s="670"/>
      <c r="P72" s="670"/>
      <c r="Q72" s="670"/>
      <c r="R72" s="670"/>
      <c r="S72" s="670"/>
      <c r="T72" s="670"/>
      <c r="U72" s="255"/>
      <c r="V72" s="670"/>
      <c r="W72" s="825"/>
      <c r="X72" s="825"/>
      <c r="Y72" s="825"/>
      <c r="Z72" s="825"/>
      <c r="AA72" s="825"/>
      <c r="AB72" s="825"/>
      <c r="AC72" s="825"/>
    </row>
    <row r="73" spans="1:29" s="607" customFormat="1" ht="15" customHeight="1" x14ac:dyDescent="0.2">
      <c r="A73" s="980"/>
      <c r="B73" s="670"/>
      <c r="C73" s="670" t="str">
        <f>ListAVS!$B$302</f>
        <v>Wybierz dogodną technikę montażu zawiasów i prowadników</v>
      </c>
      <c r="D73" s="670"/>
      <c r="E73" s="670"/>
      <c r="F73" s="670"/>
      <c r="G73" s="670"/>
      <c r="H73" s="670"/>
      <c r="I73" s="670"/>
      <c r="J73" s="670"/>
      <c r="K73" s="670"/>
      <c r="L73" s="670"/>
      <c r="M73" s="670"/>
      <c r="N73" s="670"/>
      <c r="O73" s="670"/>
      <c r="P73" s="670"/>
      <c r="Q73" s="670"/>
      <c r="R73" s="670"/>
      <c r="S73" s="670"/>
      <c r="T73" s="670"/>
      <c r="U73" s="255"/>
      <c r="V73" s="670"/>
      <c r="W73" s="825"/>
      <c r="X73" s="825"/>
      <c r="Y73" s="825"/>
      <c r="Z73" s="825"/>
      <c r="AA73" s="825"/>
      <c r="AB73" s="825"/>
      <c r="AC73" s="825"/>
    </row>
    <row r="74" spans="1:29" s="607" customFormat="1" ht="15" customHeight="1" x14ac:dyDescent="0.2">
      <c r="A74" s="980"/>
      <c r="B74" s="670"/>
      <c r="C74" s="670"/>
      <c r="D74" s="670"/>
      <c r="E74" s="670"/>
      <c r="F74" s="670"/>
      <c r="G74" s="670"/>
      <c r="H74" s="670"/>
      <c r="I74" s="670"/>
      <c r="J74" s="670"/>
      <c r="K74" s="670"/>
      <c r="L74" s="670"/>
      <c r="M74" s="670"/>
      <c r="N74" s="670"/>
      <c r="O74" s="670"/>
      <c r="P74" s="670"/>
      <c r="Q74" s="670"/>
      <c r="R74" s="670"/>
      <c r="S74" s="670"/>
      <c r="T74" s="670"/>
      <c r="U74" s="670"/>
      <c r="V74" s="670"/>
      <c r="W74" s="825"/>
      <c r="X74" s="825"/>
      <c r="Y74" s="825"/>
      <c r="Z74" s="825"/>
      <c r="AA74" s="825"/>
      <c r="AB74" s="825"/>
      <c r="AC74" s="825"/>
    </row>
    <row r="75" spans="1:29" s="607" customFormat="1" ht="15" customHeight="1" x14ac:dyDescent="0.2">
      <c r="A75" s="980"/>
      <c r="B75" s="670"/>
      <c r="C75" s="670" t="str">
        <f>ListAVS!$B$289</f>
        <v>Kliknij na zdjęcie lub opis, aby przejść do żądanego typu podnośnika.</v>
      </c>
      <c r="D75" s="670"/>
      <c r="E75" s="670"/>
      <c r="F75" s="670"/>
      <c r="G75" s="670"/>
      <c r="H75" s="670"/>
      <c r="I75" s="670"/>
      <c r="J75" s="670"/>
      <c r="K75" s="670"/>
      <c r="L75" s="670"/>
      <c r="M75" s="670"/>
      <c r="N75" s="670"/>
      <c r="O75" s="670"/>
      <c r="P75" s="670"/>
      <c r="Q75" s="670"/>
      <c r="R75" s="670"/>
      <c r="S75" s="670"/>
      <c r="T75" s="670"/>
      <c r="U75" s="670"/>
      <c r="V75" s="670"/>
      <c r="W75" s="825"/>
      <c r="X75" s="825"/>
      <c r="Y75" s="825"/>
      <c r="Z75" s="825"/>
      <c r="AA75" s="825"/>
      <c r="AB75" s="825"/>
      <c r="AC75" s="825"/>
    </row>
    <row r="76" spans="1:29" s="607" customFormat="1" ht="15" customHeight="1" x14ac:dyDescent="0.2">
      <c r="A76" s="980"/>
      <c r="B76" s="670"/>
      <c r="C76" s="670"/>
      <c r="D76" s="670"/>
      <c r="E76" s="670"/>
      <c r="F76" s="670"/>
      <c r="G76" s="670"/>
      <c r="H76" s="670"/>
      <c r="I76" s="670"/>
      <c r="J76" s="670"/>
      <c r="K76" s="670"/>
      <c r="L76" s="670"/>
      <c r="M76" s="670"/>
      <c r="N76" s="670"/>
      <c r="O76" s="670"/>
      <c r="P76" s="670"/>
      <c r="Q76" s="670"/>
      <c r="R76" s="670"/>
      <c r="S76" s="670"/>
      <c r="T76" s="670"/>
      <c r="U76" s="670"/>
      <c r="V76" s="670"/>
      <c r="W76" s="825"/>
      <c r="X76" s="825"/>
      <c r="Y76" s="825"/>
      <c r="Z76" s="825"/>
      <c r="AA76" s="825"/>
      <c r="AB76" s="825"/>
      <c r="AC76" s="825"/>
    </row>
    <row r="77" spans="1:29" s="607" customFormat="1" ht="15" customHeight="1" x14ac:dyDescent="0.2">
      <c r="A77" s="980"/>
      <c r="B77" s="670"/>
      <c r="C77" s="670"/>
      <c r="D77" s="670"/>
      <c r="E77" s="670"/>
      <c r="F77" s="670"/>
      <c r="G77" s="670"/>
      <c r="H77" s="670"/>
      <c r="I77" s="670"/>
      <c r="J77" s="670"/>
      <c r="K77" s="670"/>
      <c r="L77" s="670"/>
      <c r="M77" s="670"/>
      <c r="N77" s="670"/>
      <c r="O77" s="670"/>
      <c r="P77" s="670"/>
      <c r="Q77" s="670"/>
      <c r="R77" s="670"/>
      <c r="S77" s="670"/>
      <c r="T77" s="670"/>
      <c r="U77" s="670"/>
      <c r="V77" s="670"/>
      <c r="W77" s="825"/>
      <c r="X77" s="825"/>
      <c r="Y77" s="825"/>
      <c r="Z77" s="825"/>
      <c r="AA77" s="825"/>
      <c r="AB77" s="825"/>
      <c r="AC77" s="825"/>
    </row>
    <row r="78" spans="1:29" s="607" customFormat="1" ht="15" customHeight="1" x14ac:dyDescent="0.2">
      <c r="A78" s="980"/>
      <c r="B78" s="670"/>
      <c r="C78" s="670"/>
      <c r="D78" s="670"/>
      <c r="E78" s="670"/>
      <c r="F78" s="670"/>
      <c r="G78" s="670"/>
      <c r="H78" s="670"/>
      <c r="I78" s="670"/>
      <c r="J78" s="670"/>
      <c r="K78" s="670"/>
      <c r="L78" s="670"/>
      <c r="M78" s="670"/>
      <c r="N78" s="670"/>
      <c r="O78" s="670"/>
      <c r="P78" s="670"/>
      <c r="Q78" s="670"/>
      <c r="R78" s="670"/>
      <c r="S78" s="670"/>
      <c r="T78" s="670"/>
      <c r="U78" s="670"/>
      <c r="V78" s="670"/>
      <c r="W78" s="825"/>
      <c r="X78" s="825"/>
      <c r="Y78" s="825"/>
      <c r="Z78" s="825"/>
      <c r="AA78" s="825"/>
      <c r="AB78" s="825"/>
      <c r="AC78" s="825"/>
    </row>
    <row r="79" spans="1:29" s="607" customFormat="1" ht="15" customHeight="1" x14ac:dyDescent="0.2">
      <c r="A79" s="980"/>
      <c r="B79" s="670"/>
      <c r="C79" s="670"/>
      <c r="D79" s="670"/>
      <c r="E79" s="670"/>
      <c r="F79" s="670"/>
      <c r="G79" s="670"/>
      <c r="H79" s="670"/>
      <c r="I79" s="670"/>
      <c r="J79" s="670"/>
      <c r="K79" s="670"/>
      <c r="L79" s="670"/>
      <c r="M79" s="670"/>
      <c r="N79" s="670"/>
      <c r="O79" s="670"/>
      <c r="P79" s="670"/>
      <c r="Q79" s="670"/>
      <c r="R79" s="670"/>
      <c r="S79" s="670"/>
      <c r="T79" s="670"/>
      <c r="U79" s="670"/>
      <c r="V79" s="670"/>
      <c r="W79" s="825"/>
      <c r="X79" s="825"/>
      <c r="Y79" s="825"/>
      <c r="Z79" s="825"/>
      <c r="AA79" s="825"/>
      <c r="AB79" s="825"/>
      <c r="AC79" s="825"/>
    </row>
    <row r="80" spans="1:29" s="607" customFormat="1" ht="15" customHeight="1" x14ac:dyDescent="0.2">
      <c r="A80" s="980"/>
      <c r="B80" s="670"/>
      <c r="C80" s="670"/>
      <c r="D80" s="670"/>
      <c r="E80" s="670"/>
      <c r="F80" s="670"/>
      <c r="G80" s="670"/>
      <c r="H80" s="670"/>
      <c r="I80" s="670"/>
      <c r="J80" s="670"/>
      <c r="K80" s="670"/>
      <c r="L80" s="670"/>
      <c r="M80" s="670"/>
      <c r="N80" s="670"/>
      <c r="O80" s="670"/>
      <c r="P80" s="670"/>
      <c r="Q80" s="670"/>
      <c r="R80" s="670"/>
      <c r="S80" s="670"/>
      <c r="T80" s="670"/>
      <c r="U80" s="670"/>
      <c r="V80" s="670"/>
      <c r="W80" s="825"/>
      <c r="X80" s="825"/>
      <c r="Y80" s="825"/>
      <c r="Z80" s="825"/>
      <c r="AA80" s="825"/>
      <c r="AB80" s="825"/>
      <c r="AC80" s="825"/>
    </row>
    <row r="81" spans="1:22" s="607" customFormat="1" ht="15" customHeight="1" x14ac:dyDescent="0.2">
      <c r="A81" s="980"/>
      <c r="B81" s="670"/>
      <c r="C81" s="670"/>
      <c r="D81" s="670"/>
      <c r="E81" s="670"/>
      <c r="F81" s="670"/>
      <c r="G81" s="670"/>
      <c r="H81" s="670"/>
      <c r="I81" s="670"/>
      <c r="J81" s="670"/>
      <c r="K81" s="670"/>
      <c r="L81" s="670"/>
      <c r="M81" s="670"/>
      <c r="N81" s="670"/>
      <c r="O81" s="670"/>
      <c r="P81" s="670"/>
      <c r="Q81" s="670"/>
      <c r="R81" s="670"/>
      <c r="S81" s="670"/>
      <c r="T81" s="670"/>
      <c r="U81" s="670"/>
      <c r="V81" s="670"/>
    </row>
    <row r="82" spans="1:22" s="607" customFormat="1" ht="15" customHeight="1" x14ac:dyDescent="0.2">
      <c r="A82" s="980"/>
      <c r="B82" s="670"/>
      <c r="C82" s="670"/>
      <c r="D82" s="670"/>
      <c r="E82" s="670"/>
      <c r="F82" s="670"/>
      <c r="G82" s="670"/>
      <c r="H82" s="670"/>
      <c r="I82" s="670"/>
      <c r="J82" s="670"/>
      <c r="K82" s="670"/>
      <c r="L82" s="670"/>
      <c r="M82" s="670"/>
      <c r="N82" s="670"/>
      <c r="O82" s="670"/>
      <c r="P82" s="670"/>
      <c r="Q82" s="670"/>
      <c r="R82" s="670"/>
      <c r="S82" s="670"/>
      <c r="T82" s="670"/>
      <c r="U82" s="670"/>
      <c r="V82" s="670"/>
    </row>
    <row r="83" spans="1:22" s="607" customFormat="1" ht="15" customHeight="1" x14ac:dyDescent="0.2">
      <c r="A83" s="980"/>
      <c r="B83" s="670"/>
      <c r="C83" s="670"/>
      <c r="D83" s="670"/>
      <c r="E83" s="670"/>
      <c r="F83" s="670"/>
      <c r="G83" s="670"/>
      <c r="H83" s="670"/>
      <c r="I83" s="670"/>
      <c r="J83" s="670"/>
      <c r="K83" s="670"/>
      <c r="L83" s="670"/>
      <c r="M83" s="670"/>
      <c r="N83" s="670"/>
      <c r="O83" s="670"/>
      <c r="P83" s="670"/>
      <c r="Q83" s="670"/>
      <c r="R83" s="670"/>
      <c r="S83" s="670"/>
      <c r="T83" s="670"/>
      <c r="U83" s="670"/>
      <c r="V83" s="670"/>
    </row>
    <row r="84" spans="1:22" s="607" customFormat="1" ht="15" customHeight="1" x14ac:dyDescent="0.2">
      <c r="A84" s="980"/>
      <c r="B84" s="670"/>
      <c r="C84" s="670"/>
      <c r="D84" s="670"/>
      <c r="E84" s="670"/>
      <c r="F84" s="670"/>
      <c r="G84" s="670"/>
      <c r="H84" s="670"/>
      <c r="I84" s="670"/>
      <c r="J84" s="670"/>
      <c r="K84" s="670"/>
      <c r="L84" s="670"/>
      <c r="M84" s="670"/>
      <c r="N84" s="670"/>
      <c r="O84" s="670"/>
      <c r="P84" s="670"/>
      <c r="Q84" s="670"/>
      <c r="R84" s="670"/>
      <c r="S84" s="670"/>
      <c r="T84" s="670"/>
      <c r="U84" s="670"/>
      <c r="V84" s="670"/>
    </row>
    <row r="85" spans="1:22" s="607" customFormat="1" ht="15" customHeight="1" x14ac:dyDescent="0.2">
      <c r="A85" s="980"/>
      <c r="B85" s="670"/>
      <c r="C85" s="670"/>
      <c r="D85" s="670"/>
      <c r="E85" s="670"/>
      <c r="F85" s="670"/>
      <c r="G85" s="670"/>
      <c r="H85" s="1032" t="str">
        <f>ListAVS!$B$168</f>
        <v>Z powrotem</v>
      </c>
      <c r="I85" s="1032"/>
      <c r="J85" s="979" t="str">
        <f>ListAVS!$B$168</f>
        <v>Z powrotem</v>
      </c>
      <c r="K85" s="979"/>
      <c r="L85" s="670"/>
      <c r="M85" s="670"/>
      <c r="N85" s="670"/>
      <c r="O85" s="670"/>
      <c r="P85" s="670"/>
      <c r="Q85" s="670"/>
      <c r="R85" s="670"/>
      <c r="S85" s="670"/>
      <c r="T85" s="670"/>
      <c r="U85" s="670"/>
      <c r="V85" s="670"/>
    </row>
    <row r="86" spans="1:22" s="607" customFormat="1" ht="15" customHeight="1" x14ac:dyDescent="0.2">
      <c r="A86" s="980"/>
      <c r="B86" s="670"/>
      <c r="C86" s="670"/>
      <c r="D86" s="670"/>
      <c r="E86" s="670"/>
      <c r="F86" s="670"/>
      <c r="G86" s="670"/>
      <c r="H86" s="670"/>
      <c r="I86" s="670"/>
      <c r="J86" s="670"/>
      <c r="K86" s="670"/>
      <c r="L86" s="670"/>
      <c r="M86" s="670"/>
      <c r="N86" s="670"/>
      <c r="O86" s="670"/>
      <c r="P86" s="670"/>
      <c r="Q86" s="670"/>
      <c r="R86" s="670"/>
      <c r="S86" s="670"/>
      <c r="T86" s="670"/>
      <c r="U86" s="670"/>
      <c r="V86" s="670"/>
    </row>
    <row r="87" spans="1:22" s="607" customFormat="1" ht="15" customHeight="1" x14ac:dyDescent="0.2">
      <c r="A87" s="980"/>
      <c r="B87" s="670"/>
      <c r="C87" s="670"/>
      <c r="D87" s="670"/>
      <c r="E87" s="670"/>
      <c r="F87" s="670"/>
      <c r="G87" s="670"/>
      <c r="H87" s="670"/>
      <c r="I87" s="670"/>
      <c r="J87" s="670"/>
      <c r="K87" s="670"/>
      <c r="L87" s="670"/>
      <c r="M87" s="670"/>
      <c r="N87" s="670"/>
      <c r="O87" s="670"/>
      <c r="P87" s="670"/>
      <c r="Q87" s="670"/>
      <c r="R87" s="670"/>
      <c r="S87" s="670"/>
      <c r="T87" s="670"/>
      <c r="U87" s="670"/>
      <c r="V87" s="670"/>
    </row>
    <row r="88" spans="1:22" s="607" customFormat="1" ht="15" customHeight="1" x14ac:dyDescent="0.2">
      <c r="A88" s="980"/>
      <c r="B88" s="670"/>
      <c r="C88" s="670"/>
      <c r="D88" s="670"/>
      <c r="E88" s="670"/>
      <c r="F88" s="670"/>
      <c r="G88" s="670"/>
      <c r="H88" s="670"/>
      <c r="I88" s="670"/>
      <c r="J88" s="670"/>
      <c r="K88" s="670"/>
      <c r="L88" s="670"/>
      <c r="M88" s="670"/>
      <c r="N88" s="670"/>
      <c r="O88" s="670"/>
      <c r="P88" s="670"/>
      <c r="Q88" s="670"/>
      <c r="R88" s="670"/>
      <c r="S88" s="670"/>
      <c r="T88" s="670"/>
      <c r="U88" s="670"/>
      <c r="V88" s="670"/>
    </row>
    <row r="89" spans="1:22" s="607" customFormat="1" ht="15" customHeight="1" x14ac:dyDescent="0.2">
      <c r="A89" s="980"/>
      <c r="B89" s="670"/>
      <c r="C89" s="670"/>
      <c r="D89" s="670"/>
      <c r="E89" s="670"/>
      <c r="F89" s="670"/>
      <c r="G89" s="670"/>
      <c r="H89" s="670"/>
      <c r="I89" s="670"/>
      <c r="J89" s="670"/>
      <c r="K89" s="670"/>
      <c r="L89" s="670"/>
      <c r="M89" s="670"/>
      <c r="N89" s="670"/>
      <c r="O89" s="670"/>
      <c r="P89" s="670"/>
      <c r="Q89" s="670"/>
      <c r="R89" s="670"/>
      <c r="S89" s="670"/>
      <c r="T89" s="670"/>
      <c r="U89" s="670"/>
      <c r="V89" s="670"/>
    </row>
    <row r="90" spans="1:22" s="607" customFormat="1" ht="15" customHeight="1" x14ac:dyDescent="0.2">
      <c r="A90" s="980"/>
      <c r="B90" s="670"/>
      <c r="C90" s="670"/>
      <c r="D90" s="670"/>
      <c r="E90" s="670"/>
      <c r="F90" s="670"/>
      <c r="G90" s="670"/>
      <c r="H90" s="670"/>
      <c r="I90" s="670"/>
      <c r="J90" s="670"/>
      <c r="K90" s="670"/>
      <c r="L90" s="670"/>
      <c r="M90" s="670"/>
      <c r="N90" s="670"/>
      <c r="O90" s="670"/>
      <c r="P90" s="670"/>
      <c r="Q90" s="670"/>
      <c r="R90" s="670"/>
      <c r="S90" s="670"/>
      <c r="T90" s="670"/>
      <c r="U90" s="670"/>
      <c r="V90" s="670"/>
    </row>
    <row r="91" spans="1:22" s="607" customFormat="1" ht="15" customHeight="1" x14ac:dyDescent="0.2">
      <c r="A91" s="980"/>
      <c r="B91" s="670"/>
      <c r="C91" s="670"/>
      <c r="D91" s="670"/>
      <c r="E91" s="670"/>
      <c r="F91" s="670"/>
      <c r="G91" s="670"/>
      <c r="H91" s="670"/>
      <c r="I91" s="670"/>
      <c r="J91" s="670"/>
      <c r="K91" s="670"/>
      <c r="L91" s="670"/>
      <c r="M91" s="670"/>
      <c r="N91" s="670"/>
      <c r="O91" s="670"/>
      <c r="P91" s="670"/>
      <c r="Q91" s="670"/>
      <c r="R91" s="670"/>
      <c r="S91" s="670"/>
      <c r="T91" s="670"/>
      <c r="U91" s="670"/>
      <c r="V91" s="670"/>
    </row>
    <row r="92" spans="1:22" s="607" customFormat="1" ht="15" customHeight="1" x14ac:dyDescent="0.2">
      <c r="A92" s="980"/>
      <c r="B92" s="670"/>
      <c r="C92" s="670"/>
      <c r="D92" s="670"/>
      <c r="E92" s="670"/>
      <c r="F92" s="670"/>
      <c r="G92" s="670"/>
      <c r="H92" s="670"/>
      <c r="I92" s="670"/>
      <c r="J92" s="670"/>
      <c r="K92" s="670"/>
      <c r="L92" s="670"/>
      <c r="M92" s="670"/>
      <c r="N92" s="670"/>
      <c r="O92" s="670"/>
      <c r="P92" s="670"/>
      <c r="Q92" s="670"/>
      <c r="R92" s="670"/>
      <c r="S92" s="670"/>
      <c r="T92" s="670"/>
      <c r="U92" s="670"/>
      <c r="V92" s="670"/>
    </row>
    <row r="93" spans="1:22" s="607" customFormat="1" ht="15" customHeight="1" x14ac:dyDescent="0.2">
      <c r="A93" s="980"/>
      <c r="B93" s="670"/>
      <c r="C93" s="670"/>
      <c r="D93" s="670"/>
      <c r="E93" s="670"/>
      <c r="F93" s="670"/>
      <c r="G93" s="670"/>
      <c r="H93" s="670"/>
      <c r="I93" s="670"/>
      <c r="J93" s="670"/>
      <c r="K93" s="670"/>
      <c r="L93" s="670"/>
      <c r="M93" s="670"/>
      <c r="N93" s="670"/>
      <c r="O93" s="670"/>
      <c r="P93" s="670"/>
      <c r="Q93" s="670"/>
      <c r="R93" s="670"/>
      <c r="S93" s="670"/>
      <c r="T93" s="670"/>
      <c r="U93" s="670"/>
      <c r="V93" s="670"/>
    </row>
    <row r="94" spans="1:22" s="607" customFormat="1" ht="15" customHeight="1" x14ac:dyDescent="0.2">
      <c r="A94" s="980"/>
      <c r="B94" s="670"/>
      <c r="C94" s="670"/>
      <c r="D94" s="670"/>
      <c r="E94" s="670"/>
      <c r="F94" s="670"/>
      <c r="G94" s="670"/>
      <c r="H94" s="670"/>
      <c r="I94" s="670"/>
      <c r="J94" s="670"/>
      <c r="K94" s="670"/>
      <c r="L94" s="670"/>
      <c r="M94" s="670"/>
      <c r="N94" s="670"/>
      <c r="O94" s="670"/>
      <c r="P94" s="670"/>
      <c r="Q94" s="670"/>
      <c r="R94" s="670"/>
      <c r="S94" s="670"/>
      <c r="T94" s="670"/>
      <c r="U94" s="670"/>
      <c r="V94" s="670"/>
    </row>
    <row r="95" spans="1:22" ht="12.75" x14ac:dyDescent="0.2">
      <c r="A95" s="980"/>
      <c r="B95" s="108"/>
      <c r="C95" s="108"/>
      <c r="D95" s="108"/>
      <c r="E95" s="108"/>
      <c r="F95" s="108"/>
      <c r="G95" s="108"/>
      <c r="H95" s="108"/>
      <c r="I95" s="108"/>
      <c r="J95" s="108"/>
      <c r="K95" s="108"/>
      <c r="L95" s="108"/>
      <c r="M95" s="108"/>
      <c r="N95" s="108"/>
      <c r="O95" s="108"/>
      <c r="P95" s="108"/>
      <c r="Q95" s="108"/>
      <c r="R95" s="108"/>
      <c r="S95" s="108"/>
      <c r="T95" s="108"/>
      <c r="U95" s="670"/>
      <c r="V95" s="108"/>
    </row>
    <row r="96" spans="1:22" x14ac:dyDescent="0.2">
      <c r="A96" s="980"/>
      <c r="B96" s="108"/>
      <c r="C96" s="108"/>
      <c r="D96" s="108"/>
      <c r="E96" s="108"/>
      <c r="F96" s="108"/>
      <c r="G96" s="108"/>
      <c r="H96" s="108"/>
      <c r="I96" s="108"/>
      <c r="J96" s="108"/>
      <c r="K96" s="108"/>
      <c r="L96" s="108"/>
      <c r="M96" s="108"/>
      <c r="N96" s="108"/>
      <c r="O96" s="108"/>
      <c r="P96" s="108"/>
      <c r="Q96" s="108"/>
      <c r="R96" s="108"/>
      <c r="S96" s="108"/>
      <c r="T96" s="108"/>
      <c r="V96" s="108"/>
    </row>
    <row r="97" spans="1:22" x14ac:dyDescent="0.2">
      <c r="A97" s="980"/>
      <c r="B97" s="108"/>
      <c r="C97" s="108"/>
      <c r="D97" s="108"/>
      <c r="E97" s="108"/>
      <c r="F97" s="108"/>
      <c r="G97" s="108"/>
      <c r="H97" s="108"/>
      <c r="I97" s="108"/>
      <c r="J97" s="108"/>
      <c r="K97" s="108"/>
      <c r="L97" s="108"/>
      <c r="M97" s="108"/>
      <c r="N97" s="108"/>
      <c r="O97" s="108"/>
      <c r="P97" s="108"/>
      <c r="Q97" s="108"/>
      <c r="R97" s="108"/>
      <c r="S97" s="108"/>
      <c r="T97" s="108"/>
      <c r="V97" s="108"/>
    </row>
    <row r="98" spans="1:22" x14ac:dyDescent="0.2">
      <c r="A98" s="980"/>
      <c r="B98" s="108"/>
      <c r="C98" s="108"/>
      <c r="D98" s="108"/>
      <c r="E98" s="108"/>
      <c r="F98" s="108"/>
      <c r="G98" s="108"/>
      <c r="H98" s="108"/>
      <c r="I98" s="108"/>
      <c r="J98" s="108"/>
      <c r="K98" s="108"/>
      <c r="L98" s="108"/>
      <c r="M98" s="108"/>
      <c r="N98" s="108"/>
      <c r="O98" s="108"/>
      <c r="P98" s="108"/>
      <c r="Q98" s="108"/>
      <c r="R98" s="108"/>
      <c r="S98" s="108"/>
      <c r="T98" s="108"/>
      <c r="V98" s="108"/>
    </row>
    <row r="99" spans="1:22" x14ac:dyDescent="0.2">
      <c r="A99" s="980"/>
      <c r="B99" s="108"/>
      <c r="C99" s="108"/>
      <c r="D99" s="108"/>
      <c r="E99" s="108"/>
      <c r="F99" s="108"/>
      <c r="G99" s="108"/>
      <c r="H99" s="108"/>
      <c r="I99" s="108"/>
      <c r="J99" s="108"/>
      <c r="K99" s="108"/>
      <c r="L99" s="108"/>
      <c r="M99" s="108"/>
      <c r="N99" s="108"/>
      <c r="O99" s="108"/>
      <c r="P99" s="108"/>
      <c r="Q99" s="108"/>
      <c r="R99" s="108"/>
      <c r="S99" s="108"/>
      <c r="T99" s="108"/>
      <c r="V99" s="108"/>
    </row>
    <row r="100" spans="1:22" x14ac:dyDescent="0.2">
      <c r="A100" s="980"/>
      <c r="B100" s="108"/>
      <c r="C100" s="108"/>
      <c r="D100" s="108"/>
      <c r="E100" s="108"/>
      <c r="F100" s="108"/>
      <c r="G100" s="108"/>
      <c r="H100" s="108"/>
      <c r="I100" s="108"/>
      <c r="J100" s="108"/>
      <c r="K100" s="108"/>
      <c r="L100" s="108"/>
      <c r="M100" s="108"/>
      <c r="N100" s="108"/>
      <c r="O100" s="108"/>
      <c r="P100" s="108"/>
      <c r="Q100" s="108"/>
      <c r="R100" s="108"/>
      <c r="S100" s="108"/>
      <c r="T100" s="108"/>
      <c r="V100" s="108"/>
    </row>
    <row r="101" spans="1:22" x14ac:dyDescent="0.2">
      <c r="A101" s="980"/>
      <c r="B101" s="108"/>
      <c r="C101" s="108"/>
      <c r="D101" s="108"/>
      <c r="E101" s="108"/>
      <c r="F101" s="108"/>
      <c r="G101" s="108"/>
      <c r="H101" s="108"/>
      <c r="I101" s="108"/>
      <c r="J101" s="108"/>
      <c r="K101" s="108"/>
      <c r="L101" s="108"/>
      <c r="M101" s="108"/>
      <c r="N101" s="108"/>
      <c r="O101" s="108"/>
      <c r="P101" s="108"/>
      <c r="Q101" s="108"/>
      <c r="R101" s="108"/>
      <c r="S101" s="108"/>
      <c r="T101" s="108"/>
      <c r="V101" s="108"/>
    </row>
    <row r="102" spans="1:22" x14ac:dyDescent="0.2">
      <c r="A102" s="980"/>
      <c r="B102" s="108"/>
      <c r="C102" s="108"/>
      <c r="D102" s="108"/>
      <c r="E102" s="108"/>
      <c r="F102" s="108"/>
      <c r="G102" s="108"/>
      <c r="H102" s="108"/>
      <c r="I102" s="108"/>
      <c r="J102" s="108"/>
      <c r="K102" s="108"/>
      <c r="L102" s="108"/>
      <c r="M102" s="108"/>
      <c r="N102" s="108"/>
      <c r="O102" s="108"/>
      <c r="P102" s="108"/>
      <c r="Q102" s="108"/>
      <c r="R102" s="108"/>
      <c r="S102" s="108"/>
      <c r="T102" s="108"/>
      <c r="V102" s="108"/>
    </row>
    <row r="103" spans="1:22" x14ac:dyDescent="0.2">
      <c r="A103" s="980"/>
      <c r="B103" s="108"/>
      <c r="C103" s="108"/>
      <c r="D103" s="108"/>
      <c r="E103" s="108"/>
      <c r="F103" s="108"/>
      <c r="G103" s="108"/>
      <c r="H103" s="108"/>
      <c r="I103" s="108"/>
      <c r="J103" s="108"/>
      <c r="K103" s="108"/>
      <c r="L103" s="108"/>
      <c r="M103" s="108"/>
      <c r="N103" s="108"/>
      <c r="O103" s="108"/>
      <c r="P103" s="108"/>
      <c r="Q103" s="108"/>
      <c r="R103" s="108"/>
      <c r="S103" s="108"/>
      <c r="T103" s="108"/>
      <c r="V103" s="108"/>
    </row>
    <row r="104" spans="1:22" x14ac:dyDescent="0.2">
      <c r="A104" s="980"/>
      <c r="B104" s="108"/>
      <c r="C104" s="108"/>
      <c r="D104" s="108"/>
      <c r="E104" s="108"/>
      <c r="F104" s="108"/>
      <c r="G104" s="108"/>
      <c r="H104" s="108"/>
      <c r="I104" s="108"/>
      <c r="J104" s="108"/>
      <c r="K104" s="108"/>
      <c r="L104" s="108"/>
      <c r="M104" s="108"/>
      <c r="N104" s="108"/>
      <c r="O104" s="108"/>
      <c r="P104" s="108"/>
      <c r="Q104" s="108"/>
      <c r="R104" s="108"/>
      <c r="S104" s="108"/>
      <c r="T104" s="108"/>
      <c r="V104" s="108"/>
    </row>
    <row r="105" spans="1:22" x14ac:dyDescent="0.2">
      <c r="A105" s="980"/>
      <c r="B105" s="108"/>
      <c r="C105" s="108"/>
      <c r="D105" s="108"/>
      <c r="E105" s="108"/>
      <c r="F105" s="108"/>
      <c r="G105" s="108"/>
      <c r="H105" s="108"/>
      <c r="I105" s="108"/>
      <c r="J105" s="108"/>
      <c r="K105" s="108"/>
      <c r="L105" s="108"/>
      <c r="M105" s="108"/>
      <c r="N105" s="108"/>
      <c r="O105" s="108"/>
      <c r="P105" s="108"/>
      <c r="Q105" s="108"/>
      <c r="R105" s="108"/>
      <c r="S105" s="108"/>
      <c r="T105" s="108"/>
      <c r="V105" s="108"/>
    </row>
    <row r="106" spans="1:22" x14ac:dyDescent="0.2">
      <c r="A106" s="980"/>
      <c r="B106" s="108"/>
      <c r="C106" s="108"/>
      <c r="D106" s="108"/>
      <c r="E106" s="108"/>
      <c r="F106" s="108"/>
      <c r="G106" s="108"/>
      <c r="H106" s="108"/>
      <c r="I106" s="108"/>
      <c r="J106" s="108"/>
      <c r="K106" s="108"/>
      <c r="L106" s="108"/>
      <c r="M106" s="108"/>
      <c r="N106" s="108"/>
      <c r="O106" s="108"/>
      <c r="P106" s="108"/>
      <c r="Q106" s="108"/>
      <c r="R106" s="108"/>
      <c r="S106" s="108"/>
      <c r="T106" s="108"/>
      <c r="V106" s="108"/>
    </row>
    <row r="107" spans="1:22" x14ac:dyDescent="0.2">
      <c r="A107" s="980"/>
      <c r="B107" s="108"/>
      <c r="C107" s="108"/>
      <c r="D107" s="108"/>
      <c r="E107" s="108"/>
      <c r="F107" s="108"/>
      <c r="G107" s="108"/>
      <c r="H107" s="108"/>
      <c r="I107" s="108"/>
      <c r="J107" s="108"/>
      <c r="K107" s="108"/>
      <c r="L107" s="108"/>
      <c r="M107" s="108"/>
      <c r="N107" s="108"/>
      <c r="O107" s="108"/>
      <c r="P107" s="108"/>
      <c r="Q107" s="108"/>
      <c r="R107" s="108"/>
      <c r="S107" s="108"/>
      <c r="T107" s="108"/>
      <c r="V107" s="108"/>
    </row>
    <row r="108" spans="1:22" x14ac:dyDescent="0.2">
      <c r="A108" s="980"/>
      <c r="B108" s="108"/>
      <c r="C108" s="108"/>
      <c r="D108" s="108"/>
      <c r="E108" s="108"/>
      <c r="F108" s="108"/>
      <c r="G108" s="108"/>
      <c r="H108" s="108"/>
      <c r="I108" s="108"/>
      <c r="J108" s="108"/>
      <c r="K108" s="108"/>
      <c r="L108" s="108"/>
      <c r="M108" s="108"/>
      <c r="N108" s="108"/>
      <c r="O108" s="108"/>
      <c r="P108" s="108"/>
      <c r="Q108" s="108"/>
      <c r="R108" s="108"/>
      <c r="S108" s="108"/>
      <c r="T108" s="108"/>
      <c r="V108" s="108"/>
    </row>
    <row r="109" spans="1:22" x14ac:dyDescent="0.2">
      <c r="A109" s="980"/>
      <c r="B109" s="108"/>
      <c r="C109" s="108"/>
      <c r="D109" s="108"/>
      <c r="E109" s="108"/>
      <c r="F109" s="108"/>
      <c r="G109" s="108"/>
      <c r="H109" s="108"/>
      <c r="I109" s="108"/>
      <c r="J109" s="108"/>
      <c r="K109" s="108"/>
      <c r="L109" s="108"/>
      <c r="M109" s="108"/>
      <c r="N109" s="108"/>
      <c r="O109" s="108"/>
      <c r="P109" s="108"/>
      <c r="Q109" s="108"/>
      <c r="R109" s="108"/>
      <c r="S109" s="108"/>
      <c r="T109" s="108"/>
      <c r="V109" s="108"/>
    </row>
    <row r="110" spans="1:22" x14ac:dyDescent="0.2">
      <c r="A110" s="980"/>
      <c r="B110" s="108"/>
      <c r="C110" s="108"/>
      <c r="D110" s="108"/>
      <c r="E110" s="108"/>
      <c r="F110" s="108"/>
      <c r="G110" s="108"/>
      <c r="H110" s="108"/>
      <c r="I110" s="108"/>
      <c r="J110" s="108"/>
      <c r="K110" s="108"/>
      <c r="L110" s="108"/>
      <c r="M110" s="108"/>
      <c r="N110" s="108"/>
      <c r="O110" s="108"/>
      <c r="P110" s="108"/>
      <c r="Q110" s="108"/>
      <c r="R110" s="108"/>
      <c r="S110" s="108"/>
      <c r="T110" s="108"/>
      <c r="V110" s="108"/>
    </row>
  </sheetData>
  <sheetProtection algorithmName="SHA-512" hashValue="uKT7+2VXTY5X+8gnusxS3YozaDDRWREN/D1lg4Gi2I+1gxhE1zs4nConz26+EHdgOpwf5ybdoo+OCa8QrxFdIw==" saltValue="0AHS7+ShLYdIMeyHFvzSoQ==" spinCount="100000" sheet="1" objects="1" scenarios="1"/>
  <mergeCells count="19">
    <mergeCell ref="B35:D35"/>
    <mergeCell ref="B36:D36"/>
    <mergeCell ref="A69:A110"/>
    <mergeCell ref="J85:K85"/>
    <mergeCell ref="H21:I21"/>
    <mergeCell ref="E22:F22"/>
    <mergeCell ref="H22:I22"/>
    <mergeCell ref="B34:D34"/>
    <mergeCell ref="H30:I30"/>
    <mergeCell ref="E31:F31"/>
    <mergeCell ref="H31:I31"/>
    <mergeCell ref="H85:I85"/>
    <mergeCell ref="B37:D37"/>
    <mergeCell ref="E7:F7"/>
    <mergeCell ref="B12:C12"/>
    <mergeCell ref="B21:C21"/>
    <mergeCell ref="E21:F21"/>
    <mergeCell ref="B30:C30"/>
    <mergeCell ref="E30:F30"/>
  </mergeCells>
  <hyperlinks>
    <hyperlink ref="U6" location="HF!A70" tooltip=" " display="HF!A70" xr:uid="{69EC17EB-B256-4593-B9A6-0DB8B9D2B982}"/>
    <hyperlink ref="U5" location="MenuAVS!A1" tooltip=" " display="MenuAVS!A1" xr:uid="{95C72E17-6600-4BD2-B455-EADDC501F285}"/>
    <hyperlink ref="J85" location="HF!A1" tooltip=" " display="HF!A1" xr:uid="{1A227802-E098-465D-9D40-92026EA5C629}"/>
    <hyperlink ref="B12:C12" location="HFw!A1" tooltip=" " display="HFw!A1" xr:uid="{56CC0953-318E-4A32-9A8E-37F6B6993A35}"/>
    <hyperlink ref="B21:C21" location="HFwa!A1" tooltip=" " display="HFwa!A1" xr:uid="{08714652-2FBF-4C5E-B2D2-AE64438DD348}"/>
    <hyperlink ref="E21:F21" location="HFw_wa!A1" tooltip=" " display="HFw_wa!A1" xr:uid="{78A873E0-ECB8-4487-BC2F-81EA42FCD299}"/>
    <hyperlink ref="E22:F22" location="HFw_wa!A1" tooltip=" " display="HFw_wa!A1" xr:uid="{20FFE001-D0DF-432D-BF90-DE141EFDB423}"/>
    <hyperlink ref="H21:I21" location="HFwa_w!A1" tooltip=" " display="HFwa_w!A1" xr:uid="{B99BA2B6-C0CA-4B1A-9046-DAC258976602}"/>
    <hyperlink ref="H22:I22" location="HFwa_w!A1" tooltip=" " display="HFwa_w!A1" xr:uid="{22EB65ED-0FF8-4AB6-BE50-CD20D80599B0}"/>
    <hyperlink ref="B30:C30" location="HFna!A1" tooltip=" " display="HFna!A1" xr:uid="{A285E123-9D52-4A4A-AEE8-C56747FD7262}"/>
    <hyperlink ref="E30:F30" location="HFw_na!A1" tooltip=" " display="HFw_na!A1" xr:uid="{EAF4EA4F-6006-4001-A128-DA1460DA3FF5}"/>
    <hyperlink ref="E31:F31" location="HFw_na!A1" tooltip=" " display="HFw_na!A1" xr:uid="{A7C78026-7185-4A20-8E46-86BD1AEA1F9F}"/>
    <hyperlink ref="H30:I30" location="HFna_w!A1" tooltip=" " display="HFna_w!A1" xr:uid="{DFA88D38-E429-4502-BC54-6F67292E4494}"/>
    <hyperlink ref="H31:I31" location="HFna_w!A1" tooltip=" " display="HFna_w!A1" xr:uid="{582C91E7-51E8-4802-BD97-F537B5C41D0C}"/>
    <hyperlink ref="U8" location="AcsAVS!A1" tooltip=" " display="AcsAVS!A1" xr:uid="{F8482328-E12B-499D-9D04-D43B96AC5DFF}"/>
    <hyperlink ref="U10" location="SumAVS!A1" tooltip=" " display="SumAVS!A1" xr:uid="{CD70664D-F92D-4D97-A898-7A50D76628E2}"/>
    <hyperlink ref="U11" location="OrdAVS!A1" tooltip=" " display="OrdAVS!A1" xr:uid="{2FAFC787-D287-40AB-8CAA-0944082D2D5B}"/>
    <hyperlink ref="H85" location="Menu!A1" tooltip=" " display="Menu!A1" xr:uid="{091A4DF3-B01F-4518-9DE9-8548F47D2058}"/>
    <hyperlink ref="H85:I85" location="HF!A1" tooltip=" " display="HF!A1" xr:uid="{99960397-BF66-4F6A-9BFF-0DCBC6370BAA}"/>
  </hyperlinks>
  <pageMargins left="0.7" right="0.7" top="0.78740157499999996" bottom="0.78740157499999996" header="0.3" footer="0.3"/>
  <pageSetup paperSize="9" orientation="portrait" horizontalDpi="4294967293"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149505" r:id="rId4" name="Drop Down 1">
              <controlPr defaultSize="0" autoLine="0" autoPict="0">
                <anchor moveWithCells="1">
                  <from>
                    <xdr:col>4</xdr:col>
                    <xdr:colOff>0</xdr:colOff>
                    <xdr:row>33</xdr:row>
                    <xdr:rowOff>0</xdr:rowOff>
                  </from>
                  <to>
                    <xdr:col>5</xdr:col>
                    <xdr:colOff>695325</xdr:colOff>
                    <xdr:row>34</xdr:row>
                    <xdr:rowOff>0</xdr:rowOff>
                  </to>
                </anchor>
              </controlPr>
            </control>
          </mc:Choice>
        </mc:AlternateContent>
        <mc:AlternateContent xmlns:mc="http://schemas.openxmlformats.org/markup-compatibility/2006">
          <mc:Choice Requires="x14">
            <control shapeId="149506" r:id="rId5" name="Drop Down 2">
              <controlPr defaultSize="0" autoLine="0" autoPict="0">
                <anchor moveWithCells="1">
                  <from>
                    <xdr:col>4</xdr:col>
                    <xdr:colOff>0</xdr:colOff>
                    <xdr:row>34</xdr:row>
                    <xdr:rowOff>0</xdr:rowOff>
                  </from>
                  <to>
                    <xdr:col>5</xdr:col>
                    <xdr:colOff>695325</xdr:colOff>
                    <xdr:row>35</xdr:row>
                    <xdr:rowOff>0</xdr:rowOff>
                  </to>
                </anchor>
              </controlPr>
            </control>
          </mc:Choice>
        </mc:AlternateContent>
        <mc:AlternateContent xmlns:mc="http://schemas.openxmlformats.org/markup-compatibility/2006">
          <mc:Choice Requires="x14">
            <control shapeId="149507" r:id="rId6" name="Drop Down 3">
              <controlPr defaultSize="0" autoLine="0" autoPict="0">
                <anchor moveWithCells="1">
                  <from>
                    <xdr:col>4</xdr:col>
                    <xdr:colOff>0</xdr:colOff>
                    <xdr:row>35</xdr:row>
                    <xdr:rowOff>0</xdr:rowOff>
                  </from>
                  <to>
                    <xdr:col>5</xdr:col>
                    <xdr:colOff>695325</xdr:colOff>
                    <xdr:row>36</xdr:row>
                    <xdr:rowOff>9525</xdr:rowOff>
                  </to>
                </anchor>
              </controlPr>
            </control>
          </mc:Choice>
        </mc:AlternateContent>
        <mc:AlternateContent xmlns:mc="http://schemas.openxmlformats.org/markup-compatibility/2006">
          <mc:Choice Requires="x14">
            <control shapeId="149508" r:id="rId7" name="Drop Down 4">
              <controlPr defaultSize="0" autoLine="0" autoPict="0">
                <anchor moveWithCells="1">
                  <from>
                    <xdr:col>4</xdr:col>
                    <xdr:colOff>0</xdr:colOff>
                    <xdr:row>36</xdr:row>
                    <xdr:rowOff>0</xdr:rowOff>
                  </from>
                  <to>
                    <xdr:col>5</xdr:col>
                    <xdr:colOff>695325</xdr:colOff>
                    <xdr:row>37</xdr:row>
                    <xdr:rowOff>0</xdr:rowOff>
                  </to>
                </anchor>
              </controlPr>
            </control>
          </mc:Choice>
        </mc:AlternateContent>
      </controls>
    </mc:Choice>
  </mc:AlternateContent>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4DF0C-F5ED-4865-A0A3-632348DC5F72}">
  <sheetPr codeName="Sheet50">
    <tabColor theme="2" tint="-0.499984740745262"/>
  </sheetPr>
  <dimension ref="A1:AX232"/>
  <sheetViews>
    <sheetView showGridLines="0" showRowColHeaders="0" workbookViewId="0"/>
  </sheetViews>
  <sheetFormatPr defaultColWidth="8.28515625" defaultRowHeight="12" x14ac:dyDescent="0.2"/>
  <cols>
    <col min="1" max="1" width="1.28515625" style="37" customWidth="1"/>
    <col min="2" max="9" width="8.5703125" style="37" customWidth="1"/>
    <col min="10" max="10" width="6.7109375" style="37" customWidth="1"/>
    <col min="11" max="11" width="10.42578125" style="37" customWidth="1"/>
    <col min="12" max="12" width="17.28515625" style="37" customWidth="1"/>
    <col min="13" max="14" width="6.42578125" style="37" hidden="1" customWidth="1"/>
    <col min="15" max="15" width="6.42578125" style="118" hidden="1" customWidth="1"/>
    <col min="16" max="16" width="6.42578125" style="37" hidden="1" customWidth="1"/>
    <col min="17" max="17" width="6" style="118" hidden="1" customWidth="1"/>
    <col min="18" max="18" width="6.42578125" style="37" hidden="1" customWidth="1"/>
    <col min="19" max="19" width="7.7109375" style="37" hidden="1" customWidth="1"/>
    <col min="20" max="20" width="9.5703125" style="37" hidden="1" customWidth="1"/>
    <col min="21" max="21" width="6.42578125" style="37" hidden="1" customWidth="1"/>
    <col min="22" max="22" width="8.28515625" style="37" hidden="1" customWidth="1"/>
    <col min="23" max="24" width="6.42578125" style="37" hidden="1" customWidth="1"/>
    <col min="25" max="25" width="37.28515625" style="37" hidden="1" customWidth="1"/>
    <col min="26" max="26" width="13.5703125" style="37" hidden="1" customWidth="1"/>
    <col min="27" max="29" width="6.7109375" style="37" hidden="1" customWidth="1"/>
    <col min="30" max="30" width="9.42578125" style="37" hidden="1" customWidth="1"/>
    <col min="31" max="34" width="6.7109375" style="37" hidden="1" customWidth="1"/>
    <col min="35" max="35" width="3.28515625" style="36" hidden="1" customWidth="1"/>
    <col min="36" max="36" width="5.28515625" style="36" customWidth="1"/>
    <col min="37" max="37" width="23.42578125" style="36" customWidth="1"/>
    <col min="38" max="41" width="8.28515625" style="121"/>
    <col min="42" max="42" width="16.42578125" style="121" customWidth="1"/>
    <col min="43" max="43" width="16.28515625" style="121" customWidth="1"/>
    <col min="44" max="44" width="19.5703125" style="121" customWidth="1"/>
    <col min="45" max="16384" width="8.28515625" style="121"/>
  </cols>
  <sheetData>
    <row r="1" spans="1:50" ht="4.5" customHeight="1" thickBot="1" x14ac:dyDescent="0.25">
      <c r="L1" s="137"/>
      <c r="AI1" s="108"/>
      <c r="AJ1" s="108"/>
      <c r="AK1" s="108"/>
      <c r="AL1" s="137"/>
      <c r="AM1" s="137"/>
      <c r="AN1" s="137"/>
      <c r="AO1" s="137"/>
      <c r="AP1" s="1121"/>
      <c r="AQ1" s="1121"/>
      <c r="AR1" s="1121"/>
      <c r="AS1" s="1121"/>
      <c r="AT1" s="1121"/>
      <c r="AU1" s="1121"/>
      <c r="AV1" s="1121"/>
      <c r="AW1" s="1104"/>
      <c r="AX1" s="1104"/>
    </row>
    <row r="2" spans="1:50" s="36" customFormat="1" ht="19.5" customHeight="1" thickBot="1" x14ac:dyDescent="0.25">
      <c r="A2" s="108"/>
      <c r="B2" s="1048" t="s">
        <v>4</v>
      </c>
      <c r="C2" s="1048"/>
      <c r="D2" s="1048"/>
      <c r="E2" s="886"/>
      <c r="F2" s="886"/>
      <c r="G2" s="886"/>
      <c r="H2" s="886"/>
      <c r="I2" s="886"/>
      <c r="J2" s="886"/>
      <c r="K2" s="886"/>
      <c r="L2" s="886"/>
      <c r="M2" s="108"/>
      <c r="N2" s="108"/>
      <c r="O2" s="108" t="s">
        <v>64</v>
      </c>
      <c r="P2" s="108"/>
      <c r="Q2" s="108"/>
      <c r="R2" s="108"/>
      <c r="S2" s="117">
        <v>3</v>
      </c>
      <c r="T2" s="108"/>
      <c r="U2" s="108"/>
      <c r="V2" s="108"/>
      <c r="W2" s="108"/>
      <c r="X2" s="108"/>
      <c r="Y2" s="108"/>
      <c r="Z2" s="108"/>
      <c r="AA2" s="108"/>
      <c r="AB2" s="108"/>
      <c r="AC2" s="108"/>
      <c r="AD2" s="108"/>
      <c r="AE2" s="108"/>
      <c r="AF2" s="108"/>
      <c r="AG2" s="108"/>
      <c r="AH2" s="108"/>
      <c r="AI2" s="108"/>
      <c r="AJ2" s="108"/>
      <c r="AK2" s="379" t="str">
        <f>ListAVS!$B$153</f>
        <v>Przejdź do</v>
      </c>
      <c r="AL2" s="108"/>
      <c r="AM2" s="108"/>
      <c r="AN2" s="108"/>
      <c r="AO2" s="108"/>
      <c r="AP2" s="108"/>
      <c r="AQ2" s="108"/>
      <c r="AR2" s="108"/>
      <c r="AS2" s="108"/>
      <c r="AT2" s="108"/>
      <c r="AU2" s="108"/>
      <c r="AV2" s="108"/>
    </row>
    <row r="3" spans="1:50" ht="3.75" customHeight="1" x14ac:dyDescent="0.2">
      <c r="B3" s="312"/>
      <c r="C3" s="306"/>
      <c r="D3" s="306"/>
      <c r="E3" s="306"/>
      <c r="F3" s="306"/>
      <c r="G3" s="306"/>
      <c r="H3" s="306"/>
      <c r="I3" s="306"/>
      <c r="J3" s="306"/>
      <c r="K3" s="306"/>
      <c r="L3" s="137"/>
      <c r="AI3" s="137"/>
      <c r="AJ3" s="108"/>
      <c r="AK3" s="670"/>
      <c r="AL3" s="137"/>
      <c r="AM3" s="137"/>
      <c r="AN3" s="137"/>
      <c r="AO3" s="137"/>
      <c r="AP3" s="137"/>
      <c r="AQ3" s="137"/>
      <c r="AR3" s="137"/>
      <c r="AS3" s="137"/>
      <c r="AT3" s="137"/>
      <c r="AU3" s="137"/>
      <c r="AV3" s="137"/>
    </row>
    <row r="4" spans="1:50" ht="16.149999999999999" customHeight="1" thickBot="1" x14ac:dyDescent="0.25">
      <c r="B4" s="313" t="str">
        <f>ListAVS!$B$20&amp;" ***"</f>
        <v>Szeroka ramka aluminiowa ***</v>
      </c>
      <c r="C4" s="313"/>
      <c r="D4" s="266"/>
      <c r="E4" s="313"/>
      <c r="F4" s="269" t="str">
        <f>ListAVS!$B$180&amp;"  "</f>
        <v xml:space="preserve">Wykonanie frontów  </v>
      </c>
      <c r="G4" s="255"/>
      <c r="H4" s="255"/>
      <c r="I4" s="255"/>
      <c r="J4" s="260"/>
      <c r="K4" s="1187" t="str">
        <f>U61</f>
        <v xml:space="preserve"> Podaj grubość szkła [mm]</v>
      </c>
      <c r="L4" s="1187"/>
      <c r="O4" s="117">
        <v>1</v>
      </c>
      <c r="S4" s="37" t="str">
        <f>" "&amp;ListAVS!$B$41&amp;" A "</f>
        <v xml:space="preserve"> Cena za korpus A </v>
      </c>
      <c r="AI4" s="137"/>
      <c r="AJ4" s="108"/>
      <c r="AK4" s="383" t="s">
        <v>77</v>
      </c>
      <c r="AL4" s="137"/>
      <c r="AM4" s="137"/>
      <c r="AN4" s="137"/>
      <c r="AO4" s="137"/>
      <c r="AP4" s="137"/>
      <c r="AQ4" s="137"/>
      <c r="AR4" s="137"/>
      <c r="AS4" s="137"/>
      <c r="AT4" s="137"/>
      <c r="AU4" s="137"/>
      <c r="AV4" s="137"/>
    </row>
    <row r="5" spans="1:50" ht="16.149999999999999" customHeight="1" x14ac:dyDescent="0.2">
      <c r="B5" s="266"/>
      <c r="C5" s="313"/>
      <c r="D5" s="313"/>
      <c r="E5" s="313"/>
      <c r="F5" s="1027" t="str">
        <f>IF($AF$67&lt;&gt;3,$Y$62," ")&amp;"      "</f>
        <v xml:space="preserve">       </v>
      </c>
      <c r="G5" s="1027"/>
      <c r="H5" s="1027"/>
      <c r="I5" s="1027"/>
      <c r="J5" s="1027"/>
      <c r="K5" s="1187"/>
      <c r="L5" s="1187"/>
      <c r="O5" s="118" t="s">
        <v>65</v>
      </c>
      <c r="S5" s="37" t="str">
        <f>" "&amp;ListAVS!$B$41&amp;" B "</f>
        <v xml:space="preserve"> Cena za korpus B </v>
      </c>
      <c r="AI5" s="137"/>
      <c r="AJ5" s="108"/>
      <c r="AK5" s="634" t="str">
        <f>" "&amp;ListAVS!$B$155</f>
        <v xml:space="preserve"> Pomoc</v>
      </c>
      <c r="AL5" s="137"/>
      <c r="AM5" s="137"/>
      <c r="AN5" s="137"/>
      <c r="AO5" s="137"/>
      <c r="AP5" s="137"/>
      <c r="AQ5" s="137"/>
      <c r="AR5" s="137"/>
      <c r="AS5" s="137"/>
      <c r="AT5" s="137"/>
      <c r="AU5" s="137"/>
      <c r="AV5" s="137"/>
    </row>
    <row r="6" spans="1:50" ht="25.15" customHeight="1" x14ac:dyDescent="0.2">
      <c r="B6" s="313"/>
      <c r="C6" s="313"/>
      <c r="D6" s="313"/>
      <c r="E6" s="313"/>
      <c r="F6" s="266"/>
      <c r="G6" s="434"/>
      <c r="H6" s="434"/>
      <c r="I6" s="434"/>
      <c r="J6" s="434"/>
      <c r="K6" s="434"/>
      <c r="L6" s="266"/>
      <c r="O6" s="323" t="s">
        <v>66</v>
      </c>
      <c r="S6" s="37" t="str">
        <f>" "&amp;ListAVS!$B$61</f>
        <v xml:space="preserve"> Cena całkowita bez VAT</v>
      </c>
      <c r="AI6" s="137"/>
      <c r="AJ6" s="108"/>
      <c r="AK6" s="736"/>
      <c r="AL6" s="137"/>
      <c r="AM6" s="137"/>
      <c r="AN6" s="137"/>
      <c r="AO6" s="137"/>
      <c r="AP6" s="137"/>
      <c r="AQ6" s="137"/>
      <c r="AR6" s="137"/>
      <c r="AS6" s="137"/>
      <c r="AT6" s="137"/>
      <c r="AU6" s="137"/>
      <c r="AV6" s="137"/>
    </row>
    <row r="7" spans="1:50" ht="16.149999999999999" customHeight="1" x14ac:dyDescent="0.2">
      <c r="B7" s="1059" t="str">
        <f>ListAVS!$B$51&amp;":   "</f>
        <v xml:space="preserve">Cena okucia:   </v>
      </c>
      <c r="C7" s="1060"/>
      <c r="D7" s="255"/>
      <c r="E7" s="266"/>
      <c r="F7" s="266"/>
      <c r="G7" s="1061">
        <f>IF(S2=1,$AF$46,IF($S$2=2,$AH$46,IF($S$2=3,$AD$46,0)))</f>
        <v>0</v>
      </c>
      <c r="H7" s="1062"/>
      <c r="I7" s="255"/>
      <c r="J7" s="255"/>
      <c r="K7" s="255"/>
      <c r="L7" s="255"/>
      <c r="Y7" s="156" t="str">
        <f>$B$2</f>
        <v>AVENTOS HK-S</v>
      </c>
      <c r="Z7" s="157">
        <f>B5</f>
        <v>0</v>
      </c>
      <c r="AA7" s="157"/>
      <c r="AB7" s="157"/>
      <c r="AC7" s="157"/>
      <c r="AD7" s="158"/>
      <c r="AG7" s="118"/>
      <c r="AI7" s="108"/>
      <c r="AJ7" s="108"/>
      <c r="AK7" s="675" t="str">
        <f>" "&amp;ListAVS!$B$160</f>
        <v xml:space="preserve"> Dodatki</v>
      </c>
      <c r="AL7" s="137"/>
      <c r="AM7" s="137"/>
      <c r="AN7" s="137"/>
      <c r="AO7" s="137"/>
      <c r="AP7" s="137"/>
      <c r="AQ7" s="137"/>
      <c r="AR7" s="137"/>
      <c r="AS7" s="137"/>
      <c r="AT7" s="137"/>
      <c r="AU7" s="137"/>
      <c r="AV7" s="137"/>
    </row>
    <row r="8" spans="1:50" ht="22.5" customHeight="1" thickBot="1" x14ac:dyDescent="0.25">
      <c r="B8" s="255"/>
      <c r="C8" s="255"/>
      <c r="D8" s="255"/>
      <c r="E8" s="255"/>
      <c r="F8" s="255"/>
      <c r="G8" s="255"/>
      <c r="H8" s="255"/>
      <c r="I8" s="255"/>
      <c r="J8" s="255"/>
      <c r="K8" s="255"/>
      <c r="L8" s="255"/>
      <c r="Y8" s="159" t="str">
        <f>ListAVS!B52</f>
        <v>Nazwa</v>
      </c>
      <c r="Z8" s="160" t="str">
        <f>ListAVS!$B$53</f>
        <v>Kod asortymentu</v>
      </c>
      <c r="AA8" s="161" t="str">
        <f>ListAVS!B54</f>
        <v>Kolor</v>
      </c>
      <c r="AB8" s="161" t="str">
        <f>ListAVS!B56</f>
        <v>Sztuka</v>
      </c>
      <c r="AC8" s="162" t="str">
        <f>ListAVS!B58</f>
        <v>Cena za sztukę</v>
      </c>
      <c r="AD8" s="161" t="str">
        <f>ListAVS!B59</f>
        <v>W sumie</v>
      </c>
      <c r="AE8" s="204" t="s">
        <v>29</v>
      </c>
      <c r="AF8" s="163" t="s">
        <v>30</v>
      </c>
      <c r="AG8" s="163" t="s">
        <v>31</v>
      </c>
      <c r="AH8" s="163" t="s">
        <v>30</v>
      </c>
      <c r="AI8" s="108"/>
      <c r="AJ8" s="108"/>
      <c r="AK8" s="671"/>
      <c r="AL8" s="137"/>
      <c r="AM8" s="137"/>
      <c r="AN8" s="137"/>
      <c r="AO8" s="137"/>
      <c r="AP8" s="1198" t="str">
        <f>"  "&amp;ListAVS!$B$86&amp;" LF "</f>
        <v xml:space="preserve">  Współczynnik mocy LF </v>
      </c>
      <c r="AQ8" s="1199"/>
      <c r="AR8" s="1193" t="str">
        <f>ListAVS!$B$84</f>
        <v>Mechanizm podnoszący</v>
      </c>
      <c r="AS8" s="404"/>
      <c r="AT8" s="404"/>
      <c r="AU8" s="137"/>
      <c r="AV8" s="137"/>
    </row>
    <row r="9" spans="1:50" ht="16.149999999999999" customHeight="1" thickBot="1" x14ac:dyDescent="0.25">
      <c r="B9" s="1051" t="str">
        <f>"▼ "&amp;ListAVS!$B$318</f>
        <v>▼ Sposób otwierania</v>
      </c>
      <c r="C9" s="1052"/>
      <c r="D9" s="406" t="str">
        <f>IF($M$17&gt;0, ListAVS!$B$37&amp;": ", " ")</f>
        <v xml:space="preserve"> </v>
      </c>
      <c r="E9" s="688" t="str">
        <f>IF(SUM(AE9:$AE$11)&gt;0, "B", IF(SUM(AE$12:AE$14)&gt;0, "C", IF(SUM(AE$15:AE$17)&gt;0, "E", IF(SUM(AE$19:AE$21)&gt;0, "B T", IF(SUM(AE$22:AE$24)&gt;0, "C T", IF(SUM(AE$25:AE$27)&gt;0, "E T",  " "))))))</f>
        <v xml:space="preserve"> </v>
      </c>
      <c r="F9" s="1056" t="str">
        <f>ListAVS!$B$64&amp;" A"</f>
        <v>Korpus A</v>
      </c>
      <c r="G9" s="1057"/>
      <c r="H9" s="1058"/>
      <c r="I9" s="273"/>
      <c r="J9" s="255"/>
      <c r="K9" s="255"/>
      <c r="L9" s="255"/>
      <c r="N9" s="119"/>
      <c r="O9" s="132"/>
      <c r="P9" s="119"/>
      <c r="Q9" s="132"/>
      <c r="R9" s="1194" t="s">
        <v>89</v>
      </c>
      <c r="S9" s="1195"/>
      <c r="T9" s="747"/>
      <c r="U9" s="748"/>
      <c r="V9" s="1195" t="s">
        <v>90</v>
      </c>
      <c r="W9" s="1196"/>
      <c r="X9" s="132"/>
      <c r="Y9" s="164" t="str">
        <f>CenAVS!A83</f>
        <v xml:space="preserve">Aventos HK-S słaby jasnoszary, zaślepka      </v>
      </c>
      <c r="Z9" s="164" t="str">
        <f>CenAVS!B83</f>
        <v>20K2B00.06</v>
      </c>
      <c r="AA9" s="301" t="str">
        <f>CenAVS!C83</f>
        <v>HGIG</v>
      </c>
      <c r="AB9" s="165">
        <f>SUM(AE9,AG9)</f>
        <v>0</v>
      </c>
      <c r="AC9" s="395">
        <f>CenAVS!F83</f>
        <v>76.927710000000005</v>
      </c>
      <c r="AD9" s="167">
        <f>AB9*AC9</f>
        <v>0</v>
      </c>
      <c r="AE9" s="407">
        <f>IF(AND($U$16=1,$T$44=1),ROUNDUP(SUM($O$11:$P$11)*$M$17,0),0)</f>
        <v>0</v>
      </c>
      <c r="AF9" s="168">
        <f t="shared" ref="AF9:AF27" si="0">$AC9*AE9</f>
        <v>0</v>
      </c>
      <c r="AG9" s="407">
        <f>IF(AND($U$27=1,$T$44=1),ROUNDUP(SUM($O$22:$P$22)*$M$28,0),0)</f>
        <v>0</v>
      </c>
      <c r="AH9" s="168">
        <f t="shared" ref="AH9:AH35" si="1">$AC9*AG9</f>
        <v>0</v>
      </c>
      <c r="AI9" s="108"/>
      <c r="AJ9" s="108"/>
      <c r="AK9" s="383" t="str">
        <f>" "&amp;ListAVS!$B$157</f>
        <v xml:space="preserve"> Rodzaje korpusów</v>
      </c>
      <c r="AL9" s="137"/>
      <c r="AM9" s="137"/>
      <c r="AN9" s="137"/>
      <c r="AO9" s="137"/>
      <c r="AP9" s="1200"/>
      <c r="AQ9" s="1201"/>
      <c r="AR9" s="1193"/>
      <c r="AS9" s="404"/>
      <c r="AT9" s="404"/>
      <c r="AU9" s="137"/>
      <c r="AV9" s="137"/>
    </row>
    <row r="10" spans="1:50" s="122" customFormat="1" ht="16.149999999999999" customHeight="1" thickBot="1" x14ac:dyDescent="0.25">
      <c r="A10" s="37"/>
      <c r="B10" s="1011" t="str">
        <f>ListAVS!$B$74&amp;" KB [mm] "</f>
        <v xml:space="preserve">Szerokość korpusu KB [mm] </v>
      </c>
      <c r="C10" s="1012"/>
      <c r="D10" s="1012"/>
      <c r="E10" s="1012"/>
      <c r="F10" s="1012"/>
      <c r="G10" s="1013"/>
      <c r="H10" s="257"/>
      <c r="I10" s="256" t="str">
        <f>IF($H10=0," ",IF($H10&lt;220," min. 220mm",IF($H10&gt;1800," max. 1 800mm"," ")))&amp;IF(H17&gt;0,IF(H10=0,"● "&amp;ListAVS!$B$129," ")," ")</f>
        <v xml:space="preserve">  </v>
      </c>
      <c r="J10" s="255"/>
      <c r="K10" s="255"/>
      <c r="L10" s="255"/>
      <c r="M10" s="37"/>
      <c r="N10" s="198" t="s">
        <v>32</v>
      </c>
      <c r="O10" s="199" t="s">
        <v>91</v>
      </c>
      <c r="P10" s="200" t="s">
        <v>92</v>
      </c>
      <c r="Q10" s="119"/>
      <c r="R10" s="750" t="s">
        <v>93</v>
      </c>
      <c r="S10" s="750" t="s">
        <v>76</v>
      </c>
      <c r="T10" s="751" t="s">
        <v>94</v>
      </c>
      <c r="U10" s="751" t="s">
        <v>95</v>
      </c>
      <c r="V10" s="1183" t="b">
        <v>0</v>
      </c>
      <c r="W10" s="1184"/>
      <c r="X10" s="444"/>
      <c r="Y10" s="164" t="str">
        <f>CenAVS!A84</f>
        <v xml:space="preserve">Aventos HK-S słaby, szary, nowa zaślepka     </v>
      </c>
      <c r="Z10" s="164" t="str">
        <f>CenAVS!B84</f>
        <v>20K2B00.06</v>
      </c>
      <c r="AA10" s="301" t="str">
        <f>CenAVS!C84</f>
        <v>TGIG</v>
      </c>
      <c r="AB10" s="165">
        <f t="shared" ref="AB10:AB35" si="2">SUM(AE10,AG10)</f>
        <v>0</v>
      </c>
      <c r="AC10" s="395">
        <f>CenAVS!F84</f>
        <v>79.448830000000001</v>
      </c>
      <c r="AD10" s="167">
        <f t="shared" ref="AD10:AD35" si="3">AB10*AC10</f>
        <v>0</v>
      </c>
      <c r="AE10" s="407">
        <f>IF(AND($U$16=1,$T$44=2),ROUNDUP(SUM($O$11:$P$11)*$M$17,0),0)</f>
        <v>0</v>
      </c>
      <c r="AF10" s="168">
        <f t="shared" si="0"/>
        <v>0</v>
      </c>
      <c r="AG10" s="407">
        <f>IF(AND($U$27=1,$T$44=2),ROUNDUP(SUM($O$22:$P$22)*$M$28,0),0)</f>
        <v>0</v>
      </c>
      <c r="AH10" s="168">
        <f t="shared" si="1"/>
        <v>0</v>
      </c>
      <c r="AI10" s="108"/>
      <c r="AJ10" s="108"/>
      <c r="AK10" s="383" t="str">
        <f>" "&amp;ListAVS!$B$158</f>
        <v xml:space="preserve"> Zamówienie</v>
      </c>
      <c r="AL10" s="137"/>
      <c r="AM10" s="137"/>
      <c r="AN10" s="137"/>
      <c r="AO10" s="137"/>
      <c r="AP10" s="1051" t="s">
        <v>109</v>
      </c>
      <c r="AQ10" s="1202"/>
      <c r="AR10" s="753" t="s">
        <v>110</v>
      </c>
      <c r="AS10" s="227"/>
      <c r="AT10" s="227"/>
      <c r="AU10" s="37"/>
      <c r="AV10" s="37"/>
    </row>
    <row r="11" spans="1:50" s="122" customFormat="1" ht="16.149999999999999" customHeight="1" x14ac:dyDescent="0.2">
      <c r="A11" s="37"/>
      <c r="B11" s="1011" t="str">
        <f>ListAVS!$B$75&amp;" KH [mm]  "</f>
        <v xml:space="preserve">Wysokość korpusu KH [mm]  </v>
      </c>
      <c r="C11" s="1012"/>
      <c r="D11" s="1012"/>
      <c r="E11" s="1012"/>
      <c r="F11" s="1012"/>
      <c r="G11" s="1013"/>
      <c r="H11" s="257"/>
      <c r="I11" s="256" t="str">
        <f>IF($H11=0," ",IF($H11&lt;190," min. 190mm",IF($H11&gt;600," max. 600 mm"," ")))&amp;IF(H17&gt;0,IF(H11=0,"● "&amp;ListAVS!$B$129," ")," ")</f>
        <v xml:space="preserve">  </v>
      </c>
      <c r="J11" s="255"/>
      <c r="K11" s="255"/>
      <c r="L11" s="255"/>
      <c r="M11" s="37"/>
      <c r="N11" s="119" t="s">
        <v>111</v>
      </c>
      <c r="O11" s="132">
        <f>IF($V$10=FALSE,IF($H$16&gt;R11,IF($H$16&lt;S11,1,0),0),0)</f>
        <v>0</v>
      </c>
      <c r="P11" s="132">
        <f>IF($V$10=TRUE,IF($H$16&gt;V11,IF($H$16&lt;W11,2,0),0),0)</f>
        <v>0</v>
      </c>
      <c r="Q11" s="119"/>
      <c r="R11" s="718">
        <v>219.99</v>
      </c>
      <c r="S11" s="718">
        <v>450</v>
      </c>
      <c r="T11" s="752"/>
      <c r="U11" s="119"/>
      <c r="V11" s="718">
        <v>329.99</v>
      </c>
      <c r="W11" s="718">
        <v>670</v>
      </c>
      <c r="X11" s="718"/>
      <c r="Y11" s="164" t="str">
        <f>CenAVS!A85</f>
        <v xml:space="preserve">Aventos HK-S słaby jedwabiście biały, zaślepka     </v>
      </c>
      <c r="Z11" s="164" t="str">
        <f>CenAVS!B85</f>
        <v>20K2B00.06</v>
      </c>
      <c r="AA11" s="301" t="str">
        <f>CenAVS!C85</f>
        <v>SWIG</v>
      </c>
      <c r="AB11" s="165">
        <f t="shared" si="2"/>
        <v>0</v>
      </c>
      <c r="AC11" s="395">
        <f>CenAVS!F85</f>
        <v>79.448830000000001</v>
      </c>
      <c r="AD11" s="167">
        <f t="shared" si="3"/>
        <v>0</v>
      </c>
      <c r="AE11" s="407">
        <f>IF(AND($U$16=1,$T$44=3),ROUNDUP(SUM($O$11:$P$11)*$M$17,0),0)</f>
        <v>0</v>
      </c>
      <c r="AF11" s="168">
        <f t="shared" si="0"/>
        <v>0</v>
      </c>
      <c r="AG11" s="407">
        <f>IF(AND($U$27=1,$T$44=3),ROUNDUP(SUM($O$22:$P$22)*$M$28,0),0)</f>
        <v>0</v>
      </c>
      <c r="AH11" s="168">
        <f t="shared" si="1"/>
        <v>0</v>
      </c>
      <c r="AI11" s="108"/>
      <c r="AJ11" s="108"/>
      <c r="AK11" s="255"/>
      <c r="AL11" s="137"/>
      <c r="AM11" s="137"/>
      <c r="AN11" s="137"/>
      <c r="AO11" s="137"/>
      <c r="AP11" s="1051" t="s">
        <v>112</v>
      </c>
      <c r="AQ11" s="1202"/>
      <c r="AR11" s="753" t="s">
        <v>113</v>
      </c>
      <c r="AS11" s="227"/>
      <c r="AT11" s="227"/>
      <c r="AU11" s="37"/>
      <c r="AV11" s="37"/>
    </row>
    <row r="12" spans="1:50" s="122" customFormat="1" ht="16.149999999999999" customHeight="1" x14ac:dyDescent="0.2">
      <c r="A12" s="37"/>
      <c r="B12" s="1011" t="str">
        <f>ListAVS!$B$78&amp;" [kg] ** "</f>
        <v xml:space="preserve">Waga frontu wraz z 2 uchwytami [kg] ** </v>
      </c>
      <c r="C12" s="1012"/>
      <c r="D12" s="1012"/>
      <c r="E12" s="1012"/>
      <c r="F12" s="1012"/>
      <c r="G12" s="1013"/>
      <c r="H12" s="258"/>
      <c r="I12" s="227" t="str">
        <f>IF($H17=0," ",IF(AND($H12=0, AF67=3, J4=0), $N$35, " "))&amp;IF($M17&gt;0,IF($H12&gt;0,$N$37," ")," ")</f>
        <v xml:space="preserve">  </v>
      </c>
      <c r="J12" s="255"/>
      <c r="K12" s="255"/>
      <c r="L12" s="255"/>
      <c r="M12" s="37"/>
      <c r="N12" s="119" t="s">
        <v>114</v>
      </c>
      <c r="O12" s="132">
        <f>IF($V$10=FALSE,IF($H$16&gt;R12,IF($H$16&lt;S12,1,0),0),0)</f>
        <v>0</v>
      </c>
      <c r="P12" s="132">
        <f>IF($V$10=TRUE,IF($H$16&gt;V12,IF($H$16&lt;W12,1.5,0),0),0)</f>
        <v>0</v>
      </c>
      <c r="Q12" s="119"/>
      <c r="R12" s="718">
        <v>449.99</v>
      </c>
      <c r="S12" s="718">
        <v>980</v>
      </c>
      <c r="T12" s="752"/>
      <c r="U12" s="119"/>
      <c r="V12" s="718">
        <v>669.99</v>
      </c>
      <c r="W12" s="718">
        <v>1470</v>
      </c>
      <c r="X12" s="718"/>
      <c r="Y12" s="164" t="str">
        <f>CenAVS!A86</f>
        <v xml:space="preserve">Aventos HK-S średni jasnoszary, zaślepka      </v>
      </c>
      <c r="Z12" s="164" t="str">
        <f>CenAVS!B86</f>
        <v>20K2C00.06</v>
      </c>
      <c r="AA12" s="301" t="str">
        <f>CenAVS!C86</f>
        <v>HGIG</v>
      </c>
      <c r="AB12" s="165">
        <f t="shared" si="2"/>
        <v>0</v>
      </c>
      <c r="AC12" s="395">
        <f>CenAVS!F86</f>
        <v>82.860640000000004</v>
      </c>
      <c r="AD12" s="167">
        <f t="shared" si="3"/>
        <v>0</v>
      </c>
      <c r="AE12" s="407">
        <f>IF(AND($U$16=1,$T$44=1),ROUNDUP(SUM($O$12:$P$12)*$M$17,0),0)</f>
        <v>0</v>
      </c>
      <c r="AF12" s="168">
        <f t="shared" si="0"/>
        <v>0</v>
      </c>
      <c r="AG12" s="407">
        <f>IF(AND($U$27=1,$T$44=1),ROUNDUP(SUM($O$23:$P$23)*$M$28,0),0)</f>
        <v>0</v>
      </c>
      <c r="AH12" s="168">
        <f t="shared" si="1"/>
        <v>0</v>
      </c>
      <c r="AI12" s="108"/>
      <c r="AJ12" s="108"/>
      <c r="AK12" s="670"/>
      <c r="AL12" s="137"/>
      <c r="AM12" s="137"/>
      <c r="AN12" s="137"/>
      <c r="AO12" s="137"/>
      <c r="AP12" s="1197" t="s">
        <v>115</v>
      </c>
      <c r="AQ12" s="1197"/>
      <c r="AR12" s="753" t="s">
        <v>116</v>
      </c>
      <c r="AS12" s="227"/>
      <c r="AT12" s="227"/>
      <c r="AU12" s="37"/>
      <c r="AV12" s="37"/>
    </row>
    <row r="13" spans="1:50" s="122" customFormat="1" ht="16.149999999999999" customHeight="1" x14ac:dyDescent="0.2">
      <c r="A13" s="37"/>
      <c r="B13" s="1055" t="str">
        <f>ListAVS!$B$293</f>
        <v>Obliczenie wagi</v>
      </c>
      <c r="C13" s="1055"/>
      <c r="D13" s="1153" t="str">
        <f>ListAVS!$B$80&amp;" TS [mm] "</f>
        <v xml:space="preserve">Grubość frontu TS [mm] </v>
      </c>
      <c r="E13" s="1153"/>
      <c r="F13" s="1153"/>
      <c r="G13" s="1154"/>
      <c r="H13" s="259"/>
      <c r="I13" s="256"/>
      <c r="J13" s="255"/>
      <c r="K13" s="255"/>
      <c r="L13" s="255"/>
      <c r="M13" s="37"/>
      <c r="N13" s="119" t="s">
        <v>117</v>
      </c>
      <c r="O13" s="132">
        <f>IF($V$10=FALSE,IF($H$16&gt;R13,IF($H$16&lt;S13,1,0),0),0)</f>
        <v>0</v>
      </c>
      <c r="P13" s="132">
        <f>IF($V$10=TRUE,IF($H$16&gt;V13,IF($H$16&lt;W13,1.5,0),0),0)</f>
        <v>0</v>
      </c>
      <c r="Q13" s="119"/>
      <c r="R13" s="718">
        <v>979.99</v>
      </c>
      <c r="S13" s="718">
        <v>2216</v>
      </c>
      <c r="T13" s="37"/>
      <c r="U13" s="37"/>
      <c r="V13" s="718">
        <v>1469.99</v>
      </c>
      <c r="W13" s="718">
        <v>3061</v>
      </c>
      <c r="X13" s="718"/>
      <c r="Y13" s="164" t="str">
        <f>CenAVS!A87</f>
        <v xml:space="preserve">Aventos HK-S średni, szary, zaślepka      </v>
      </c>
      <c r="Z13" s="164" t="str">
        <f>CenAVS!B87</f>
        <v>20K2C00.06</v>
      </c>
      <c r="AA13" s="301" t="str">
        <f>CenAVS!C87</f>
        <v>TGIG</v>
      </c>
      <c r="AB13" s="165">
        <f t="shared" si="2"/>
        <v>0</v>
      </c>
      <c r="AC13" s="395">
        <f>CenAVS!F87</f>
        <v>85.38176</v>
      </c>
      <c r="AD13" s="167">
        <f t="shared" si="3"/>
        <v>0</v>
      </c>
      <c r="AE13" s="407">
        <f>IF(AND($U$16=1,$T$44=2),ROUNDUP(SUM($O$12:$P$12)*$M$17,0),0)</f>
        <v>0</v>
      </c>
      <c r="AF13" s="168">
        <f t="shared" si="0"/>
        <v>0</v>
      </c>
      <c r="AG13" s="407">
        <f>IF(AND($U$27=1,$T$44=2),ROUNDUP(SUM($O$23:$P$23)*$M$28,0),0)</f>
        <v>0</v>
      </c>
      <c r="AH13" s="168">
        <f t="shared" si="1"/>
        <v>0</v>
      </c>
      <c r="AI13" s="108"/>
      <c r="AJ13" s="108"/>
      <c r="AK13" s="670"/>
      <c r="AL13" s="137"/>
      <c r="AM13" s="137"/>
      <c r="AN13" s="137"/>
      <c r="AO13" s="137"/>
      <c r="AP13" s="1203"/>
      <c r="AQ13" s="1203"/>
      <c r="AR13" s="268"/>
      <c r="AS13" s="227"/>
      <c r="AT13" s="227"/>
      <c r="AU13" s="37"/>
      <c r="AV13" s="37"/>
    </row>
    <row r="14" spans="1:50" s="122" customFormat="1" ht="16.149999999999999" customHeight="1" x14ac:dyDescent="0.2">
      <c r="A14" s="37"/>
      <c r="B14" s="1055"/>
      <c r="C14" s="1055"/>
      <c r="D14" s="1053" t="str">
        <f>ListAVS!$B$83&amp;" [kg] "</f>
        <v xml:space="preserve">Waga uchwytu [kg] </v>
      </c>
      <c r="E14" s="1053"/>
      <c r="F14" s="1053"/>
      <c r="G14" s="1054"/>
      <c r="H14" s="258"/>
      <c r="I14" s="256" t="str">
        <f>IF(H17=0, " ", IF(AND(H12=0, U16=1, H14=0), " ● "&amp;ListAVS!$B$130," "))</f>
        <v xml:space="preserve"> </v>
      </c>
      <c r="J14" s="255"/>
      <c r="K14" s="255"/>
      <c r="L14" s="255"/>
      <c r="M14" s="37"/>
      <c r="N14" s="119"/>
      <c r="O14" s="132"/>
      <c r="P14" s="132"/>
      <c r="Q14" s="119"/>
      <c r="R14" s="718"/>
      <c r="S14" s="718"/>
      <c r="T14" s="37"/>
      <c r="U14" s="37"/>
      <c r="V14" s="718"/>
      <c r="W14" s="718"/>
      <c r="X14" s="718"/>
      <c r="Y14" s="164" t="str">
        <f>CenAVS!A88</f>
        <v xml:space="preserve">Aventos HK-S średni jedwabiście biały, zaślepka     </v>
      </c>
      <c r="Z14" s="164" t="str">
        <f>CenAVS!B88</f>
        <v>20K2C00.06</v>
      </c>
      <c r="AA14" s="301" t="str">
        <f>CenAVS!C88</f>
        <v>SWIG</v>
      </c>
      <c r="AB14" s="165">
        <f t="shared" si="2"/>
        <v>0</v>
      </c>
      <c r="AC14" s="395">
        <f>CenAVS!F88</f>
        <v>85.38176</v>
      </c>
      <c r="AD14" s="167">
        <f t="shared" si="3"/>
        <v>0</v>
      </c>
      <c r="AE14" s="407">
        <f>IF(AND($U$16=1,$T$44=3),ROUNDUP(SUM($O$12:$P$12)*$M$17,0),0)</f>
        <v>0</v>
      </c>
      <c r="AF14" s="168">
        <f t="shared" si="0"/>
        <v>0</v>
      </c>
      <c r="AG14" s="407">
        <f>IF(AND($U$27=1,$T$44=3),ROUNDUP(SUM($O$23:$P$23)*$M$28,0),0)</f>
        <v>0</v>
      </c>
      <c r="AH14" s="168">
        <f t="shared" si="1"/>
        <v>0</v>
      </c>
      <c r="AI14" s="108"/>
      <c r="AJ14" s="108"/>
      <c r="AK14" s="670"/>
      <c r="AL14" s="137"/>
      <c r="AM14" s="137"/>
      <c r="AN14" s="137"/>
      <c r="AO14" s="137"/>
      <c r="AP14" s="1101" t="str">
        <f>ListAVS!$B$86&amp;" LF = "&amp;ListAVS!$B$75&amp;" KH [mm] x "&amp;ListAVS!$B$78&amp;" [kg]"</f>
        <v>Współczynnik mocy LF = Wysokość korpusu KH [mm] x Waga frontu wraz z 2 uchwytami [kg]</v>
      </c>
      <c r="AQ14" s="1101"/>
      <c r="AR14" s="1101"/>
      <c r="AS14" s="1101"/>
      <c r="AT14" s="1101"/>
      <c r="AU14" s="37"/>
      <c r="AV14" s="37"/>
    </row>
    <row r="15" spans="1:50" s="122" customFormat="1" ht="16.149999999999999" customHeight="1" x14ac:dyDescent="0.2">
      <c r="A15" s="37"/>
      <c r="B15" s="1055"/>
      <c r="C15" s="1055"/>
      <c r="D15" s="1053" t="str">
        <f>ListAVS!$B$79&amp;" [kg] "</f>
        <v xml:space="preserve">Obliczona waga frontu [kg] </v>
      </c>
      <c r="E15" s="1053"/>
      <c r="F15" s="1053"/>
      <c r="G15" s="1054"/>
      <c r="H15" s="259">
        <f>$T$71</f>
        <v>0</v>
      </c>
      <c r="I15" s="227" t="str">
        <f>IF($H17&gt;0,IF($H15&gt;0,IF($H12=0,$N$37," ")," ")," ")</f>
        <v xml:space="preserve"> </v>
      </c>
      <c r="J15" s="255"/>
      <c r="K15" s="255"/>
      <c r="L15" s="255"/>
      <c r="M15" s="37"/>
      <c r="N15" s="37"/>
      <c r="O15" s="37"/>
      <c r="P15" s="37"/>
      <c r="Q15" s="37"/>
      <c r="R15" s="37"/>
      <c r="S15" s="37"/>
      <c r="T15" s="754"/>
      <c r="U15" s="755" t="str">
        <f>IF(U16=1,$V$46,IF(U16=2,$V$47,$V$48))</f>
        <v>Standard</v>
      </c>
      <c r="V15" s="37"/>
      <c r="W15" s="37"/>
      <c r="X15" s="37"/>
      <c r="Y15" s="164" t="str">
        <f>CenAVS!A89</f>
        <v xml:space="preserve">Aventos HK-S mocny jasnoszary, zaślepka      </v>
      </c>
      <c r="Z15" s="164" t="str">
        <f>CenAVS!B89</f>
        <v>20K2E00.06</v>
      </c>
      <c r="AA15" s="301" t="str">
        <f>CenAVS!C89</f>
        <v>HGIG</v>
      </c>
      <c r="AB15" s="165">
        <f t="shared" si="2"/>
        <v>0</v>
      </c>
      <c r="AC15" s="395">
        <f>CenAVS!F89</f>
        <v>82.860640000000004</v>
      </c>
      <c r="AD15" s="167">
        <f t="shared" si="3"/>
        <v>0</v>
      </c>
      <c r="AE15" s="407">
        <f>IF(AND($U$16=1,$T$44=1),ROUNDUP(SUM($O$13:$P$13)*$M$17,0),0)</f>
        <v>0</v>
      </c>
      <c r="AF15" s="168">
        <f t="shared" si="0"/>
        <v>0</v>
      </c>
      <c r="AG15" s="407">
        <f>IF(AND($U$27=1,$T$44=1),ROUNDUP(SUM($O$24:$P$24)*$M$28,0),0)</f>
        <v>0</v>
      </c>
      <c r="AH15" s="168">
        <f t="shared" si="1"/>
        <v>0</v>
      </c>
      <c r="AI15" s="108"/>
      <c r="AJ15" s="108"/>
      <c r="AK15" s="255"/>
      <c r="AL15" s="137"/>
      <c r="AM15" s="137"/>
      <c r="AN15" s="137"/>
      <c r="AO15" s="137"/>
      <c r="AP15" s="1101"/>
      <c r="AQ15" s="1101"/>
      <c r="AR15" s="1101"/>
      <c r="AS15" s="1101"/>
      <c r="AT15" s="1101"/>
      <c r="AU15" s="37"/>
      <c r="AV15" s="37"/>
    </row>
    <row r="16" spans="1:50" s="122" customFormat="1" ht="16.149999999999999" customHeight="1" thickBot="1" x14ac:dyDescent="0.25">
      <c r="A16" s="37"/>
      <c r="B16" s="1011"/>
      <c r="C16" s="1013"/>
      <c r="D16" s="1011" t="str">
        <f>ListAVS!$B$86&amp;" LF "</f>
        <v xml:space="preserve">Współczynnik mocy LF </v>
      </c>
      <c r="E16" s="1012"/>
      <c r="F16" s="1012"/>
      <c r="G16" s="1013"/>
      <c r="H16" s="443">
        <f>IF(H12&gt;0,H11*H12,H11*H15)</f>
        <v>0</v>
      </c>
      <c r="I16" s="256" t="str">
        <f>IF(AND(H16&gt;0, H16&lt;220), $N$39, IF($H16&gt;2215.5, $N$41, " "))</f>
        <v xml:space="preserve"> </v>
      </c>
      <c r="J16" s="255"/>
      <c r="K16" s="255"/>
      <c r="L16" s="255"/>
      <c r="M16" s="118"/>
      <c r="N16" s="119"/>
      <c r="O16" s="132"/>
      <c r="P16" s="132"/>
      <c r="Q16" s="119"/>
      <c r="R16" s="718"/>
      <c r="S16" s="718"/>
      <c r="T16" s="756"/>
      <c r="U16" s="207">
        <v>1</v>
      </c>
      <c r="V16" s="718"/>
      <c r="W16" s="718"/>
      <c r="X16" s="718"/>
      <c r="Y16" s="164" t="str">
        <f>CenAVS!A90</f>
        <v xml:space="preserve">Aventos HK-S mocny, szary, nowa zaślepka     </v>
      </c>
      <c r="Z16" s="164" t="str">
        <f>CenAVS!B90</f>
        <v>20K2E00.06</v>
      </c>
      <c r="AA16" s="301" t="str">
        <f>CenAVS!C90</f>
        <v>TGIG</v>
      </c>
      <c r="AB16" s="165">
        <f t="shared" si="2"/>
        <v>0</v>
      </c>
      <c r="AC16" s="395">
        <f>CenAVS!F90</f>
        <v>85.38176</v>
      </c>
      <c r="AD16" s="167">
        <f t="shared" si="3"/>
        <v>0</v>
      </c>
      <c r="AE16" s="407">
        <f>IF(AND($U$16=1,$T$44=2),ROUNDUP(SUM($O$13:$P$13)*$M$17,0),0)</f>
        <v>0</v>
      </c>
      <c r="AF16" s="168">
        <f t="shared" si="0"/>
        <v>0</v>
      </c>
      <c r="AG16" s="407">
        <f>IF(AND($U$27=1,$T$44=2),ROUNDUP(SUM($O$24:$P$24)*$M$28,0),0)</f>
        <v>0</v>
      </c>
      <c r="AH16" s="168">
        <f t="shared" si="1"/>
        <v>0</v>
      </c>
      <c r="AI16" s="108"/>
      <c r="AJ16" s="108"/>
      <c r="AK16" s="255"/>
      <c r="AL16" s="137"/>
      <c r="AM16" s="137"/>
      <c r="AN16" s="137"/>
      <c r="AO16" s="137"/>
      <c r="AP16" s="1101" t="str">
        <f>ListAVS!$B$355</f>
        <v>W razie wykorzystania trzeciego siłownika współczynnik mocy oraz waga frontu mogą się zwiększyć o 50 %.</v>
      </c>
      <c r="AQ16" s="1101"/>
      <c r="AR16" s="1101"/>
      <c r="AS16" s="1101"/>
      <c r="AT16" s="1101"/>
      <c r="AU16" s="37"/>
      <c r="AV16" s="37"/>
    </row>
    <row r="17" spans="1:49" s="122" customFormat="1" ht="16.149999999999999" customHeight="1" thickBot="1" x14ac:dyDescent="0.25">
      <c r="A17" s="37"/>
      <c r="B17" s="1155" t="str">
        <f>ListAVS!$B$71</f>
        <v>Ilość szafek</v>
      </c>
      <c r="C17" s="1156"/>
      <c r="D17" s="1156"/>
      <c r="E17" s="1156"/>
      <c r="F17" s="1156"/>
      <c r="G17" s="1156"/>
      <c r="H17" s="261"/>
      <c r="I17" s="256"/>
      <c r="J17" s="255"/>
      <c r="K17" s="255"/>
      <c r="L17" s="255"/>
      <c r="M17" s="315">
        <f>IF(OR($H10*$H11*$T17=0,$H11&lt;190,$H11&gt;600, H16&lt;220, $H16&gt;3322.5),0,IF($H16&gt;2215.5,IF($V10=FALSE,0,$H17),$H17))</f>
        <v>0</v>
      </c>
      <c r="N17" s="130"/>
      <c r="O17" s="132"/>
      <c r="P17" s="132"/>
      <c r="Q17" s="119"/>
      <c r="R17" s="718"/>
      <c r="S17" s="690" t="s">
        <v>51</v>
      </c>
      <c r="T17" s="691">
        <f>IF(H12&gt;0,H12,H15)</f>
        <v>0</v>
      </c>
      <c r="U17" s="37">
        <f>IF(SUM(H12,H15)=0,0,IF(H12&gt;0,1,2))</f>
        <v>0</v>
      </c>
      <c r="V17" s="571" t="s">
        <v>52</v>
      </c>
      <c r="W17" s="37"/>
      <c r="X17" s="718"/>
      <c r="Y17" s="164" t="str">
        <f>CenAVS!A91</f>
        <v xml:space="preserve">Aventos HK-S mocny jedwabiście biały      </v>
      </c>
      <c r="Z17" s="164" t="str">
        <f>CenAVS!B91</f>
        <v>20K2E00.06</v>
      </c>
      <c r="AA17" s="301" t="str">
        <f>CenAVS!C91</f>
        <v>SWIG</v>
      </c>
      <c r="AB17" s="165">
        <f t="shared" si="2"/>
        <v>0</v>
      </c>
      <c r="AC17" s="395">
        <f>CenAVS!F91</f>
        <v>85.38176</v>
      </c>
      <c r="AD17" s="167">
        <f t="shared" si="3"/>
        <v>0</v>
      </c>
      <c r="AE17" s="407">
        <f>IF(AND($U$16=1,$T$44=3),ROUNDUP(SUM($O$13:$P$13)*$M$17,0),0)</f>
        <v>0</v>
      </c>
      <c r="AF17" s="168">
        <f t="shared" si="0"/>
        <v>0</v>
      </c>
      <c r="AG17" s="407">
        <f>IF(AND($U$27=1,$T$44=3),ROUNDUP(SUM($O$24:$P$24)*$M$28,0),0)</f>
        <v>0</v>
      </c>
      <c r="AH17" s="168">
        <f t="shared" si="1"/>
        <v>0</v>
      </c>
      <c r="AI17" s="108"/>
      <c r="AJ17" s="108"/>
      <c r="AK17" s="692"/>
      <c r="AL17" s="137"/>
      <c r="AM17" s="137"/>
      <c r="AN17" s="137"/>
      <c r="AO17" s="137"/>
      <c r="AP17" s="1101"/>
      <c r="AQ17" s="1101"/>
      <c r="AR17" s="1101"/>
      <c r="AS17" s="1101"/>
      <c r="AT17" s="1101"/>
      <c r="AU17" s="37"/>
      <c r="AV17" s="37"/>
    </row>
    <row r="18" spans="1:49" s="122" customFormat="1" ht="16.149999999999999" customHeight="1" x14ac:dyDescent="0.2">
      <c r="A18" s="37"/>
      <c r="B18" s="227" t="str">
        <f>IF(M17&gt;0,IF(U17=0," ",IF(U17=1,$N$49,$N$50))," ")&amp;IF(M17&gt;0,IF(U17=0," ",IF(U17=1,$N$51,$N$52))," ")</f>
        <v xml:space="preserve">  </v>
      </c>
      <c r="C18" s="227"/>
      <c r="D18" s="227"/>
      <c r="E18" s="227"/>
      <c r="F18" s="262"/>
      <c r="G18" s="262"/>
      <c r="H18" s="227"/>
      <c r="I18" s="227"/>
      <c r="J18" s="255"/>
      <c r="K18" s="255"/>
      <c r="L18" s="255"/>
      <c r="M18" s="118"/>
      <c r="N18" s="119"/>
      <c r="O18" s="132"/>
      <c r="P18" s="132"/>
      <c r="Q18" s="119"/>
      <c r="R18" s="718"/>
      <c r="S18" s="718"/>
      <c r="T18" s="119"/>
      <c r="U18" s="151"/>
      <c r="V18" s="718"/>
      <c r="W18" s="718"/>
      <c r="X18" s="718"/>
      <c r="Y18" s="164" t="str">
        <f>CenAVS!A92</f>
        <v xml:space="preserve">          </v>
      </c>
      <c r="Z18" s="164">
        <f>CenAVS!B92</f>
        <v>0</v>
      </c>
      <c r="AA18" s="301">
        <f>CenAVS!C92</f>
        <v>0</v>
      </c>
      <c r="AB18" s="165">
        <f t="shared" si="2"/>
        <v>0</v>
      </c>
      <c r="AC18" s="395">
        <f>CenAVS!F92</f>
        <v>0</v>
      </c>
      <c r="AD18" s="167">
        <f t="shared" si="3"/>
        <v>0</v>
      </c>
      <c r="AE18" s="407"/>
      <c r="AF18" s="168">
        <f t="shared" si="0"/>
        <v>0</v>
      </c>
      <c r="AG18" s="407"/>
      <c r="AH18" s="168">
        <f t="shared" si="1"/>
        <v>0</v>
      </c>
      <c r="AI18" s="108"/>
      <c r="AJ18" s="108"/>
      <c r="AK18" s="670"/>
      <c r="AL18" s="137"/>
      <c r="AM18" s="137"/>
      <c r="AN18" s="137"/>
      <c r="AO18" s="137"/>
      <c r="AP18" s="227"/>
      <c r="AQ18" s="227"/>
      <c r="AR18" s="227"/>
      <c r="AS18" s="227"/>
      <c r="AT18" s="227"/>
      <c r="AU18" s="37"/>
      <c r="AV18" s="37"/>
    </row>
    <row r="19" spans="1:49" s="122" customFormat="1" ht="25.15" customHeight="1" thickBot="1" x14ac:dyDescent="0.25">
      <c r="A19" s="37"/>
      <c r="B19" s="227"/>
      <c r="C19" s="227"/>
      <c r="D19" s="227"/>
      <c r="E19" s="227"/>
      <c r="F19" s="262"/>
      <c r="G19" s="262"/>
      <c r="H19" s="227"/>
      <c r="I19" s="227"/>
      <c r="J19" s="255"/>
      <c r="K19" s="255"/>
      <c r="L19" s="255"/>
      <c r="M19" s="118"/>
      <c r="N19" s="119"/>
      <c r="O19" s="132"/>
      <c r="P19" s="132"/>
      <c r="Q19" s="119"/>
      <c r="R19" s="718"/>
      <c r="S19" s="718"/>
      <c r="T19" s="119"/>
      <c r="U19" s="151"/>
      <c r="V19" s="718"/>
      <c r="W19" s="718"/>
      <c r="X19" s="718"/>
      <c r="Y19" s="164" t="str">
        <f>CenAVS!A93</f>
        <v xml:space="preserve">Aventos HK-S Tip-on słaby jasnoszary bez Tip-on krytka   </v>
      </c>
      <c r="Z19" s="164" t="str">
        <f>CenAVS!B93</f>
        <v>20K2B00T06</v>
      </c>
      <c r="AA19" s="301" t="str">
        <f>CenAVS!C93</f>
        <v>HGIG</v>
      </c>
      <c r="AB19" s="165">
        <f t="shared" si="2"/>
        <v>0</v>
      </c>
      <c r="AC19" s="395">
        <f>CenAVS!F93</f>
        <v>77.645600000000002</v>
      </c>
      <c r="AD19" s="167">
        <f t="shared" si="3"/>
        <v>0</v>
      </c>
      <c r="AE19" s="407">
        <f>IF(AND($U$16=2,$T$44=1),ROUNDUP(SUM($O$11:$P$11)*$M$17,0),0)</f>
        <v>0</v>
      </c>
      <c r="AF19" s="168">
        <f t="shared" si="0"/>
        <v>0</v>
      </c>
      <c r="AG19" s="407">
        <f>IF(AND($U$27=2,$T$44=1),ROUNDUP(SUM($O$22:$P$22)*$M$28,0),0)</f>
        <v>0</v>
      </c>
      <c r="AH19" s="168">
        <f t="shared" si="1"/>
        <v>0</v>
      </c>
      <c r="AI19" s="108"/>
      <c r="AJ19" s="108"/>
      <c r="AK19" s="255"/>
      <c r="AL19" s="137"/>
      <c r="AM19" s="137"/>
      <c r="AN19" s="137"/>
      <c r="AO19" s="137"/>
      <c r="AP19" s="227"/>
      <c r="AQ19" s="227"/>
      <c r="AR19" s="227"/>
      <c r="AS19" s="227"/>
      <c r="AT19" s="227"/>
      <c r="AU19" s="37"/>
      <c r="AV19" s="37"/>
    </row>
    <row r="20" spans="1:49" s="122" customFormat="1" ht="16.149999999999999" customHeight="1" thickBot="1" x14ac:dyDescent="0.25">
      <c r="A20" s="37"/>
      <c r="B20" s="1051" t="str">
        <f>"▼ "&amp;ListAVS!$B$318</f>
        <v>▼ Sposób otwierania</v>
      </c>
      <c r="C20" s="1052"/>
      <c r="D20" s="406" t="str">
        <f>IF($M$28&gt;0, ListAVS!$B$37&amp;": ", " ")</f>
        <v xml:space="preserve"> </v>
      </c>
      <c r="E20" s="688" t="str">
        <f>IF(SUM(AG$9:AG$11)&gt;0, "B", IF(SUM(AG$12:AG$14)&gt;0, "C", IF(SUM(AG$15:AG$17)&gt;0, "E", IF(SUM(AG$19:AG$21)&gt;0, "B T", IF(SUM(AG$22:AG$24)&gt;0, "C T", IF(SUM(AG$25:AG$27)&gt;0, "E T",  " "))))))</f>
        <v xml:space="preserve"> </v>
      </c>
      <c r="F20" s="1056" t="str">
        <f>ListAVS!$B$64&amp;" B"</f>
        <v>Korpus B</v>
      </c>
      <c r="G20" s="1057"/>
      <c r="H20" s="1058"/>
      <c r="I20" s="256"/>
      <c r="J20" s="255"/>
      <c r="K20" s="255"/>
      <c r="L20" s="255"/>
      <c r="M20" s="37"/>
      <c r="N20" s="119"/>
      <c r="O20" s="132"/>
      <c r="P20" s="119"/>
      <c r="Q20" s="132"/>
      <c r="R20" s="1194" t="s">
        <v>89</v>
      </c>
      <c r="S20" s="1195"/>
      <c r="T20" s="747"/>
      <c r="U20" s="748"/>
      <c r="V20" s="1195" t="s">
        <v>90</v>
      </c>
      <c r="W20" s="1196"/>
      <c r="X20" s="132"/>
      <c r="Y20" s="164" t="str">
        <f>CenAVS!A94</f>
        <v xml:space="preserve">Aventos HK-S Tip-on słaby ciemnoszary bez Tip-on zaślepka   </v>
      </c>
      <c r="Z20" s="164" t="str">
        <f>CenAVS!B94</f>
        <v>20K2B00T06</v>
      </c>
      <c r="AA20" s="301" t="str">
        <f>CenAVS!C94</f>
        <v>TGIG</v>
      </c>
      <c r="AB20" s="165">
        <f t="shared" si="2"/>
        <v>0</v>
      </c>
      <c r="AC20" s="395">
        <f>CenAVS!F94</f>
        <v>80.166719999999998</v>
      </c>
      <c r="AD20" s="167">
        <f t="shared" si="3"/>
        <v>0</v>
      </c>
      <c r="AE20" s="407">
        <f>IF(AND($U$16=2,$T$44=2),ROUNDUP(SUM($O$11:$P$11)*$M$17,0),0)</f>
        <v>0</v>
      </c>
      <c r="AF20" s="168">
        <f t="shared" si="0"/>
        <v>0</v>
      </c>
      <c r="AG20" s="407">
        <f>IF(AND($U$27=2,$T$44=2),ROUNDUP(SUM($O$22:$P$22)*$M$28,0),0)</f>
        <v>0</v>
      </c>
      <c r="AH20" s="168">
        <f t="shared" si="1"/>
        <v>0</v>
      </c>
      <c r="AI20" s="108"/>
      <c r="AJ20" s="108"/>
      <c r="AK20" s="255"/>
      <c r="AL20" s="137"/>
      <c r="AM20" s="137"/>
      <c r="AN20" s="137"/>
      <c r="AO20" s="137"/>
      <c r="AP20" s="673"/>
      <c r="AQ20" s="227"/>
      <c r="AR20" s="227"/>
      <c r="AS20" s="227"/>
      <c r="AT20" s="227"/>
      <c r="AU20" s="37"/>
      <c r="AV20" s="37"/>
    </row>
    <row r="21" spans="1:49" s="122" customFormat="1" ht="16.149999999999999" customHeight="1" x14ac:dyDescent="0.2">
      <c r="A21" s="37"/>
      <c r="B21" s="1011" t="str">
        <f>ListAVS!$B$74&amp;" KB [mm] "</f>
        <v xml:space="preserve">Szerokość korpusu KB [mm] </v>
      </c>
      <c r="C21" s="1012"/>
      <c r="D21" s="1012"/>
      <c r="E21" s="1012"/>
      <c r="F21" s="1012"/>
      <c r="G21" s="1013"/>
      <c r="H21" s="257"/>
      <c r="I21" s="256" t="str">
        <f>IF($H21=0," ",IF($H21&lt;220," min. 220mm",IF($H21&gt;1800," max. 1 800mm"," ")))&amp;IF(H28&gt;0,IF(H21=0,"● "&amp;ListAVS!$B$129," ")," ")</f>
        <v xml:space="preserve">  </v>
      </c>
      <c r="J21" s="255"/>
      <c r="K21" s="255"/>
      <c r="L21" s="255"/>
      <c r="M21" s="37"/>
      <c r="N21" s="198" t="s">
        <v>32</v>
      </c>
      <c r="O21" s="199" t="s">
        <v>91</v>
      </c>
      <c r="P21" s="200" t="s">
        <v>92</v>
      </c>
      <c r="Q21" s="119"/>
      <c r="R21" s="750" t="s">
        <v>93</v>
      </c>
      <c r="S21" s="750" t="s">
        <v>76</v>
      </c>
      <c r="T21" s="751" t="s">
        <v>94</v>
      </c>
      <c r="U21" s="751" t="s">
        <v>95</v>
      </c>
      <c r="V21" s="1183" t="b">
        <v>0</v>
      </c>
      <c r="W21" s="1184"/>
      <c r="X21" s="444"/>
      <c r="Y21" s="164" t="str">
        <f>CenAVS!A95</f>
        <v xml:space="preserve">Aventos HK-S Tip-on słaby jedwabiście biały     </v>
      </c>
      <c r="Z21" s="164" t="str">
        <f>CenAVS!B95</f>
        <v>20K2B00T06</v>
      </c>
      <c r="AA21" s="301" t="str">
        <f>CenAVS!C95</f>
        <v>SWIG</v>
      </c>
      <c r="AB21" s="165">
        <f t="shared" si="2"/>
        <v>0</v>
      </c>
      <c r="AC21" s="395">
        <f>CenAVS!F95</f>
        <v>80.166719999999998</v>
      </c>
      <c r="AD21" s="167">
        <f t="shared" si="3"/>
        <v>0</v>
      </c>
      <c r="AE21" s="407">
        <f>IF(AND($U$16=2,$T$44=3),ROUNDUP(SUM($O$11:$P$11)*$M$17,0),0)</f>
        <v>0</v>
      </c>
      <c r="AF21" s="168">
        <f t="shared" si="0"/>
        <v>0</v>
      </c>
      <c r="AG21" s="407">
        <f>IF(AND($U$27=2,$T$44=3),ROUNDUP(SUM($O$22:$P$22)*$M$28,0),0)</f>
        <v>0</v>
      </c>
      <c r="AH21" s="168">
        <f t="shared" si="1"/>
        <v>0</v>
      </c>
      <c r="AI21" s="108"/>
      <c r="AJ21" s="108"/>
      <c r="AK21" s="255"/>
      <c r="AL21" s="137"/>
      <c r="AM21" s="137"/>
      <c r="AN21" s="137"/>
      <c r="AO21" s="137"/>
      <c r="AP21" s="227"/>
      <c r="AQ21" s="227"/>
      <c r="AR21" s="227"/>
      <c r="AS21" s="227"/>
      <c r="AT21" s="227"/>
      <c r="AU21" s="37"/>
      <c r="AV21" s="37"/>
    </row>
    <row r="22" spans="1:49" s="122" customFormat="1" ht="16.149999999999999" customHeight="1" x14ac:dyDescent="0.2">
      <c r="A22" s="37"/>
      <c r="B22" s="1011" t="str">
        <f>ListAVS!$B$75&amp;" KH [mm] "</f>
        <v xml:space="preserve">Wysokość korpusu KH [mm] </v>
      </c>
      <c r="C22" s="1012"/>
      <c r="D22" s="1012"/>
      <c r="E22" s="1012"/>
      <c r="F22" s="1012"/>
      <c r="G22" s="1013"/>
      <c r="H22" s="257"/>
      <c r="I22" s="256" t="str">
        <f>IF($H22=0," ",IF($H22&lt;190," min. 190mm",IF($H22&gt;600," max. 600 mm"," ")))&amp;IF(H28&gt;0,IF(H22=0,"● "&amp;ListAVS!$B$129," ")," ")</f>
        <v xml:space="preserve">  </v>
      </c>
      <c r="J22" s="255"/>
      <c r="K22" s="255"/>
      <c r="L22" s="255"/>
      <c r="M22" s="37"/>
      <c r="N22" s="119" t="s">
        <v>111</v>
      </c>
      <c r="O22" s="132">
        <f>IF($V$21=FALSE,IF($H$27&gt;R22,IF($H$27&lt;S22,1,0),0),0)</f>
        <v>0</v>
      </c>
      <c r="P22" s="132">
        <f>IF($V$21=TRUE,IF($H$27&gt;V22,IF($H$27&lt;W22,2,0),0),0)</f>
        <v>0</v>
      </c>
      <c r="Q22" s="119"/>
      <c r="R22" s="718">
        <v>219</v>
      </c>
      <c r="S22" s="718">
        <v>450</v>
      </c>
      <c r="T22" s="752"/>
      <c r="U22" s="119"/>
      <c r="V22" s="718">
        <v>329.99</v>
      </c>
      <c r="W22" s="718">
        <v>670</v>
      </c>
      <c r="X22" s="718"/>
      <c r="Y22" s="164" t="str">
        <f>CenAVS!A96</f>
        <v xml:space="preserve">Aventos HK-S Tip-on średni jasnoszary bez Tip-on zaślepka   </v>
      </c>
      <c r="Z22" s="164" t="str">
        <f>CenAVS!B96</f>
        <v>20K2C00T06</v>
      </c>
      <c r="AA22" s="301" t="str">
        <f>CenAVS!C96</f>
        <v>HGIG</v>
      </c>
      <c r="AB22" s="165">
        <f t="shared" si="2"/>
        <v>0</v>
      </c>
      <c r="AC22" s="395">
        <f>CenAVS!F96</f>
        <v>84.296419999999998</v>
      </c>
      <c r="AD22" s="167">
        <f t="shared" si="3"/>
        <v>0</v>
      </c>
      <c r="AE22" s="407">
        <f>IF(AND($U$16=2,$T$44=1),ROUNDUP(SUM($O$12:$P$12)*$M$17,0),0)</f>
        <v>0</v>
      </c>
      <c r="AF22" s="168">
        <f t="shared" si="0"/>
        <v>0</v>
      </c>
      <c r="AG22" s="407">
        <f>IF(AND($U$27=2,$T$44=1),ROUNDUP(SUM($O$23:$P$23)*$M$28,0),0)</f>
        <v>0</v>
      </c>
      <c r="AH22" s="168">
        <f t="shared" si="1"/>
        <v>0</v>
      </c>
      <c r="AI22" s="108"/>
      <c r="AJ22" s="108"/>
      <c r="AK22" s="255"/>
      <c r="AL22" s="137"/>
      <c r="AM22" s="137"/>
      <c r="AN22" s="137"/>
      <c r="AO22" s="137"/>
      <c r="AP22" s="227"/>
      <c r="AQ22" s="227"/>
      <c r="AR22" s="227"/>
      <c r="AS22" s="227"/>
      <c r="AT22" s="227"/>
      <c r="AU22" s="37"/>
      <c r="AV22" s="37"/>
    </row>
    <row r="23" spans="1:49" s="122" customFormat="1" ht="16.149999999999999" customHeight="1" x14ac:dyDescent="0.2">
      <c r="A23" s="37"/>
      <c r="B23" s="1011" t="str">
        <f>ListAVS!$B$78&amp;" [kg] ** "</f>
        <v xml:space="preserve">Waga frontu wraz z 2 uchwytami [kg] ** </v>
      </c>
      <c r="C23" s="1012"/>
      <c r="D23" s="1012"/>
      <c r="E23" s="1012"/>
      <c r="F23" s="1012"/>
      <c r="G23" s="1013"/>
      <c r="H23" s="263"/>
      <c r="I23" s="227" t="str">
        <f>IF($H28=0," ",IF(AND($H23=0, AF76=3, J4=0), $N$35, " "))&amp;IF($M28&gt;0,IF($H23&gt;0,$N$37," ")," ")</f>
        <v xml:space="preserve">  </v>
      </c>
      <c r="J23" s="255"/>
      <c r="K23" s="255"/>
      <c r="L23" s="255"/>
      <c r="M23" s="37"/>
      <c r="N23" s="119" t="s">
        <v>114</v>
      </c>
      <c r="O23" s="132">
        <f>IF($V$21=FALSE,IF($H$27&gt;R23,IF($H$27&lt;S23,1,0),0),0)</f>
        <v>0</v>
      </c>
      <c r="P23" s="132">
        <f>IF($V$21=TRUE,IF($H$27&gt;V23,IF($H$27&lt;W23,1.5,0),0),0)</f>
        <v>0</v>
      </c>
      <c r="Q23" s="119"/>
      <c r="R23" s="718">
        <v>449.99</v>
      </c>
      <c r="S23" s="718">
        <v>980</v>
      </c>
      <c r="T23" s="752"/>
      <c r="U23" s="119"/>
      <c r="V23" s="718">
        <v>669.99</v>
      </c>
      <c r="W23" s="718">
        <v>1470</v>
      </c>
      <c r="X23" s="718"/>
      <c r="Y23" s="164" t="str">
        <f>CenAVS!A97</f>
        <v xml:space="preserve">Aventos HK-S Tip-on średni ciemnoszary bez Tip-on zaślepka   </v>
      </c>
      <c r="Z23" s="164" t="str">
        <f>CenAVS!B97</f>
        <v>20K2C00T06</v>
      </c>
      <c r="AA23" s="301" t="str">
        <f>CenAVS!C97</f>
        <v>TGIG</v>
      </c>
      <c r="AB23" s="165">
        <f t="shared" si="2"/>
        <v>0</v>
      </c>
      <c r="AC23" s="395">
        <f>CenAVS!F97</f>
        <v>86.817539999999994</v>
      </c>
      <c r="AD23" s="167">
        <f t="shared" si="3"/>
        <v>0</v>
      </c>
      <c r="AE23" s="407">
        <f>IF(AND($U$16=2,$T$44=2),ROUNDUP(SUM($O$12:$P$12)*$M$17,0),0)</f>
        <v>0</v>
      </c>
      <c r="AF23" s="168">
        <f t="shared" si="0"/>
        <v>0</v>
      </c>
      <c r="AG23" s="407">
        <f>IF(AND($U$27=2,$T$44=2),ROUNDUP(SUM($O$23:$P$23)*$M$28,0),0)</f>
        <v>0</v>
      </c>
      <c r="AH23" s="168">
        <f t="shared" si="1"/>
        <v>0</v>
      </c>
      <c r="AI23" s="108"/>
      <c r="AJ23" s="108"/>
      <c r="AK23" s="255"/>
      <c r="AL23" s="137"/>
      <c r="AM23" s="37"/>
      <c r="AN23" s="37"/>
      <c r="AO23" s="37"/>
      <c r="AP23" s="37"/>
      <c r="AQ23" s="37"/>
      <c r="AR23" s="37"/>
      <c r="AS23" s="37"/>
      <c r="AT23" s="37"/>
      <c r="AU23" s="37"/>
      <c r="AV23" s="37"/>
    </row>
    <row r="24" spans="1:49" s="122" customFormat="1" ht="16.149999999999999" customHeight="1" x14ac:dyDescent="0.2">
      <c r="A24" s="37"/>
      <c r="B24" s="1055" t="str">
        <f>ListAVS!$B$293</f>
        <v>Obliczenie wagi</v>
      </c>
      <c r="C24" s="1055"/>
      <c r="D24" s="1153" t="str">
        <f>ListAVS!$B$80&amp;" TS [mm] "</f>
        <v xml:space="preserve">Grubość frontu TS [mm] </v>
      </c>
      <c r="E24" s="1153"/>
      <c r="F24" s="1153"/>
      <c r="G24" s="1154"/>
      <c r="H24" s="259"/>
      <c r="I24" s="227"/>
      <c r="J24" s="255"/>
      <c r="K24" s="255"/>
      <c r="L24" s="255"/>
      <c r="M24" s="37"/>
      <c r="N24" s="119" t="s">
        <v>117</v>
      </c>
      <c r="O24" s="132">
        <f>IF($V$21=FALSE,IF($H$27&gt;R24,IF($H$27&lt;S24,1,0),0),0)</f>
        <v>0</v>
      </c>
      <c r="P24" s="132">
        <f>IF($V$21=TRUE,IF($H$27&gt;V24,IF($H$27&lt;W24,1.5,0),0),0)</f>
        <v>0</v>
      </c>
      <c r="Q24" s="119"/>
      <c r="R24" s="718">
        <v>979.99</v>
      </c>
      <c r="S24" s="718">
        <v>2216</v>
      </c>
      <c r="T24" s="37"/>
      <c r="U24" s="37"/>
      <c r="V24" s="718">
        <v>1469.99</v>
      </c>
      <c r="W24" s="718">
        <v>3061</v>
      </c>
      <c r="X24" s="718"/>
      <c r="Y24" s="164" t="str">
        <f>CenAVS!A98</f>
        <v xml:space="preserve">Aventos HK-S Tip-on średni biały bez Tip-On zaślepka   </v>
      </c>
      <c r="Z24" s="164" t="str">
        <f>CenAVS!B98</f>
        <v>20K2C00T06</v>
      </c>
      <c r="AA24" s="301" t="str">
        <f>CenAVS!C98</f>
        <v>SWIG</v>
      </c>
      <c r="AB24" s="165">
        <f t="shared" si="2"/>
        <v>0</v>
      </c>
      <c r="AC24" s="395">
        <f>CenAVS!F98</f>
        <v>86.817539999999994</v>
      </c>
      <c r="AD24" s="167">
        <f t="shared" si="3"/>
        <v>0</v>
      </c>
      <c r="AE24" s="407">
        <f>IF(AND($U$16=2,$T$44=3),ROUNDUP(SUM($O$12:$P$12)*$M$17,0),0)</f>
        <v>0</v>
      </c>
      <c r="AF24" s="168">
        <f t="shared" si="0"/>
        <v>0</v>
      </c>
      <c r="AG24" s="407">
        <f>IF(AND($U$27=2,$T$44=3),ROUNDUP(SUM($O$23:$P$23)*$M$28,0),0)</f>
        <v>0</v>
      </c>
      <c r="AH24" s="168">
        <f t="shared" si="1"/>
        <v>0</v>
      </c>
      <c r="AI24" s="108"/>
      <c r="AJ24" s="108"/>
      <c r="AK24" s="137"/>
      <c r="AL24" s="37"/>
      <c r="AM24" s="137"/>
      <c r="AN24" s="137"/>
      <c r="AO24" s="137"/>
      <c r="AP24" s="137"/>
      <c r="AQ24" s="137"/>
      <c r="AR24" s="137"/>
      <c r="AS24" s="137"/>
      <c r="AT24" s="137"/>
      <c r="AU24" s="137"/>
      <c r="AV24" s="137"/>
    </row>
    <row r="25" spans="1:49" s="122" customFormat="1" ht="16.149999999999999" customHeight="1" x14ac:dyDescent="0.2">
      <c r="A25" s="37"/>
      <c r="B25" s="1055"/>
      <c r="C25" s="1055"/>
      <c r="D25" s="1053" t="str">
        <f>ListAVS!$B$83&amp;" [kg] "</f>
        <v xml:space="preserve">Waga uchwytu [kg] </v>
      </c>
      <c r="E25" s="1053"/>
      <c r="F25" s="1053"/>
      <c r="G25" s="1054"/>
      <c r="H25" s="263"/>
      <c r="I25" s="256" t="str">
        <f>IF(H28=0, " ", IF(AND(H23=0, U27=1, H25=0), " ● "&amp;ListAVS!$B$130," "))</f>
        <v xml:space="preserve"> </v>
      </c>
      <c r="J25" s="255"/>
      <c r="K25" s="255"/>
      <c r="L25" s="255"/>
      <c r="M25" s="118"/>
      <c r="N25" s="119"/>
      <c r="O25" s="132"/>
      <c r="P25" s="132"/>
      <c r="Q25" s="119"/>
      <c r="R25" s="718"/>
      <c r="S25" s="718"/>
      <c r="T25" s="37"/>
      <c r="U25" s="37"/>
      <c r="V25" s="718"/>
      <c r="W25" s="718"/>
      <c r="X25" s="718"/>
      <c r="Y25" s="164" t="str">
        <f>CenAVS!A99</f>
        <v xml:space="preserve">Aventos HK-S Tip-on mocny jasnoszary bez Tip-on zaślepka   </v>
      </c>
      <c r="Z25" s="164" t="str">
        <f>CenAVS!B99</f>
        <v>20K2E00T06</v>
      </c>
      <c r="AA25" s="301" t="str">
        <f>CenAVS!C99</f>
        <v>HGIG</v>
      </c>
      <c r="AB25" s="165">
        <f t="shared" si="2"/>
        <v>0</v>
      </c>
      <c r="AC25" s="395">
        <f>CenAVS!F99</f>
        <v>84.296419999999998</v>
      </c>
      <c r="AD25" s="167">
        <f t="shared" si="3"/>
        <v>0</v>
      </c>
      <c r="AE25" s="407">
        <f>IF(AND($U$16=2,$T$44=1),ROUNDUP(SUM($O$13:$P$13)*$M$17,0),0)</f>
        <v>0</v>
      </c>
      <c r="AF25" s="168">
        <f t="shared" si="0"/>
        <v>0</v>
      </c>
      <c r="AG25" s="407">
        <f>IF(AND($U$27=2,$T$44=1),ROUNDUP(SUM($O$24:$P$24)*$M$28,0),0)</f>
        <v>0</v>
      </c>
      <c r="AH25" s="168">
        <f t="shared" si="1"/>
        <v>0</v>
      </c>
      <c r="AI25" s="108"/>
      <c r="AJ25" s="108"/>
      <c r="AK25" s="137"/>
      <c r="AL25" s="137"/>
      <c r="AM25" s="137"/>
      <c r="AN25" s="137"/>
      <c r="AO25" s="137"/>
      <c r="AP25" s="137"/>
      <c r="AQ25" s="137"/>
      <c r="AR25" s="137"/>
      <c r="AS25" s="137"/>
      <c r="AT25" s="137"/>
      <c r="AU25" s="137"/>
      <c r="AV25" s="137"/>
    </row>
    <row r="26" spans="1:49" s="122" customFormat="1" ht="16.149999999999999" customHeight="1" x14ac:dyDescent="0.2">
      <c r="A26" s="37"/>
      <c r="B26" s="1055"/>
      <c r="C26" s="1055"/>
      <c r="D26" s="1053" t="str">
        <f>ListAVS!$B$79&amp;" [kg] "</f>
        <v xml:space="preserve">Obliczona waga frontu [kg] </v>
      </c>
      <c r="E26" s="1053"/>
      <c r="F26" s="1053"/>
      <c r="G26" s="1054"/>
      <c r="H26" s="259">
        <f>$T$80</f>
        <v>0</v>
      </c>
      <c r="I26" s="227" t="str">
        <f>IF($H28&gt;0,IF($H26&gt;0,IF($H23=0,$N$37," ")," ")," ")</f>
        <v xml:space="preserve"> </v>
      </c>
      <c r="J26" s="255"/>
      <c r="K26" s="255"/>
      <c r="L26" s="255"/>
      <c r="M26" s="37"/>
      <c r="N26" s="37"/>
      <c r="O26" s="37"/>
      <c r="P26" s="37"/>
      <c r="Q26" s="37"/>
      <c r="R26" s="37"/>
      <c r="S26" s="37"/>
      <c r="T26" s="754"/>
      <c r="U26" s="755" t="str">
        <f>IF(U27=1,$V$46,IF(U27=2,$V$47,$V$48))</f>
        <v>Standard</v>
      </c>
      <c r="V26" s="37"/>
      <c r="W26" s="37"/>
      <c r="X26" s="37"/>
      <c r="Y26" s="164" t="str">
        <f>CenAVS!A100</f>
        <v xml:space="preserve">Aventos HK-S Tip-on mocny ciemnoszary bez Tip-on zaślepka   </v>
      </c>
      <c r="Z26" s="164" t="str">
        <f>CenAVS!B100</f>
        <v>20K2E00T06</v>
      </c>
      <c r="AA26" s="301" t="str">
        <f>CenAVS!C100</f>
        <v>TGIG</v>
      </c>
      <c r="AB26" s="165">
        <f t="shared" si="2"/>
        <v>0</v>
      </c>
      <c r="AC26" s="395">
        <f>CenAVS!F100</f>
        <v>86.817539999999994</v>
      </c>
      <c r="AD26" s="167">
        <f t="shared" si="3"/>
        <v>0</v>
      </c>
      <c r="AE26" s="407">
        <f>IF(AND($U$16=2,$T$44=2),ROUNDUP(SUM($O$13:$P$13)*$M$17,0),0)</f>
        <v>0</v>
      </c>
      <c r="AF26" s="168">
        <f t="shared" si="0"/>
        <v>0</v>
      </c>
      <c r="AG26" s="407">
        <f>IF(AND($U$27=2,$T$44=2),ROUNDUP(SUM($O$24:$P$24)*$M$28,0),0)</f>
        <v>0</v>
      </c>
      <c r="AH26" s="168">
        <f t="shared" si="1"/>
        <v>0</v>
      </c>
      <c r="AI26" s="108"/>
      <c r="AJ26" s="108"/>
      <c r="AK26" s="108"/>
      <c r="AL26" s="137"/>
      <c r="AM26" s="137"/>
      <c r="AN26" s="137"/>
      <c r="AO26" s="137"/>
      <c r="AP26" s="137"/>
      <c r="AQ26" s="137"/>
      <c r="AR26" s="137"/>
      <c r="AS26" s="137"/>
      <c r="AT26" s="137"/>
      <c r="AU26" s="137"/>
      <c r="AV26" s="137"/>
      <c r="AW26" s="121"/>
    </row>
    <row r="27" spans="1:49" s="122" customFormat="1" ht="16.149999999999999" customHeight="1" thickBot="1" x14ac:dyDescent="0.25">
      <c r="A27" s="37"/>
      <c r="B27" s="1011"/>
      <c r="C27" s="1013"/>
      <c r="D27" s="1011" t="str">
        <f>ListAVS!$B$86&amp;" LF "</f>
        <v xml:space="preserve">Współczynnik mocy LF </v>
      </c>
      <c r="E27" s="1012"/>
      <c r="F27" s="1012"/>
      <c r="G27" s="1013"/>
      <c r="H27" s="400">
        <f>IF(H23&gt;0,H22*H23,H22*H26)</f>
        <v>0</v>
      </c>
      <c r="I27" s="256" t="str">
        <f>IF(AND(H27&gt;0, H27&lt;220), $N$39, IF($H27&gt;2215.5, $N$41, " "))</f>
        <v xml:space="preserve"> </v>
      </c>
      <c r="J27" s="255"/>
      <c r="K27" s="248"/>
      <c r="L27" s="255"/>
      <c r="M27" s="37"/>
      <c r="N27" s="137"/>
      <c r="O27" s="137"/>
      <c r="P27" s="137"/>
      <c r="Q27" s="137"/>
      <c r="R27" s="37"/>
      <c r="S27" s="37"/>
      <c r="T27" s="756"/>
      <c r="U27" s="207">
        <v>1</v>
      </c>
      <c r="V27" s="37"/>
      <c r="W27" s="37"/>
      <c r="X27" s="37"/>
      <c r="Y27" s="164" t="str">
        <f>CenAVS!A101</f>
        <v xml:space="preserve">Aventos HK-S Tip-on mocny biały bez Tip-on zaślepka   </v>
      </c>
      <c r="Z27" s="164" t="str">
        <f>CenAVS!B101</f>
        <v>20K2E00T06</v>
      </c>
      <c r="AA27" s="301" t="str">
        <f>CenAVS!C101</f>
        <v>SWIG</v>
      </c>
      <c r="AB27" s="165">
        <f t="shared" si="2"/>
        <v>0</v>
      </c>
      <c r="AC27" s="395">
        <f>CenAVS!F101</f>
        <v>86.817539999999994</v>
      </c>
      <c r="AD27" s="167">
        <f t="shared" si="3"/>
        <v>0</v>
      </c>
      <c r="AE27" s="407">
        <f>IF(AND($U$16=2,$T$44=3),ROUNDUP(SUM($O$13:$P$13)*$M$17,0),0)</f>
        <v>0</v>
      </c>
      <c r="AF27" s="168">
        <f t="shared" si="0"/>
        <v>0</v>
      </c>
      <c r="AG27" s="407">
        <f>IF(AND($U$27=2,$T$44=3),ROUNDUP(SUM($O$24:$P$24)*$M$28,0),0)</f>
        <v>0</v>
      </c>
      <c r="AH27" s="168">
        <f t="shared" si="1"/>
        <v>0</v>
      </c>
      <c r="AI27" s="108"/>
      <c r="AJ27" s="108"/>
      <c r="AK27" s="693"/>
      <c r="AL27" s="137"/>
      <c r="AM27" s="137"/>
      <c r="AN27" s="137"/>
      <c r="AO27" s="137"/>
      <c r="AP27" s="137"/>
      <c r="AQ27" s="137"/>
      <c r="AR27" s="137"/>
      <c r="AS27" s="137"/>
      <c r="AT27" s="137"/>
      <c r="AU27" s="137"/>
      <c r="AV27" s="137"/>
      <c r="AW27" s="121"/>
    </row>
    <row r="28" spans="1:49" ht="16.149999999999999" customHeight="1" thickBot="1" x14ac:dyDescent="0.25">
      <c r="B28" s="1155" t="str">
        <f>ListAVS!$B$71</f>
        <v>Ilość szafek</v>
      </c>
      <c r="C28" s="1156"/>
      <c r="D28" s="1156"/>
      <c r="E28" s="1156"/>
      <c r="F28" s="1156"/>
      <c r="G28" s="1156"/>
      <c r="H28" s="261"/>
      <c r="I28" s="256"/>
      <c r="J28" s="264"/>
      <c r="K28" s="396"/>
      <c r="L28" s="265"/>
      <c r="M28" s="315">
        <f>IF(OR($H21*$H22*$T28=0,$H22&lt;190,$H22&gt;600, H27&lt;220, $H27&gt;3322.5),0,IF($H27&gt;2215.5,IF($V21=FALSE,0,$H28),$H28))</f>
        <v>0</v>
      </c>
      <c r="N28" s="39"/>
      <c r="O28" s="39"/>
      <c r="P28" s="39"/>
      <c r="Q28" s="39"/>
      <c r="R28" s="137"/>
      <c r="S28" s="690" t="s">
        <v>51</v>
      </c>
      <c r="T28" s="691">
        <f>IF(H23&gt;0,H23,H26)</f>
        <v>0</v>
      </c>
      <c r="U28" s="37">
        <f>IF(SUM(H23,H26)=0,0,IF(H23&gt;0,1,2))</f>
        <v>0</v>
      </c>
      <c r="V28" s="571" t="s">
        <v>52</v>
      </c>
      <c r="Y28" s="164" t="str">
        <f>CenAVS!A102</f>
        <v xml:space="preserve">          </v>
      </c>
      <c r="Z28" s="164">
        <f>CenAVS!B102</f>
        <v>0</v>
      </c>
      <c r="AA28" s="301">
        <f>CenAVS!C102</f>
        <v>0</v>
      </c>
      <c r="AB28" s="165">
        <f t="shared" si="2"/>
        <v>0</v>
      </c>
      <c r="AC28" s="395">
        <f>CenAVS!F102</f>
        <v>0</v>
      </c>
      <c r="AD28" s="167">
        <f t="shared" si="3"/>
        <v>0</v>
      </c>
      <c r="AE28" s="407"/>
      <c r="AF28" s="168">
        <f>$AC28*AE28</f>
        <v>0</v>
      </c>
      <c r="AG28" s="407"/>
      <c r="AH28" s="168">
        <f t="shared" si="1"/>
        <v>0</v>
      </c>
      <c r="AI28" s="108"/>
      <c r="AJ28" s="108"/>
      <c r="AK28" s="693"/>
      <c r="AL28" s="137"/>
      <c r="AM28" s="137"/>
      <c r="AN28" s="137"/>
      <c r="AO28" s="137"/>
      <c r="AP28" s="137"/>
      <c r="AQ28" s="137"/>
      <c r="AR28" s="137"/>
      <c r="AS28" s="137"/>
      <c r="AT28" s="137"/>
      <c r="AU28" s="137"/>
      <c r="AV28" s="137"/>
    </row>
    <row r="29" spans="1:49" ht="16.149999999999999" customHeight="1" x14ac:dyDescent="0.2">
      <c r="A29" s="137"/>
      <c r="B29" s="255" t="str">
        <f>IF(M28&gt;0,IF(U28=0," ",IF(U28=1,$N$49,$N$50))," ")&amp;IF(M28&gt;0,IF(U28=0," ",IF(U28=1,$N$51,$N$52))," ")</f>
        <v xml:space="preserve">  </v>
      </c>
      <c r="C29" s="255"/>
      <c r="D29" s="255"/>
      <c r="E29" s="255"/>
      <c r="F29" s="255"/>
      <c r="G29" s="255"/>
      <c r="H29" s="273"/>
      <c r="I29" s="273"/>
      <c r="J29" s="266"/>
      <c r="K29" s="266"/>
      <c r="L29" s="266"/>
      <c r="X29" s="118"/>
      <c r="Y29" s="164" t="str">
        <f>CenAVS!A103</f>
        <v xml:space="preserve">P+L, okucie Aventos HK-S do wąskich ALU ramek   </v>
      </c>
      <c r="Z29" s="164" t="str">
        <f>CenAVS!B103</f>
        <v>20K4A00A02</v>
      </c>
      <c r="AA29" s="301" t="str">
        <f>CenAVS!C103</f>
        <v>NI</v>
      </c>
      <c r="AB29" s="165">
        <f t="shared" si="2"/>
        <v>0</v>
      </c>
      <c r="AC29" s="395">
        <f>CenAVS!F103</f>
        <v>21.740570000000002</v>
      </c>
      <c r="AD29" s="167">
        <f t="shared" si="3"/>
        <v>0</v>
      </c>
      <c r="AE29" s="407"/>
      <c r="AF29" s="168">
        <f>$AC29*AE29</f>
        <v>0</v>
      </c>
      <c r="AG29" s="407"/>
      <c r="AH29" s="168">
        <f t="shared" si="1"/>
        <v>0</v>
      </c>
      <c r="AI29" s="108"/>
      <c r="AJ29" s="108"/>
      <c r="AK29" s="693"/>
      <c r="AL29" s="137"/>
      <c r="AM29" s="137"/>
      <c r="AN29" s="137"/>
      <c r="AO29" s="137"/>
      <c r="AP29" s="137"/>
      <c r="AQ29" s="137"/>
      <c r="AR29" s="137"/>
      <c r="AS29" s="137"/>
      <c r="AT29" s="137"/>
      <c r="AU29" s="137"/>
      <c r="AV29" s="137"/>
    </row>
    <row r="30" spans="1:49" ht="16.149999999999999" customHeight="1" x14ac:dyDescent="0.2">
      <c r="B30" s="396"/>
      <c r="C30" s="248"/>
      <c r="D30" s="396"/>
      <c r="E30" s="396"/>
      <c r="F30" s="274"/>
      <c r="G30" s="274"/>
      <c r="H30" s="396"/>
      <c r="I30" s="264"/>
      <c r="J30" s="264"/>
      <c r="K30" s="396"/>
      <c r="L30" s="265"/>
      <c r="S30" s="138">
        <f>IF($T$30=FALSE,2,1)</f>
        <v>2</v>
      </c>
      <c r="T30" s="1063" t="b">
        <v>0</v>
      </c>
      <c r="U30" s="1064"/>
      <c r="V30" s="139" t="s">
        <v>56</v>
      </c>
      <c r="W30" s="140"/>
      <c r="Y30" s="164" t="str">
        <f>CenAVS!A166</f>
        <v xml:space="preserve">prowadnik prosty wkręt 8 5mm stal     </v>
      </c>
      <c r="Z30" s="164" t="str">
        <f>CenAVS!B166</f>
        <v>175H3100</v>
      </c>
      <c r="AA30" s="301" t="str">
        <f>CenAVS!C166</f>
        <v>NI</v>
      </c>
      <c r="AB30" s="165">
        <f>SUM(AE30,AG30)</f>
        <v>0</v>
      </c>
      <c r="AC30" s="395">
        <f>CenAVS!F166</f>
        <v>1.65564</v>
      </c>
      <c r="AD30" s="167">
        <f>AB30*AC30</f>
        <v>0</v>
      </c>
      <c r="AE30" s="407">
        <f>SUM(AE$9:AE$27)*2</f>
        <v>0</v>
      </c>
      <c r="AF30" s="168">
        <f>$AC30*AE30</f>
        <v>0</v>
      </c>
      <c r="AG30" s="407">
        <f>SUM(AG$9:AG$27)*2</f>
        <v>0</v>
      </c>
      <c r="AH30" s="168">
        <f>$AC30*AG30</f>
        <v>0</v>
      </c>
      <c r="AI30" s="108"/>
      <c r="AJ30" s="108"/>
      <c r="AK30" s="108"/>
      <c r="AL30" s="137"/>
      <c r="AM30" s="137"/>
      <c r="AN30" s="137"/>
      <c r="AO30" s="137"/>
      <c r="AP30" s="137"/>
      <c r="AQ30" s="137"/>
      <c r="AR30" s="137"/>
      <c r="AS30" s="137"/>
      <c r="AT30" s="137"/>
      <c r="AU30" s="137"/>
      <c r="AV30" s="137"/>
    </row>
    <row r="31" spans="1:49" ht="16.149999999999999" customHeight="1" x14ac:dyDescent="0.2">
      <c r="B31" s="255"/>
      <c r="C31" s="255"/>
      <c r="D31" s="266"/>
      <c r="E31" s="266"/>
      <c r="F31" s="266"/>
      <c r="G31" s="266"/>
      <c r="H31" s="266"/>
      <c r="I31" s="255"/>
      <c r="J31" s="266"/>
      <c r="K31" s="266"/>
      <c r="L31" s="397"/>
      <c r="Y31" s="164" t="str">
        <f>CenAVS!A167</f>
        <v xml:space="preserve">prowadnik prosty Expando 8 5mm stal     </v>
      </c>
      <c r="Z31" s="164" t="str">
        <f>CenAVS!B167</f>
        <v>177H3100E </v>
      </c>
      <c r="AA31" s="301" t="str">
        <f>CenAVS!C167</f>
        <v>NI</v>
      </c>
      <c r="AB31" s="165">
        <f>SUM(AE31,AG31)</f>
        <v>0</v>
      </c>
      <c r="AC31" s="395">
        <f>CenAVS!F167</f>
        <v>1.8724499999999999</v>
      </c>
      <c r="AD31" s="167">
        <f>AB31*AC31</f>
        <v>0</v>
      </c>
      <c r="AE31" s="407"/>
      <c r="AF31" s="168">
        <f>$AC31*AE31</f>
        <v>0</v>
      </c>
      <c r="AG31" s="407"/>
      <c r="AH31" s="168">
        <f>$AC31*AG31</f>
        <v>0</v>
      </c>
      <c r="AI31" s="108"/>
      <c r="AJ31" s="108"/>
      <c r="AK31" s="710"/>
      <c r="AL31" s="137"/>
      <c r="AM31" s="137"/>
      <c r="AN31" s="137"/>
      <c r="AO31" s="137"/>
      <c r="AP31" s="137"/>
      <c r="AQ31" s="137"/>
      <c r="AR31" s="137"/>
      <c r="AS31" s="137"/>
      <c r="AT31" s="137"/>
      <c r="AU31" s="137"/>
      <c r="AV31" s="137"/>
    </row>
    <row r="32" spans="1:49" ht="16.149999999999999" customHeight="1" x14ac:dyDescent="0.2">
      <c r="B32" s="272"/>
      <c r="C32" s="273"/>
      <c r="D32" s="266"/>
      <c r="E32" s="266"/>
      <c r="F32" s="266"/>
      <c r="G32" s="266"/>
      <c r="H32" s="266"/>
      <c r="I32" s="255"/>
      <c r="J32" s="266"/>
      <c r="K32" s="266"/>
      <c r="L32" s="397"/>
      <c r="Y32" s="164"/>
      <c r="Z32" s="164"/>
      <c r="AA32" s="301"/>
      <c r="AB32" s="165"/>
      <c r="AC32" s="395"/>
      <c r="AD32" s="167"/>
      <c r="AE32" s="407"/>
      <c r="AF32" s="168"/>
      <c r="AG32" s="407"/>
      <c r="AH32" s="168"/>
      <c r="AI32" s="108"/>
      <c r="AJ32" s="108"/>
      <c r="AK32" s="108"/>
      <c r="AL32" s="137"/>
      <c r="AM32" s="137"/>
      <c r="AN32" s="137"/>
      <c r="AO32" s="137"/>
      <c r="AP32" s="137"/>
      <c r="AQ32" s="137"/>
      <c r="AR32" s="137"/>
      <c r="AS32" s="137"/>
      <c r="AT32" s="137"/>
      <c r="AU32" s="137"/>
      <c r="AV32" s="137"/>
    </row>
    <row r="33" spans="2:49" ht="16.149999999999999" customHeight="1" x14ac:dyDescent="0.2">
      <c r="B33" s="272"/>
      <c r="C33" s="255"/>
      <c r="D33" s="255"/>
      <c r="E33" s="255"/>
      <c r="F33" s="255"/>
      <c r="G33" s="255"/>
      <c r="H33" s="255"/>
      <c r="I33" s="255"/>
      <c r="J33" s="255"/>
      <c r="K33" s="255"/>
      <c r="L33" s="255"/>
      <c r="Y33" s="164"/>
      <c r="Z33" s="164"/>
      <c r="AA33" s="301"/>
      <c r="AB33" s="165"/>
      <c r="AC33" s="395"/>
      <c r="AD33" s="167"/>
      <c r="AE33" s="407"/>
      <c r="AF33" s="168"/>
      <c r="AG33" s="407"/>
      <c r="AH33" s="168"/>
      <c r="AI33" s="108"/>
      <c r="AJ33" s="108"/>
      <c r="AK33" s="108"/>
      <c r="AL33" s="137"/>
      <c r="AM33" s="137"/>
      <c r="AN33" s="137"/>
      <c r="AO33" s="137"/>
      <c r="AP33" s="137"/>
      <c r="AQ33" s="137"/>
      <c r="AR33" s="137"/>
      <c r="AS33" s="137"/>
      <c r="AT33" s="137"/>
      <c r="AU33" s="137"/>
      <c r="AV33" s="137"/>
    </row>
    <row r="34" spans="2:49" ht="16.149999999999999" customHeight="1" x14ac:dyDescent="0.2">
      <c r="B34" s="274"/>
      <c r="C34" s="255" t="str">
        <f>"** "&amp;ListAVS!$B$187</f>
        <v>** Jeżeli znasz wagę i nie chcesz skorzystać z "obliczenie wagi"</v>
      </c>
      <c r="D34" s="266"/>
      <c r="E34" s="266"/>
      <c r="F34" s="266"/>
      <c r="G34" s="266"/>
      <c r="H34" s="276"/>
      <c r="I34" s="276"/>
      <c r="J34" s="276"/>
      <c r="K34" s="276"/>
      <c r="L34" s="255"/>
      <c r="Y34" s="164"/>
      <c r="Z34" s="164"/>
      <c r="AA34" s="301"/>
      <c r="AB34" s="165"/>
      <c r="AC34" s="395"/>
      <c r="AD34" s="167"/>
      <c r="AE34" s="407"/>
      <c r="AF34" s="168"/>
      <c r="AG34" s="407"/>
      <c r="AH34" s="168"/>
      <c r="AI34" s="108"/>
      <c r="AJ34" s="108"/>
      <c r="AK34" s="108"/>
      <c r="AL34" s="137"/>
      <c r="AM34" s="137"/>
      <c r="AN34" s="137"/>
      <c r="AO34" s="137"/>
      <c r="AP34" s="137"/>
      <c r="AQ34" s="137"/>
      <c r="AR34" s="137"/>
      <c r="AS34" s="137"/>
      <c r="AT34" s="137"/>
      <c r="AU34" s="137"/>
      <c r="AV34" s="137"/>
    </row>
    <row r="35" spans="2:49" ht="16.149999999999999" customHeight="1" x14ac:dyDescent="0.2">
      <c r="B35" s="255"/>
      <c r="C35" s="273" t="str">
        <f>"*** "&amp;ListAVS!$B$403</f>
        <v>*** Wybierz rodzaj ramki aluminiowej!</v>
      </c>
      <c r="D35" s="255"/>
      <c r="E35" s="255"/>
      <c r="F35" s="255"/>
      <c r="G35" s="255"/>
      <c r="H35" s="276"/>
      <c r="I35" s="276"/>
      <c r="J35" s="276"/>
      <c r="K35" s="276"/>
      <c r="L35" s="255"/>
      <c r="N35" s="37" t="str">
        <f>" "&amp;ListAVS!$B$117</f>
        <v xml:space="preserve"> Wprowadź wagę lub wypełnij na górze grubość szkła</v>
      </c>
      <c r="Y35" s="164" t="str">
        <f>CenAVS!A185</f>
        <v xml:space="preserve">Tip-on do zawiasu 50mm PG, szary     </v>
      </c>
      <c r="Z35" s="164" t="str">
        <f>CenAVS!B185</f>
        <v>956.1004</v>
      </c>
      <c r="AA35" s="301" t="str">
        <f>CenAVS!C185</f>
        <v>R7036</v>
      </c>
      <c r="AB35" s="165">
        <f t="shared" si="2"/>
        <v>0</v>
      </c>
      <c r="AC35" s="395">
        <f>CenAVS!F185</f>
        <v>12.830769999999999</v>
      </c>
      <c r="AD35" s="167">
        <f t="shared" si="3"/>
        <v>0</v>
      </c>
      <c r="AE35" s="407">
        <f>IF(AND($T$44&lt;3,$U$16=2),$M$17,0)</f>
        <v>0</v>
      </c>
      <c r="AF35" s="168">
        <f>$AC35*AE35</f>
        <v>0</v>
      </c>
      <c r="AG35" s="407">
        <f>IF(AND($T$44&lt;3,$U$27=2),$M$28,0)</f>
        <v>0</v>
      </c>
      <c r="AH35" s="168">
        <f t="shared" si="1"/>
        <v>0</v>
      </c>
      <c r="AI35" s="108"/>
      <c r="AJ35" s="108"/>
      <c r="AK35" s="108"/>
      <c r="AL35" s="137"/>
      <c r="AM35" s="137"/>
      <c r="AN35" s="137"/>
      <c r="AO35" s="137"/>
      <c r="AP35" s="137"/>
      <c r="AQ35" s="137"/>
      <c r="AR35" s="137"/>
      <c r="AS35" s="137"/>
      <c r="AT35" s="137"/>
      <c r="AU35" s="137"/>
      <c r="AV35" s="137"/>
    </row>
    <row r="36" spans="2:49" ht="16.149999999999999" customHeight="1" x14ac:dyDescent="0.2">
      <c r="B36" s="255"/>
      <c r="C36" s="670" t="str">
        <f>"      "&amp;ListAVS!$B$404</f>
        <v xml:space="preserve">      Więcej informacji o wyborze ramki aluminiowej w Pomocy</v>
      </c>
      <c r="D36" s="399"/>
      <c r="E36" s="399"/>
      <c r="F36" s="399"/>
      <c r="G36" s="399"/>
      <c r="H36" s="276"/>
      <c r="I36" s="276"/>
      <c r="J36" s="276"/>
      <c r="K36" s="276"/>
      <c r="L36" s="255"/>
      <c r="N36" s="37" t="str">
        <f>" "&amp;ListAVS!$B$116</f>
        <v xml:space="preserve"> Wprowadź wagę lub wypełnij wszystkie komórki</v>
      </c>
      <c r="Y36" s="164" t="str">
        <f>CenAVS!A186</f>
        <v xml:space="preserve">Tip-on do zawiasu 50mm SW, biały     </v>
      </c>
      <c r="Z36" s="164" t="str">
        <f>CenAVS!B186</f>
        <v>956.1004</v>
      </c>
      <c r="AA36" s="301" t="str">
        <f>CenAVS!C186</f>
        <v>SW</v>
      </c>
      <c r="AB36" s="165">
        <f>SUM(AE36,AG36)</f>
        <v>0</v>
      </c>
      <c r="AC36" s="395">
        <f>CenAVS!F186</f>
        <v>12.830769999999999</v>
      </c>
      <c r="AD36" s="167">
        <f>AB36*AC36</f>
        <v>0</v>
      </c>
      <c r="AE36" s="407">
        <f>IF(AND($T$44=3,$U$16=2),$M$17,0)</f>
        <v>0</v>
      </c>
      <c r="AF36" s="168">
        <f>$AC36*AE36</f>
        <v>0</v>
      </c>
      <c r="AG36" s="407">
        <f>IF(AND($T$44=3,$U$27=2),$M$28,0)</f>
        <v>0</v>
      </c>
      <c r="AH36" s="168">
        <f>$AC36*AG36</f>
        <v>0</v>
      </c>
      <c r="AI36" s="108"/>
      <c r="AJ36" s="108"/>
      <c r="AK36" s="108"/>
      <c r="AL36" s="137"/>
      <c r="AM36" s="137"/>
      <c r="AN36" s="137"/>
      <c r="AO36" s="137"/>
      <c r="AP36" s="137"/>
      <c r="AQ36" s="137"/>
      <c r="AR36" s="137"/>
      <c r="AS36" s="137"/>
      <c r="AT36" s="137"/>
      <c r="AU36" s="137"/>
      <c r="AV36" s="137"/>
    </row>
    <row r="37" spans="2:49" ht="16.149999999999999" customHeight="1" x14ac:dyDescent="0.2">
      <c r="B37" s="255"/>
      <c r="C37" s="276"/>
      <c r="D37" s="276"/>
      <c r="E37" s="276"/>
      <c r="F37" s="276"/>
      <c r="G37" s="276"/>
      <c r="H37" s="276"/>
      <c r="I37" s="276"/>
      <c r="J37" s="276"/>
      <c r="K37" s="276"/>
      <c r="L37" s="255"/>
      <c r="N37" s="37" t="str">
        <f>"◄ "&amp;ListAVS!$B$112</f>
        <v>◄ wartość będzie wykorzystana do obliczenia LF</v>
      </c>
      <c r="Y37" s="164" t="str">
        <f>CenAVS!A187</f>
        <v xml:space="preserve">Tip-on do zawiasu krótki 50mm z magnesem,komplet, karbon czarny CS </v>
      </c>
      <c r="Z37" s="164" t="str">
        <f>CenAVS!B187</f>
        <v>956.1004</v>
      </c>
      <c r="AA37" s="301" t="str">
        <f>CenAVS!C187</f>
        <v>CS</v>
      </c>
      <c r="AB37" s="165">
        <f>SUM(AE37,AG37)</f>
        <v>0</v>
      </c>
      <c r="AC37" s="395">
        <f>CenAVS!F187</f>
        <v>12.830769999999999</v>
      </c>
      <c r="AD37" s="167">
        <f>AB37*AC37</f>
        <v>0</v>
      </c>
      <c r="AE37" s="407"/>
      <c r="AF37" s="168">
        <f>$AC37*AE37</f>
        <v>0</v>
      </c>
      <c r="AG37" s="407"/>
      <c r="AH37" s="168">
        <f>$AC37*AG37</f>
        <v>0</v>
      </c>
      <c r="AI37" s="108"/>
      <c r="AJ37" s="108"/>
      <c r="AK37" s="108"/>
      <c r="AL37" s="137"/>
      <c r="AM37" s="137"/>
      <c r="AN37" s="137"/>
      <c r="AO37" s="137"/>
      <c r="AP37" s="137"/>
      <c r="AQ37" s="137"/>
      <c r="AR37" s="137"/>
      <c r="AS37" s="137"/>
      <c r="AT37" s="137"/>
      <c r="AU37" s="137"/>
      <c r="AV37" s="137"/>
    </row>
    <row r="38" spans="2:49" ht="16.149999999999999" customHeight="1" x14ac:dyDescent="0.2">
      <c r="B38" s="255"/>
      <c r="C38" s="255"/>
      <c r="D38" s="255"/>
      <c r="E38" s="255"/>
      <c r="F38" s="255"/>
      <c r="G38" s="255"/>
      <c r="H38" s="255"/>
      <c r="I38" s="255"/>
      <c r="J38" s="255"/>
      <c r="K38" s="255"/>
      <c r="L38" s="255"/>
      <c r="N38" s="37" t="str">
        <f>" * "&amp;ListAVS!$B$128</f>
        <v xml:space="preserve"> * Wypełnij wartości</v>
      </c>
      <c r="Y38" s="164"/>
      <c r="Z38" s="164"/>
      <c r="AA38" s="301"/>
      <c r="AB38" s="165"/>
      <c r="AC38" s="395"/>
      <c r="AD38" s="167"/>
      <c r="AE38" s="408"/>
      <c r="AF38" s="168"/>
      <c r="AG38" s="408"/>
      <c r="AH38" s="168"/>
      <c r="AI38" s="108"/>
      <c r="AJ38" s="108"/>
      <c r="AK38" s="108"/>
      <c r="AL38" s="137"/>
      <c r="AM38" s="37"/>
      <c r="AN38" s="37"/>
      <c r="AO38" s="37"/>
      <c r="AP38" s="37"/>
      <c r="AQ38" s="37"/>
      <c r="AR38" s="37"/>
      <c r="AS38" s="37"/>
      <c r="AT38" s="37"/>
      <c r="AU38" s="37"/>
      <c r="AV38" s="37"/>
    </row>
    <row r="39" spans="2:49" ht="16.149999999999999" customHeight="1" x14ac:dyDescent="0.2">
      <c r="B39" s="255"/>
      <c r="C39" s="255"/>
      <c r="D39" s="255"/>
      <c r="E39" s="255"/>
      <c r="F39" s="255"/>
      <c r="G39" s="255"/>
      <c r="H39" s="255"/>
      <c r="I39" s="255"/>
      <c r="J39" s="255"/>
      <c r="K39" s="255"/>
      <c r="L39" s="255"/>
      <c r="N39" s="37" t="str">
        <f>" min. 220! "&amp;ListAVS!$B$122</f>
        <v xml:space="preserve"> min. 220! Popraw wagę albo wysokość</v>
      </c>
      <c r="Y39" s="164"/>
      <c r="Z39" s="164"/>
      <c r="AA39" s="301"/>
      <c r="AB39" s="165"/>
      <c r="AC39" s="395"/>
      <c r="AD39" s="167"/>
      <c r="AE39" s="408"/>
      <c r="AF39" s="168"/>
      <c r="AG39" s="408"/>
      <c r="AH39" s="168"/>
      <c r="AI39" s="108"/>
      <c r="AJ39" s="108"/>
      <c r="AK39" s="108"/>
      <c r="AL39" s="37"/>
      <c r="AM39" s="37"/>
      <c r="AN39" s="37"/>
      <c r="AO39" s="37"/>
      <c r="AP39" s="37"/>
      <c r="AQ39" s="37"/>
      <c r="AR39" s="37"/>
      <c r="AS39" s="37"/>
      <c r="AT39" s="37"/>
      <c r="AU39" s="37"/>
      <c r="AV39" s="37"/>
    </row>
    <row r="40" spans="2:49" ht="16.149999999999999" customHeight="1" x14ac:dyDescent="0.2">
      <c r="N40" s="37" t="str">
        <f>" max. 3.060! "&amp;ListAVS!$B$122</f>
        <v xml:space="preserve"> max. 3.060! Popraw wagę albo wysokość</v>
      </c>
      <c r="O40" s="37"/>
      <c r="Q40" s="37"/>
      <c r="Y40" s="164"/>
      <c r="Z40" s="164"/>
      <c r="AA40" s="301"/>
      <c r="AB40" s="165"/>
      <c r="AC40" s="395"/>
      <c r="AD40" s="167"/>
      <c r="AE40" s="408"/>
      <c r="AF40" s="168"/>
      <c r="AG40" s="408"/>
      <c r="AH40" s="168"/>
      <c r="AI40" s="108"/>
      <c r="AJ40" s="108"/>
      <c r="AK40" s="108"/>
      <c r="AL40" s="37"/>
      <c r="AM40" s="37"/>
      <c r="AN40" s="37"/>
      <c r="AO40" s="37"/>
      <c r="AP40" s="37"/>
      <c r="AQ40" s="37"/>
      <c r="AR40" s="37"/>
      <c r="AS40" s="37"/>
      <c r="AT40" s="37"/>
      <c r="AU40" s="37"/>
      <c r="AV40" s="37"/>
      <c r="AW40" s="37"/>
    </row>
    <row r="41" spans="2:49" ht="16.149999999999999" customHeight="1" x14ac:dyDescent="0.2">
      <c r="N41" s="37" t="str">
        <f>" max. 2.215! "&amp;ListAVS!$B$122</f>
        <v xml:space="preserve"> max. 2.215! Popraw wagę albo wysokość</v>
      </c>
      <c r="Y41" s="164"/>
      <c r="Z41" s="164"/>
      <c r="AA41" s="301"/>
      <c r="AB41" s="165"/>
      <c r="AC41" s="395"/>
      <c r="AD41" s="167"/>
      <c r="AE41" s="408"/>
      <c r="AF41" s="168"/>
      <c r="AG41" s="408"/>
      <c r="AH41" s="168"/>
      <c r="AI41" s="108"/>
      <c r="AJ41" s="108"/>
      <c r="AK41" s="108"/>
      <c r="AL41" s="37"/>
      <c r="AM41" s="137"/>
      <c r="AN41" s="137"/>
      <c r="AO41" s="137"/>
      <c r="AP41" s="137"/>
      <c r="AQ41" s="137"/>
      <c r="AR41" s="137"/>
      <c r="AS41" s="137"/>
      <c r="AT41" s="137"/>
      <c r="AU41" s="137"/>
      <c r="AV41" s="137"/>
      <c r="AW41" s="37"/>
    </row>
    <row r="42" spans="2:49" s="37" customFormat="1" ht="16.149999999999999" customHeight="1" x14ac:dyDescent="0.2">
      <c r="N42" s="149" t="str">
        <f>"                       "&amp;ListAVS!$B$123</f>
        <v xml:space="preserve">                       lub dodaj trzeci siłownik</v>
      </c>
      <c r="O42" s="118"/>
      <c r="Q42" s="118"/>
      <c r="Y42" s="164"/>
      <c r="Z42" s="164"/>
      <c r="AA42" s="301"/>
      <c r="AB42" s="165"/>
      <c r="AC42" s="395"/>
      <c r="AD42" s="167"/>
      <c r="AE42" s="408"/>
      <c r="AF42" s="168"/>
      <c r="AG42" s="408"/>
      <c r="AH42" s="168"/>
      <c r="AI42" s="108"/>
      <c r="AJ42" s="108"/>
      <c r="AK42" s="108"/>
      <c r="AL42" s="137"/>
      <c r="AM42" s="137"/>
      <c r="AN42" s="137"/>
      <c r="AO42" s="137"/>
      <c r="AP42" s="137"/>
      <c r="AQ42" s="137"/>
      <c r="AR42" s="137"/>
      <c r="AS42" s="137"/>
      <c r="AT42" s="137"/>
      <c r="AU42" s="137"/>
      <c r="AV42" s="137"/>
    </row>
    <row r="43" spans="2:49" s="37" customFormat="1" ht="16.149999999999999" customHeight="1" x14ac:dyDescent="0.2">
      <c r="B43" s="147" t="str">
        <f>IF($H$11&gt;600,"***",IF($H$22&gt;600,"***"," "))</f>
        <v xml:space="preserve"> </v>
      </c>
      <c r="O43" s="118"/>
      <c r="Q43" s="118"/>
      <c r="Y43" s="164"/>
      <c r="Z43" s="164"/>
      <c r="AA43" s="301"/>
      <c r="AB43" s="165"/>
      <c r="AC43" s="395"/>
      <c r="AD43" s="167"/>
      <c r="AE43" s="408"/>
      <c r="AF43" s="168"/>
      <c r="AG43" s="408"/>
      <c r="AH43" s="168"/>
      <c r="AI43" s="108"/>
      <c r="AJ43" s="108"/>
      <c r="AK43" s="108"/>
      <c r="AL43" s="137"/>
      <c r="AM43" s="137"/>
      <c r="AN43" s="137"/>
      <c r="AO43" s="137"/>
      <c r="AP43" s="137"/>
      <c r="AQ43" s="137"/>
      <c r="AR43" s="137"/>
      <c r="AS43" s="137"/>
      <c r="AT43" s="137"/>
      <c r="AU43" s="137"/>
      <c r="AV43" s="137"/>
      <c r="AW43" s="121"/>
    </row>
    <row r="44" spans="2:49" s="37" customFormat="1" ht="16.149999999999999" customHeight="1" x14ac:dyDescent="0.2">
      <c r="B44" s="142"/>
      <c r="N44" s="117">
        <v>1</v>
      </c>
      <c r="O44" s="182"/>
      <c r="P44" s="117">
        <v>1</v>
      </c>
      <c r="Q44" s="182"/>
      <c r="R44" s="117">
        <f>HK!$N$26</f>
        <v>2</v>
      </c>
      <c r="S44" s="194"/>
      <c r="T44" s="117">
        <f>MenuAVS!$P$28</f>
        <v>1</v>
      </c>
      <c r="Y44" s="164"/>
      <c r="Z44" s="164"/>
      <c r="AA44" s="301"/>
      <c r="AB44" s="165"/>
      <c r="AC44" s="395"/>
      <c r="AD44" s="167"/>
      <c r="AE44" s="408"/>
      <c r="AF44" s="168"/>
      <c r="AG44" s="408"/>
      <c r="AH44" s="168"/>
      <c r="AI44" s="108"/>
      <c r="AJ44" s="108"/>
      <c r="AK44" s="108"/>
      <c r="AL44" s="137"/>
      <c r="AM44" s="137"/>
      <c r="AN44" s="137"/>
      <c r="AO44" s="137"/>
      <c r="AP44" s="137"/>
      <c r="AQ44" s="137"/>
      <c r="AR44" s="137"/>
      <c r="AS44" s="137"/>
      <c r="AT44" s="137"/>
      <c r="AU44" s="137"/>
      <c r="AV44" s="137"/>
      <c r="AW44" s="121"/>
    </row>
    <row r="45" spans="2:49" ht="16.149999999999999" customHeight="1" x14ac:dyDescent="0.2">
      <c r="B45" s="349"/>
      <c r="D45" s="148"/>
      <c r="E45" s="148"/>
      <c r="F45" s="148"/>
      <c r="G45" s="148"/>
      <c r="H45" s="148"/>
      <c r="I45" s="148"/>
      <c r="J45" s="148"/>
      <c r="K45" s="148"/>
      <c r="N45" s="153" t="s">
        <v>7</v>
      </c>
      <c r="P45" s="153" t="s">
        <v>8</v>
      </c>
      <c r="R45" s="153" t="s">
        <v>84</v>
      </c>
      <c r="T45" s="153" t="s">
        <v>6</v>
      </c>
      <c r="V45" s="208" t="s">
        <v>18</v>
      </c>
      <c r="AG45" s="118"/>
      <c r="AI45" s="108"/>
      <c r="AJ45" s="108"/>
      <c r="AK45" s="108"/>
      <c r="AL45" s="137"/>
      <c r="AM45" s="137"/>
      <c r="AN45" s="137"/>
      <c r="AO45" s="137"/>
      <c r="AP45" s="137"/>
      <c r="AQ45" s="137"/>
      <c r="AR45" s="137"/>
      <c r="AS45" s="137"/>
      <c r="AT45" s="137"/>
      <c r="AU45" s="137"/>
      <c r="AV45" s="137"/>
    </row>
    <row r="46" spans="2:49" ht="16.149999999999999" customHeight="1" x14ac:dyDescent="0.2">
      <c r="B46" s="350"/>
      <c r="C46" s="148"/>
      <c r="D46" s="148"/>
      <c r="E46" s="148"/>
      <c r="F46" s="148"/>
      <c r="G46" s="148"/>
      <c r="H46" s="148"/>
      <c r="I46" s="148"/>
      <c r="J46" s="148"/>
      <c r="K46" s="148"/>
      <c r="R46" s="118" t="str">
        <f>ListAVS!$B$143</f>
        <v>Expando</v>
      </c>
      <c r="T46" s="37" t="str">
        <f>ListAVS!$B$146</f>
        <v>Jasnoszary (HGR)</v>
      </c>
      <c r="V46" s="209" t="s">
        <v>58</v>
      </c>
      <c r="AC46" s="144" t="str">
        <f>ListAVS!$B$61&amp;" "</f>
        <v xml:space="preserve">Cena całkowita bez VAT </v>
      </c>
      <c r="AD46" s="171">
        <f>SUM(AD9:AD43)</f>
        <v>0</v>
      </c>
      <c r="AF46" s="201">
        <f>SUM(AF9:AF45)</f>
        <v>0</v>
      </c>
      <c r="AH46" s="201">
        <f>SUM(AH9:AH45)</f>
        <v>0</v>
      </c>
      <c r="AI46" s="108"/>
      <c r="AJ46" s="108"/>
      <c r="AK46" s="108"/>
      <c r="AL46" s="137"/>
      <c r="AM46" s="137"/>
      <c r="AN46" s="137"/>
      <c r="AO46" s="137"/>
      <c r="AP46" s="137"/>
      <c r="AQ46" s="137"/>
      <c r="AR46" s="137"/>
      <c r="AS46" s="137"/>
      <c r="AT46" s="137"/>
      <c r="AU46" s="137"/>
      <c r="AV46" s="137"/>
    </row>
    <row r="47" spans="2:49" ht="16.149999999999999" customHeight="1" x14ac:dyDescent="0.2">
      <c r="B47" s="316"/>
      <c r="C47" s="317"/>
      <c r="D47" s="317"/>
      <c r="E47" s="317"/>
      <c r="F47" s="317"/>
      <c r="G47" s="317"/>
      <c r="I47" s="317"/>
      <c r="J47" s="317"/>
      <c r="R47" s="118" t="str">
        <f>ListAVS!$B$144</f>
        <v>na wkręty</v>
      </c>
      <c r="T47" s="37" t="str">
        <f>ListAVS!$B$148</f>
        <v>Jedwabiście biały (SW)</v>
      </c>
      <c r="V47" s="209" t="s">
        <v>107</v>
      </c>
      <c r="AI47" s="108"/>
      <c r="AJ47" s="108"/>
      <c r="AK47" s="108"/>
      <c r="AL47" s="137"/>
      <c r="AM47" s="137"/>
      <c r="AN47" s="137"/>
      <c r="AO47" s="137"/>
      <c r="AP47" s="137"/>
      <c r="AQ47" s="137"/>
      <c r="AR47" s="137"/>
      <c r="AS47" s="137"/>
      <c r="AT47" s="137"/>
      <c r="AU47" s="137"/>
      <c r="AV47" s="137"/>
    </row>
    <row r="48" spans="2:49" ht="16.149999999999999" customHeight="1" x14ac:dyDescent="0.2">
      <c r="B48" s="317"/>
      <c r="C48" s="317"/>
      <c r="D48" s="317"/>
      <c r="E48" s="317"/>
      <c r="F48" s="317"/>
      <c r="G48" s="317"/>
      <c r="I48" s="317"/>
      <c r="J48" s="317"/>
      <c r="T48" s="37">
        <f>ListAVS!$B$149</f>
        <v>0</v>
      </c>
      <c r="AI48" s="108"/>
      <c r="AJ48" s="108"/>
      <c r="AK48" s="108"/>
      <c r="AL48" s="137"/>
      <c r="AM48" s="137"/>
      <c r="AN48" s="137"/>
      <c r="AO48" s="137"/>
      <c r="AP48" s="137"/>
      <c r="AQ48" s="137"/>
      <c r="AR48" s="137"/>
      <c r="AS48" s="137"/>
      <c r="AT48" s="137"/>
      <c r="AU48" s="137"/>
      <c r="AV48" s="137"/>
    </row>
    <row r="49" spans="1:49" ht="16.149999999999999" customHeight="1" x14ac:dyDescent="0.2">
      <c r="B49" s="316"/>
      <c r="C49" s="317"/>
      <c r="D49" s="317"/>
      <c r="E49" s="317"/>
      <c r="F49" s="317"/>
      <c r="G49" s="317"/>
      <c r="I49" s="317"/>
      <c r="J49" s="317"/>
      <c r="N49" s="37" t="str">
        <f>ListAVS!B188&amp;". "</f>
        <v xml:space="preserve">W celu określenia rodzaju siłownika będzie wykorzystana podana waga. </v>
      </c>
      <c r="AI49" s="108"/>
      <c r="AJ49" s="108"/>
      <c r="AK49" s="108"/>
      <c r="AL49" s="137"/>
      <c r="AM49" s="137"/>
      <c r="AN49" s="137"/>
      <c r="AO49" s="137"/>
      <c r="AP49" s="137"/>
      <c r="AQ49" s="137"/>
      <c r="AR49" s="137"/>
      <c r="AS49" s="137"/>
      <c r="AT49" s="137"/>
      <c r="AU49" s="137"/>
      <c r="AV49" s="137"/>
    </row>
    <row r="50" spans="1:49" ht="16.149999999999999" customHeight="1" x14ac:dyDescent="0.2">
      <c r="B50" s="144"/>
      <c r="C50" s="317"/>
      <c r="N50" s="37" t="str">
        <f>ListAVS!B189&amp;". "</f>
        <v xml:space="preserve">W celu określenia rodzaju siłownika będzie wykorzystana obliczona waga. </v>
      </c>
      <c r="AI50" s="108"/>
      <c r="AJ50" s="108"/>
      <c r="AK50" s="108"/>
      <c r="AL50" s="137"/>
      <c r="AM50" s="137"/>
      <c r="AN50" s="137"/>
      <c r="AO50" s="137"/>
      <c r="AP50" s="137"/>
      <c r="AQ50" s="137"/>
      <c r="AR50" s="137"/>
      <c r="AS50" s="137"/>
      <c r="AT50" s="137"/>
      <c r="AU50" s="137"/>
      <c r="AV50" s="137"/>
    </row>
    <row r="51" spans="1:49" ht="16.149999999999999" customHeight="1" x14ac:dyDescent="0.2">
      <c r="B51" s="144"/>
      <c r="N51" s="37" t="str">
        <f>ListAVS!B190</f>
        <v>Jeżeli chcesz wykorzystać obliczoną wagę, zmaż podaną wartość</v>
      </c>
      <c r="AI51" s="108"/>
      <c r="AJ51" s="108"/>
      <c r="AK51" s="108"/>
      <c r="AL51" s="137"/>
      <c r="AM51" s="137"/>
      <c r="AN51" s="137"/>
      <c r="AO51" s="137"/>
      <c r="AP51" s="137"/>
      <c r="AQ51" s="137"/>
      <c r="AR51" s="137"/>
      <c r="AS51" s="137"/>
      <c r="AT51" s="137"/>
      <c r="AU51" s="137"/>
      <c r="AV51" s="137"/>
    </row>
    <row r="52" spans="1:49" ht="16.149999999999999" customHeight="1" x14ac:dyDescent="0.2">
      <c r="B52" s="155"/>
      <c r="D52" s="155"/>
      <c r="E52" s="155"/>
      <c r="F52" s="155"/>
      <c r="G52" s="155"/>
      <c r="I52" s="155"/>
      <c r="J52" s="155"/>
      <c r="N52" s="37" t="str">
        <f>ListAVS!B191</f>
        <v>Jeżeli chcesz wykorzystać podaną wagą, wpisz ją w pole</v>
      </c>
      <c r="AI52" s="108"/>
      <c r="AJ52" s="108"/>
      <c r="AK52" s="108"/>
      <c r="AL52" s="137"/>
      <c r="AM52" s="137"/>
      <c r="AN52" s="137"/>
      <c r="AO52" s="137"/>
      <c r="AP52" s="137"/>
      <c r="AQ52" s="137"/>
      <c r="AR52" s="137"/>
      <c r="AS52" s="137"/>
      <c r="AT52" s="137"/>
      <c r="AU52" s="137"/>
      <c r="AV52" s="137"/>
    </row>
    <row r="53" spans="1:49" ht="16.149999999999999" customHeight="1" x14ac:dyDescent="0.2">
      <c r="AI53" s="108"/>
      <c r="AJ53" s="108"/>
      <c r="AK53" s="108"/>
      <c r="AL53" s="137"/>
      <c r="AM53" s="137"/>
      <c r="AN53" s="137"/>
      <c r="AO53" s="137"/>
      <c r="AP53" s="137"/>
      <c r="AQ53" s="137"/>
      <c r="AR53" s="137"/>
      <c r="AS53" s="137"/>
      <c r="AT53" s="137"/>
      <c r="AU53" s="137"/>
      <c r="AV53" s="137"/>
    </row>
    <row r="54" spans="1:49" ht="16.149999999999999" customHeight="1" x14ac:dyDescent="0.2">
      <c r="AI54" s="108"/>
      <c r="AJ54" s="108"/>
      <c r="AK54" s="108"/>
      <c r="AL54" s="137"/>
      <c r="AM54" s="137"/>
      <c r="AN54" s="137"/>
      <c r="AO54" s="137"/>
      <c r="AP54" s="137"/>
      <c r="AQ54" s="137"/>
      <c r="AR54" s="137"/>
      <c r="AS54" s="137"/>
      <c r="AT54" s="137"/>
      <c r="AU54" s="137"/>
      <c r="AV54" s="137"/>
    </row>
    <row r="55" spans="1:49" ht="16.149999999999999" customHeight="1" x14ac:dyDescent="0.2">
      <c r="AI55" s="108"/>
      <c r="AJ55" s="108"/>
      <c r="AK55" s="108"/>
      <c r="AL55" s="137"/>
      <c r="AM55" s="137"/>
      <c r="AN55" s="137"/>
      <c r="AO55" s="137"/>
      <c r="AP55" s="37"/>
      <c r="AQ55" s="37"/>
      <c r="AR55" s="37"/>
      <c r="AS55" s="37"/>
      <c r="AT55" s="37"/>
      <c r="AU55" s="37"/>
      <c r="AV55" s="37"/>
    </row>
    <row r="56" spans="1:49" ht="16.149999999999999" customHeight="1" x14ac:dyDescent="0.2">
      <c r="AI56" s="108"/>
      <c r="AJ56" s="108"/>
      <c r="AK56" s="108"/>
      <c r="AL56" s="137"/>
      <c r="AM56" s="137"/>
      <c r="AN56" s="137"/>
      <c r="AO56" s="137"/>
      <c r="AP56" s="37"/>
      <c r="AQ56" s="37"/>
      <c r="AR56" s="37"/>
      <c r="AS56" s="37"/>
      <c r="AT56" s="37"/>
      <c r="AU56" s="37"/>
      <c r="AV56" s="37"/>
    </row>
    <row r="57" spans="1:49" ht="16.149999999999999" customHeight="1" x14ac:dyDescent="0.2">
      <c r="O57" s="37"/>
      <c r="Q57" s="37"/>
      <c r="AI57" s="108"/>
      <c r="AJ57" s="108"/>
      <c r="AK57" s="108"/>
      <c r="AL57" s="137"/>
      <c r="AM57" s="137"/>
      <c r="AN57" s="137"/>
      <c r="AO57" s="137"/>
      <c r="AP57" s="137"/>
      <c r="AQ57" s="137"/>
      <c r="AR57" s="137"/>
      <c r="AS57" s="137"/>
      <c r="AT57" s="137"/>
      <c r="AU57" s="137"/>
      <c r="AV57" s="137"/>
      <c r="AW57" s="37"/>
    </row>
    <row r="58" spans="1:49" x14ac:dyDescent="0.2">
      <c r="AI58" s="108"/>
      <c r="AJ58" s="108"/>
      <c r="AK58" s="108"/>
      <c r="AL58" s="137"/>
      <c r="AM58" s="137"/>
      <c r="AN58" s="137"/>
      <c r="AO58" s="137"/>
      <c r="AP58" s="137"/>
      <c r="AQ58" s="137"/>
      <c r="AR58" s="137"/>
      <c r="AS58" s="137"/>
      <c r="AT58" s="137"/>
      <c r="AU58" s="137"/>
      <c r="AV58" s="137"/>
    </row>
    <row r="59" spans="1:49" ht="12.75" x14ac:dyDescent="0.2">
      <c r="A59" s="255"/>
      <c r="N59" s="255"/>
      <c r="O59" s="255"/>
      <c r="P59" s="255"/>
      <c r="Q59" s="255"/>
      <c r="R59" s="255"/>
      <c r="S59" s="255"/>
      <c r="T59" s="255"/>
      <c r="U59" s="255"/>
      <c r="V59" s="255"/>
      <c r="W59" s="255"/>
      <c r="AI59" s="108"/>
      <c r="AJ59" s="108"/>
      <c r="AK59" s="108"/>
      <c r="AL59" s="137"/>
      <c r="AM59" s="137"/>
      <c r="AN59" s="137"/>
      <c r="AO59" s="137"/>
      <c r="AP59" s="137"/>
      <c r="AQ59" s="137"/>
      <c r="AR59" s="137"/>
      <c r="AS59" s="137"/>
      <c r="AT59" s="137"/>
      <c r="AU59" s="137"/>
      <c r="AV59" s="137"/>
    </row>
    <row r="60" spans="1:49" ht="12.75" x14ac:dyDescent="0.2">
      <c r="A60" s="255"/>
      <c r="N60" s="517" t="str">
        <f>ListAVS!$B$73</f>
        <v>Obliczanie wagi frontów</v>
      </c>
      <c r="O60" s="518"/>
      <c r="P60" s="518"/>
      <c r="Q60" s="518"/>
      <c r="R60" s="518"/>
      <c r="S60" s="255"/>
      <c r="T60" s="255"/>
      <c r="U60" s="255"/>
      <c r="V60" s="255"/>
      <c r="W60" s="255"/>
      <c r="AI60" s="108"/>
      <c r="AJ60" s="108"/>
      <c r="AK60" s="108"/>
      <c r="AL60" s="137"/>
      <c r="AM60" s="137"/>
      <c r="AN60" s="137"/>
      <c r="AO60" s="137"/>
      <c r="AP60" s="137"/>
      <c r="AQ60" s="137"/>
      <c r="AR60" s="137"/>
      <c r="AS60" s="137"/>
      <c r="AT60" s="137"/>
      <c r="AU60" s="137"/>
      <c r="AV60" s="137"/>
    </row>
    <row r="61" spans="1:49" ht="15.75" customHeight="1" x14ac:dyDescent="0.2">
      <c r="A61" s="255"/>
      <c r="N61" s="255"/>
      <c r="O61" s="269"/>
      <c r="P61" s="269" t="str">
        <f>ListAVS!$B$180&amp;"  "</f>
        <v xml:space="preserve">Wykonanie frontów  </v>
      </c>
      <c r="Q61" s="255"/>
      <c r="R61" s="255"/>
      <c r="S61" s="255"/>
      <c r="T61" s="829">
        <f>J4</f>
        <v>0</v>
      </c>
      <c r="U61" s="262" t="str">
        <f>IF(AF67=3,IF(T61=0,Y63," "),IF(T61&gt;0,Y64," "))</f>
        <v xml:space="preserve"> Podaj grubość szkła [mm]</v>
      </c>
      <c r="V61" s="255"/>
      <c r="W61" s="255"/>
      <c r="Y61" s="335" t="str">
        <f>IF($AF$67=1,$AF$88,IF($AF$67=2,$AF$89,$AF$90&amp;" - "&amp;$Y$71&amp;"mm"))</f>
        <v>Ramki aluminiowe z innym szkłem - 0mm</v>
      </c>
      <c r="Z61" s="118"/>
      <c r="AB61" s="118"/>
      <c r="AD61" s="209">
        <f>MenuAVS!$Q$81</f>
        <v>2500</v>
      </c>
      <c r="AI61" s="108"/>
      <c r="AJ61" s="108"/>
      <c r="AK61" s="108"/>
      <c r="AL61" s="137"/>
      <c r="AM61" s="137"/>
      <c r="AN61" s="137"/>
      <c r="AO61" s="137"/>
      <c r="AP61" s="137"/>
      <c r="AQ61" s="137"/>
      <c r="AR61" s="137"/>
      <c r="AS61" s="137"/>
      <c r="AT61" s="137"/>
      <c r="AU61" s="137"/>
      <c r="AV61" s="137"/>
    </row>
    <row r="62" spans="1:49" ht="15.75" customHeight="1" x14ac:dyDescent="0.2">
      <c r="A62" s="255"/>
      <c r="N62" s="255"/>
      <c r="O62" s="255"/>
      <c r="P62" s="255"/>
      <c r="Q62" s="255"/>
      <c r="R62" s="255"/>
      <c r="S62" s="255"/>
      <c r="T62" s="255"/>
      <c r="U62" s="255"/>
      <c r="V62" s="255"/>
      <c r="W62" s="255"/>
      <c r="Y62" s="37" t="str">
        <f>" "&amp;ListAVS!$B$410</f>
        <v xml:space="preserve"> Możesz zmienić wartości we Wstępie do planowania</v>
      </c>
      <c r="Z62" s="118"/>
      <c r="AB62" s="118"/>
      <c r="AI62" s="108"/>
      <c r="AJ62" s="108"/>
      <c r="AK62" s="108"/>
      <c r="AL62" s="137"/>
      <c r="AM62" s="137"/>
      <c r="AN62" s="137"/>
      <c r="AO62" s="137"/>
      <c r="AP62" s="137"/>
      <c r="AQ62" s="137"/>
      <c r="AR62" s="137"/>
      <c r="AS62" s="137"/>
      <c r="AT62" s="137"/>
      <c r="AU62" s="137"/>
      <c r="AV62" s="137"/>
    </row>
    <row r="63" spans="1:49" ht="15" customHeight="1" x14ac:dyDescent="0.2">
      <c r="A63" s="255"/>
      <c r="N63" s="266"/>
      <c r="O63" s="255"/>
      <c r="P63" s="255"/>
      <c r="Q63" s="255"/>
      <c r="R63" s="255"/>
      <c r="S63" s="255"/>
      <c r="T63" s="255"/>
      <c r="U63" s="255"/>
      <c r="V63" s="255"/>
      <c r="W63" s="255"/>
      <c r="Y63" s="37" t="str">
        <f>" "&amp;ListAVS!$B$246&amp;" [mm]"</f>
        <v xml:space="preserve"> Podaj grubość szkła [mm]</v>
      </c>
      <c r="Z63" s="118"/>
      <c r="AB63" s="118"/>
      <c r="AI63" s="108"/>
      <c r="AJ63" s="108"/>
      <c r="AK63" s="108"/>
      <c r="AL63" s="137"/>
      <c r="AM63" s="137"/>
      <c r="AN63" s="137"/>
      <c r="AO63" s="137"/>
      <c r="AP63" s="118"/>
      <c r="AQ63" s="118"/>
      <c r="AR63" s="118"/>
      <c r="AS63" s="118"/>
      <c r="AT63" s="118"/>
      <c r="AU63" s="118"/>
      <c r="AV63" s="118"/>
    </row>
    <row r="64" spans="1:49" ht="15" customHeight="1" x14ac:dyDescent="0.2">
      <c r="A64" s="255"/>
      <c r="N64" s="266"/>
      <c r="O64" s="255"/>
      <c r="P64" s="255"/>
      <c r="Q64" s="255"/>
      <c r="R64" s="255"/>
      <c r="S64" s="255"/>
      <c r="T64" s="255"/>
      <c r="U64" s="255"/>
      <c r="V64" s="255"/>
      <c r="W64" s="255"/>
      <c r="Y64" s="37" t="str">
        <f>" "&amp;ListAVS!$B$241&amp;" '"&amp;ListAVS!$B$95&amp;"'"</f>
        <v xml:space="preserve"> Wartość obowiązuje tylko dla opcji 'Ramki aluminiowe z innym szkłem'</v>
      </c>
      <c r="Z64" s="118"/>
      <c r="AB64" s="118"/>
      <c r="AI64" s="108"/>
      <c r="AJ64" s="108"/>
      <c r="AK64" s="108"/>
      <c r="AL64" s="137"/>
      <c r="AM64" s="137"/>
      <c r="AN64" s="137"/>
      <c r="AO64" s="137"/>
      <c r="AP64" s="118"/>
      <c r="AQ64" s="118"/>
      <c r="AR64" s="118"/>
      <c r="AS64" s="118"/>
      <c r="AT64" s="118"/>
      <c r="AU64" s="118"/>
      <c r="AV64" s="118"/>
    </row>
    <row r="65" spans="1:49" ht="15" customHeight="1" x14ac:dyDescent="0.2">
      <c r="A65" s="255"/>
      <c r="N65" s="255"/>
      <c r="O65" s="255"/>
      <c r="P65" s="255"/>
      <c r="Q65" s="255"/>
      <c r="R65" s="255"/>
      <c r="S65" s="255"/>
      <c r="T65" s="255"/>
      <c r="U65" s="255"/>
      <c r="V65" s="255"/>
      <c r="W65" s="255"/>
      <c r="Z65" s="118"/>
      <c r="AB65" s="118"/>
      <c r="AI65" s="108"/>
      <c r="AJ65" s="108"/>
      <c r="AK65" s="108"/>
      <c r="AL65" s="137"/>
      <c r="AM65" s="137"/>
      <c r="AN65" s="137"/>
      <c r="AO65" s="137"/>
      <c r="AP65" s="118"/>
      <c r="AQ65" s="118"/>
      <c r="AR65" s="118"/>
      <c r="AS65" s="118"/>
      <c r="AT65" s="118"/>
      <c r="AU65" s="118"/>
      <c r="AV65" s="118"/>
      <c r="AW65" s="118"/>
    </row>
    <row r="66" spans="1:49" ht="15" customHeight="1" x14ac:dyDescent="0.2">
      <c r="A66" s="255"/>
      <c r="N66" s="266"/>
      <c r="O66" s="266"/>
      <c r="P66" s="266"/>
      <c r="Q66" s="255"/>
      <c r="R66" s="1148" t="str">
        <f>D9</f>
        <v xml:space="preserve"> </v>
      </c>
      <c r="S66" s="1149"/>
      <c r="T66" s="1150"/>
      <c r="U66" s="255"/>
      <c r="V66" s="255"/>
      <c r="W66" s="255"/>
      <c r="Z66" s="118"/>
      <c r="AB66" s="118"/>
      <c r="AD66" s="209"/>
      <c r="AE66" s="601" t="s">
        <v>68</v>
      </c>
      <c r="AF66" s="601" t="s">
        <v>69</v>
      </c>
      <c r="AG66" s="601" t="s">
        <v>70</v>
      </c>
      <c r="AI66" s="108"/>
      <c r="AJ66" s="108"/>
      <c r="AK66" s="108"/>
      <c r="AL66" s="137"/>
      <c r="AM66" s="137"/>
      <c r="AN66" s="137"/>
      <c r="AO66" s="137"/>
      <c r="AP66" s="118"/>
      <c r="AQ66" s="118"/>
      <c r="AR66" s="118"/>
      <c r="AS66" s="118"/>
      <c r="AT66" s="118"/>
      <c r="AU66" s="118"/>
      <c r="AV66" s="118"/>
      <c r="AW66" s="118"/>
    </row>
    <row r="67" spans="1:49" s="118" customFormat="1" ht="15" customHeight="1" x14ac:dyDescent="0.2">
      <c r="A67" s="255"/>
      <c r="N67" s="1138" t="str">
        <f>ListAVS!$B$74&amp;" KB [mm]       "</f>
        <v xml:space="preserve">Szerokość korpusu KB [mm]       </v>
      </c>
      <c r="O67" s="1139"/>
      <c r="P67" s="1139"/>
      <c r="Q67" s="1139"/>
      <c r="R67" s="1139"/>
      <c r="S67" s="1140"/>
      <c r="T67" s="829">
        <f>H10</f>
        <v>0</v>
      </c>
      <c r="U67" s="670"/>
      <c r="V67" s="248"/>
      <c r="W67" s="255"/>
      <c r="X67" s="37"/>
      <c r="Y67" s="37">
        <f>T67*T68*T69</f>
        <v>0</v>
      </c>
      <c r="Z67" s="37"/>
      <c r="AA67" s="37"/>
      <c r="AC67" s="37"/>
      <c r="AD67" s="325">
        <f>IF($AG$67=1,$X$88,$X$89)</f>
        <v>0.62</v>
      </c>
      <c r="AE67" s="339">
        <f>$X$90</f>
        <v>0.61</v>
      </c>
      <c r="AF67" s="327">
        <v>3</v>
      </c>
      <c r="AG67" s="328">
        <f>$O$4</f>
        <v>1</v>
      </c>
      <c r="AH67" s="37"/>
      <c r="AJ67" s="108"/>
      <c r="AK67" s="108"/>
      <c r="AL67" s="137"/>
      <c r="AM67" s="137"/>
      <c r="AN67" s="137"/>
      <c r="AO67" s="137"/>
    </row>
    <row r="68" spans="1:49" s="118" customFormat="1" ht="15" customHeight="1" x14ac:dyDescent="0.2">
      <c r="A68" s="255"/>
      <c r="N68" s="1138" t="str">
        <f>ListAVS!$B$75&amp;" KH [mm]       "</f>
        <v xml:space="preserve">Wysokość korpusu KH [mm]       </v>
      </c>
      <c r="O68" s="1139"/>
      <c r="P68" s="1139"/>
      <c r="Q68" s="1139"/>
      <c r="R68" s="1139"/>
      <c r="S68" s="1140"/>
      <c r="T68" s="829">
        <f>H11</f>
        <v>0</v>
      </c>
      <c r="U68" s="670"/>
      <c r="V68" s="248"/>
      <c r="W68" s="255"/>
      <c r="X68" s="37"/>
      <c r="Y68" s="37">
        <f>Y67/1000000000</f>
        <v>0</v>
      </c>
      <c r="Z68" s="117">
        <v>1</v>
      </c>
      <c r="AC68" s="37"/>
      <c r="AD68" s="153" t="s">
        <v>71</v>
      </c>
      <c r="AE68" s="209">
        <f>SUM(T67*2,(T68-90)*2)*AD67/1000</f>
        <v>-0.11159999999999999</v>
      </c>
      <c r="AF68" s="601" t="s">
        <v>72</v>
      </c>
      <c r="AG68" s="601"/>
      <c r="AH68" s="37"/>
      <c r="AJ68" s="108"/>
      <c r="AK68" s="108"/>
      <c r="AL68" s="137"/>
      <c r="AM68" s="137"/>
      <c r="AN68" s="137"/>
      <c r="AO68" s="137"/>
      <c r="AP68" s="137"/>
      <c r="AQ68" s="137"/>
      <c r="AR68" s="137"/>
      <c r="AS68" s="137"/>
      <c r="AT68" s="137"/>
      <c r="AU68" s="137"/>
      <c r="AV68" s="137"/>
    </row>
    <row r="69" spans="1:49" s="118" customFormat="1" ht="15" customHeight="1" x14ac:dyDescent="0.2">
      <c r="A69" s="255"/>
      <c r="N69" s="1173" t="str">
        <f>ListAVS!$B$80&amp;" TS [mm] "</f>
        <v xml:space="preserve">Grubość frontu TS [mm] </v>
      </c>
      <c r="O69" s="1174"/>
      <c r="P69" s="1174"/>
      <c r="Q69" s="1174"/>
      <c r="R69" s="1174"/>
      <c r="S69" s="1175"/>
      <c r="T69" s="829"/>
      <c r="U69" s="227"/>
      <c r="V69" s="248"/>
      <c r="W69" s="255"/>
      <c r="X69" s="37"/>
      <c r="Y69" s="319">
        <f>MenuAVS!$C$31</f>
        <v>760</v>
      </c>
      <c r="Z69" s="175" t="str">
        <f>ListAVS!$B$90&amp;" ("&amp;Y69&amp;" kg/m3)"</f>
        <v>MDF (760 kg/m3)</v>
      </c>
      <c r="AC69" s="37"/>
      <c r="AD69" s="209">
        <f>$AD$61*4/1000</f>
        <v>10</v>
      </c>
      <c r="AE69" s="330">
        <f>IF($AG$67=1,AF69*AD69,AG69*AD69)</f>
        <v>6.4000000000000001E-2</v>
      </c>
      <c r="AF69" s="209">
        <f>SUM(($T$67-80)*($T$68-80)/1000000)</f>
        <v>6.4000000000000003E-3</v>
      </c>
      <c r="AG69" s="351">
        <f>SUM(($T$67-6)*($T$68-6)/1000000)</f>
        <v>3.6000000000000001E-5</v>
      </c>
      <c r="AH69" s="208" t="s">
        <v>73</v>
      </c>
      <c r="AJ69" s="108"/>
      <c r="AK69" s="108"/>
      <c r="AL69" s="137"/>
      <c r="AM69" s="137"/>
      <c r="AN69" s="137"/>
      <c r="AO69" s="137"/>
      <c r="AP69" s="137"/>
      <c r="AQ69" s="137"/>
      <c r="AR69" s="137"/>
      <c r="AS69" s="137"/>
      <c r="AT69" s="137"/>
      <c r="AU69" s="137"/>
      <c r="AV69" s="137"/>
    </row>
    <row r="70" spans="1:49" s="118" customFormat="1" ht="15" customHeight="1" x14ac:dyDescent="0.2">
      <c r="A70" s="255"/>
      <c r="N70" s="1143" t="str">
        <f>ListAVS!$B$83&amp;" [kg] "</f>
        <v xml:space="preserve">Waga uchwytu [kg] </v>
      </c>
      <c r="O70" s="1144"/>
      <c r="P70" s="1144"/>
      <c r="Q70" s="1144"/>
      <c r="R70" s="1144"/>
      <c r="S70" s="1145"/>
      <c r="T70" s="829">
        <f>H14</f>
        <v>0</v>
      </c>
      <c r="U70" s="256" t="str">
        <f>IF($U$16=2," ",IF(SUM(T67,T68)=0," ",IF(T70=0," ● "&amp;ListAVS!$B$130," ")))</f>
        <v xml:space="preserve"> </v>
      </c>
      <c r="V70" s="248"/>
      <c r="W70" s="255"/>
      <c r="X70" s="37"/>
      <c r="Y70" s="319">
        <f>MenuAVS!$C$32</f>
        <v>680</v>
      </c>
      <c r="Z70" s="175" t="str">
        <f>ListAVS!$B$91&amp;" ("&amp;Y70&amp;" kg/m3)"</f>
        <v>Płyta wiórowa (680 kg/m3)</v>
      </c>
      <c r="AC70" s="37"/>
      <c r="AD70" s="209">
        <f>$AD$61*5/1000</f>
        <v>12.5</v>
      </c>
      <c r="AE70" s="330">
        <f>IF($AG$67=1,AF70*AD70,AG70*AD70)</f>
        <v>0.08</v>
      </c>
      <c r="AF70" s="209">
        <f>SUM(($T$67-80)*($T$68-80)/1000000)</f>
        <v>6.4000000000000003E-3</v>
      </c>
      <c r="AG70" s="351">
        <f>SUM(($T$67-6)*($T$68-6)/1000000)</f>
        <v>3.6000000000000001E-5</v>
      </c>
      <c r="AH70" s="208" t="s">
        <v>74</v>
      </c>
      <c r="AJ70" s="108"/>
      <c r="AK70" s="108"/>
      <c r="AL70" s="137"/>
      <c r="AM70" s="137"/>
      <c r="AN70" s="137"/>
      <c r="AO70" s="137"/>
      <c r="AW70" s="121"/>
    </row>
    <row r="71" spans="1:49" s="118" customFormat="1" ht="15" customHeight="1" x14ac:dyDescent="0.2">
      <c r="A71" s="255"/>
      <c r="N71" s="1143" t="str">
        <f>ListAVS!$B$79&amp;" [kg] "</f>
        <v xml:space="preserve">Obliczona waga frontu [kg] </v>
      </c>
      <c r="O71" s="1144"/>
      <c r="P71" s="1144"/>
      <c r="Q71" s="1144"/>
      <c r="R71" s="1144"/>
      <c r="S71" s="1145"/>
      <c r="T71" s="533">
        <f>IF(AD72=0,0,AD72+2*T70)</f>
        <v>0</v>
      </c>
      <c r="U71" s="227"/>
      <c r="V71" s="248"/>
      <c r="W71" s="255"/>
      <c r="X71" s="186">
        <f>IF(T67*T68*T69=0,0,IF(Z68=1,Y68*Y69,IF(Z68=2,Y68*Y70,Y68*Y71)))</f>
        <v>0</v>
      </c>
      <c r="Y71" s="37">
        <f>$T$61</f>
        <v>0</v>
      </c>
      <c r="Z71" s="175" t="str">
        <f>ListAVS!$B$92</f>
        <v>Inne – wybrana gęstość materiału</v>
      </c>
      <c r="AC71" s="37"/>
      <c r="AD71" s="209">
        <f>$AD$61*$T$61/1000</f>
        <v>0</v>
      </c>
      <c r="AE71" s="330">
        <f>IF($AG$67=1,AF71*AD71,AG71*AD71)</f>
        <v>0</v>
      </c>
      <c r="AF71" s="209">
        <f>SUM(($T$67-80)*($T$68-80)/1000000)</f>
        <v>6.4000000000000003E-3</v>
      </c>
      <c r="AG71" s="351">
        <f>SUM(($T$67-6)*($T$68-6)/1000000)</f>
        <v>3.6000000000000001E-5</v>
      </c>
      <c r="AH71" s="208" t="s">
        <v>75</v>
      </c>
      <c r="AJ71" s="108"/>
      <c r="AK71" s="108"/>
      <c r="AL71" s="137"/>
      <c r="AM71" s="137"/>
      <c r="AN71" s="137"/>
      <c r="AO71" s="137"/>
      <c r="AW71" s="121"/>
    </row>
    <row r="72" spans="1:49" ht="15" customHeight="1" x14ac:dyDescent="0.2">
      <c r="A72" s="255"/>
      <c r="N72" s="255"/>
      <c r="O72" s="273" t="str">
        <f>IF((U16=2)*AND(T71&gt;0)*AND(T70&gt;0),$Z$89&amp;" "&amp;$Z$90,IF((U16&lt;&gt;2)*AND(T71&gt;0),IF(T70=0,$Z$88," ")," "))</f>
        <v xml:space="preserve"> </v>
      </c>
      <c r="P72" s="255"/>
      <c r="Q72" s="255"/>
      <c r="R72" s="255"/>
      <c r="S72" s="255"/>
      <c r="T72" s="255"/>
      <c r="U72" s="255"/>
      <c r="V72" s="255"/>
      <c r="W72" s="255"/>
      <c r="Z72" s="118"/>
      <c r="AB72" s="118"/>
      <c r="AD72" s="332">
        <f>IF(OR(AND(AF67=3, $T$61=0), T67*T68=0), 0, SUM(IF(AF67=1,AE69,IF(AF67=2,AE70,AE71)),AE68,AE67))</f>
        <v>0</v>
      </c>
      <c r="AI72" s="108"/>
      <c r="AJ72" s="108"/>
      <c r="AK72" s="108"/>
      <c r="AL72" s="137"/>
      <c r="AM72" s="137"/>
      <c r="AN72" s="137"/>
      <c r="AO72" s="137"/>
      <c r="AP72" s="118"/>
      <c r="AQ72" s="118"/>
      <c r="AR72" s="118"/>
      <c r="AS72" s="118"/>
      <c r="AT72" s="118"/>
      <c r="AU72" s="118"/>
      <c r="AV72" s="118"/>
      <c r="AW72" s="118"/>
    </row>
    <row r="73" spans="1:49" ht="15" customHeight="1" x14ac:dyDescent="0.2">
      <c r="A73" s="255"/>
      <c r="N73" s="255"/>
      <c r="O73" s="255"/>
      <c r="P73" s="255"/>
      <c r="Q73" s="255"/>
      <c r="R73" s="255"/>
      <c r="S73" s="255"/>
      <c r="T73" s="255"/>
      <c r="U73" s="255"/>
      <c r="V73" s="255"/>
      <c r="W73" s="255"/>
      <c r="Z73" s="118"/>
      <c r="AB73" s="118"/>
      <c r="AI73" s="108"/>
      <c r="AJ73" s="108"/>
      <c r="AK73" s="108"/>
      <c r="AL73" s="137"/>
      <c r="AM73" s="137"/>
      <c r="AN73" s="137"/>
      <c r="AO73" s="137"/>
      <c r="AP73" s="118"/>
      <c r="AQ73" s="118"/>
      <c r="AR73" s="118"/>
      <c r="AS73" s="118"/>
      <c r="AT73" s="118"/>
      <c r="AU73" s="118"/>
      <c r="AV73" s="118"/>
      <c r="AW73" s="118"/>
    </row>
    <row r="74" spans="1:49" s="118" customFormat="1" ht="15" customHeight="1" x14ac:dyDescent="0.2">
      <c r="A74" s="255"/>
      <c r="N74" s="255"/>
      <c r="O74" s="255"/>
      <c r="P74" s="255"/>
      <c r="Q74" s="255"/>
      <c r="R74" s="255"/>
      <c r="S74" s="255"/>
      <c r="T74" s="255"/>
      <c r="U74" s="255"/>
      <c r="V74" s="255"/>
      <c r="W74" s="255"/>
      <c r="X74" s="37"/>
      <c r="Y74" s="37"/>
      <c r="AA74" s="37"/>
      <c r="AC74" s="37"/>
      <c r="AD74" s="37"/>
      <c r="AE74" s="37"/>
      <c r="AF74" s="37"/>
      <c r="AG74" s="37"/>
      <c r="AH74" s="37"/>
      <c r="AJ74" s="108"/>
      <c r="AK74" s="108"/>
      <c r="AL74" s="137"/>
      <c r="AM74" s="137"/>
      <c r="AN74" s="137"/>
      <c r="AO74" s="137"/>
    </row>
    <row r="75" spans="1:49" s="118" customFormat="1" ht="15" customHeight="1" x14ac:dyDescent="0.2">
      <c r="A75" s="255"/>
      <c r="N75" s="248"/>
      <c r="O75" s="248"/>
      <c r="P75" s="248"/>
      <c r="Q75" s="255"/>
      <c r="R75" s="1148" t="str">
        <f>D20</f>
        <v xml:space="preserve"> </v>
      </c>
      <c r="S75" s="1149"/>
      <c r="T75" s="1150"/>
      <c r="U75" s="255"/>
      <c r="V75" s="255"/>
      <c r="W75" s="255"/>
      <c r="X75" s="37"/>
      <c r="AA75" s="37"/>
      <c r="AC75" s="37"/>
      <c r="AD75" s="209"/>
      <c r="AE75" s="601" t="s">
        <v>68</v>
      </c>
      <c r="AF75" s="601" t="s">
        <v>69</v>
      </c>
      <c r="AG75" s="601" t="s">
        <v>70</v>
      </c>
      <c r="AH75" s="37"/>
      <c r="AJ75" s="108"/>
      <c r="AK75" s="108"/>
      <c r="AL75" s="137"/>
      <c r="AM75" s="137"/>
      <c r="AN75" s="137"/>
      <c r="AO75" s="137"/>
    </row>
    <row r="76" spans="1:49" s="118" customFormat="1" ht="15" customHeight="1" x14ac:dyDescent="0.2">
      <c r="A76" s="255"/>
      <c r="N76" s="1138" t="str">
        <f>ListAVS!$B$74&amp;" KB [mm]       "</f>
        <v xml:space="preserve">Szerokość korpusu KB [mm]       </v>
      </c>
      <c r="O76" s="1139"/>
      <c r="P76" s="1139"/>
      <c r="Q76" s="1139"/>
      <c r="R76" s="1139"/>
      <c r="S76" s="1140"/>
      <c r="T76" s="829">
        <f>H21</f>
        <v>0</v>
      </c>
      <c r="U76" s="670"/>
      <c r="V76" s="255"/>
      <c r="W76" s="255"/>
      <c r="X76" s="37"/>
      <c r="Y76" s="37">
        <f>T76*T77*T78</f>
        <v>0</v>
      </c>
      <c r="Z76" s="37"/>
      <c r="AA76" s="37"/>
      <c r="AC76" s="37"/>
      <c r="AD76" s="325">
        <f>IF($AG$67=1,$X$88,$X$89)</f>
        <v>0.62</v>
      </c>
      <c r="AE76" s="339">
        <f>$X$90</f>
        <v>0.61</v>
      </c>
      <c r="AF76" s="333">
        <f>$AF$67</f>
        <v>3</v>
      </c>
      <c r="AG76" s="328">
        <f>$AG$67</f>
        <v>1</v>
      </c>
      <c r="AH76" s="37"/>
      <c r="AJ76" s="108"/>
      <c r="AK76" s="108"/>
      <c r="AL76" s="137"/>
      <c r="AM76" s="137"/>
      <c r="AN76" s="137"/>
      <c r="AO76" s="137"/>
    </row>
    <row r="77" spans="1:49" s="118" customFormat="1" ht="15" customHeight="1" x14ac:dyDescent="0.2">
      <c r="A77" s="255"/>
      <c r="N77" s="1138" t="str">
        <f>ListAVS!$B$75&amp;" KH [mm]       "</f>
        <v xml:space="preserve">Wysokość korpusu KH [mm]       </v>
      </c>
      <c r="O77" s="1139"/>
      <c r="P77" s="1139"/>
      <c r="Q77" s="1139"/>
      <c r="R77" s="1139"/>
      <c r="S77" s="1140"/>
      <c r="T77" s="829">
        <f>H22</f>
        <v>0</v>
      </c>
      <c r="U77" s="670"/>
      <c r="V77" s="255"/>
      <c r="W77" s="255"/>
      <c r="X77" s="37"/>
      <c r="Y77" s="37">
        <f>Y76/1000000000</f>
        <v>0</v>
      </c>
      <c r="Z77" s="182">
        <f>Z68</f>
        <v>1</v>
      </c>
      <c r="AC77" s="37"/>
      <c r="AD77" s="144" t="s">
        <v>71</v>
      </c>
      <c r="AE77" s="209">
        <f>SUM(T76*2,(T77-90)*2)*AD76/1000</f>
        <v>-0.11159999999999999</v>
      </c>
      <c r="AF77" s="601" t="s">
        <v>72</v>
      </c>
      <c r="AG77" s="601"/>
      <c r="AH77" s="37"/>
      <c r="AJ77" s="108"/>
      <c r="AK77" s="108"/>
      <c r="AL77" s="137"/>
      <c r="AM77" s="137"/>
      <c r="AN77" s="137"/>
      <c r="AO77" s="137"/>
    </row>
    <row r="78" spans="1:49" s="118" customFormat="1" ht="15" customHeight="1" x14ac:dyDescent="0.2">
      <c r="A78" s="255"/>
      <c r="N78" s="1173" t="str">
        <f>ListAVS!$B$80&amp;" TS [mm] "</f>
        <v xml:space="preserve">Grubość frontu TS [mm] </v>
      </c>
      <c r="O78" s="1174"/>
      <c r="P78" s="1174"/>
      <c r="Q78" s="1174"/>
      <c r="R78" s="1174"/>
      <c r="S78" s="1175"/>
      <c r="T78" s="829"/>
      <c r="U78" s="227"/>
      <c r="V78" s="248"/>
      <c r="W78" s="248"/>
      <c r="X78" s="37"/>
      <c r="Y78" s="319">
        <f>$Y$69</f>
        <v>760</v>
      </c>
      <c r="Z78" s="37" t="str">
        <f>$Z$69</f>
        <v>MDF (760 kg/m3)</v>
      </c>
      <c r="AC78" s="37"/>
      <c r="AD78" s="37">
        <f>AD69</f>
        <v>10</v>
      </c>
      <c r="AE78" s="330">
        <f>IF($AG$67=1,AF78*AD78,AG78*AD78)</f>
        <v>6.4000000000000001E-2</v>
      </c>
      <c r="AF78" s="351">
        <f>SUM(($T$76-80)*($T$77-80)/1000000)</f>
        <v>6.4000000000000003E-3</v>
      </c>
      <c r="AG78" s="351">
        <f>SUM(($T$76-6)*($T$77-6)/1000000)</f>
        <v>3.6000000000000001E-5</v>
      </c>
      <c r="AH78" s="208" t="s">
        <v>73</v>
      </c>
      <c r="AJ78" s="108"/>
      <c r="AK78" s="108"/>
      <c r="AL78" s="137"/>
      <c r="AM78" s="137"/>
      <c r="AN78" s="137"/>
      <c r="AO78" s="137"/>
    </row>
    <row r="79" spans="1:49" s="118" customFormat="1" ht="15" customHeight="1" x14ac:dyDescent="0.2">
      <c r="A79" s="255"/>
      <c r="N79" s="1143" t="str">
        <f>ListAVS!$B$83&amp;" [kg] "</f>
        <v xml:space="preserve">Waga uchwytu [kg] </v>
      </c>
      <c r="O79" s="1144"/>
      <c r="P79" s="1144"/>
      <c r="Q79" s="1144"/>
      <c r="R79" s="1144"/>
      <c r="S79" s="1145"/>
      <c r="T79" s="829">
        <f>H25</f>
        <v>0</v>
      </c>
      <c r="U79" s="256" t="str">
        <f>IF($U$27=2," ",IF(SUM(T76,T77)=0," ",IF(T79=0," ● "&amp;ListAVS!$B$130," ")))</f>
        <v xml:space="preserve"> </v>
      </c>
      <c r="V79" s="248"/>
      <c r="W79" s="248"/>
      <c r="X79" s="37"/>
      <c r="Y79" s="319">
        <f>$Y$70</f>
        <v>680</v>
      </c>
      <c r="Z79" s="37" t="str">
        <f>$Z$70</f>
        <v>Płyta wiórowa (680 kg/m3)</v>
      </c>
      <c r="AC79" s="37"/>
      <c r="AD79" s="37">
        <f>AD70</f>
        <v>12.5</v>
      </c>
      <c r="AE79" s="330">
        <f>IF($AG$67=1,AF79*AD79,AG79*AD79)</f>
        <v>0.08</v>
      </c>
      <c r="AF79" s="351">
        <f>SUM(($T$76-80)*($T$77-80)/1000000)</f>
        <v>6.4000000000000003E-3</v>
      </c>
      <c r="AG79" s="351">
        <f>SUM(($T$76-6)*($T$77-6)/1000000)</f>
        <v>3.6000000000000001E-5</v>
      </c>
      <c r="AH79" s="208" t="s">
        <v>74</v>
      </c>
      <c r="AJ79" s="108"/>
      <c r="AK79" s="108"/>
      <c r="AL79" s="137"/>
      <c r="AM79" s="137"/>
      <c r="AN79" s="137"/>
      <c r="AO79" s="137"/>
    </row>
    <row r="80" spans="1:49" s="118" customFormat="1" ht="15" customHeight="1" x14ac:dyDescent="0.2">
      <c r="A80" s="255"/>
      <c r="N80" s="1143" t="str">
        <f>ListAVS!$B$79&amp;" [kg] "</f>
        <v xml:space="preserve">Obliczona waga frontu [kg] </v>
      </c>
      <c r="O80" s="1144"/>
      <c r="P80" s="1144"/>
      <c r="Q80" s="1144"/>
      <c r="R80" s="1144"/>
      <c r="S80" s="1145"/>
      <c r="T80" s="533">
        <f>IF(AD81=0,0,AD81+2*T79)</f>
        <v>0</v>
      </c>
      <c r="U80" s="227"/>
      <c r="V80" s="248"/>
      <c r="W80" s="248"/>
      <c r="X80" s="186">
        <f>IF(T76*T77*T78=0,0,IF(Z77=1,Y77*Y78,IF(Z77=2,Y77*Y79,Y77*Y80)))</f>
        <v>0</v>
      </c>
      <c r="Y80" s="37">
        <f>$Y$71</f>
        <v>0</v>
      </c>
      <c r="Z80" s="37" t="str">
        <f>$Z$71</f>
        <v>Inne – wybrana gęstość materiału</v>
      </c>
      <c r="AC80" s="37"/>
      <c r="AD80" s="340">
        <f>AD71</f>
        <v>0</v>
      </c>
      <c r="AE80" s="330">
        <f>IF($AG$67=1,AF80*AD80,AG80*AD80)</f>
        <v>0</v>
      </c>
      <c r="AF80" s="351">
        <f>SUM(($T$76-80)*($T$77-80)/1000000)</f>
        <v>6.4000000000000003E-3</v>
      </c>
      <c r="AG80" s="351">
        <f>SUM(($T$76-6)*($T$77-6)/1000000)</f>
        <v>3.6000000000000001E-5</v>
      </c>
      <c r="AH80" s="208" t="s">
        <v>75</v>
      </c>
      <c r="AJ80" s="108"/>
      <c r="AK80" s="108"/>
      <c r="AL80" s="137"/>
      <c r="AM80" s="137"/>
      <c r="AN80" s="137"/>
      <c r="AO80" s="137"/>
    </row>
    <row r="81" spans="1:49" s="118" customFormat="1" ht="15" customHeight="1" x14ac:dyDescent="0.2">
      <c r="A81" s="255"/>
      <c r="N81" s="255"/>
      <c r="O81" s="273" t="str">
        <f>IF((U27=2)*AND(T80&gt;0)*AND(T79&gt;0),$Z$89&amp;" "&amp;$Z$90,IF((U27&lt;&gt;2)*AND(T80&gt;0),IF(T79=0,$Z$88," ")," "))</f>
        <v xml:space="preserve"> </v>
      </c>
      <c r="P81" s="255"/>
      <c r="Q81" s="255"/>
      <c r="R81" s="255"/>
      <c r="S81" s="255"/>
      <c r="T81" s="255"/>
      <c r="U81" s="255"/>
      <c r="V81" s="255"/>
      <c r="W81" s="255"/>
      <c r="X81" s="37"/>
      <c r="Y81" s="37"/>
      <c r="AA81" s="37"/>
      <c r="AC81" s="37"/>
      <c r="AD81" s="332">
        <f>IF(OR(AND(AF76=3, $T$61=0), T76*T77=0), 0, SUM(IF(AF76=1,AE78,IF(AF76=2,AE79,AE80)),AE77,AE76))</f>
        <v>0</v>
      </c>
      <c r="AE81" s="37"/>
      <c r="AF81" s="37"/>
      <c r="AG81" s="37"/>
      <c r="AH81" s="37"/>
      <c r="AJ81" s="108"/>
      <c r="AK81" s="108"/>
      <c r="AL81" s="137"/>
      <c r="AM81" s="137"/>
      <c r="AN81" s="137"/>
      <c r="AO81" s="137"/>
    </row>
    <row r="82" spans="1:49" s="118" customFormat="1" ht="15" customHeight="1" x14ac:dyDescent="0.2">
      <c r="A82" s="255"/>
      <c r="N82" s="255"/>
      <c r="O82" s="255"/>
      <c r="P82" s="255"/>
      <c r="Q82" s="255"/>
      <c r="R82" s="255"/>
      <c r="S82" s="255"/>
      <c r="T82" s="255"/>
      <c r="U82" s="255"/>
      <c r="V82" s="255"/>
      <c r="W82" s="255"/>
      <c r="X82" s="37"/>
      <c r="Y82" s="37"/>
      <c r="AA82" s="37"/>
      <c r="AC82" s="37"/>
      <c r="AD82" s="37"/>
      <c r="AE82" s="37"/>
      <c r="AF82" s="37"/>
      <c r="AG82" s="37"/>
      <c r="AH82" s="37"/>
      <c r="AJ82" s="108"/>
      <c r="AK82" s="108"/>
      <c r="AL82" s="137"/>
      <c r="AM82" s="137"/>
      <c r="AN82" s="137"/>
      <c r="AO82" s="137"/>
    </row>
    <row r="83" spans="1:49" s="118" customFormat="1" ht="15" customHeight="1" x14ac:dyDescent="0.2">
      <c r="A83" s="255"/>
      <c r="N83" s="255"/>
      <c r="O83" s="255"/>
      <c r="P83" s="255"/>
      <c r="Q83" s="255"/>
      <c r="R83" s="255"/>
      <c r="S83" s="255"/>
      <c r="T83" s="255"/>
      <c r="U83" s="255"/>
      <c r="V83" s="255"/>
      <c r="W83" s="255"/>
      <c r="X83" s="37"/>
      <c r="Y83" s="37"/>
      <c r="AA83" s="37"/>
      <c r="AC83" s="37"/>
      <c r="AD83" s="37"/>
      <c r="AE83" s="37"/>
      <c r="AF83" s="37"/>
      <c r="AG83" s="37"/>
      <c r="AH83" s="37"/>
      <c r="AJ83" s="108"/>
      <c r="AK83" s="108"/>
      <c r="AL83" s="137"/>
      <c r="AM83" s="137"/>
      <c r="AN83" s="137"/>
      <c r="AO83" s="137"/>
    </row>
    <row r="84" spans="1:49" s="118" customFormat="1" ht="15" customHeight="1" x14ac:dyDescent="0.2">
      <c r="A84" s="255"/>
      <c r="N84" s="255"/>
      <c r="O84" s="255"/>
      <c r="P84" s="255"/>
      <c r="Q84" s="255"/>
      <c r="R84" s="255"/>
      <c r="S84" s="255"/>
      <c r="T84" s="255"/>
      <c r="U84" s="255"/>
      <c r="V84" s="255"/>
      <c r="W84" s="255"/>
      <c r="X84" s="37"/>
      <c r="Y84" s="37"/>
      <c r="AA84" s="37"/>
      <c r="AC84" s="37"/>
      <c r="AD84" s="37"/>
      <c r="AE84" s="37"/>
      <c r="AF84" s="37"/>
      <c r="AG84" s="37"/>
      <c r="AH84" s="37"/>
      <c r="AJ84" s="108"/>
      <c r="AK84" s="108"/>
      <c r="AL84" s="137"/>
      <c r="AM84" s="137"/>
      <c r="AN84" s="137"/>
      <c r="AO84" s="137"/>
    </row>
    <row r="85" spans="1:49" s="118" customFormat="1" ht="15" customHeight="1" x14ac:dyDescent="0.2">
      <c r="A85" s="255"/>
      <c r="N85" s="255"/>
      <c r="O85" s="255"/>
      <c r="P85" s="255"/>
      <c r="Q85" s="255"/>
      <c r="R85" s="255"/>
      <c r="S85" s="255"/>
      <c r="T85" s="255"/>
      <c r="U85" s="255"/>
      <c r="V85" s="255"/>
      <c r="W85" s="255"/>
      <c r="X85" s="37"/>
      <c r="Y85" s="37"/>
      <c r="AA85" s="37"/>
      <c r="AC85" s="37"/>
      <c r="AD85" s="37"/>
      <c r="AE85" s="37"/>
      <c r="AF85" s="37"/>
      <c r="AG85" s="37"/>
      <c r="AH85" s="37"/>
      <c r="AJ85" s="108"/>
      <c r="AK85" s="108"/>
      <c r="AL85" s="137"/>
      <c r="AM85" s="137"/>
      <c r="AN85" s="137"/>
      <c r="AO85" s="137"/>
    </row>
    <row r="86" spans="1:49" s="118" customFormat="1" ht="15" customHeight="1" x14ac:dyDescent="0.2">
      <c r="A86" s="255"/>
      <c r="N86" s="255"/>
      <c r="O86" s="255"/>
      <c r="P86" s="255"/>
      <c r="Q86" s="255"/>
      <c r="R86" s="255"/>
      <c r="S86" s="255"/>
      <c r="T86" s="255"/>
      <c r="U86" s="255"/>
      <c r="V86" s="255"/>
      <c r="W86" s="255"/>
      <c r="X86" s="37"/>
      <c r="Y86" s="37"/>
      <c r="AA86" s="37"/>
      <c r="AC86" s="37"/>
      <c r="AD86" s="37"/>
      <c r="AE86" s="37"/>
      <c r="AF86" s="37"/>
      <c r="AG86" s="37"/>
      <c r="AH86" s="37"/>
      <c r="AJ86" s="108"/>
      <c r="AK86" s="108"/>
      <c r="AL86" s="137"/>
      <c r="AM86" s="137"/>
      <c r="AN86" s="137"/>
      <c r="AO86" s="137"/>
      <c r="AP86" s="37"/>
      <c r="AQ86" s="37"/>
      <c r="AR86" s="37"/>
      <c r="AS86" s="37"/>
      <c r="AT86" s="37"/>
      <c r="AU86" s="37"/>
      <c r="AV86" s="37"/>
    </row>
    <row r="87" spans="1:49" s="118" customFormat="1" ht="15" customHeight="1" x14ac:dyDescent="0.2">
      <c r="A87" s="255"/>
      <c r="N87" s="255"/>
      <c r="O87" s="255"/>
      <c r="P87" s="255"/>
      <c r="Q87" s="255"/>
      <c r="R87" s="255"/>
      <c r="S87" s="248"/>
      <c r="T87" s="248"/>
      <c r="U87" s="255"/>
      <c r="V87" s="255"/>
      <c r="W87" s="255"/>
      <c r="X87" s="37"/>
      <c r="Y87" s="37"/>
      <c r="AA87" s="37"/>
      <c r="AC87" s="37"/>
      <c r="AD87" s="37"/>
      <c r="AE87" s="37"/>
      <c r="AF87" s="37"/>
      <c r="AG87" s="37"/>
      <c r="AH87" s="37"/>
      <c r="AJ87" s="108"/>
      <c r="AK87" s="108"/>
      <c r="AL87" s="137"/>
      <c r="AM87" s="137"/>
      <c r="AN87" s="137"/>
      <c r="AO87" s="137"/>
      <c r="AP87" s="37"/>
      <c r="AQ87" s="37"/>
      <c r="AR87" s="37"/>
      <c r="AS87" s="37"/>
      <c r="AT87" s="37"/>
      <c r="AU87" s="37"/>
      <c r="AV87" s="37"/>
    </row>
    <row r="88" spans="1:49" s="118" customFormat="1" ht="15" customHeight="1" x14ac:dyDescent="0.2">
      <c r="A88" s="255"/>
      <c r="N88" s="255"/>
      <c r="O88" s="442"/>
      <c r="P88" s="442"/>
      <c r="Q88" s="442"/>
      <c r="R88" s="442"/>
      <c r="S88" s="442"/>
      <c r="T88" s="442"/>
      <c r="U88" s="442"/>
      <c r="V88" s="442"/>
      <c r="W88" s="816" t="str">
        <f>ListAVS!$B$422&amp;"  "</f>
        <v xml:space="preserve">z wpuszczanym szkłem  </v>
      </c>
      <c r="X88" s="711">
        <f>MenuAVS!$I$86</f>
        <v>0.62</v>
      </c>
      <c r="Z88" s="37" t="str">
        <f>ListAVS!$B$103&amp;"!"</f>
        <v>Bez wagi uchwytu!</v>
      </c>
      <c r="AA88" s="37"/>
      <c r="AC88" s="37"/>
      <c r="AD88" s="37"/>
      <c r="AE88" s="37"/>
      <c r="AF88" s="335" t="str">
        <f>ListAVS!$B$93</f>
        <v>Ramki aluminiowe z 4mm szkłem</v>
      </c>
      <c r="AG88" s="37"/>
      <c r="AH88" s="37"/>
      <c r="AJ88" s="108"/>
      <c r="AK88" s="108"/>
      <c r="AL88" s="137"/>
      <c r="AM88" s="137"/>
      <c r="AN88" s="137"/>
      <c r="AO88" s="137"/>
      <c r="AP88" s="37"/>
      <c r="AQ88" s="37"/>
      <c r="AR88" s="37"/>
      <c r="AS88" s="37"/>
      <c r="AT88" s="37"/>
      <c r="AU88" s="37"/>
      <c r="AV88" s="37"/>
      <c r="AW88" s="37"/>
    </row>
    <row r="89" spans="1:49" s="118" customFormat="1" ht="15" customHeight="1" x14ac:dyDescent="0.2">
      <c r="A89" s="255"/>
      <c r="N89" s="255"/>
      <c r="O89" s="442"/>
      <c r="P89" s="442"/>
      <c r="Q89" s="442"/>
      <c r="R89" s="442"/>
      <c r="S89" s="442"/>
      <c r="T89" s="442"/>
      <c r="U89" s="442"/>
      <c r="V89" s="442"/>
      <c r="W89" s="816" t="str">
        <f>ListAVS!$B$423&amp;"  "</f>
        <v xml:space="preserve">ze szkłem nakładanym lub przyklejanym  </v>
      </c>
      <c r="X89" s="711">
        <f>MenuAVS!$I$87</f>
        <v>0.63</v>
      </c>
      <c r="Z89" s="37" t="str">
        <f>ListAVS!B104</f>
        <v>Na pewno masz uchwyt do wersji TIP-ON?</v>
      </c>
      <c r="AA89" s="37"/>
      <c r="AC89" s="37"/>
      <c r="AD89" s="37"/>
      <c r="AE89" s="37"/>
      <c r="AF89" s="335" t="str">
        <f>ListAVS!$B$94</f>
        <v>Ramki aluminiowe z 5mm szkłem</v>
      </c>
      <c r="AG89" s="37"/>
      <c r="AH89" s="37"/>
      <c r="AJ89" s="108"/>
      <c r="AK89" s="108"/>
      <c r="AL89" s="137"/>
      <c r="AM89" s="137"/>
      <c r="AN89" s="137"/>
      <c r="AO89" s="137"/>
      <c r="AP89" s="37"/>
      <c r="AQ89" s="37"/>
      <c r="AR89" s="37"/>
      <c r="AS89" s="37"/>
      <c r="AT89" s="37"/>
      <c r="AU89" s="37"/>
      <c r="AV89" s="37"/>
      <c r="AW89" s="37"/>
    </row>
    <row r="90" spans="1:49" s="37" customFormat="1" ht="15" customHeight="1" x14ac:dyDescent="0.2">
      <c r="A90" s="255"/>
      <c r="N90" s="255"/>
      <c r="O90" s="442"/>
      <c r="P90" s="442"/>
      <c r="Q90" s="442"/>
      <c r="R90" s="442"/>
      <c r="S90" s="442"/>
      <c r="T90" s="442"/>
      <c r="U90" s="442"/>
      <c r="V90" s="442"/>
      <c r="W90" s="816" t="str">
        <f>ListAVS!$B$405&amp;" [kg/set] *  "</f>
        <v xml:space="preserve">Waga materiału łączącego  [kg/set] *  </v>
      </c>
      <c r="X90" s="711">
        <f>MenuAVS!$I$88</f>
        <v>0.61</v>
      </c>
      <c r="Z90" s="37" t="str">
        <f>ListAVS!B105&amp;"!"</f>
        <v>Jeśli nie wymaż wagę uchwytu!</v>
      </c>
      <c r="AB90" s="118"/>
      <c r="AF90" s="335" t="str">
        <f>ListAVS!$B$95</f>
        <v>Ramki aluminiowe z innym szkłem</v>
      </c>
      <c r="AJ90" s="108"/>
      <c r="AK90" s="108"/>
      <c r="AL90" s="137"/>
      <c r="AM90" s="137"/>
      <c r="AN90" s="137"/>
      <c r="AO90" s="137"/>
    </row>
    <row r="91" spans="1:49" s="37" customFormat="1" ht="15" customHeight="1" x14ac:dyDescent="0.2">
      <c r="A91" s="255"/>
      <c r="N91" s="255"/>
      <c r="O91" s="255"/>
      <c r="P91" s="255"/>
      <c r="Q91" s="255"/>
      <c r="R91" s="255"/>
      <c r="S91" s="255"/>
      <c r="T91" s="255"/>
      <c r="U91" s="255"/>
      <c r="V91" s="255"/>
      <c r="W91" s="255"/>
      <c r="Z91" s="118"/>
      <c r="AB91" s="118"/>
      <c r="AJ91" s="108"/>
      <c r="AK91" s="108"/>
      <c r="AL91" s="137"/>
      <c r="AM91" s="137"/>
      <c r="AN91" s="137"/>
      <c r="AO91" s="137"/>
    </row>
    <row r="92" spans="1:49" s="37" customFormat="1" ht="15" customHeight="1" x14ac:dyDescent="0.2">
      <c r="A92" s="255"/>
      <c r="N92" s="255"/>
      <c r="O92" s="255"/>
      <c r="P92" s="255"/>
      <c r="Q92" s="255"/>
      <c r="R92" s="255"/>
      <c r="S92" s="255"/>
      <c r="T92" s="255"/>
      <c r="U92" s="255"/>
      <c r="V92" s="255"/>
      <c r="W92" s="255"/>
      <c r="Z92" s="118"/>
      <c r="AB92" s="118"/>
      <c r="AJ92" s="108"/>
      <c r="AK92" s="108"/>
      <c r="AL92" s="137"/>
      <c r="AM92" s="137"/>
      <c r="AN92" s="137"/>
      <c r="AO92" s="137"/>
    </row>
    <row r="93" spans="1:49" s="37" customFormat="1" ht="15" customHeight="1" x14ac:dyDescent="0.2">
      <c r="A93" s="255"/>
      <c r="N93" s="255"/>
      <c r="O93" s="255"/>
      <c r="P93" s="255"/>
      <c r="Q93" s="255"/>
      <c r="R93" s="255"/>
      <c r="S93" s="255"/>
      <c r="T93" s="255"/>
      <c r="U93" s="255"/>
      <c r="V93" s="255"/>
      <c r="W93" s="255"/>
      <c r="Z93" s="118"/>
      <c r="AB93" s="118"/>
      <c r="AJ93" s="108"/>
      <c r="AK93" s="108"/>
      <c r="AL93" s="137"/>
      <c r="AM93" s="137"/>
      <c r="AN93" s="137"/>
      <c r="AO93" s="137"/>
    </row>
    <row r="94" spans="1:49" s="37" customFormat="1" ht="15" customHeight="1" x14ac:dyDescent="0.2">
      <c r="A94" s="255"/>
      <c r="N94" s="255"/>
      <c r="O94" s="255"/>
      <c r="P94" s="255"/>
      <c r="Q94" s="255"/>
      <c r="R94" s="255"/>
      <c r="S94" s="255"/>
      <c r="T94" s="255"/>
      <c r="U94" s="255"/>
      <c r="V94" s="255"/>
      <c r="W94" s="255"/>
      <c r="Z94" s="118"/>
      <c r="AB94" s="118"/>
      <c r="AJ94" s="108"/>
      <c r="AK94" s="108"/>
      <c r="AL94" s="137"/>
      <c r="AM94" s="137"/>
      <c r="AN94" s="137"/>
      <c r="AO94" s="137"/>
    </row>
    <row r="95" spans="1:49" s="37" customFormat="1" ht="15" customHeight="1" x14ac:dyDescent="0.2">
      <c r="A95" s="255"/>
      <c r="N95" s="255"/>
      <c r="O95" s="255"/>
      <c r="P95" s="255"/>
      <c r="Q95" s="255"/>
      <c r="R95" s="255"/>
      <c r="S95" s="255"/>
      <c r="T95" s="255"/>
      <c r="U95" s="255"/>
      <c r="V95" s="255"/>
      <c r="W95" s="255"/>
      <c r="Z95" s="118"/>
      <c r="AB95" s="118"/>
      <c r="AJ95" s="108"/>
      <c r="AK95" s="108"/>
      <c r="AL95" s="137"/>
      <c r="AM95" s="137"/>
      <c r="AN95" s="137"/>
      <c r="AO95" s="137"/>
    </row>
    <row r="96" spans="1:49" s="37" customFormat="1" ht="15" customHeight="1" x14ac:dyDescent="0.2">
      <c r="A96" s="255"/>
      <c r="N96" s="255"/>
      <c r="O96" s="255"/>
      <c r="P96" s="670"/>
      <c r="Q96" s="664"/>
      <c r="R96" s="670"/>
      <c r="S96" s="816"/>
      <c r="T96" s="817"/>
      <c r="U96" s="255"/>
      <c r="V96" s="255"/>
      <c r="W96" s="255"/>
      <c r="Z96" s="118"/>
      <c r="AB96" s="118"/>
      <c r="AJ96" s="108"/>
      <c r="AK96" s="108"/>
      <c r="AL96" s="137"/>
      <c r="AM96" s="137"/>
      <c r="AN96" s="137"/>
      <c r="AO96" s="137"/>
    </row>
    <row r="97" spans="1:48" s="37" customFormat="1" ht="15" customHeight="1" x14ac:dyDescent="0.2">
      <c r="A97" s="255"/>
      <c r="N97" s="255"/>
      <c r="O97" s="670"/>
      <c r="P97" s="670"/>
      <c r="Q97" s="670"/>
      <c r="S97" s="816"/>
      <c r="T97" s="817"/>
      <c r="U97" s="255"/>
      <c r="V97" s="255"/>
      <c r="W97" s="255"/>
      <c r="Z97" s="118"/>
      <c r="AB97" s="118"/>
      <c r="AJ97" s="108"/>
      <c r="AK97" s="108"/>
      <c r="AL97" s="137"/>
      <c r="AM97" s="137"/>
      <c r="AN97" s="137"/>
      <c r="AO97" s="137"/>
    </row>
    <row r="98" spans="1:48" s="37" customFormat="1" ht="15" customHeight="1" x14ac:dyDescent="0.2">
      <c r="A98" s="255"/>
      <c r="N98" s="255"/>
      <c r="O98" s="670"/>
      <c r="P98" s="670"/>
      <c r="Q98" s="670"/>
      <c r="S98" s="816"/>
      <c r="T98" s="817"/>
      <c r="U98" s="255"/>
      <c r="V98" s="255"/>
      <c r="W98" s="255"/>
      <c r="Z98" s="118"/>
      <c r="AB98" s="118"/>
      <c r="AJ98" s="108"/>
      <c r="AK98" s="108"/>
      <c r="AL98" s="137"/>
      <c r="AM98" s="137"/>
      <c r="AN98" s="137"/>
      <c r="AO98" s="137"/>
    </row>
    <row r="99" spans="1:48" x14ac:dyDescent="0.2">
      <c r="A99" s="1045"/>
      <c r="AI99" s="108"/>
      <c r="AJ99" s="108"/>
      <c r="AK99" s="108"/>
      <c r="AL99" s="137"/>
      <c r="AM99" s="137"/>
      <c r="AN99" s="137"/>
      <c r="AO99" s="137"/>
      <c r="AP99" s="137"/>
      <c r="AQ99" s="137"/>
      <c r="AR99" s="137"/>
      <c r="AS99" s="137"/>
      <c r="AT99" s="137"/>
      <c r="AU99" s="137"/>
      <c r="AV99" s="137"/>
    </row>
    <row r="100" spans="1:48" ht="18" x14ac:dyDescent="0.2">
      <c r="A100" s="1045"/>
      <c r="B100" s="308" t="s">
        <v>22</v>
      </c>
      <c r="C100" s="321"/>
      <c r="D100" s="308"/>
      <c r="E100" s="308"/>
      <c r="F100" s="308"/>
      <c r="G100" s="308"/>
      <c r="H100" s="308"/>
      <c r="I100" s="308"/>
      <c r="J100" s="308"/>
      <c r="K100" s="308"/>
      <c r="L100" s="308"/>
      <c r="AI100" s="108"/>
      <c r="AJ100" s="108"/>
      <c r="AK100" s="108"/>
      <c r="AL100" s="137"/>
      <c r="AM100" s="137"/>
      <c r="AN100" s="137"/>
      <c r="AO100" s="137"/>
      <c r="AP100" s="137"/>
      <c r="AQ100" s="137"/>
      <c r="AR100" s="137"/>
      <c r="AS100" s="137"/>
      <c r="AT100" s="137"/>
      <c r="AU100" s="137"/>
      <c r="AV100" s="137"/>
    </row>
    <row r="101" spans="1:48" x14ac:dyDescent="0.2">
      <c r="A101" s="1045"/>
      <c r="AI101" s="108"/>
      <c r="AJ101" s="108"/>
      <c r="AK101" s="108"/>
      <c r="AL101" s="137"/>
      <c r="AM101" s="137"/>
      <c r="AN101" s="137"/>
      <c r="AO101" s="137"/>
      <c r="AP101" s="137"/>
      <c r="AQ101" s="137"/>
      <c r="AR101" s="137"/>
      <c r="AS101" s="137"/>
      <c r="AT101" s="137"/>
      <c r="AU101" s="137"/>
      <c r="AV101" s="137"/>
    </row>
    <row r="102" spans="1:48" ht="15" customHeight="1" x14ac:dyDescent="0.2">
      <c r="A102" s="1045"/>
      <c r="B102" s="255" t="str">
        <f>ListAVS!$B$303</f>
        <v>Odpowiedni siłownik będzie określony za pomocą współczynnika mocy</v>
      </c>
      <c r="C102" s="255"/>
      <c r="D102" s="255"/>
      <c r="E102" s="255"/>
      <c r="F102" s="255"/>
      <c r="G102" s="255"/>
      <c r="H102" s="255"/>
      <c r="I102" s="255"/>
      <c r="J102" s="255"/>
      <c r="K102" s="255"/>
      <c r="L102" s="255"/>
      <c r="AI102" s="108"/>
      <c r="AJ102" s="108"/>
      <c r="AK102" s="108"/>
      <c r="AL102" s="137"/>
      <c r="AM102" s="137"/>
      <c r="AN102" s="137"/>
      <c r="AO102" s="137"/>
      <c r="AP102" s="137"/>
      <c r="AQ102" s="137"/>
      <c r="AR102" s="137"/>
      <c r="AS102" s="137"/>
      <c r="AT102" s="137"/>
      <c r="AU102" s="137"/>
      <c r="AV102" s="137"/>
    </row>
    <row r="103" spans="1:48" ht="15" customHeight="1" x14ac:dyDescent="0.2">
      <c r="A103" s="1045"/>
      <c r="B103" s="255" t="str">
        <f>ListAVS!$B$341</f>
        <v>Współczynnik mocy zależy od wagi frontu (wraz z podwójną wagą uchwytu) i od wysokości korpusu.</v>
      </c>
      <c r="C103" s="255"/>
      <c r="D103" s="255"/>
      <c r="E103" s="255"/>
      <c r="F103" s="255"/>
      <c r="G103" s="255"/>
      <c r="H103" s="255"/>
      <c r="I103" s="255"/>
      <c r="J103" s="255"/>
      <c r="K103" s="255"/>
      <c r="L103" s="255"/>
      <c r="AI103" s="108"/>
      <c r="AJ103" s="108"/>
      <c r="AK103" s="108"/>
      <c r="AL103" s="137"/>
      <c r="AM103" s="137"/>
      <c r="AN103" s="137"/>
      <c r="AO103" s="137"/>
      <c r="AP103" s="137"/>
      <c r="AQ103" s="137"/>
      <c r="AR103" s="137"/>
      <c r="AS103" s="137"/>
      <c r="AT103" s="137"/>
      <c r="AU103" s="137"/>
      <c r="AV103" s="137"/>
    </row>
    <row r="104" spans="1:48" ht="15" customHeight="1" x14ac:dyDescent="0.2">
      <c r="A104" s="1045"/>
      <c r="B104" s="255"/>
      <c r="C104" s="695"/>
      <c r="D104" s="695"/>
      <c r="E104" s="695"/>
      <c r="F104" s="695"/>
      <c r="G104" s="695"/>
      <c r="H104" s="695"/>
      <c r="I104" s="695"/>
      <c r="J104" s="695"/>
      <c r="K104" s="695"/>
      <c r="L104" s="695"/>
      <c r="AI104" s="108"/>
      <c r="AJ104" s="108"/>
      <c r="AK104" s="108"/>
      <c r="AL104" s="137"/>
      <c r="AM104" s="137"/>
      <c r="AN104" s="137"/>
      <c r="AO104" s="137"/>
      <c r="AP104" s="137"/>
      <c r="AQ104" s="137"/>
      <c r="AR104" s="137"/>
      <c r="AS104" s="137"/>
      <c r="AT104" s="137"/>
      <c r="AU104" s="137"/>
      <c r="AV104" s="137"/>
    </row>
    <row r="105" spans="1:48" ht="15" customHeight="1" x14ac:dyDescent="0.2">
      <c r="A105" s="1045"/>
      <c r="B105" s="696"/>
      <c r="C105" s="696"/>
      <c r="D105" s="696"/>
      <c r="E105" s="696"/>
      <c r="F105" s="696"/>
      <c r="G105" s="696"/>
      <c r="H105" s="696"/>
      <c r="I105" s="696"/>
      <c r="J105" s="696"/>
      <c r="K105" s="696"/>
      <c r="L105" s="696"/>
      <c r="AI105" s="108"/>
      <c r="AJ105" s="108"/>
      <c r="AK105" s="108"/>
      <c r="AL105" s="137"/>
      <c r="AM105" s="137"/>
      <c r="AN105" s="137"/>
      <c r="AO105" s="137"/>
      <c r="AP105" s="137"/>
      <c r="AQ105" s="137"/>
      <c r="AR105" s="137"/>
      <c r="AS105" s="137"/>
      <c r="AT105" s="137"/>
      <c r="AU105" s="137"/>
      <c r="AV105" s="137"/>
    </row>
    <row r="106" spans="1:48" ht="30" customHeight="1" x14ac:dyDescent="0.2">
      <c r="A106" s="1045"/>
      <c r="B106" s="746"/>
      <c r="C106" s="746"/>
      <c r="D106" s="698" t="str">
        <f>ListAVS!$B$86&amp;" = "</f>
        <v xml:space="preserve">Współczynnik mocy = </v>
      </c>
      <c r="E106" s="1068" t="str">
        <f>ListAVS!$B$342&amp;" [kg]"</f>
        <v>wysokość korpusu (KH) [mm] x waga frontu wraz z podwójną wagą uchwytu [kg]</v>
      </c>
      <c r="F106" s="1068"/>
      <c r="G106" s="1068"/>
      <c r="H106" s="1068"/>
      <c r="I106" s="1068"/>
      <c r="J106" s="1068"/>
      <c r="K106" s="1068"/>
      <c r="L106" s="1068"/>
      <c r="AI106" s="108"/>
      <c r="AJ106" s="108"/>
      <c r="AK106" s="108"/>
      <c r="AL106" s="137"/>
      <c r="AM106" s="137"/>
      <c r="AN106" s="137"/>
      <c r="AO106" s="137"/>
      <c r="AP106" s="137"/>
      <c r="AQ106" s="137"/>
      <c r="AR106" s="137"/>
      <c r="AS106" s="137"/>
      <c r="AT106" s="137"/>
      <c r="AU106" s="137"/>
      <c r="AV106" s="137"/>
    </row>
    <row r="107" spans="1:48" ht="15" customHeight="1" x14ac:dyDescent="0.2">
      <c r="A107" s="1045"/>
      <c r="B107" s="255"/>
      <c r="C107" s="255"/>
      <c r="D107" s="255"/>
      <c r="E107" s="255"/>
      <c r="F107" s="255"/>
      <c r="G107" s="255"/>
      <c r="H107" s="255"/>
      <c r="I107" s="255"/>
      <c r="J107" s="255"/>
      <c r="K107" s="255"/>
      <c r="L107" s="255"/>
      <c r="AI107" s="108"/>
      <c r="AJ107" s="108"/>
      <c r="AK107" s="108"/>
      <c r="AL107" s="137"/>
      <c r="AM107" s="137"/>
      <c r="AN107" s="137"/>
      <c r="AO107" s="137"/>
      <c r="AP107" s="137"/>
      <c r="AQ107" s="137"/>
      <c r="AR107" s="137"/>
      <c r="AS107" s="137"/>
      <c r="AT107" s="137"/>
      <c r="AU107" s="137"/>
      <c r="AV107" s="137"/>
    </row>
    <row r="108" spans="1:48" ht="15" customHeight="1" x14ac:dyDescent="0.2">
      <c r="A108" s="1045"/>
      <c r="B108" s="255"/>
      <c r="C108" s="255"/>
      <c r="D108" s="255"/>
      <c r="E108" s="255"/>
      <c r="F108" s="255"/>
      <c r="G108" s="255"/>
      <c r="H108" s="255"/>
      <c r="I108" s="255"/>
      <c r="J108" s="255"/>
      <c r="K108" s="255"/>
      <c r="L108" s="255"/>
      <c r="AI108" s="108"/>
      <c r="AJ108" s="108"/>
      <c r="AK108" s="108"/>
      <c r="AL108" s="137"/>
      <c r="AM108" s="137"/>
      <c r="AN108" s="137"/>
      <c r="AO108" s="137"/>
      <c r="AP108" s="137"/>
      <c r="AQ108" s="137"/>
      <c r="AR108" s="137"/>
      <c r="AS108" s="137"/>
      <c r="AT108" s="137"/>
      <c r="AU108" s="137"/>
      <c r="AV108" s="137"/>
    </row>
    <row r="109" spans="1:48" ht="15" customHeight="1" x14ac:dyDescent="0.2">
      <c r="A109" s="1045"/>
      <c r="B109" s="255"/>
      <c r="C109" s="255"/>
      <c r="D109" s="255"/>
      <c r="E109" s="255"/>
      <c r="F109" s="255"/>
      <c r="G109" s="255"/>
      <c r="H109" s="255"/>
      <c r="I109" s="255"/>
      <c r="J109" s="255"/>
      <c r="K109" s="255"/>
      <c r="L109" s="255"/>
      <c r="AI109" s="108"/>
      <c r="AJ109" s="108"/>
      <c r="AK109" s="108"/>
      <c r="AL109" s="137"/>
      <c r="AM109" s="137"/>
      <c r="AN109" s="137"/>
      <c r="AO109" s="137"/>
      <c r="AP109" s="137"/>
      <c r="AQ109" s="137"/>
      <c r="AR109" s="137"/>
      <c r="AS109" s="137"/>
      <c r="AT109" s="137"/>
      <c r="AU109" s="137"/>
      <c r="AV109" s="137"/>
    </row>
    <row r="110" spans="1:48" ht="15" customHeight="1" x14ac:dyDescent="0.2">
      <c r="A110" s="1045"/>
      <c r="B110" s="273"/>
      <c r="C110" s="255"/>
      <c r="D110" s="255"/>
      <c r="E110" s="255"/>
      <c r="F110" s="255"/>
      <c r="G110" s="255"/>
      <c r="H110" s="255"/>
      <c r="I110" s="255"/>
      <c r="J110" s="255"/>
      <c r="K110" s="255"/>
      <c r="L110" s="255"/>
      <c r="AI110" s="108"/>
      <c r="AJ110" s="108"/>
      <c r="AK110" s="108"/>
      <c r="AL110" s="137"/>
      <c r="AM110" s="137"/>
      <c r="AN110" s="137"/>
      <c r="AO110" s="137"/>
      <c r="AP110" s="137"/>
      <c r="AQ110" s="137"/>
      <c r="AR110" s="137"/>
      <c r="AS110" s="137"/>
      <c r="AT110" s="137"/>
      <c r="AU110" s="137"/>
      <c r="AV110" s="137"/>
    </row>
    <row r="111" spans="1:48" ht="15" customHeight="1" x14ac:dyDescent="0.2">
      <c r="A111" s="1045"/>
      <c r="B111" s="255"/>
      <c r="C111" s="255"/>
      <c r="D111" s="255"/>
      <c r="E111" s="255"/>
      <c r="F111" s="255"/>
      <c r="G111" s="255"/>
      <c r="H111" s="255"/>
      <c r="I111" s="255"/>
      <c r="J111" s="255"/>
      <c r="K111" s="255"/>
      <c r="L111" s="255"/>
      <c r="AI111" s="108"/>
      <c r="AJ111" s="108"/>
      <c r="AK111" s="108"/>
      <c r="AL111" s="137"/>
      <c r="AM111" s="137"/>
      <c r="AN111" s="137"/>
      <c r="AO111" s="137"/>
      <c r="AP111" s="137"/>
      <c r="AQ111" s="137"/>
      <c r="AR111" s="137"/>
      <c r="AS111" s="137"/>
      <c r="AT111" s="137"/>
      <c r="AU111" s="137"/>
      <c r="AV111" s="137"/>
    </row>
    <row r="112" spans="1:48" ht="15" customHeight="1" x14ac:dyDescent="0.2">
      <c r="A112" s="1045"/>
      <c r="B112" s="255" t="str">
        <f>ListAVS!$B$312</f>
        <v>Jeśli znasz wagę frontu, możesz ją wprowadzić, w przeciwnym razie skorzystaj z „Obliczenia wagi”.</v>
      </c>
      <c r="C112" s="255"/>
      <c r="D112" s="255"/>
      <c r="E112" s="255"/>
      <c r="F112" s="255"/>
      <c r="G112" s="255"/>
      <c r="H112" s="255"/>
      <c r="I112" s="255"/>
      <c r="J112" s="255"/>
      <c r="K112" s="255"/>
      <c r="L112" s="255"/>
      <c r="AI112" s="108"/>
      <c r="AJ112" s="108"/>
      <c r="AK112" s="108"/>
      <c r="AL112" s="137"/>
      <c r="AM112" s="137"/>
      <c r="AN112" s="137"/>
      <c r="AO112" s="137"/>
      <c r="AP112" s="137"/>
      <c r="AQ112" s="137"/>
      <c r="AR112" s="137"/>
      <c r="AS112" s="137"/>
      <c r="AT112" s="137"/>
      <c r="AU112" s="137"/>
      <c r="AV112" s="137"/>
    </row>
    <row r="113" spans="1:48" ht="15" customHeight="1" x14ac:dyDescent="0.2">
      <c r="A113" s="1045"/>
      <c r="B113" s="255" t="str">
        <f>ListAVS!$B$313</f>
        <v>W tabeli wprowadzona wartość ma pierwszeństwo aby skorzystać z wagi obliczeniowej, należy usunąć wprowadzoną wartość.</v>
      </c>
      <c r="C113" s="255"/>
      <c r="D113" s="255"/>
      <c r="E113" s="255"/>
      <c r="F113" s="255"/>
      <c r="G113" s="255"/>
      <c r="H113" s="255"/>
      <c r="I113" s="255"/>
      <c r="J113" s="255"/>
      <c r="K113" s="255"/>
      <c r="L113" s="255"/>
      <c r="AI113" s="108"/>
      <c r="AJ113" s="108"/>
      <c r="AK113" s="108"/>
      <c r="AL113" s="137"/>
      <c r="AM113" s="137"/>
      <c r="AN113" s="137"/>
      <c r="AO113" s="137"/>
      <c r="AP113" s="137"/>
      <c r="AQ113" s="137"/>
      <c r="AR113" s="137"/>
      <c r="AS113" s="137"/>
      <c r="AT113" s="137"/>
      <c r="AU113" s="137"/>
      <c r="AV113" s="137"/>
    </row>
    <row r="114" spans="1:48" ht="15" customHeight="1" x14ac:dyDescent="0.2">
      <c r="A114" s="1045"/>
      <c r="B114" s="255"/>
      <c r="C114" s="255"/>
      <c r="D114" s="255"/>
      <c r="E114" s="255"/>
      <c r="F114" s="255"/>
      <c r="G114" s="255"/>
      <c r="H114" s="255"/>
      <c r="I114" s="255"/>
      <c r="J114" s="255"/>
      <c r="K114" s="255"/>
      <c r="L114" s="255"/>
      <c r="AI114" s="108"/>
      <c r="AJ114" s="108"/>
      <c r="AK114" s="108"/>
      <c r="AL114" s="137"/>
      <c r="AM114" s="137"/>
      <c r="AN114" s="137"/>
      <c r="AO114" s="137"/>
      <c r="AP114" s="137"/>
      <c r="AQ114" s="137"/>
      <c r="AR114" s="137"/>
      <c r="AS114" s="137"/>
      <c r="AT114" s="137"/>
      <c r="AU114" s="137"/>
      <c r="AV114" s="137"/>
    </row>
    <row r="115" spans="1:48" ht="15" customHeight="1" x14ac:dyDescent="0.2">
      <c r="A115" s="1045"/>
      <c r="B115" s="255"/>
      <c r="C115" s="255"/>
      <c r="D115" s="255"/>
      <c r="E115" s="255"/>
      <c r="F115" s="255"/>
      <c r="G115" s="255"/>
      <c r="H115" s="255"/>
      <c r="I115" s="255"/>
      <c r="J115" s="255"/>
      <c r="K115" s="255"/>
      <c r="L115" s="255"/>
      <c r="AI115" s="108"/>
      <c r="AJ115" s="108"/>
      <c r="AK115" s="108"/>
      <c r="AL115" s="137"/>
      <c r="AM115" s="137"/>
      <c r="AN115" s="137"/>
      <c r="AO115" s="137"/>
      <c r="AP115" s="137"/>
      <c r="AQ115" s="137"/>
      <c r="AR115" s="137"/>
      <c r="AS115" s="137"/>
      <c r="AT115" s="137"/>
      <c r="AU115" s="137"/>
      <c r="AV115" s="137"/>
    </row>
    <row r="116" spans="1:48" ht="15" customHeight="1" x14ac:dyDescent="0.2">
      <c r="A116" s="1045"/>
      <c r="B116" s="255" t="str">
        <f>ListAVS!$B$306</f>
        <v>Aby zmienić kolor zaślepek przejdź do „Wprowadzenie do planowania”</v>
      </c>
      <c r="C116" s="255"/>
      <c r="D116" s="255"/>
      <c r="E116" s="255"/>
      <c r="F116" s="255"/>
      <c r="G116" s="255"/>
      <c r="H116" s="255"/>
      <c r="I116" s="255"/>
      <c r="J116" s="255"/>
      <c r="K116" s="255"/>
      <c r="L116" s="255"/>
      <c r="AI116" s="108"/>
      <c r="AJ116" s="108"/>
      <c r="AK116" s="108"/>
      <c r="AL116" s="137"/>
      <c r="AM116" s="137"/>
      <c r="AN116" s="137"/>
      <c r="AO116" s="137"/>
      <c r="AP116" s="137"/>
      <c r="AQ116" s="137"/>
      <c r="AR116" s="137"/>
      <c r="AS116" s="137"/>
      <c r="AT116" s="137"/>
      <c r="AU116" s="137"/>
      <c r="AV116" s="137"/>
    </row>
    <row r="117" spans="1:48" ht="15" customHeight="1" x14ac:dyDescent="0.2">
      <c r="A117" s="1045"/>
      <c r="B117" s="255"/>
      <c r="C117" s="255"/>
      <c r="D117" s="255"/>
      <c r="E117" s="255"/>
      <c r="F117" s="255"/>
      <c r="G117" s="255"/>
      <c r="H117" s="255"/>
      <c r="I117" s="255"/>
      <c r="J117" s="255"/>
      <c r="K117" s="255"/>
      <c r="L117" s="255"/>
      <c r="AI117" s="108"/>
      <c r="AJ117" s="108"/>
      <c r="AK117" s="108"/>
      <c r="AL117" s="137"/>
      <c r="AM117" s="137"/>
      <c r="AN117" s="137"/>
      <c r="AO117" s="137"/>
      <c r="AP117" s="137"/>
      <c r="AQ117" s="137"/>
      <c r="AR117" s="137"/>
      <c r="AS117" s="137"/>
      <c r="AT117" s="137"/>
      <c r="AU117" s="137"/>
      <c r="AV117" s="137"/>
    </row>
    <row r="118" spans="1:48" ht="15" customHeight="1" x14ac:dyDescent="0.2">
      <c r="A118" s="1045"/>
      <c r="B118" s="255" t="str">
        <f>ListAVS!$B$411</f>
        <v>Zwróć uwagę na wybór ramek aluminiowych</v>
      </c>
      <c r="C118" s="255"/>
      <c r="D118" s="255"/>
      <c r="E118" s="255"/>
      <c r="F118" s="255"/>
      <c r="G118" s="255"/>
      <c r="H118" s="255"/>
      <c r="I118" s="255"/>
      <c r="J118" s="255"/>
      <c r="K118" s="255"/>
      <c r="L118" s="255"/>
      <c r="AI118" s="108"/>
      <c r="AJ118" s="108"/>
      <c r="AK118" s="108"/>
      <c r="AL118" s="137"/>
      <c r="AM118" s="137"/>
      <c r="AN118" s="137"/>
      <c r="AO118" s="137"/>
      <c r="AP118" s="137"/>
      <c r="AQ118" s="137"/>
      <c r="AR118" s="137"/>
      <c r="AS118" s="137"/>
      <c r="AT118" s="137"/>
      <c r="AU118" s="137"/>
      <c r="AV118" s="137"/>
    </row>
    <row r="119" spans="1:48" ht="15" customHeight="1" x14ac:dyDescent="0.2">
      <c r="A119" s="1045"/>
      <c r="B119" s="255" t="str">
        <f>ListAVS!$B$412</f>
        <v>Wybierz, rodzaj, który lepiej pasuje do kształtu zastosowanej ramki aluminiowej.</v>
      </c>
      <c r="C119" s="255"/>
      <c r="D119" s="255"/>
      <c r="E119" s="255"/>
      <c r="F119" s="255"/>
      <c r="G119" s="255"/>
      <c r="H119" s="255"/>
      <c r="I119" s="255"/>
      <c r="J119" s="255"/>
      <c r="K119" s="255"/>
      <c r="L119" s="255"/>
      <c r="AI119" s="108"/>
      <c r="AJ119" s="108"/>
      <c r="AK119" s="108"/>
      <c r="AL119" s="137"/>
      <c r="AM119" s="137"/>
      <c r="AN119" s="137"/>
      <c r="AO119" s="137"/>
      <c r="AP119" s="137"/>
      <c r="AQ119" s="137"/>
      <c r="AR119" s="137"/>
      <c r="AS119" s="137"/>
      <c r="AT119" s="137"/>
      <c r="AU119" s="137"/>
      <c r="AV119" s="137"/>
    </row>
    <row r="120" spans="1:48" ht="15" customHeight="1" x14ac:dyDescent="0.2">
      <c r="A120" s="1045"/>
      <c r="B120" s="255" t="str">
        <f>ListAVS!$B$413</f>
        <v>Sposób mocowania szkła w ramkę znacząco wpływa na powierzchnię szkła, a co za tym idzie na jego wagę!</v>
      </c>
      <c r="C120" s="255"/>
      <c r="D120" s="255"/>
      <c r="E120" s="255"/>
      <c r="F120" s="255"/>
      <c r="G120" s="255"/>
      <c r="H120" s="255"/>
      <c r="I120" s="255"/>
      <c r="J120" s="255"/>
      <c r="K120" s="255"/>
      <c r="L120" s="255"/>
      <c r="AI120" s="108"/>
      <c r="AJ120" s="108"/>
      <c r="AK120" s="108"/>
      <c r="AL120" s="137"/>
      <c r="AM120" s="137"/>
      <c r="AN120" s="137"/>
      <c r="AO120" s="137"/>
      <c r="AP120" s="137"/>
      <c r="AQ120" s="137"/>
      <c r="AR120" s="137"/>
      <c r="AS120" s="137"/>
      <c r="AT120" s="137"/>
      <c r="AU120" s="137"/>
      <c r="AV120" s="137"/>
    </row>
    <row r="121" spans="1:48" ht="15" customHeight="1" x14ac:dyDescent="0.2">
      <c r="A121" s="1045"/>
      <c r="B121" s="255"/>
      <c r="C121" s="255"/>
      <c r="D121" s="255"/>
      <c r="E121" s="255"/>
      <c r="F121" s="255"/>
      <c r="G121" s="255"/>
      <c r="H121" s="255"/>
      <c r="I121" s="255"/>
      <c r="J121" s="255"/>
      <c r="K121" s="255"/>
      <c r="L121" s="255"/>
      <c r="AI121" s="108"/>
      <c r="AJ121" s="108"/>
      <c r="AK121" s="108"/>
      <c r="AL121" s="137"/>
      <c r="AM121" s="137"/>
      <c r="AN121" s="137"/>
      <c r="AO121" s="137"/>
      <c r="AP121" s="137"/>
      <c r="AQ121" s="137"/>
      <c r="AR121" s="137"/>
      <c r="AS121" s="137"/>
      <c r="AT121" s="137"/>
      <c r="AU121" s="137"/>
      <c r="AV121" s="137"/>
    </row>
    <row r="122" spans="1:48" ht="15" customHeight="1" x14ac:dyDescent="0.2">
      <c r="A122" s="1045"/>
      <c r="B122" s="255"/>
      <c r="C122" s="796" t="str">
        <f>"  "&amp;ListAVS!$B$422&amp;"  "</f>
        <v xml:space="preserve">  z wpuszczanym szkłem  </v>
      </c>
      <c r="D122" s="255"/>
      <c r="E122" s="255"/>
      <c r="F122" s="255"/>
      <c r="G122" s="255"/>
      <c r="H122" s="255"/>
      <c r="I122" s="255"/>
      <c r="J122" s="255"/>
      <c r="K122" s="255"/>
      <c r="L122" s="255"/>
      <c r="AI122" s="108"/>
      <c r="AJ122" s="108"/>
      <c r="AK122" s="108"/>
      <c r="AL122" s="137"/>
      <c r="AM122" s="137"/>
      <c r="AN122" s="137"/>
      <c r="AO122" s="137"/>
      <c r="AP122" s="137"/>
      <c r="AQ122" s="137"/>
      <c r="AR122" s="137"/>
      <c r="AS122" s="137"/>
      <c r="AT122" s="137"/>
      <c r="AU122" s="137"/>
      <c r="AV122" s="137"/>
    </row>
    <row r="123" spans="1:48" ht="15" customHeight="1" x14ac:dyDescent="0.2">
      <c r="A123" s="1045"/>
      <c r="B123" s="255"/>
      <c r="C123" s="266"/>
      <c r="D123" s="255"/>
      <c r="E123" s="255"/>
      <c r="F123" s="255"/>
      <c r="G123" s="255"/>
      <c r="H123" s="255"/>
      <c r="I123" s="255"/>
      <c r="J123" s="255"/>
      <c r="K123" s="255"/>
      <c r="L123" s="255"/>
      <c r="AI123" s="108"/>
      <c r="AJ123" s="108"/>
      <c r="AK123" s="108"/>
      <c r="AL123" s="137"/>
      <c r="AM123" s="137"/>
      <c r="AN123" s="137"/>
      <c r="AO123" s="137"/>
      <c r="AP123" s="137"/>
      <c r="AQ123" s="137"/>
      <c r="AR123" s="137"/>
      <c r="AS123" s="137"/>
      <c r="AT123" s="137"/>
      <c r="AU123" s="137"/>
      <c r="AV123" s="137"/>
    </row>
    <row r="124" spans="1:48" ht="15" customHeight="1" x14ac:dyDescent="0.2">
      <c r="A124" s="1045"/>
      <c r="B124" s="255"/>
      <c r="C124" s="796" t="str">
        <f>"  "&amp;ListAVS!$B$423&amp;"  "</f>
        <v xml:space="preserve">  ze szkłem nakładanym lub przyklejanym  </v>
      </c>
      <c r="D124" s="255"/>
      <c r="E124" s="255"/>
      <c r="F124" s="255"/>
      <c r="G124" s="255"/>
      <c r="H124" s="255"/>
      <c r="I124" s="255"/>
      <c r="J124" s="255"/>
      <c r="K124" s="255"/>
      <c r="L124" s="255"/>
      <c r="AI124" s="108"/>
      <c r="AJ124" s="108"/>
      <c r="AK124" s="108"/>
      <c r="AL124" s="137"/>
      <c r="AM124" s="137"/>
      <c r="AN124" s="137"/>
      <c r="AO124" s="137"/>
      <c r="AP124" s="137"/>
      <c r="AQ124" s="137"/>
      <c r="AR124" s="137"/>
      <c r="AS124" s="137"/>
      <c r="AT124" s="137"/>
      <c r="AU124" s="137"/>
      <c r="AV124" s="137"/>
    </row>
    <row r="125" spans="1:48" ht="12.75" x14ac:dyDescent="0.2">
      <c r="A125" s="1045"/>
      <c r="B125" s="255"/>
      <c r="C125" s="255"/>
      <c r="D125" s="255"/>
      <c r="E125" s="255"/>
      <c r="F125" s="255"/>
      <c r="G125" s="255"/>
      <c r="H125" s="255"/>
      <c r="I125" s="255"/>
      <c r="J125" s="255"/>
      <c r="K125" s="255"/>
      <c r="L125" s="255"/>
      <c r="AI125" s="108"/>
      <c r="AJ125" s="108"/>
      <c r="AK125" s="108"/>
      <c r="AL125" s="137"/>
      <c r="AM125" s="137"/>
      <c r="AN125" s="137"/>
      <c r="AO125" s="137"/>
      <c r="AP125" s="137"/>
      <c r="AQ125" s="137"/>
      <c r="AR125" s="137"/>
      <c r="AS125" s="137"/>
      <c r="AT125" s="137"/>
      <c r="AU125" s="137"/>
      <c r="AV125" s="137"/>
    </row>
    <row r="126" spans="1:48" ht="12.75" x14ac:dyDescent="0.2">
      <c r="A126" s="1045"/>
      <c r="B126" s="255"/>
      <c r="C126" s="255"/>
      <c r="D126" s="255"/>
      <c r="E126" s="255"/>
      <c r="F126" s="255"/>
      <c r="G126" s="255"/>
      <c r="H126" s="255"/>
      <c r="I126" s="255"/>
      <c r="J126" s="255"/>
      <c r="K126" s="255"/>
      <c r="L126" s="255"/>
      <c r="AI126" s="108"/>
      <c r="AJ126" s="108"/>
      <c r="AK126" s="108"/>
      <c r="AL126" s="137"/>
      <c r="AM126" s="137"/>
      <c r="AN126" s="137"/>
      <c r="AO126" s="137"/>
      <c r="AP126" s="137"/>
      <c r="AQ126" s="137"/>
      <c r="AR126" s="137"/>
      <c r="AS126" s="137"/>
      <c r="AT126" s="137"/>
      <c r="AU126" s="137"/>
      <c r="AV126" s="137"/>
    </row>
    <row r="127" spans="1:48" ht="15" customHeight="1" x14ac:dyDescent="0.2">
      <c r="A127" s="1045"/>
      <c r="L127" s="224" t="str">
        <f>ListAVS!$B$168</f>
        <v>Z powrotem</v>
      </c>
      <c r="AI127" s="108"/>
      <c r="AJ127" s="108"/>
      <c r="AK127" s="108"/>
      <c r="AL127" s="137"/>
      <c r="AM127" s="137"/>
      <c r="AN127" s="137"/>
      <c r="AO127" s="137"/>
      <c r="AP127" s="137"/>
      <c r="AQ127" s="137"/>
      <c r="AR127" s="137"/>
      <c r="AS127" s="137"/>
      <c r="AT127" s="137"/>
      <c r="AU127" s="137"/>
      <c r="AV127" s="137"/>
    </row>
    <row r="128" spans="1:48" x14ac:dyDescent="0.2">
      <c r="A128" s="1045"/>
      <c r="AI128" s="108"/>
      <c r="AJ128" s="108"/>
      <c r="AK128" s="108"/>
      <c r="AL128" s="137"/>
      <c r="AM128" s="137"/>
      <c r="AN128" s="137"/>
      <c r="AO128" s="137"/>
      <c r="AP128" s="137"/>
      <c r="AQ128" s="137"/>
      <c r="AR128" s="137"/>
      <c r="AS128" s="137"/>
      <c r="AT128" s="137"/>
      <c r="AU128" s="137"/>
      <c r="AV128" s="137"/>
    </row>
    <row r="129" spans="1:48" x14ac:dyDescent="0.2">
      <c r="A129" s="1045"/>
      <c r="AI129" s="108"/>
      <c r="AJ129" s="108"/>
      <c r="AK129" s="108"/>
      <c r="AL129" s="137"/>
      <c r="AM129" s="137"/>
      <c r="AN129" s="137"/>
      <c r="AO129" s="137"/>
      <c r="AP129" s="137"/>
      <c r="AQ129" s="137"/>
      <c r="AR129" s="137"/>
      <c r="AS129" s="137"/>
      <c r="AT129" s="137"/>
      <c r="AU129" s="137"/>
      <c r="AV129" s="137"/>
    </row>
    <row r="130" spans="1:48" x14ac:dyDescent="0.2">
      <c r="A130" s="1045"/>
      <c r="AI130" s="108"/>
      <c r="AJ130" s="108"/>
      <c r="AK130" s="108"/>
      <c r="AL130" s="137"/>
      <c r="AM130" s="137"/>
      <c r="AN130" s="137"/>
      <c r="AO130" s="137"/>
      <c r="AP130" s="137"/>
      <c r="AQ130" s="137"/>
      <c r="AR130" s="137"/>
      <c r="AS130" s="137"/>
      <c r="AT130" s="137"/>
      <c r="AU130" s="137"/>
      <c r="AV130" s="137"/>
    </row>
    <row r="131" spans="1:48" x14ac:dyDescent="0.2">
      <c r="A131" s="1045"/>
      <c r="AI131" s="108"/>
      <c r="AJ131" s="108"/>
      <c r="AK131" s="108"/>
      <c r="AL131" s="137"/>
      <c r="AM131" s="137"/>
      <c r="AN131" s="137"/>
      <c r="AO131" s="137"/>
      <c r="AP131" s="137"/>
      <c r="AQ131" s="137"/>
      <c r="AR131" s="137"/>
      <c r="AS131" s="137"/>
      <c r="AT131" s="137"/>
      <c r="AU131" s="137"/>
      <c r="AV131" s="137"/>
    </row>
    <row r="132" spans="1:48" x14ac:dyDescent="0.2">
      <c r="A132" s="1045"/>
      <c r="AI132" s="108"/>
      <c r="AJ132" s="108"/>
      <c r="AK132" s="108"/>
      <c r="AL132" s="137"/>
      <c r="AM132" s="137"/>
      <c r="AN132" s="137"/>
      <c r="AO132" s="137"/>
      <c r="AP132" s="137"/>
      <c r="AQ132" s="137"/>
      <c r="AR132" s="137"/>
      <c r="AS132" s="137"/>
      <c r="AT132" s="137"/>
      <c r="AU132" s="137"/>
      <c r="AV132" s="137"/>
    </row>
    <row r="133" spans="1:48" x14ac:dyDescent="0.2">
      <c r="A133" s="1045"/>
      <c r="AI133" s="108"/>
      <c r="AJ133" s="108"/>
      <c r="AK133" s="108"/>
      <c r="AL133" s="137"/>
      <c r="AM133" s="137"/>
      <c r="AN133" s="137"/>
      <c r="AO133" s="137"/>
      <c r="AP133" s="137"/>
      <c r="AQ133" s="137"/>
      <c r="AR133" s="137"/>
      <c r="AS133" s="137"/>
      <c r="AT133" s="137"/>
      <c r="AU133" s="137"/>
      <c r="AV133" s="137"/>
    </row>
    <row r="134" spans="1:48" x14ac:dyDescent="0.2">
      <c r="A134" s="1045"/>
      <c r="AI134" s="108"/>
      <c r="AJ134" s="108"/>
      <c r="AK134" s="108"/>
      <c r="AL134" s="137"/>
      <c r="AM134" s="137"/>
      <c r="AN134" s="137"/>
      <c r="AO134" s="137"/>
      <c r="AP134" s="137"/>
      <c r="AQ134" s="137"/>
      <c r="AR134" s="137"/>
      <c r="AS134" s="137"/>
      <c r="AT134" s="137"/>
      <c r="AU134" s="137"/>
      <c r="AV134" s="137"/>
    </row>
    <row r="135" spans="1:48" x14ac:dyDescent="0.2">
      <c r="A135" s="1045"/>
      <c r="AI135" s="108"/>
      <c r="AJ135" s="108"/>
      <c r="AK135" s="108"/>
      <c r="AL135" s="137"/>
      <c r="AM135" s="137"/>
      <c r="AN135" s="137"/>
      <c r="AO135" s="137"/>
      <c r="AP135" s="137"/>
      <c r="AQ135" s="137"/>
      <c r="AR135" s="137"/>
      <c r="AS135" s="137"/>
      <c r="AT135" s="137"/>
      <c r="AU135" s="137"/>
      <c r="AV135" s="137"/>
    </row>
    <row r="136" spans="1:48" x14ac:dyDescent="0.2">
      <c r="A136" s="1045"/>
      <c r="AI136" s="108"/>
      <c r="AJ136" s="108"/>
      <c r="AK136" s="108"/>
      <c r="AL136" s="137"/>
      <c r="AM136" s="137"/>
      <c r="AN136" s="137"/>
      <c r="AO136" s="137"/>
      <c r="AP136" s="137"/>
      <c r="AQ136" s="137"/>
      <c r="AR136" s="137"/>
      <c r="AS136" s="137"/>
      <c r="AT136" s="137"/>
      <c r="AU136" s="137"/>
      <c r="AV136" s="137"/>
    </row>
    <row r="137" spans="1:48" x14ac:dyDescent="0.2">
      <c r="A137" s="1045"/>
      <c r="AI137" s="108"/>
      <c r="AJ137" s="108"/>
      <c r="AK137" s="108"/>
      <c r="AL137" s="137"/>
      <c r="AM137" s="137"/>
      <c r="AN137" s="137"/>
      <c r="AO137" s="137"/>
      <c r="AP137" s="137"/>
      <c r="AQ137" s="137"/>
      <c r="AR137" s="137"/>
      <c r="AS137" s="137"/>
      <c r="AT137" s="137"/>
      <c r="AU137" s="137"/>
      <c r="AV137" s="137"/>
    </row>
    <row r="138" spans="1:48" x14ac:dyDescent="0.2">
      <c r="A138" s="1045"/>
      <c r="AI138" s="108"/>
      <c r="AJ138" s="108"/>
      <c r="AK138" s="108"/>
      <c r="AL138" s="137"/>
      <c r="AM138" s="137"/>
      <c r="AN138" s="137"/>
      <c r="AO138" s="137"/>
      <c r="AP138" s="137"/>
      <c r="AQ138" s="137"/>
      <c r="AR138" s="137"/>
      <c r="AS138" s="137"/>
      <c r="AT138" s="137"/>
      <c r="AU138" s="137"/>
      <c r="AV138" s="137"/>
    </row>
    <row r="139" spans="1:48" x14ac:dyDescent="0.2">
      <c r="A139" s="1045"/>
      <c r="AI139" s="108"/>
      <c r="AJ139" s="108"/>
      <c r="AK139" s="108"/>
      <c r="AL139" s="137"/>
      <c r="AM139" s="137"/>
      <c r="AN139" s="137"/>
      <c r="AO139" s="137"/>
      <c r="AP139" s="137"/>
      <c r="AQ139" s="137"/>
      <c r="AR139" s="137"/>
      <c r="AS139" s="137"/>
      <c r="AT139" s="137"/>
      <c r="AU139" s="137"/>
      <c r="AV139" s="137"/>
    </row>
    <row r="140" spans="1:48" x14ac:dyDescent="0.2">
      <c r="A140" s="1045"/>
      <c r="AI140" s="108"/>
      <c r="AJ140" s="108"/>
      <c r="AK140" s="108"/>
      <c r="AL140" s="137"/>
      <c r="AM140" s="137"/>
      <c r="AN140" s="137"/>
      <c r="AO140" s="137"/>
      <c r="AP140" s="137"/>
      <c r="AQ140" s="137"/>
      <c r="AR140" s="137"/>
      <c r="AS140" s="137"/>
      <c r="AT140" s="137"/>
      <c r="AU140" s="137"/>
      <c r="AV140" s="137"/>
    </row>
    <row r="141" spans="1:48" x14ac:dyDescent="0.2">
      <c r="AI141" s="108"/>
      <c r="AJ141" s="108"/>
      <c r="AK141" s="108"/>
      <c r="AL141" s="137"/>
      <c r="AM141" s="137"/>
      <c r="AN141" s="137"/>
      <c r="AO141" s="137"/>
      <c r="AP141" s="137"/>
      <c r="AQ141" s="137"/>
      <c r="AR141" s="137"/>
      <c r="AS141" s="137"/>
      <c r="AT141" s="137"/>
      <c r="AU141" s="137"/>
      <c r="AV141" s="137"/>
    </row>
    <row r="142" spans="1:48" x14ac:dyDescent="0.2">
      <c r="AI142" s="108"/>
      <c r="AJ142" s="108"/>
      <c r="AK142" s="108"/>
      <c r="AL142" s="137"/>
      <c r="AM142" s="137"/>
      <c r="AN142" s="137"/>
      <c r="AO142" s="137"/>
      <c r="AP142" s="137"/>
      <c r="AQ142" s="137"/>
      <c r="AR142" s="137"/>
      <c r="AS142" s="137"/>
      <c r="AT142" s="137"/>
      <c r="AU142" s="137"/>
      <c r="AV142" s="137"/>
    </row>
    <row r="143" spans="1:48" x14ac:dyDescent="0.2">
      <c r="AI143" s="108"/>
      <c r="AJ143" s="108"/>
      <c r="AK143" s="108"/>
      <c r="AL143" s="137"/>
      <c r="AM143" s="137"/>
      <c r="AN143" s="137"/>
      <c r="AO143" s="137"/>
      <c r="AP143" s="137"/>
      <c r="AQ143" s="137"/>
      <c r="AR143" s="137"/>
      <c r="AS143" s="137"/>
      <c r="AT143" s="137"/>
      <c r="AU143" s="137"/>
      <c r="AV143" s="137"/>
    </row>
    <row r="144" spans="1:48" x14ac:dyDescent="0.2">
      <c r="AI144" s="108"/>
      <c r="AJ144" s="108"/>
      <c r="AK144" s="108"/>
      <c r="AL144" s="137"/>
      <c r="AM144" s="137"/>
      <c r="AN144" s="137"/>
      <c r="AO144" s="137"/>
      <c r="AP144" s="137"/>
      <c r="AQ144" s="137"/>
      <c r="AR144" s="137"/>
      <c r="AS144" s="137"/>
      <c r="AT144" s="137"/>
      <c r="AU144" s="137"/>
      <c r="AV144" s="137"/>
    </row>
    <row r="145" spans="35:48" x14ac:dyDescent="0.2">
      <c r="AI145" s="108"/>
      <c r="AJ145" s="108"/>
      <c r="AK145" s="108"/>
      <c r="AL145" s="137"/>
      <c r="AM145" s="137"/>
      <c r="AN145" s="137"/>
      <c r="AO145" s="137"/>
      <c r="AP145" s="137"/>
      <c r="AQ145" s="137"/>
      <c r="AR145" s="137"/>
      <c r="AS145" s="137"/>
      <c r="AT145" s="137"/>
      <c r="AU145" s="137"/>
      <c r="AV145" s="137"/>
    </row>
    <row r="146" spans="35:48" x14ac:dyDescent="0.2">
      <c r="AI146" s="108"/>
      <c r="AJ146" s="108"/>
      <c r="AK146" s="108"/>
      <c r="AL146" s="137"/>
      <c r="AM146" s="137"/>
      <c r="AN146" s="137"/>
      <c r="AO146" s="137"/>
      <c r="AP146" s="137"/>
      <c r="AQ146" s="137"/>
      <c r="AR146" s="137"/>
      <c r="AS146" s="137"/>
      <c r="AT146" s="137"/>
      <c r="AU146" s="137"/>
      <c r="AV146" s="137"/>
    </row>
    <row r="147" spans="35:48" x14ac:dyDescent="0.2">
      <c r="AI147" s="108"/>
      <c r="AJ147" s="108"/>
      <c r="AK147" s="108"/>
      <c r="AL147" s="137"/>
      <c r="AM147" s="137"/>
      <c r="AN147" s="137"/>
      <c r="AO147" s="137"/>
      <c r="AP147" s="137"/>
      <c r="AQ147" s="137"/>
      <c r="AR147" s="137"/>
      <c r="AS147" s="137"/>
      <c r="AT147" s="137"/>
      <c r="AU147" s="137"/>
      <c r="AV147" s="137"/>
    </row>
    <row r="148" spans="35:48" x14ac:dyDescent="0.2">
      <c r="AI148" s="108"/>
      <c r="AJ148" s="108"/>
      <c r="AK148" s="108"/>
      <c r="AL148" s="137"/>
      <c r="AM148" s="137"/>
      <c r="AN148" s="137"/>
      <c r="AO148" s="137"/>
      <c r="AP148" s="137"/>
      <c r="AQ148" s="137"/>
      <c r="AR148" s="137"/>
      <c r="AS148" s="137"/>
      <c r="AT148" s="137"/>
      <c r="AU148" s="137"/>
      <c r="AV148" s="137"/>
    </row>
    <row r="149" spans="35:48" x14ac:dyDescent="0.2">
      <c r="AI149" s="108"/>
      <c r="AJ149" s="108"/>
      <c r="AK149" s="108"/>
      <c r="AL149" s="137"/>
      <c r="AM149" s="137"/>
      <c r="AN149" s="137"/>
      <c r="AO149" s="137"/>
      <c r="AP149" s="137"/>
      <c r="AQ149" s="137"/>
      <c r="AR149" s="137"/>
      <c r="AS149" s="137"/>
      <c r="AT149" s="137"/>
      <c r="AU149" s="137"/>
      <c r="AV149" s="137"/>
    </row>
    <row r="150" spans="35:48" x14ac:dyDescent="0.2">
      <c r="AI150" s="108"/>
      <c r="AJ150" s="108"/>
      <c r="AK150" s="108"/>
      <c r="AL150" s="137"/>
      <c r="AM150" s="137"/>
      <c r="AN150" s="137"/>
      <c r="AO150" s="137"/>
      <c r="AP150" s="137"/>
      <c r="AQ150" s="137"/>
      <c r="AR150" s="137"/>
      <c r="AS150" s="137"/>
      <c r="AT150" s="137"/>
      <c r="AU150" s="137"/>
      <c r="AV150" s="137"/>
    </row>
    <row r="151" spans="35:48" x14ac:dyDescent="0.2">
      <c r="AI151" s="108"/>
      <c r="AJ151" s="108"/>
      <c r="AK151" s="108"/>
      <c r="AL151" s="137"/>
      <c r="AM151" s="137"/>
      <c r="AN151" s="137"/>
      <c r="AO151" s="137"/>
      <c r="AP151" s="137"/>
      <c r="AQ151" s="137"/>
      <c r="AR151" s="137"/>
      <c r="AS151" s="137"/>
      <c r="AT151" s="137"/>
      <c r="AU151" s="137"/>
      <c r="AV151" s="137"/>
    </row>
    <row r="152" spans="35:48" x14ac:dyDescent="0.2">
      <c r="AI152" s="108"/>
      <c r="AJ152" s="108"/>
      <c r="AK152" s="108"/>
      <c r="AL152" s="137"/>
      <c r="AM152" s="137"/>
      <c r="AN152" s="137"/>
      <c r="AO152" s="137"/>
      <c r="AP152" s="137"/>
      <c r="AQ152" s="137"/>
      <c r="AR152" s="137"/>
      <c r="AS152" s="137"/>
      <c r="AT152" s="137"/>
      <c r="AU152" s="137"/>
      <c r="AV152" s="137"/>
    </row>
    <row r="153" spans="35:48" x14ac:dyDescent="0.2">
      <c r="AI153" s="108"/>
      <c r="AJ153" s="108"/>
      <c r="AK153" s="108"/>
      <c r="AL153" s="137"/>
      <c r="AM153" s="137"/>
      <c r="AN153" s="137"/>
      <c r="AO153" s="137"/>
      <c r="AP153" s="137"/>
      <c r="AQ153" s="137"/>
      <c r="AR153" s="137"/>
      <c r="AS153" s="137"/>
      <c r="AT153" s="137"/>
      <c r="AU153" s="137"/>
      <c r="AV153" s="137"/>
    </row>
    <row r="154" spans="35:48" x14ac:dyDescent="0.2">
      <c r="AI154" s="108"/>
      <c r="AJ154" s="108"/>
      <c r="AK154" s="108"/>
      <c r="AL154" s="137"/>
      <c r="AM154" s="137"/>
      <c r="AN154" s="137"/>
      <c r="AO154" s="137"/>
      <c r="AP154" s="137"/>
      <c r="AQ154" s="137"/>
      <c r="AR154" s="137"/>
      <c r="AS154" s="137"/>
      <c r="AT154" s="137"/>
      <c r="AU154" s="137"/>
      <c r="AV154" s="137"/>
    </row>
    <row r="155" spans="35:48" x14ac:dyDescent="0.2">
      <c r="AI155" s="108"/>
      <c r="AJ155" s="108"/>
      <c r="AK155" s="108"/>
      <c r="AL155" s="137"/>
      <c r="AM155" s="137"/>
      <c r="AN155" s="137"/>
      <c r="AO155" s="137"/>
      <c r="AP155" s="137"/>
      <c r="AQ155" s="137"/>
      <c r="AR155" s="137"/>
      <c r="AS155" s="137"/>
      <c r="AT155" s="137"/>
      <c r="AU155" s="137"/>
      <c r="AV155" s="137"/>
    </row>
    <row r="156" spans="35:48" x14ac:dyDescent="0.2">
      <c r="AI156" s="108"/>
      <c r="AJ156" s="108"/>
      <c r="AK156" s="108"/>
      <c r="AL156" s="137"/>
      <c r="AM156" s="137"/>
      <c r="AN156" s="137"/>
      <c r="AO156" s="137"/>
      <c r="AP156" s="137"/>
      <c r="AQ156" s="137"/>
      <c r="AR156" s="137"/>
      <c r="AS156" s="137"/>
      <c r="AT156" s="137"/>
      <c r="AU156" s="137"/>
      <c r="AV156" s="137"/>
    </row>
    <row r="157" spans="35:48" x14ac:dyDescent="0.2">
      <c r="AI157" s="108"/>
      <c r="AJ157" s="108"/>
      <c r="AK157" s="108"/>
      <c r="AL157" s="137"/>
      <c r="AM157" s="137"/>
      <c r="AN157" s="137"/>
      <c r="AO157" s="137"/>
      <c r="AP157" s="137"/>
      <c r="AQ157" s="137"/>
      <c r="AR157" s="137"/>
      <c r="AS157" s="137"/>
      <c r="AT157" s="137"/>
      <c r="AU157" s="137"/>
      <c r="AV157" s="137"/>
    </row>
    <row r="158" spans="35:48" x14ac:dyDescent="0.2">
      <c r="AI158" s="108"/>
      <c r="AJ158" s="108"/>
      <c r="AK158" s="108"/>
      <c r="AL158" s="137"/>
      <c r="AM158" s="137"/>
      <c r="AN158" s="137"/>
      <c r="AO158" s="137"/>
      <c r="AP158" s="137"/>
      <c r="AQ158" s="137"/>
      <c r="AR158" s="137"/>
      <c r="AS158" s="137"/>
      <c r="AT158" s="137"/>
      <c r="AU158" s="137"/>
      <c r="AV158" s="137"/>
    </row>
    <row r="159" spans="35:48" x14ac:dyDescent="0.2">
      <c r="AI159" s="108"/>
      <c r="AJ159" s="108"/>
      <c r="AK159" s="108"/>
      <c r="AL159" s="137"/>
      <c r="AM159" s="137"/>
      <c r="AN159" s="137"/>
      <c r="AO159" s="137"/>
      <c r="AP159" s="137"/>
      <c r="AQ159" s="137"/>
      <c r="AR159" s="137"/>
      <c r="AS159" s="137"/>
      <c r="AT159" s="137"/>
      <c r="AU159" s="137"/>
      <c r="AV159" s="137"/>
    </row>
    <row r="160" spans="35:48" x14ac:dyDescent="0.2">
      <c r="AI160" s="108"/>
      <c r="AJ160" s="108"/>
      <c r="AK160" s="108"/>
      <c r="AL160" s="137"/>
      <c r="AM160" s="137"/>
      <c r="AN160" s="137"/>
      <c r="AO160" s="137"/>
      <c r="AP160" s="137"/>
      <c r="AQ160" s="137"/>
      <c r="AR160" s="137"/>
      <c r="AS160" s="137"/>
      <c r="AT160" s="137"/>
      <c r="AU160" s="137"/>
      <c r="AV160" s="137"/>
    </row>
    <row r="161" spans="35:48" x14ac:dyDescent="0.2">
      <c r="AI161" s="108"/>
      <c r="AJ161" s="108"/>
      <c r="AK161" s="108"/>
      <c r="AL161" s="137"/>
      <c r="AM161" s="137"/>
      <c r="AN161" s="137"/>
      <c r="AO161" s="137"/>
      <c r="AP161" s="137"/>
      <c r="AQ161" s="137"/>
      <c r="AR161" s="137"/>
      <c r="AS161" s="137"/>
      <c r="AT161" s="137"/>
      <c r="AU161" s="137"/>
      <c r="AV161" s="137"/>
    </row>
    <row r="162" spans="35:48" x14ac:dyDescent="0.2">
      <c r="AI162" s="108"/>
      <c r="AJ162" s="108"/>
      <c r="AK162" s="108"/>
      <c r="AL162" s="137"/>
      <c r="AM162" s="137"/>
      <c r="AN162" s="137"/>
      <c r="AO162" s="137"/>
      <c r="AP162" s="137"/>
      <c r="AQ162" s="137"/>
      <c r="AR162" s="137"/>
      <c r="AS162" s="137"/>
      <c r="AT162" s="137"/>
      <c r="AU162" s="137"/>
      <c r="AV162" s="137"/>
    </row>
    <row r="163" spans="35:48" x14ac:dyDescent="0.2">
      <c r="AI163" s="108"/>
      <c r="AJ163" s="108"/>
      <c r="AK163" s="108"/>
      <c r="AL163" s="137"/>
      <c r="AM163" s="137"/>
      <c r="AN163" s="137"/>
      <c r="AO163" s="137"/>
      <c r="AP163" s="137"/>
      <c r="AQ163" s="137"/>
      <c r="AR163" s="137"/>
      <c r="AS163" s="137"/>
      <c r="AT163" s="137"/>
      <c r="AU163" s="137"/>
      <c r="AV163" s="137"/>
    </row>
    <row r="164" spans="35:48" x14ac:dyDescent="0.2">
      <c r="AI164" s="108"/>
      <c r="AJ164" s="108"/>
      <c r="AK164" s="108"/>
      <c r="AL164" s="137"/>
      <c r="AM164" s="137"/>
      <c r="AN164" s="137"/>
      <c r="AO164" s="137"/>
      <c r="AP164" s="137"/>
      <c r="AQ164" s="137"/>
      <c r="AR164" s="137"/>
      <c r="AS164" s="137"/>
      <c r="AT164" s="137"/>
      <c r="AU164" s="137"/>
      <c r="AV164" s="137"/>
    </row>
    <row r="165" spans="35:48" x14ac:dyDescent="0.2">
      <c r="AI165" s="108"/>
      <c r="AJ165" s="108"/>
      <c r="AK165" s="108"/>
      <c r="AL165" s="137"/>
      <c r="AM165" s="137"/>
      <c r="AN165" s="137"/>
      <c r="AO165" s="137"/>
      <c r="AP165" s="137"/>
      <c r="AQ165" s="137"/>
      <c r="AR165" s="137"/>
      <c r="AS165" s="137"/>
      <c r="AT165" s="137"/>
      <c r="AU165" s="137"/>
      <c r="AV165" s="137"/>
    </row>
    <row r="166" spans="35:48" x14ac:dyDescent="0.2">
      <c r="AI166" s="108"/>
      <c r="AJ166" s="108"/>
      <c r="AK166" s="108"/>
      <c r="AL166" s="137"/>
      <c r="AM166" s="137"/>
      <c r="AN166" s="137"/>
      <c r="AO166" s="137"/>
      <c r="AP166" s="137"/>
      <c r="AQ166" s="137"/>
      <c r="AR166" s="137"/>
      <c r="AS166" s="137"/>
      <c r="AT166" s="137"/>
      <c r="AU166" s="137"/>
      <c r="AV166" s="137"/>
    </row>
    <row r="167" spans="35:48" x14ac:dyDescent="0.2">
      <c r="AI167" s="108"/>
      <c r="AJ167" s="108"/>
      <c r="AK167" s="108"/>
      <c r="AL167" s="137"/>
      <c r="AM167" s="137"/>
      <c r="AN167" s="137"/>
      <c r="AO167" s="137"/>
      <c r="AP167" s="137"/>
      <c r="AQ167" s="137"/>
      <c r="AR167" s="137"/>
      <c r="AS167" s="137"/>
      <c r="AT167" s="137"/>
      <c r="AU167" s="137"/>
      <c r="AV167" s="137"/>
    </row>
    <row r="168" spans="35:48" x14ac:dyDescent="0.2">
      <c r="AI168" s="108"/>
      <c r="AJ168" s="108"/>
      <c r="AK168" s="108"/>
      <c r="AL168" s="137"/>
      <c r="AM168" s="137"/>
      <c r="AN168" s="137"/>
      <c r="AO168" s="137"/>
      <c r="AP168" s="137"/>
      <c r="AQ168" s="137"/>
      <c r="AR168" s="137"/>
      <c r="AS168" s="137"/>
      <c r="AT168" s="137"/>
      <c r="AU168" s="137"/>
      <c r="AV168" s="137"/>
    </row>
    <row r="169" spans="35:48" x14ac:dyDescent="0.2">
      <c r="AI169" s="108"/>
      <c r="AJ169" s="108"/>
      <c r="AK169" s="108"/>
      <c r="AL169" s="137"/>
      <c r="AM169" s="137"/>
      <c r="AN169" s="137"/>
      <c r="AO169" s="137"/>
      <c r="AP169" s="137"/>
      <c r="AQ169" s="137"/>
      <c r="AR169" s="137"/>
      <c r="AS169" s="137"/>
      <c r="AT169" s="137"/>
      <c r="AU169" s="137"/>
      <c r="AV169" s="137"/>
    </row>
    <row r="170" spans="35:48" x14ac:dyDescent="0.2">
      <c r="AI170" s="108"/>
      <c r="AJ170" s="108"/>
      <c r="AK170" s="108"/>
      <c r="AL170" s="137"/>
      <c r="AM170" s="137"/>
      <c r="AN170" s="137"/>
      <c r="AO170" s="137"/>
      <c r="AP170" s="137"/>
      <c r="AQ170" s="137"/>
      <c r="AR170" s="137"/>
      <c r="AS170" s="137"/>
      <c r="AT170" s="137"/>
      <c r="AU170" s="137"/>
      <c r="AV170" s="137"/>
    </row>
    <row r="171" spans="35:48" x14ac:dyDescent="0.2">
      <c r="AI171" s="108"/>
      <c r="AJ171" s="108"/>
      <c r="AK171" s="108"/>
      <c r="AL171" s="137"/>
      <c r="AM171" s="137"/>
      <c r="AN171" s="137"/>
      <c r="AO171" s="137"/>
      <c r="AP171" s="137"/>
      <c r="AQ171" s="137"/>
      <c r="AR171" s="137"/>
      <c r="AS171" s="137"/>
      <c r="AT171" s="137"/>
      <c r="AU171" s="137"/>
      <c r="AV171" s="137"/>
    </row>
    <row r="172" spans="35:48" x14ac:dyDescent="0.2">
      <c r="AI172" s="108"/>
      <c r="AJ172" s="108"/>
      <c r="AK172" s="108"/>
      <c r="AL172" s="137"/>
      <c r="AM172" s="137"/>
      <c r="AN172" s="137"/>
      <c r="AO172" s="137"/>
      <c r="AP172" s="137"/>
      <c r="AQ172" s="137"/>
      <c r="AR172" s="137"/>
      <c r="AS172" s="137"/>
      <c r="AT172" s="137"/>
      <c r="AU172" s="137"/>
      <c r="AV172" s="137"/>
    </row>
    <row r="173" spans="35:48" x14ac:dyDescent="0.2">
      <c r="AI173" s="108"/>
      <c r="AJ173" s="108"/>
      <c r="AK173" s="108"/>
      <c r="AL173" s="137"/>
      <c r="AM173" s="137"/>
      <c r="AN173" s="137"/>
      <c r="AO173" s="137"/>
      <c r="AP173" s="137"/>
      <c r="AQ173" s="137"/>
      <c r="AR173" s="137"/>
      <c r="AS173" s="137"/>
      <c r="AT173" s="137"/>
      <c r="AU173" s="137"/>
      <c r="AV173" s="137"/>
    </row>
    <row r="174" spans="35:48" x14ac:dyDescent="0.2">
      <c r="AI174" s="108"/>
      <c r="AJ174" s="108"/>
      <c r="AK174" s="108"/>
      <c r="AL174" s="137"/>
      <c r="AM174" s="137"/>
      <c r="AN174" s="137"/>
      <c r="AO174" s="137"/>
      <c r="AP174" s="137"/>
      <c r="AQ174" s="137"/>
      <c r="AR174" s="137"/>
      <c r="AS174" s="137"/>
      <c r="AT174" s="137"/>
      <c r="AU174" s="137"/>
      <c r="AV174" s="137"/>
    </row>
    <row r="175" spans="35:48" x14ac:dyDescent="0.2">
      <c r="AI175" s="108"/>
      <c r="AJ175" s="108"/>
      <c r="AK175" s="108"/>
      <c r="AL175" s="137"/>
      <c r="AM175" s="137"/>
      <c r="AN175" s="137"/>
      <c r="AO175" s="137"/>
      <c r="AP175" s="137"/>
      <c r="AQ175" s="137"/>
      <c r="AR175" s="137"/>
      <c r="AS175" s="137"/>
      <c r="AT175" s="137"/>
      <c r="AU175" s="137"/>
      <c r="AV175" s="137"/>
    </row>
    <row r="176" spans="35:48" x14ac:dyDescent="0.2">
      <c r="AI176" s="108"/>
      <c r="AJ176" s="108"/>
      <c r="AK176" s="108"/>
      <c r="AL176" s="137"/>
      <c r="AM176" s="137"/>
      <c r="AN176" s="137"/>
      <c r="AO176" s="137"/>
      <c r="AP176" s="137"/>
      <c r="AQ176" s="137"/>
      <c r="AR176" s="137"/>
      <c r="AS176" s="137"/>
      <c r="AT176" s="137"/>
      <c r="AU176" s="137"/>
      <c r="AV176" s="137"/>
    </row>
    <row r="177" spans="35:48" x14ac:dyDescent="0.2">
      <c r="AI177" s="108"/>
      <c r="AJ177" s="108"/>
      <c r="AK177" s="108"/>
      <c r="AL177" s="137"/>
      <c r="AM177" s="137"/>
      <c r="AN177" s="137"/>
      <c r="AO177" s="137"/>
      <c r="AP177" s="137"/>
      <c r="AQ177" s="137"/>
      <c r="AR177" s="137"/>
      <c r="AS177" s="137"/>
      <c r="AT177" s="137"/>
      <c r="AU177" s="137"/>
      <c r="AV177" s="137"/>
    </row>
    <row r="178" spans="35:48" x14ac:dyDescent="0.2">
      <c r="AI178" s="108"/>
      <c r="AJ178" s="108"/>
      <c r="AK178" s="108"/>
      <c r="AL178" s="137"/>
      <c r="AM178" s="137"/>
      <c r="AN178" s="137"/>
      <c r="AO178" s="137"/>
      <c r="AP178" s="137"/>
      <c r="AQ178" s="137"/>
      <c r="AR178" s="137"/>
      <c r="AS178" s="137"/>
      <c r="AT178" s="137"/>
      <c r="AU178" s="137"/>
      <c r="AV178" s="137"/>
    </row>
    <row r="179" spans="35:48" x14ac:dyDescent="0.2">
      <c r="AI179" s="108"/>
      <c r="AJ179" s="108"/>
      <c r="AK179" s="108"/>
      <c r="AL179" s="137"/>
      <c r="AM179" s="137"/>
      <c r="AN179" s="137"/>
      <c r="AO179" s="137"/>
      <c r="AP179" s="137"/>
      <c r="AQ179" s="137"/>
      <c r="AR179" s="137"/>
      <c r="AS179" s="137"/>
      <c r="AT179" s="137"/>
      <c r="AU179" s="137"/>
      <c r="AV179" s="137"/>
    </row>
    <row r="180" spans="35:48" x14ac:dyDescent="0.2">
      <c r="AI180" s="108"/>
      <c r="AJ180" s="108"/>
      <c r="AK180" s="108"/>
      <c r="AL180" s="137"/>
      <c r="AM180" s="137"/>
      <c r="AN180" s="137"/>
      <c r="AO180" s="137"/>
      <c r="AP180" s="137"/>
      <c r="AQ180" s="137"/>
      <c r="AR180" s="137"/>
      <c r="AS180" s="137"/>
      <c r="AT180" s="137"/>
      <c r="AU180" s="137"/>
      <c r="AV180" s="137"/>
    </row>
    <row r="181" spans="35:48" x14ac:dyDescent="0.2">
      <c r="AI181" s="108"/>
      <c r="AJ181" s="108"/>
      <c r="AK181" s="108"/>
      <c r="AL181" s="137"/>
      <c r="AM181" s="137"/>
      <c r="AN181" s="137"/>
      <c r="AO181" s="137"/>
      <c r="AP181" s="137"/>
      <c r="AQ181" s="137"/>
      <c r="AR181" s="137"/>
      <c r="AS181" s="137"/>
      <c r="AT181" s="137"/>
      <c r="AU181" s="137"/>
      <c r="AV181" s="137"/>
    </row>
    <row r="182" spans="35:48" x14ac:dyDescent="0.2">
      <c r="AI182" s="108"/>
      <c r="AJ182" s="108"/>
      <c r="AK182" s="108"/>
      <c r="AL182" s="137"/>
      <c r="AM182" s="137"/>
      <c r="AN182" s="137"/>
      <c r="AO182" s="137"/>
      <c r="AP182" s="137"/>
      <c r="AQ182" s="137"/>
      <c r="AR182" s="137"/>
      <c r="AS182" s="137"/>
      <c r="AT182" s="137"/>
      <c r="AU182" s="137"/>
      <c r="AV182" s="137"/>
    </row>
    <row r="183" spans="35:48" x14ac:dyDescent="0.2">
      <c r="AI183" s="108"/>
      <c r="AJ183" s="108"/>
      <c r="AK183" s="108"/>
      <c r="AL183" s="137"/>
      <c r="AM183" s="137"/>
      <c r="AN183" s="137"/>
      <c r="AO183" s="137"/>
      <c r="AP183" s="137"/>
      <c r="AQ183" s="137"/>
      <c r="AR183" s="137"/>
      <c r="AS183" s="137"/>
      <c r="AT183" s="137"/>
      <c r="AU183" s="137"/>
      <c r="AV183" s="137"/>
    </row>
    <row r="184" spans="35:48" x14ac:dyDescent="0.2">
      <c r="AI184" s="108"/>
      <c r="AJ184" s="108"/>
      <c r="AK184" s="108"/>
      <c r="AL184" s="137"/>
      <c r="AM184" s="137"/>
      <c r="AN184" s="137"/>
      <c r="AO184" s="137"/>
      <c r="AP184" s="137"/>
      <c r="AQ184" s="137"/>
      <c r="AR184" s="137"/>
      <c r="AS184" s="137"/>
      <c r="AT184" s="137"/>
      <c r="AU184" s="137"/>
      <c r="AV184" s="137"/>
    </row>
    <row r="185" spans="35:48" x14ac:dyDescent="0.2">
      <c r="AI185" s="108"/>
      <c r="AJ185" s="108"/>
      <c r="AK185" s="108"/>
      <c r="AL185" s="137"/>
      <c r="AM185" s="137"/>
      <c r="AN185" s="137"/>
      <c r="AO185" s="137"/>
      <c r="AP185" s="137"/>
      <c r="AQ185" s="137"/>
      <c r="AR185" s="137"/>
      <c r="AS185" s="137"/>
      <c r="AT185" s="137"/>
      <c r="AU185" s="137"/>
      <c r="AV185" s="137"/>
    </row>
    <row r="186" spans="35:48" x14ac:dyDescent="0.2">
      <c r="AI186" s="108"/>
      <c r="AJ186" s="108"/>
      <c r="AK186" s="108"/>
      <c r="AL186" s="137"/>
      <c r="AM186" s="137"/>
      <c r="AN186" s="137"/>
      <c r="AO186" s="137"/>
      <c r="AP186" s="137"/>
      <c r="AQ186" s="137"/>
      <c r="AR186" s="137"/>
      <c r="AS186" s="137"/>
      <c r="AT186" s="137"/>
      <c r="AU186" s="137"/>
      <c r="AV186" s="137"/>
    </row>
    <row r="187" spans="35:48" x14ac:dyDescent="0.2">
      <c r="AI187" s="108"/>
      <c r="AJ187" s="108"/>
      <c r="AK187" s="108"/>
      <c r="AL187" s="137"/>
      <c r="AM187" s="137"/>
      <c r="AN187" s="137"/>
      <c r="AO187" s="137"/>
      <c r="AP187" s="137"/>
      <c r="AQ187" s="137"/>
      <c r="AR187" s="137"/>
      <c r="AS187" s="137"/>
      <c r="AT187" s="137"/>
      <c r="AU187" s="137"/>
      <c r="AV187" s="137"/>
    </row>
    <row r="188" spans="35:48" x14ac:dyDescent="0.2">
      <c r="AI188" s="108"/>
      <c r="AJ188" s="108"/>
      <c r="AK188" s="108"/>
      <c r="AL188" s="137"/>
      <c r="AM188" s="137"/>
      <c r="AN188" s="137"/>
      <c r="AO188" s="137"/>
      <c r="AP188" s="137"/>
      <c r="AQ188" s="137"/>
      <c r="AR188" s="137"/>
      <c r="AS188" s="137"/>
      <c r="AT188" s="137"/>
      <c r="AU188" s="137"/>
      <c r="AV188" s="137"/>
    </row>
    <row r="189" spans="35:48" x14ac:dyDescent="0.2">
      <c r="AI189" s="108"/>
      <c r="AJ189" s="108"/>
      <c r="AK189" s="108"/>
      <c r="AL189" s="137"/>
      <c r="AM189" s="137"/>
      <c r="AN189" s="137"/>
      <c r="AO189" s="137"/>
      <c r="AP189" s="137"/>
      <c r="AQ189" s="137"/>
      <c r="AR189" s="137"/>
      <c r="AS189" s="137"/>
      <c r="AT189" s="137"/>
      <c r="AU189" s="137"/>
      <c r="AV189" s="137"/>
    </row>
    <row r="190" spans="35:48" x14ac:dyDescent="0.2">
      <c r="AI190" s="108"/>
      <c r="AJ190" s="108"/>
      <c r="AK190" s="108"/>
      <c r="AL190" s="137"/>
      <c r="AM190" s="137"/>
      <c r="AN190" s="137"/>
      <c r="AO190" s="137"/>
      <c r="AP190" s="137"/>
      <c r="AQ190" s="137"/>
      <c r="AR190" s="137"/>
      <c r="AS190" s="137"/>
      <c r="AT190" s="137"/>
      <c r="AU190" s="137"/>
      <c r="AV190" s="137"/>
    </row>
    <row r="191" spans="35:48" x14ac:dyDescent="0.2">
      <c r="AI191" s="108"/>
      <c r="AJ191" s="108"/>
      <c r="AK191" s="108"/>
      <c r="AL191" s="137"/>
      <c r="AM191" s="137"/>
      <c r="AN191" s="137"/>
      <c r="AO191" s="137"/>
      <c r="AP191" s="137"/>
      <c r="AQ191" s="137"/>
      <c r="AR191" s="137"/>
      <c r="AS191" s="137"/>
      <c r="AT191" s="137"/>
      <c r="AU191" s="137"/>
      <c r="AV191" s="137"/>
    </row>
    <row r="192" spans="35:48" x14ac:dyDescent="0.2">
      <c r="AI192" s="108"/>
      <c r="AJ192" s="108"/>
      <c r="AK192" s="108"/>
      <c r="AL192" s="137"/>
      <c r="AM192" s="137"/>
      <c r="AN192" s="137"/>
      <c r="AO192" s="137"/>
      <c r="AP192" s="137"/>
      <c r="AQ192" s="137"/>
      <c r="AR192" s="137"/>
      <c r="AS192" s="137"/>
      <c r="AT192" s="137"/>
      <c r="AU192" s="137"/>
      <c r="AV192" s="137"/>
    </row>
    <row r="193" spans="35:48" x14ac:dyDescent="0.2">
      <c r="AI193" s="108"/>
      <c r="AJ193" s="108"/>
      <c r="AK193" s="108"/>
      <c r="AL193" s="137"/>
      <c r="AM193" s="137"/>
      <c r="AN193" s="137"/>
      <c r="AO193" s="137"/>
      <c r="AP193" s="137"/>
      <c r="AQ193" s="137"/>
      <c r="AR193" s="137"/>
      <c r="AS193" s="137"/>
      <c r="AT193" s="137"/>
      <c r="AU193" s="137"/>
      <c r="AV193" s="137"/>
    </row>
    <row r="194" spans="35:48" x14ac:dyDescent="0.2">
      <c r="AI194" s="108"/>
      <c r="AJ194" s="108"/>
      <c r="AK194" s="108"/>
      <c r="AL194" s="137"/>
      <c r="AM194" s="137"/>
      <c r="AN194" s="137"/>
      <c r="AO194" s="137"/>
      <c r="AP194" s="137"/>
      <c r="AQ194" s="137"/>
      <c r="AR194" s="137"/>
      <c r="AS194" s="137"/>
      <c r="AT194" s="137"/>
      <c r="AU194" s="137"/>
      <c r="AV194" s="137"/>
    </row>
    <row r="195" spans="35:48" x14ac:dyDescent="0.2">
      <c r="AI195" s="108"/>
      <c r="AJ195" s="108"/>
      <c r="AK195" s="108"/>
      <c r="AL195" s="137"/>
      <c r="AM195" s="137"/>
      <c r="AN195" s="137"/>
      <c r="AO195" s="137"/>
      <c r="AP195" s="137"/>
      <c r="AQ195" s="137"/>
      <c r="AR195" s="137"/>
      <c r="AS195" s="137"/>
      <c r="AT195" s="137"/>
      <c r="AU195" s="137"/>
      <c r="AV195" s="137"/>
    </row>
    <row r="196" spans="35:48" x14ac:dyDescent="0.2">
      <c r="AI196" s="108"/>
      <c r="AJ196" s="108"/>
      <c r="AK196" s="108"/>
      <c r="AL196" s="137"/>
      <c r="AM196" s="137"/>
      <c r="AN196" s="137"/>
      <c r="AO196" s="137"/>
      <c r="AP196" s="137"/>
      <c r="AQ196" s="137"/>
      <c r="AR196" s="137"/>
      <c r="AS196" s="137"/>
      <c r="AT196" s="137"/>
      <c r="AU196" s="137"/>
      <c r="AV196" s="137"/>
    </row>
    <row r="197" spans="35:48" x14ac:dyDescent="0.2">
      <c r="AI197" s="108"/>
      <c r="AJ197" s="108"/>
      <c r="AK197" s="108"/>
      <c r="AL197" s="137"/>
      <c r="AM197" s="137"/>
      <c r="AN197" s="137"/>
      <c r="AO197" s="137"/>
      <c r="AP197" s="137"/>
      <c r="AQ197" s="137"/>
      <c r="AR197" s="137"/>
      <c r="AS197" s="137"/>
      <c r="AT197" s="137"/>
      <c r="AU197" s="137"/>
      <c r="AV197" s="137"/>
    </row>
    <row r="198" spans="35:48" x14ac:dyDescent="0.2">
      <c r="AI198" s="108"/>
      <c r="AJ198" s="108"/>
      <c r="AK198" s="108"/>
      <c r="AL198" s="137"/>
      <c r="AM198" s="137"/>
      <c r="AN198" s="137"/>
      <c r="AO198" s="137"/>
      <c r="AP198" s="137"/>
      <c r="AQ198" s="137"/>
      <c r="AR198" s="137"/>
      <c r="AS198" s="137"/>
      <c r="AT198" s="137"/>
      <c r="AU198" s="137"/>
      <c r="AV198" s="137"/>
    </row>
    <row r="199" spans="35:48" x14ac:dyDescent="0.2">
      <c r="AI199" s="108"/>
      <c r="AJ199" s="108"/>
      <c r="AK199" s="108"/>
      <c r="AL199" s="137"/>
      <c r="AM199" s="137"/>
      <c r="AN199" s="137"/>
      <c r="AO199" s="137"/>
      <c r="AP199" s="137"/>
      <c r="AQ199" s="137"/>
      <c r="AR199" s="137"/>
      <c r="AS199" s="137"/>
      <c r="AT199" s="137"/>
      <c r="AU199" s="137"/>
      <c r="AV199" s="137"/>
    </row>
    <row r="200" spans="35:48" x14ac:dyDescent="0.2">
      <c r="AI200" s="108"/>
      <c r="AJ200" s="108"/>
      <c r="AK200" s="108"/>
      <c r="AL200" s="137"/>
      <c r="AM200" s="137"/>
      <c r="AN200" s="137"/>
      <c r="AO200" s="137"/>
      <c r="AP200" s="137"/>
      <c r="AQ200" s="137"/>
      <c r="AR200" s="137"/>
      <c r="AS200" s="137"/>
      <c r="AT200" s="137"/>
      <c r="AU200" s="137"/>
      <c r="AV200" s="137"/>
    </row>
    <row r="201" spans="35:48" x14ac:dyDescent="0.2">
      <c r="AI201" s="108"/>
      <c r="AJ201" s="108"/>
      <c r="AK201" s="108"/>
      <c r="AL201" s="137"/>
      <c r="AM201" s="137"/>
      <c r="AN201" s="137"/>
      <c r="AO201" s="137"/>
      <c r="AP201" s="137"/>
      <c r="AQ201" s="137"/>
      <c r="AR201" s="137"/>
      <c r="AS201" s="137"/>
      <c r="AT201" s="137"/>
      <c r="AU201" s="137"/>
      <c r="AV201" s="137"/>
    </row>
    <row r="202" spans="35:48" x14ac:dyDescent="0.2">
      <c r="AI202" s="108"/>
      <c r="AJ202" s="108"/>
      <c r="AK202" s="108"/>
      <c r="AL202" s="137"/>
      <c r="AM202" s="137"/>
      <c r="AN202" s="137"/>
      <c r="AO202" s="137"/>
      <c r="AP202" s="137"/>
      <c r="AQ202" s="137"/>
      <c r="AR202" s="137"/>
      <c r="AS202" s="137"/>
      <c r="AT202" s="137"/>
      <c r="AU202" s="137"/>
      <c r="AV202" s="137"/>
    </row>
    <row r="203" spans="35:48" x14ac:dyDescent="0.2">
      <c r="AI203" s="108"/>
      <c r="AJ203" s="108"/>
      <c r="AK203" s="108"/>
      <c r="AL203" s="137"/>
      <c r="AM203" s="137"/>
      <c r="AN203" s="137"/>
      <c r="AO203" s="137"/>
      <c r="AP203" s="137"/>
      <c r="AQ203" s="137"/>
      <c r="AR203" s="137"/>
      <c r="AS203" s="137"/>
      <c r="AT203" s="137"/>
      <c r="AU203" s="137"/>
      <c r="AV203" s="137"/>
    </row>
    <row r="204" spans="35:48" x14ac:dyDescent="0.2">
      <c r="AI204" s="108"/>
      <c r="AJ204" s="108"/>
      <c r="AK204" s="108"/>
      <c r="AL204" s="137"/>
      <c r="AM204" s="137"/>
      <c r="AN204" s="137"/>
      <c r="AO204" s="137"/>
      <c r="AP204" s="137"/>
      <c r="AQ204" s="137"/>
      <c r="AR204" s="137"/>
      <c r="AS204" s="137"/>
      <c r="AT204" s="137"/>
      <c r="AU204" s="137"/>
      <c r="AV204" s="137"/>
    </row>
    <row r="205" spans="35:48" x14ac:dyDescent="0.2">
      <c r="AI205" s="108"/>
      <c r="AJ205" s="108"/>
      <c r="AK205" s="108"/>
      <c r="AL205" s="137"/>
      <c r="AM205" s="137"/>
      <c r="AN205" s="137"/>
      <c r="AO205" s="137"/>
      <c r="AP205" s="137"/>
      <c r="AQ205" s="137"/>
      <c r="AR205" s="137"/>
      <c r="AS205" s="137"/>
      <c r="AT205" s="137"/>
      <c r="AU205" s="137"/>
      <c r="AV205" s="137"/>
    </row>
    <row r="206" spans="35:48" x14ac:dyDescent="0.2">
      <c r="AI206" s="108"/>
      <c r="AJ206" s="108"/>
      <c r="AK206" s="108"/>
      <c r="AL206" s="137"/>
      <c r="AM206" s="137"/>
      <c r="AN206" s="137"/>
      <c r="AO206" s="137"/>
      <c r="AP206" s="137"/>
      <c r="AQ206" s="137"/>
      <c r="AR206" s="137"/>
      <c r="AS206" s="137"/>
      <c r="AT206" s="137"/>
      <c r="AU206" s="137"/>
      <c r="AV206" s="137"/>
    </row>
    <row r="207" spans="35:48" x14ac:dyDescent="0.2">
      <c r="AI207" s="108"/>
      <c r="AJ207" s="108"/>
      <c r="AK207" s="108"/>
      <c r="AL207" s="137"/>
      <c r="AM207" s="137"/>
      <c r="AN207" s="137"/>
      <c r="AO207" s="137"/>
      <c r="AP207" s="137"/>
      <c r="AQ207" s="137"/>
      <c r="AR207" s="137"/>
      <c r="AS207" s="137"/>
      <c r="AT207" s="137"/>
      <c r="AU207" s="137"/>
      <c r="AV207" s="137"/>
    </row>
    <row r="208" spans="35:48" x14ac:dyDescent="0.2">
      <c r="AI208" s="108"/>
      <c r="AJ208" s="108"/>
      <c r="AK208" s="108"/>
      <c r="AL208" s="137"/>
      <c r="AM208" s="137"/>
      <c r="AN208" s="137"/>
      <c r="AO208" s="137"/>
      <c r="AP208" s="137"/>
      <c r="AQ208" s="137"/>
      <c r="AR208" s="137"/>
      <c r="AS208" s="137"/>
      <c r="AT208" s="137"/>
      <c r="AU208" s="137"/>
      <c r="AV208" s="137"/>
    </row>
    <row r="209" spans="35:48" x14ac:dyDescent="0.2">
      <c r="AI209" s="108"/>
      <c r="AJ209" s="108"/>
      <c r="AK209" s="108"/>
      <c r="AL209" s="137"/>
      <c r="AM209" s="137"/>
      <c r="AN209" s="137"/>
      <c r="AO209" s="137"/>
      <c r="AP209" s="137"/>
      <c r="AQ209" s="137"/>
      <c r="AR209" s="137"/>
      <c r="AS209" s="137"/>
      <c r="AT209" s="137"/>
      <c r="AU209" s="137"/>
      <c r="AV209" s="137"/>
    </row>
    <row r="210" spans="35:48" x14ac:dyDescent="0.2">
      <c r="AI210" s="108"/>
      <c r="AJ210" s="108"/>
      <c r="AK210" s="108"/>
      <c r="AL210" s="137"/>
      <c r="AM210" s="137"/>
      <c r="AN210" s="137"/>
      <c r="AO210" s="137"/>
      <c r="AP210" s="137"/>
      <c r="AQ210" s="137"/>
      <c r="AR210" s="137"/>
      <c r="AS210" s="137"/>
      <c r="AT210" s="137"/>
      <c r="AU210" s="137"/>
      <c r="AV210" s="137"/>
    </row>
    <row r="211" spans="35:48" x14ac:dyDescent="0.2">
      <c r="AI211" s="108"/>
      <c r="AJ211" s="108"/>
      <c r="AK211" s="108"/>
      <c r="AL211" s="137"/>
      <c r="AM211" s="137"/>
      <c r="AN211" s="137"/>
      <c r="AO211" s="137"/>
      <c r="AP211" s="137"/>
      <c r="AQ211" s="137"/>
      <c r="AR211" s="137"/>
      <c r="AS211" s="137"/>
      <c r="AT211" s="137"/>
      <c r="AU211" s="137"/>
      <c r="AV211" s="137"/>
    </row>
    <row r="212" spans="35:48" x14ac:dyDescent="0.2">
      <c r="AI212" s="108"/>
      <c r="AJ212" s="108"/>
      <c r="AK212" s="108"/>
      <c r="AL212" s="137"/>
      <c r="AM212" s="137"/>
      <c r="AN212" s="137"/>
      <c r="AO212" s="137"/>
      <c r="AP212" s="137"/>
      <c r="AQ212" s="137"/>
      <c r="AR212" s="137"/>
      <c r="AS212" s="137"/>
      <c r="AT212" s="137"/>
      <c r="AU212" s="137"/>
      <c r="AV212" s="137"/>
    </row>
    <row r="213" spans="35:48" x14ac:dyDescent="0.2">
      <c r="AI213" s="108"/>
      <c r="AJ213" s="108"/>
      <c r="AK213" s="108"/>
      <c r="AL213" s="137"/>
      <c r="AM213" s="137"/>
      <c r="AN213" s="137"/>
      <c r="AO213" s="137"/>
      <c r="AP213" s="137"/>
      <c r="AQ213" s="137"/>
      <c r="AR213" s="137"/>
      <c r="AS213" s="137"/>
      <c r="AT213" s="137"/>
      <c r="AU213" s="137"/>
      <c r="AV213" s="137"/>
    </row>
    <row r="214" spans="35:48" x14ac:dyDescent="0.2">
      <c r="AI214" s="108"/>
      <c r="AJ214" s="108"/>
      <c r="AK214" s="108"/>
      <c r="AL214" s="137"/>
      <c r="AM214" s="137"/>
      <c r="AN214" s="137"/>
      <c r="AO214" s="137"/>
      <c r="AP214" s="137"/>
      <c r="AQ214" s="137"/>
      <c r="AR214" s="137"/>
      <c r="AS214" s="137"/>
      <c r="AT214" s="137"/>
      <c r="AU214" s="137"/>
      <c r="AV214" s="137"/>
    </row>
    <row r="215" spans="35:48" x14ac:dyDescent="0.2">
      <c r="AI215" s="108"/>
      <c r="AJ215" s="108"/>
      <c r="AK215" s="108"/>
      <c r="AL215" s="137"/>
      <c r="AM215" s="137"/>
      <c r="AN215" s="137"/>
      <c r="AO215" s="137"/>
      <c r="AP215" s="137"/>
      <c r="AQ215" s="137"/>
      <c r="AR215" s="137"/>
      <c r="AS215" s="137"/>
      <c r="AT215" s="137"/>
      <c r="AU215" s="137"/>
      <c r="AV215" s="137"/>
    </row>
    <row r="216" spans="35:48" x14ac:dyDescent="0.2">
      <c r="AI216" s="108"/>
      <c r="AJ216" s="108"/>
      <c r="AK216" s="108"/>
      <c r="AL216" s="137"/>
      <c r="AM216" s="137"/>
      <c r="AN216" s="137"/>
      <c r="AO216" s="137"/>
      <c r="AP216" s="137"/>
      <c r="AQ216" s="137"/>
      <c r="AR216" s="137"/>
      <c r="AS216" s="137"/>
      <c r="AT216" s="137"/>
      <c r="AU216" s="137"/>
      <c r="AV216" s="137"/>
    </row>
    <row r="217" spans="35:48" x14ac:dyDescent="0.2">
      <c r="AI217" s="108"/>
      <c r="AJ217" s="108"/>
      <c r="AK217" s="108"/>
      <c r="AL217" s="137"/>
      <c r="AM217" s="137"/>
      <c r="AN217" s="137"/>
      <c r="AO217" s="137"/>
      <c r="AP217" s="137"/>
      <c r="AQ217" s="137"/>
      <c r="AR217" s="137"/>
      <c r="AS217" s="137"/>
      <c r="AT217" s="137"/>
      <c r="AU217" s="137"/>
      <c r="AV217" s="137"/>
    </row>
    <row r="218" spans="35:48" x14ac:dyDescent="0.2">
      <c r="AI218" s="108"/>
      <c r="AJ218" s="108"/>
      <c r="AK218" s="108"/>
      <c r="AL218" s="137"/>
      <c r="AM218" s="137"/>
      <c r="AN218" s="137"/>
      <c r="AO218" s="137"/>
      <c r="AP218" s="137"/>
      <c r="AQ218" s="137"/>
      <c r="AR218" s="137"/>
      <c r="AS218" s="137"/>
      <c r="AT218" s="137"/>
      <c r="AU218" s="137"/>
      <c r="AV218" s="137"/>
    </row>
    <row r="219" spans="35:48" x14ac:dyDescent="0.2">
      <c r="AI219" s="108"/>
      <c r="AJ219" s="108"/>
      <c r="AK219" s="108"/>
      <c r="AL219" s="137"/>
      <c r="AM219" s="137"/>
      <c r="AN219" s="137"/>
      <c r="AO219" s="137"/>
      <c r="AP219" s="137"/>
      <c r="AQ219" s="137"/>
      <c r="AR219" s="137"/>
      <c r="AS219" s="137"/>
      <c r="AT219" s="137"/>
      <c r="AU219" s="137"/>
      <c r="AV219" s="137"/>
    </row>
    <row r="220" spans="35:48" x14ac:dyDescent="0.2">
      <c r="AI220" s="108"/>
      <c r="AJ220" s="108"/>
      <c r="AK220" s="108"/>
      <c r="AL220" s="137"/>
      <c r="AM220" s="137"/>
      <c r="AN220" s="137"/>
      <c r="AO220" s="137"/>
      <c r="AP220" s="137"/>
      <c r="AQ220" s="137"/>
      <c r="AR220" s="137"/>
      <c r="AS220" s="137"/>
      <c r="AT220" s="137"/>
      <c r="AU220" s="137"/>
      <c r="AV220" s="137"/>
    </row>
    <row r="221" spans="35:48" x14ac:dyDescent="0.2">
      <c r="AI221" s="108"/>
      <c r="AJ221" s="108"/>
      <c r="AK221" s="108"/>
      <c r="AL221" s="137"/>
      <c r="AM221" s="137"/>
      <c r="AN221" s="137"/>
      <c r="AO221" s="137"/>
      <c r="AP221" s="137"/>
      <c r="AQ221" s="137"/>
      <c r="AR221" s="137"/>
      <c r="AS221" s="137"/>
      <c r="AT221" s="137"/>
      <c r="AU221" s="137"/>
      <c r="AV221" s="137"/>
    </row>
    <row r="222" spans="35:48" x14ac:dyDescent="0.2">
      <c r="AI222" s="108"/>
      <c r="AJ222" s="108"/>
      <c r="AK222" s="108"/>
      <c r="AL222" s="137"/>
      <c r="AM222" s="137"/>
      <c r="AN222" s="137"/>
      <c r="AO222" s="137"/>
      <c r="AP222" s="137"/>
      <c r="AQ222" s="137"/>
      <c r="AR222" s="137"/>
      <c r="AS222" s="137"/>
      <c r="AT222" s="137"/>
      <c r="AU222" s="137"/>
      <c r="AV222" s="137"/>
    </row>
    <row r="223" spans="35:48" x14ac:dyDescent="0.2">
      <c r="AI223" s="108"/>
      <c r="AJ223" s="108"/>
      <c r="AK223" s="108"/>
      <c r="AL223" s="137"/>
      <c r="AM223" s="137"/>
      <c r="AN223" s="137"/>
      <c r="AO223" s="137"/>
      <c r="AP223" s="137"/>
      <c r="AQ223" s="137"/>
      <c r="AR223" s="137"/>
      <c r="AS223" s="137"/>
      <c r="AT223" s="137"/>
      <c r="AU223" s="137"/>
      <c r="AV223" s="137"/>
    </row>
    <row r="224" spans="35:48" x14ac:dyDescent="0.2">
      <c r="AI224" s="108"/>
      <c r="AJ224" s="108"/>
      <c r="AK224" s="108"/>
      <c r="AL224" s="137"/>
      <c r="AM224" s="137"/>
      <c r="AN224" s="137"/>
      <c r="AO224" s="137"/>
      <c r="AP224" s="137"/>
      <c r="AQ224" s="137"/>
      <c r="AR224" s="137"/>
      <c r="AS224" s="137"/>
      <c r="AT224" s="137"/>
      <c r="AU224" s="137"/>
      <c r="AV224" s="137"/>
    </row>
    <row r="225" spans="35:48" x14ac:dyDescent="0.2">
      <c r="AI225" s="108"/>
      <c r="AJ225" s="108"/>
      <c r="AK225" s="108"/>
      <c r="AL225" s="137"/>
      <c r="AM225" s="137"/>
      <c r="AN225" s="137"/>
      <c r="AO225" s="137"/>
      <c r="AP225" s="137"/>
      <c r="AQ225" s="137"/>
      <c r="AR225" s="137"/>
      <c r="AS225" s="137"/>
      <c r="AT225" s="137"/>
      <c r="AU225" s="137"/>
      <c r="AV225" s="137"/>
    </row>
    <row r="226" spans="35:48" x14ac:dyDescent="0.2">
      <c r="AI226" s="108"/>
      <c r="AJ226" s="108"/>
      <c r="AK226" s="108"/>
      <c r="AL226" s="137"/>
      <c r="AM226" s="137"/>
      <c r="AN226" s="137"/>
      <c r="AO226" s="137"/>
      <c r="AP226" s="137"/>
      <c r="AQ226" s="137"/>
      <c r="AR226" s="137"/>
      <c r="AS226" s="137"/>
      <c r="AT226" s="137"/>
      <c r="AU226" s="137"/>
      <c r="AV226" s="137"/>
    </row>
    <row r="227" spans="35:48" x14ac:dyDescent="0.2">
      <c r="AI227" s="108"/>
      <c r="AJ227" s="108"/>
      <c r="AK227" s="108"/>
      <c r="AL227" s="137"/>
      <c r="AM227" s="137"/>
      <c r="AN227" s="137"/>
      <c r="AO227" s="137"/>
      <c r="AP227" s="137"/>
      <c r="AQ227" s="137"/>
      <c r="AR227" s="137"/>
      <c r="AS227" s="137"/>
      <c r="AT227" s="137"/>
      <c r="AU227" s="137"/>
      <c r="AV227" s="137"/>
    </row>
    <row r="228" spans="35:48" x14ac:dyDescent="0.2">
      <c r="AI228" s="108"/>
      <c r="AJ228" s="108"/>
      <c r="AK228" s="108"/>
      <c r="AL228" s="137"/>
      <c r="AM228" s="137"/>
      <c r="AN228" s="137"/>
      <c r="AO228" s="137"/>
      <c r="AP228" s="137"/>
      <c r="AQ228" s="137"/>
      <c r="AR228" s="137"/>
      <c r="AS228" s="137"/>
      <c r="AT228" s="137"/>
      <c r="AU228" s="137"/>
      <c r="AV228" s="137"/>
    </row>
    <row r="229" spans="35:48" x14ac:dyDescent="0.2">
      <c r="AI229" s="108"/>
      <c r="AJ229" s="108"/>
      <c r="AK229" s="108"/>
      <c r="AL229" s="137"/>
      <c r="AM229" s="137"/>
      <c r="AN229" s="137"/>
      <c r="AO229" s="137"/>
      <c r="AP229" s="137"/>
      <c r="AQ229" s="137"/>
      <c r="AR229" s="137"/>
      <c r="AS229" s="137"/>
      <c r="AT229" s="137"/>
      <c r="AU229" s="137"/>
      <c r="AV229" s="137"/>
    </row>
    <row r="230" spans="35:48" x14ac:dyDescent="0.2">
      <c r="AI230" s="108"/>
      <c r="AJ230" s="108"/>
      <c r="AK230" s="108"/>
      <c r="AL230" s="137"/>
      <c r="AM230" s="137"/>
      <c r="AN230" s="137"/>
      <c r="AO230" s="137"/>
      <c r="AP230" s="137"/>
      <c r="AQ230" s="137"/>
      <c r="AR230" s="137"/>
      <c r="AS230" s="137"/>
      <c r="AT230" s="137"/>
      <c r="AU230" s="137"/>
      <c r="AV230" s="137"/>
    </row>
    <row r="231" spans="35:48" x14ac:dyDescent="0.2">
      <c r="AI231" s="108"/>
      <c r="AJ231" s="108"/>
      <c r="AK231" s="108"/>
      <c r="AL231" s="137"/>
      <c r="AM231" s="137"/>
      <c r="AN231" s="137"/>
      <c r="AO231" s="137"/>
      <c r="AP231" s="137"/>
      <c r="AQ231" s="137"/>
      <c r="AR231" s="137"/>
      <c r="AS231" s="137"/>
      <c r="AT231" s="137"/>
      <c r="AU231" s="137"/>
      <c r="AV231" s="137"/>
    </row>
    <row r="232" spans="35:48" x14ac:dyDescent="0.2">
      <c r="AI232" s="108"/>
      <c r="AJ232" s="108"/>
      <c r="AK232" s="108"/>
      <c r="AL232" s="137"/>
      <c r="AM232" s="137"/>
      <c r="AN232" s="137"/>
      <c r="AO232" s="137"/>
      <c r="AP232" s="137"/>
      <c r="AQ232" s="137"/>
      <c r="AR232" s="137"/>
      <c r="AS232" s="137"/>
      <c r="AT232" s="137"/>
      <c r="AU232" s="137"/>
      <c r="AV232" s="137"/>
    </row>
  </sheetData>
  <sheetProtection algorithmName="SHA-512" hashValue="VPeTAG9DmaVcH2iJIENZ+6Cxl8eV7R/3zfZYLBKljEi/esMDyxSstQlbltjumGY1sOh3pmoAO3v9/bRKDsjNvw==" saltValue="dqownpALQs8JdB0tWghlvA==" spinCount="100000" sheet="1" objects="1" scenarios="1"/>
  <mergeCells count="59">
    <mergeCell ref="A99:A140"/>
    <mergeCell ref="E106:L106"/>
    <mergeCell ref="N79:S79"/>
    <mergeCell ref="T30:U30"/>
    <mergeCell ref="R66:T66"/>
    <mergeCell ref="N67:S67"/>
    <mergeCell ref="N68:S68"/>
    <mergeCell ref="N69:S69"/>
    <mergeCell ref="N70:S70"/>
    <mergeCell ref="N71:S71"/>
    <mergeCell ref="R75:T75"/>
    <mergeCell ref="N76:S76"/>
    <mergeCell ref="N77:S77"/>
    <mergeCell ref="N78:S78"/>
    <mergeCell ref="N80:S80"/>
    <mergeCell ref="B28:G28"/>
    <mergeCell ref="AP16:AT17"/>
    <mergeCell ref="R20:S20"/>
    <mergeCell ref="V20:W20"/>
    <mergeCell ref="B21:G21"/>
    <mergeCell ref="V21:W21"/>
    <mergeCell ref="B22:G22"/>
    <mergeCell ref="B23:G23"/>
    <mergeCell ref="B27:C27"/>
    <mergeCell ref="D27:G27"/>
    <mergeCell ref="B20:C20"/>
    <mergeCell ref="F20:H20"/>
    <mergeCell ref="B24:C26"/>
    <mergeCell ref="D24:G24"/>
    <mergeCell ref="D25:G25"/>
    <mergeCell ref="D26:G26"/>
    <mergeCell ref="B11:G11"/>
    <mergeCell ref="AP11:AQ11"/>
    <mergeCell ref="B17:G17"/>
    <mergeCell ref="B13:C15"/>
    <mergeCell ref="D13:G13"/>
    <mergeCell ref="D14:G14"/>
    <mergeCell ref="D15:G15"/>
    <mergeCell ref="AP13:AQ13"/>
    <mergeCell ref="B16:C16"/>
    <mergeCell ref="D16:G16"/>
    <mergeCell ref="AP14:AT15"/>
    <mergeCell ref="AP12:AQ12"/>
    <mergeCell ref="AP1:AX1"/>
    <mergeCell ref="K4:L5"/>
    <mergeCell ref="B9:C9"/>
    <mergeCell ref="B12:G12"/>
    <mergeCell ref="AR8:AR9"/>
    <mergeCell ref="R9:S9"/>
    <mergeCell ref="V9:W9"/>
    <mergeCell ref="F5:J5"/>
    <mergeCell ref="F9:H9"/>
    <mergeCell ref="B2:D2"/>
    <mergeCell ref="B7:C7"/>
    <mergeCell ref="G7:H7"/>
    <mergeCell ref="AP8:AQ9"/>
    <mergeCell ref="B10:G10"/>
    <mergeCell ref="V10:W10"/>
    <mergeCell ref="AP10:AQ10"/>
  </mergeCells>
  <conditionalFormatting sqref="I23">
    <cfRule type="containsText" dxfId="139" priority="2" operator="containsText" text="Doplňte">
      <formula>NOT(ISERROR(SEARCH("Doplňte",I23)))</formula>
    </cfRule>
  </conditionalFormatting>
  <conditionalFormatting sqref="I24">
    <cfRule type="containsText" dxfId="138" priority="5" operator="containsText" text="Doplňte">
      <formula>NOT(ISERROR(SEARCH("Doplňte",I24)))</formula>
    </cfRule>
  </conditionalFormatting>
  <conditionalFormatting sqref="E9">
    <cfRule type="expression" dxfId="137" priority="89">
      <formula>$M$17&gt;0</formula>
    </cfRule>
  </conditionalFormatting>
  <conditionalFormatting sqref="I12">
    <cfRule type="expression" dxfId="136" priority="90">
      <formula>$M$17=0</formula>
    </cfRule>
    <cfRule type="containsText" dxfId="135" priority="91" operator="containsText" text="Doplňte">
      <formula>NOT(ISERROR(SEARCH("Doplňte",I12)))</formula>
    </cfRule>
  </conditionalFormatting>
  <conditionalFormatting sqref="E20">
    <cfRule type="expression" dxfId="134" priority="98">
      <formula>$M$28&gt;0</formula>
    </cfRule>
  </conditionalFormatting>
  <conditionalFormatting sqref="I23">
    <cfRule type="expression" dxfId="133" priority="99">
      <formula>$M$28=0</formula>
    </cfRule>
  </conditionalFormatting>
  <hyperlinks>
    <hyperlink ref="N67:S67" location="HKSwa!H10" tooltip=" " display="HKSwa!H10" xr:uid="{62A798D9-6855-4734-A4D1-4618C7B59CE1}"/>
    <hyperlink ref="N68:S68" location="HKSwa!H11" tooltip=" " display="HKSwa!H11" xr:uid="{7B35DDE6-1B49-4137-8B6A-91A87BBB46D2}"/>
    <hyperlink ref="N76:S76" location="HKSwa!H19" tooltip=" " display="HKSwa!H19" xr:uid="{5EFB165E-0BB6-4D89-97FC-2AC160E604E6}"/>
    <hyperlink ref="N77:S77" location="HKSwa!H20" tooltip=" " display="HKSwa!H20" xr:uid="{F02F9204-1F79-45BF-8E3F-B7D7FDBFD673}"/>
    <hyperlink ref="AK5" location="HKSwa!A100" tooltip=" " display="HKSwa!A100" xr:uid="{721F1E81-9CE5-4DF2-BDDA-D0B3554827BB}"/>
    <hyperlink ref="L127" location="HKSwa!A1" tooltip=" " display="HKSwa!A1" xr:uid="{8FDE4F5A-8496-4F1B-9722-9E4BEC43B551}"/>
    <hyperlink ref="AK9" location="SumAVS!A1" tooltip=" " display="SumAVS!A1" xr:uid="{862475F1-0D6C-4391-BE04-CEB5BA0951F6}"/>
    <hyperlink ref="AK10" location="OrdAVS!A1" tooltip=" " display="OrdAVS!A1" xr:uid="{4DE1573F-D18A-491A-997B-013D1A144630}"/>
    <hyperlink ref="AK7" location="AcsAVS!A1" tooltip=" " display="AcsAVS!A1" xr:uid="{EFD0640D-0725-4B57-82E3-F3FDBF7EADE0}"/>
    <hyperlink ref="AK4" location="MenuAVS!A1" tooltip=" " display="MenuAVS!A1" xr:uid="{A0223B50-395A-46D2-8AEF-6924CCB85921}"/>
    <hyperlink ref="B2:C2" location="HK!A1" tooltip=" " display="AVENTOS HK top" xr:uid="{B05AB706-18D2-4D47-8409-C89FF3E6A9E8}"/>
    <hyperlink ref="B2:L2" location="HKS!A1" tooltip=" " display="AVENTOS HK-S" xr:uid="{A3197457-20BE-43B0-A63B-1C12E2301BFA}"/>
  </hyperlinks>
  <pageMargins left="0.62992125984251968" right="0.23622047244094488" top="0.74803149606299213" bottom="0.74803149606299213" header="0.31496062992125984" footer="0.31496062992125984"/>
  <pageSetup paperSize="9" orientation="portrait" horizontalDpi="4294967293"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73057" r:id="rId4" name="Drop Down 1">
              <controlPr defaultSize="0" autoLine="0" autoPict="0">
                <anchor moveWithCells="1">
                  <from>
                    <xdr:col>2</xdr:col>
                    <xdr:colOff>590550</xdr:colOff>
                    <xdr:row>6</xdr:row>
                    <xdr:rowOff>9525</xdr:rowOff>
                  </from>
                  <to>
                    <xdr:col>6</xdr:col>
                    <xdr:colOff>0</xdr:colOff>
                    <xdr:row>7</xdr:row>
                    <xdr:rowOff>0</xdr:rowOff>
                  </to>
                </anchor>
              </controlPr>
            </control>
          </mc:Choice>
        </mc:AlternateContent>
        <mc:AlternateContent xmlns:mc="http://schemas.openxmlformats.org/markup-compatibility/2006">
          <mc:Choice Requires="x14">
            <control shapeId="173059" r:id="rId5" name="Drop Down 3">
              <controlPr defaultSize="0" autoLine="0" autoPict="0">
                <anchor moveWithCells="1">
                  <from>
                    <xdr:col>1</xdr:col>
                    <xdr:colOff>0</xdr:colOff>
                    <xdr:row>9</xdr:row>
                    <xdr:rowOff>0</xdr:rowOff>
                  </from>
                  <to>
                    <xdr:col>2</xdr:col>
                    <xdr:colOff>571500</xdr:colOff>
                    <xdr:row>10</xdr:row>
                    <xdr:rowOff>0</xdr:rowOff>
                  </to>
                </anchor>
              </controlPr>
            </control>
          </mc:Choice>
        </mc:AlternateContent>
        <mc:AlternateContent xmlns:mc="http://schemas.openxmlformats.org/markup-compatibility/2006">
          <mc:Choice Requires="x14">
            <control shapeId="173060" r:id="rId6" name="Drop Down 4">
              <controlPr defaultSize="0" autoLine="0" autoPict="0">
                <anchor moveWithCells="1">
                  <from>
                    <xdr:col>1</xdr:col>
                    <xdr:colOff>0</xdr:colOff>
                    <xdr:row>20</xdr:row>
                    <xdr:rowOff>0</xdr:rowOff>
                  </from>
                  <to>
                    <xdr:col>2</xdr:col>
                    <xdr:colOff>571500</xdr:colOff>
                    <xdr:row>21</xdr:row>
                    <xdr:rowOff>0</xdr:rowOff>
                  </to>
                </anchor>
              </controlPr>
            </control>
          </mc:Choice>
        </mc:AlternateContent>
        <mc:AlternateContent xmlns:mc="http://schemas.openxmlformats.org/markup-compatibility/2006">
          <mc:Choice Requires="x14">
            <control shapeId="173061" r:id="rId7" name="Option Button 5">
              <controlPr defaultSize="0" autoFill="0" autoLine="0" autoPict="0">
                <anchor moveWithCells="1">
                  <from>
                    <xdr:col>1</xdr:col>
                    <xdr:colOff>400050</xdr:colOff>
                    <xdr:row>5</xdr:row>
                    <xdr:rowOff>47625</xdr:rowOff>
                  </from>
                  <to>
                    <xdr:col>2</xdr:col>
                    <xdr:colOff>95250</xdr:colOff>
                    <xdr:row>5</xdr:row>
                    <xdr:rowOff>257175</xdr:rowOff>
                  </to>
                </anchor>
              </controlPr>
            </control>
          </mc:Choice>
        </mc:AlternateContent>
        <mc:AlternateContent xmlns:mc="http://schemas.openxmlformats.org/markup-compatibility/2006">
          <mc:Choice Requires="x14">
            <control shapeId="173062" r:id="rId8" name="Option Button 6">
              <controlPr defaultSize="0" autoFill="0" autoLine="0" autoPict="0">
                <anchor moveWithCells="1">
                  <from>
                    <xdr:col>3</xdr:col>
                    <xdr:colOff>381000</xdr:colOff>
                    <xdr:row>5</xdr:row>
                    <xdr:rowOff>28575</xdr:rowOff>
                  </from>
                  <to>
                    <xdr:col>4</xdr:col>
                    <xdr:colOff>57150</xdr:colOff>
                    <xdr:row>5</xdr:row>
                    <xdr:rowOff>247650</xdr:rowOff>
                  </to>
                </anchor>
              </controlPr>
            </control>
          </mc:Choice>
        </mc:AlternateContent>
        <mc:AlternateContent xmlns:mc="http://schemas.openxmlformats.org/markup-compatibility/2006">
          <mc:Choice Requires="x14">
            <control shapeId="173063" r:id="rId9" name="Drop Down 7">
              <controlPr defaultSize="0" autoLine="0" autoPict="0">
                <anchor moveWithCells="1">
                  <from>
                    <xdr:col>6</xdr:col>
                    <xdr:colOff>9525</xdr:colOff>
                    <xdr:row>3</xdr:row>
                    <xdr:rowOff>0</xdr:rowOff>
                  </from>
                  <to>
                    <xdr:col>9</xdr:col>
                    <xdr:colOff>0</xdr:colOff>
                    <xdr:row>4</xdr:row>
                    <xdr:rowOff>0</xdr:rowOff>
                  </to>
                </anchor>
              </controlPr>
            </control>
          </mc:Choice>
        </mc:AlternateContent>
      </controls>
    </mc:Choice>
  </mc:AlternateContent>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E6734-3AB0-483C-8B5A-8761CF85BA6F}">
  <sheetPr codeName="Sheet51">
    <tabColor theme="2" tint="-0.499984740745262"/>
  </sheetPr>
  <dimension ref="A1:AX232"/>
  <sheetViews>
    <sheetView showGridLines="0" showRowColHeaders="0" workbookViewId="0"/>
  </sheetViews>
  <sheetFormatPr defaultColWidth="8.28515625" defaultRowHeight="12" x14ac:dyDescent="0.2"/>
  <cols>
    <col min="1" max="1" width="1.28515625" style="37" customWidth="1"/>
    <col min="2" max="9" width="8.5703125" style="37" customWidth="1"/>
    <col min="10" max="10" width="6.7109375" style="37" customWidth="1"/>
    <col min="11" max="11" width="10.42578125" style="37" customWidth="1"/>
    <col min="12" max="12" width="17.28515625" style="37" customWidth="1"/>
    <col min="13" max="14" width="6.42578125" style="37" hidden="1" customWidth="1"/>
    <col min="15" max="15" width="6.42578125" style="118" hidden="1" customWidth="1"/>
    <col min="16" max="16" width="6.42578125" style="37" hidden="1" customWidth="1"/>
    <col min="17" max="17" width="6" style="118" hidden="1" customWidth="1"/>
    <col min="18" max="18" width="6.42578125" style="37" hidden="1" customWidth="1"/>
    <col min="19" max="19" width="7.7109375" style="37" hidden="1" customWidth="1"/>
    <col min="20" max="20" width="9.5703125" style="37" hidden="1" customWidth="1"/>
    <col min="21" max="21" width="6.42578125" style="37" hidden="1" customWidth="1"/>
    <col min="22" max="22" width="7.5703125" style="37" hidden="1" customWidth="1"/>
    <col min="23" max="24" width="6.42578125" style="37" hidden="1" customWidth="1"/>
    <col min="25" max="25" width="37.28515625" style="37" hidden="1" customWidth="1"/>
    <col min="26" max="26" width="13.5703125" style="37" hidden="1" customWidth="1"/>
    <col min="27" max="29" width="6.7109375" style="37" hidden="1" customWidth="1"/>
    <col min="30" max="30" width="9.42578125" style="37" hidden="1" customWidth="1"/>
    <col min="31" max="34" width="6.7109375" style="37" hidden="1" customWidth="1"/>
    <col min="35" max="35" width="3.28515625" style="36" hidden="1" customWidth="1"/>
    <col min="36" max="36" width="5.28515625" style="36" customWidth="1"/>
    <col min="37" max="37" width="23.42578125" style="36" customWidth="1"/>
    <col min="38" max="41" width="8.28515625" style="121"/>
    <col min="42" max="42" width="16.42578125" style="121" customWidth="1"/>
    <col min="43" max="43" width="16.28515625" style="121" customWidth="1"/>
    <col min="44" max="44" width="19.5703125" style="121" customWidth="1"/>
    <col min="45" max="16384" width="8.28515625" style="121"/>
  </cols>
  <sheetData>
    <row r="1" spans="1:50" ht="4.5" customHeight="1" thickBot="1" x14ac:dyDescent="0.25">
      <c r="L1" s="137"/>
      <c r="AI1" s="108"/>
      <c r="AJ1" s="108"/>
      <c r="AK1" s="108"/>
      <c r="AL1" s="137"/>
      <c r="AM1" s="137"/>
      <c r="AN1" s="137"/>
      <c r="AO1" s="137"/>
      <c r="AP1" s="1121"/>
      <c r="AQ1" s="1121"/>
      <c r="AR1" s="1121"/>
      <c r="AS1" s="1121"/>
      <c r="AT1" s="1121"/>
      <c r="AU1" s="1121"/>
      <c r="AV1" s="1121"/>
      <c r="AW1" s="1104"/>
      <c r="AX1" s="1104"/>
    </row>
    <row r="2" spans="1:50" s="36" customFormat="1" ht="19.5" customHeight="1" thickBot="1" x14ac:dyDescent="0.25">
      <c r="A2" s="108"/>
      <c r="B2" s="1048" t="s">
        <v>4</v>
      </c>
      <c r="C2" s="1048"/>
      <c r="D2" s="1048"/>
      <c r="E2" s="886"/>
      <c r="F2" s="886"/>
      <c r="G2" s="886"/>
      <c r="H2" s="886"/>
      <c r="I2" s="886"/>
      <c r="J2" s="886"/>
      <c r="K2" s="886"/>
      <c r="L2" s="886"/>
      <c r="M2" s="108"/>
      <c r="N2" s="108"/>
      <c r="O2" s="108" t="s">
        <v>64</v>
      </c>
      <c r="P2" s="108"/>
      <c r="Q2" s="108"/>
      <c r="R2" s="108"/>
      <c r="S2" s="117">
        <v>3</v>
      </c>
      <c r="T2" s="108"/>
      <c r="U2" s="108"/>
      <c r="V2" s="108"/>
      <c r="W2" s="108"/>
      <c r="X2" s="108"/>
      <c r="Y2" s="108"/>
      <c r="Z2" s="108"/>
      <c r="AA2" s="108"/>
      <c r="AB2" s="108"/>
      <c r="AC2" s="108"/>
      <c r="AD2" s="108"/>
      <c r="AE2" s="108"/>
      <c r="AF2" s="108"/>
      <c r="AG2" s="108"/>
      <c r="AH2" s="108"/>
      <c r="AI2" s="108"/>
      <c r="AJ2" s="108"/>
      <c r="AK2" s="379" t="str">
        <f>ListAVS!$B$153</f>
        <v>Przejdź do</v>
      </c>
      <c r="AL2" s="108"/>
      <c r="AM2" s="108"/>
      <c r="AN2" s="108"/>
      <c r="AO2" s="108"/>
      <c r="AP2" s="108"/>
      <c r="AQ2" s="108"/>
      <c r="AR2" s="108"/>
      <c r="AS2" s="108"/>
      <c r="AT2" s="108"/>
      <c r="AU2" s="108"/>
      <c r="AV2" s="108"/>
    </row>
    <row r="3" spans="1:50" ht="3.75" customHeight="1" x14ac:dyDescent="0.2">
      <c r="B3" s="312"/>
      <c r="C3" s="306"/>
      <c r="D3" s="306"/>
      <c r="E3" s="306"/>
      <c r="F3" s="306"/>
      <c r="G3" s="306"/>
      <c r="H3" s="306"/>
      <c r="I3" s="306"/>
      <c r="J3" s="306"/>
      <c r="K3" s="306"/>
      <c r="L3" s="137"/>
      <c r="AI3" s="137"/>
      <c r="AJ3" s="108"/>
      <c r="AK3" s="670"/>
      <c r="AL3" s="137"/>
      <c r="AM3" s="137"/>
      <c r="AN3" s="137"/>
      <c r="AO3" s="137"/>
      <c r="AP3" s="137"/>
      <c r="AQ3" s="137"/>
      <c r="AR3" s="137"/>
      <c r="AS3" s="137"/>
      <c r="AT3" s="137"/>
      <c r="AU3" s="137"/>
      <c r="AV3" s="137"/>
    </row>
    <row r="4" spans="1:50" ht="16.149999999999999" customHeight="1" thickBot="1" x14ac:dyDescent="0.25">
      <c r="B4" s="313" t="str">
        <f>ListAVS!$B$22&amp;" ***"</f>
        <v>Wąska ramka aluminiowa ***</v>
      </c>
      <c r="C4" s="313"/>
      <c r="D4" s="266"/>
      <c r="E4" s="313"/>
      <c r="F4" s="269" t="str">
        <f>ListAVS!$B$180&amp;"  "</f>
        <v xml:space="preserve">Wykonanie frontów  </v>
      </c>
      <c r="G4" s="255"/>
      <c r="H4" s="255"/>
      <c r="I4" s="255"/>
      <c r="J4" s="260"/>
      <c r="K4" s="1187" t="str">
        <f>U61</f>
        <v xml:space="preserve"> </v>
      </c>
      <c r="L4" s="1187"/>
      <c r="O4" s="117">
        <v>1</v>
      </c>
      <c r="S4" s="37" t="str">
        <f>" "&amp;ListAVS!$B$41&amp;" A "</f>
        <v xml:space="preserve"> Cena za korpus A </v>
      </c>
      <c r="AI4" s="137"/>
      <c r="AJ4" s="108"/>
      <c r="AK4" s="383" t="s">
        <v>77</v>
      </c>
      <c r="AL4" s="137"/>
      <c r="AM4" s="137"/>
      <c r="AN4" s="137"/>
      <c r="AO4" s="137"/>
      <c r="AP4" s="137"/>
      <c r="AQ4" s="137"/>
      <c r="AR4" s="137"/>
      <c r="AS4" s="137"/>
      <c r="AT4" s="137"/>
      <c r="AU4" s="137"/>
      <c r="AV4" s="137"/>
    </row>
    <row r="5" spans="1:50" ht="16.149999999999999" customHeight="1" x14ac:dyDescent="0.2">
      <c r="B5" s="266"/>
      <c r="C5" s="313"/>
      <c r="D5" s="313"/>
      <c r="E5" s="313"/>
      <c r="F5" s="1027" t="str">
        <f>IF($AF$67&lt;&gt;3,$Y$62," ")&amp;"      "</f>
        <v xml:space="preserve"> Możesz zmienić wartości we Wstępie do planowania      </v>
      </c>
      <c r="G5" s="1027"/>
      <c r="H5" s="1027"/>
      <c r="I5" s="1027"/>
      <c r="J5" s="1027"/>
      <c r="K5" s="1187"/>
      <c r="L5" s="1187"/>
      <c r="O5" s="118" t="s">
        <v>65</v>
      </c>
      <c r="S5" s="37" t="str">
        <f>" "&amp;ListAVS!$B$41&amp;" B "</f>
        <v xml:space="preserve"> Cena za korpus B </v>
      </c>
      <c r="AI5" s="137"/>
      <c r="AJ5" s="108"/>
      <c r="AK5" s="634" t="str">
        <f>" "&amp;ListAVS!$B$155</f>
        <v xml:space="preserve"> Pomoc</v>
      </c>
      <c r="AL5" s="137"/>
      <c r="AM5" s="137"/>
      <c r="AN5" s="137"/>
      <c r="AO5" s="137"/>
      <c r="AP5" s="137"/>
      <c r="AQ5" s="137"/>
      <c r="AR5" s="137"/>
      <c r="AS5" s="137"/>
      <c r="AT5" s="137"/>
      <c r="AU5" s="137"/>
      <c r="AV5" s="137"/>
    </row>
    <row r="6" spans="1:50" ht="25.15" customHeight="1" x14ac:dyDescent="0.2">
      <c r="B6" s="313"/>
      <c r="C6" s="313"/>
      <c r="D6" s="313"/>
      <c r="E6" s="313"/>
      <c r="F6" s="266"/>
      <c r="G6" s="434"/>
      <c r="H6" s="434"/>
      <c r="I6" s="434"/>
      <c r="J6" s="434"/>
      <c r="K6" s="434"/>
      <c r="L6" s="266"/>
      <c r="O6" s="323" t="s">
        <v>66</v>
      </c>
      <c r="S6" s="37" t="str">
        <f>" "&amp;ListAVS!$B$61</f>
        <v xml:space="preserve"> Cena całkowita bez VAT</v>
      </c>
      <c r="AI6" s="137"/>
      <c r="AJ6" s="108"/>
      <c r="AK6" s="736"/>
      <c r="AL6" s="137"/>
      <c r="AM6" s="137"/>
      <c r="AN6" s="137"/>
      <c r="AO6" s="137"/>
      <c r="AP6" s="137"/>
      <c r="AQ6" s="137"/>
      <c r="AR6" s="137"/>
      <c r="AS6" s="137"/>
      <c r="AT6" s="137"/>
      <c r="AU6" s="137"/>
      <c r="AV6" s="137"/>
    </row>
    <row r="7" spans="1:50" ht="16.149999999999999" customHeight="1" x14ac:dyDescent="0.2">
      <c r="B7" s="1059" t="str">
        <f>ListAVS!$B$51&amp;":   "</f>
        <v xml:space="preserve">Cena okucia:   </v>
      </c>
      <c r="C7" s="1060"/>
      <c r="D7" s="255"/>
      <c r="E7" s="266"/>
      <c r="F7" s="266"/>
      <c r="G7" s="1061">
        <f>IF(S2=1,$AF$46,IF($S$2=2,$AH$46,IF($S$2=3,$AD$46,0)))</f>
        <v>0</v>
      </c>
      <c r="H7" s="1062"/>
      <c r="I7" s="255"/>
      <c r="J7" s="255"/>
      <c r="K7" s="255"/>
      <c r="L7" s="255"/>
      <c r="Y7" s="156" t="str">
        <f>$B$2</f>
        <v>AVENTOS HK-S</v>
      </c>
      <c r="Z7" s="157">
        <f>B5</f>
        <v>0</v>
      </c>
      <c r="AA7" s="157"/>
      <c r="AB7" s="157"/>
      <c r="AC7" s="157"/>
      <c r="AD7" s="158"/>
      <c r="AG7" s="118"/>
      <c r="AI7" s="108"/>
      <c r="AJ7" s="108"/>
      <c r="AK7" s="675" t="str">
        <f>" "&amp;ListAVS!$B$160</f>
        <v xml:space="preserve"> Dodatki</v>
      </c>
      <c r="AL7" s="137"/>
      <c r="AM7" s="137"/>
      <c r="AN7" s="137"/>
      <c r="AO7" s="137"/>
      <c r="AP7" s="137"/>
      <c r="AQ7" s="137"/>
      <c r="AR7" s="137"/>
      <c r="AS7" s="137"/>
      <c r="AT7" s="137"/>
      <c r="AU7" s="137"/>
      <c r="AV7" s="137"/>
    </row>
    <row r="8" spans="1:50" ht="22.5" customHeight="1" thickBot="1" x14ac:dyDescent="0.25">
      <c r="B8" s="255"/>
      <c r="C8" s="255"/>
      <c r="D8" s="255"/>
      <c r="E8" s="255"/>
      <c r="F8" s="255"/>
      <c r="G8" s="255"/>
      <c r="H8" s="255"/>
      <c r="I8" s="255"/>
      <c r="J8" s="255"/>
      <c r="K8" s="255"/>
      <c r="L8" s="255"/>
      <c r="Y8" s="159" t="str">
        <f>ListAVS!B52</f>
        <v>Nazwa</v>
      </c>
      <c r="Z8" s="160" t="str">
        <f>ListAVS!$B$53</f>
        <v>Kod asortymentu</v>
      </c>
      <c r="AA8" s="161" t="str">
        <f>ListAVS!B54</f>
        <v>Kolor</v>
      </c>
      <c r="AB8" s="161" t="str">
        <f>ListAVS!B56</f>
        <v>Sztuka</v>
      </c>
      <c r="AC8" s="162" t="str">
        <f>ListAVS!B58</f>
        <v>Cena za sztukę</v>
      </c>
      <c r="AD8" s="161" t="str">
        <f>ListAVS!B59</f>
        <v>W sumie</v>
      </c>
      <c r="AE8" s="204" t="s">
        <v>29</v>
      </c>
      <c r="AF8" s="163" t="s">
        <v>30</v>
      </c>
      <c r="AG8" s="163" t="s">
        <v>31</v>
      </c>
      <c r="AH8" s="163" t="s">
        <v>30</v>
      </c>
      <c r="AI8" s="108"/>
      <c r="AJ8" s="108"/>
      <c r="AK8" s="671"/>
      <c r="AL8" s="137"/>
      <c r="AM8" s="137"/>
      <c r="AN8" s="137"/>
      <c r="AO8" s="137"/>
      <c r="AP8" s="1198" t="str">
        <f>"  "&amp;ListAVS!$B$86&amp;" LF "</f>
        <v xml:space="preserve">  Współczynnik mocy LF </v>
      </c>
      <c r="AQ8" s="1199"/>
      <c r="AR8" s="1193" t="str">
        <f>ListAVS!$B$84</f>
        <v>Mechanizm podnoszący</v>
      </c>
      <c r="AS8" s="404"/>
      <c r="AT8" s="404"/>
      <c r="AU8" s="137"/>
      <c r="AV8" s="137"/>
    </row>
    <row r="9" spans="1:50" ht="16.149999999999999" customHeight="1" thickBot="1" x14ac:dyDescent="0.25">
      <c r="B9" s="1051" t="str">
        <f>"▼ "&amp;ListAVS!$B$318</f>
        <v>▼ Sposób otwierania</v>
      </c>
      <c r="C9" s="1052"/>
      <c r="D9" s="406" t="str">
        <f>IF($M$17&gt;0, ListAVS!$B$37&amp;": ", " ")</f>
        <v xml:space="preserve"> </v>
      </c>
      <c r="E9" s="688" t="str">
        <f>IF(SUM(AE9:$AE$11)&gt;0, "B", IF(SUM(AE$12:AE$14)&gt;0, "C", IF(SUM(AE$15:AE$17)&gt;0, "E", IF(SUM(AE$19:AE$21)&gt;0, "B T", IF(SUM(AE$22:AE$24)&gt;0, "C T", IF(SUM(AE$25:AE$27)&gt;0, "E T",  " "))))))</f>
        <v xml:space="preserve"> </v>
      </c>
      <c r="F9" s="1056" t="str">
        <f>ListAVS!$B$64&amp;" A"</f>
        <v>Korpus A</v>
      </c>
      <c r="G9" s="1057"/>
      <c r="H9" s="1058"/>
      <c r="I9" s="273"/>
      <c r="J9" s="255"/>
      <c r="K9" s="255"/>
      <c r="L9" s="255"/>
      <c r="N9" s="119"/>
      <c r="O9" s="132"/>
      <c r="P9" s="119"/>
      <c r="Q9" s="132"/>
      <c r="R9" s="1194" t="s">
        <v>89</v>
      </c>
      <c r="S9" s="1195"/>
      <c r="T9" s="747"/>
      <c r="U9" s="748"/>
      <c r="V9" s="1195" t="s">
        <v>90</v>
      </c>
      <c r="W9" s="1196"/>
      <c r="X9" s="132"/>
      <c r="Y9" s="164" t="str">
        <f>CenAVS!A83</f>
        <v xml:space="preserve">Aventos HK-S słaby jasnoszary, zaślepka      </v>
      </c>
      <c r="Z9" s="164" t="str">
        <f>CenAVS!B83</f>
        <v>20K2B00.06</v>
      </c>
      <c r="AA9" s="301" t="str">
        <f>CenAVS!C83</f>
        <v>HGIG</v>
      </c>
      <c r="AB9" s="165">
        <f>SUM(AE9,AG9)</f>
        <v>0</v>
      </c>
      <c r="AC9" s="395">
        <f>CenAVS!F83</f>
        <v>76.927710000000005</v>
      </c>
      <c r="AD9" s="167">
        <f>AB9*AC9</f>
        <v>0</v>
      </c>
      <c r="AE9" s="407">
        <f>IF(AND($U$16=1,$T$44=1),ROUNDUP(SUM($O$11:$P$11)*$M$17,0),0)</f>
        <v>0</v>
      </c>
      <c r="AF9" s="168">
        <f t="shared" ref="AF9:AF27" si="0">$AC9*AE9</f>
        <v>0</v>
      </c>
      <c r="AG9" s="407">
        <f>IF(AND($U$27=1,$T$44=1),ROUNDUP(SUM($O$22:$P$22)*$M$28,0),0)</f>
        <v>0</v>
      </c>
      <c r="AH9" s="168">
        <f t="shared" ref="AH9:AH35" si="1">$AC9*AG9</f>
        <v>0</v>
      </c>
      <c r="AI9" s="108"/>
      <c r="AJ9" s="108"/>
      <c r="AK9" s="383" t="str">
        <f>" "&amp;ListAVS!$B$157</f>
        <v xml:space="preserve"> Rodzaje korpusów</v>
      </c>
      <c r="AL9" s="137"/>
      <c r="AM9" s="137"/>
      <c r="AN9" s="137"/>
      <c r="AO9" s="137"/>
      <c r="AP9" s="1200"/>
      <c r="AQ9" s="1201"/>
      <c r="AR9" s="1193"/>
      <c r="AS9" s="404"/>
      <c r="AT9" s="404"/>
      <c r="AU9" s="137"/>
      <c r="AV9" s="137"/>
    </row>
    <row r="10" spans="1:50" s="122" customFormat="1" ht="16.149999999999999" customHeight="1" thickBot="1" x14ac:dyDescent="0.25">
      <c r="A10" s="37"/>
      <c r="B10" s="1011" t="str">
        <f>ListAVS!$B$74&amp;" KB [mm] "</f>
        <v xml:space="preserve">Szerokość korpusu KB [mm] </v>
      </c>
      <c r="C10" s="1012"/>
      <c r="D10" s="1012"/>
      <c r="E10" s="1012"/>
      <c r="F10" s="1012"/>
      <c r="G10" s="1013"/>
      <c r="H10" s="257"/>
      <c r="I10" s="273" t="str">
        <f>IF($H10=0," ",IF($H10&lt;220," min. 220mm",IF($H10&gt;1800," max. 1 800mm"," ")))&amp;IF(H17&gt;0,IF(H10=0,"● "&amp;ListAVS!$B$129," ")," ")</f>
        <v xml:space="preserve">  </v>
      </c>
      <c r="J10" s="255"/>
      <c r="K10" s="255"/>
      <c r="L10" s="255"/>
      <c r="M10" s="37"/>
      <c r="N10" s="198" t="s">
        <v>32</v>
      </c>
      <c r="O10" s="199" t="s">
        <v>91</v>
      </c>
      <c r="P10" s="200" t="s">
        <v>92</v>
      </c>
      <c r="Q10" s="119"/>
      <c r="R10" s="750" t="s">
        <v>93</v>
      </c>
      <c r="S10" s="750" t="s">
        <v>76</v>
      </c>
      <c r="T10" s="751" t="s">
        <v>94</v>
      </c>
      <c r="U10" s="751" t="s">
        <v>95</v>
      </c>
      <c r="V10" s="1183" t="b">
        <v>0</v>
      </c>
      <c r="W10" s="1184"/>
      <c r="X10" s="444"/>
      <c r="Y10" s="164" t="str">
        <f>CenAVS!A84</f>
        <v xml:space="preserve">Aventos HK-S słaby, szary, nowa zaślepka     </v>
      </c>
      <c r="Z10" s="164" t="str">
        <f>CenAVS!B84</f>
        <v>20K2B00.06</v>
      </c>
      <c r="AA10" s="301" t="str">
        <f>CenAVS!C84</f>
        <v>TGIG</v>
      </c>
      <c r="AB10" s="165">
        <f t="shared" ref="AB10:AB35" si="2">SUM(AE10,AG10)</f>
        <v>0</v>
      </c>
      <c r="AC10" s="395">
        <f>CenAVS!F84</f>
        <v>79.448830000000001</v>
      </c>
      <c r="AD10" s="167">
        <f t="shared" ref="AD10:AD35" si="3">AB10*AC10</f>
        <v>0</v>
      </c>
      <c r="AE10" s="407">
        <f>IF(AND($U$16=1,$T$44=2),ROUNDUP(SUM($O$11:$P$11)*$M$17,0),0)</f>
        <v>0</v>
      </c>
      <c r="AF10" s="168">
        <f t="shared" si="0"/>
        <v>0</v>
      </c>
      <c r="AG10" s="407">
        <f>IF(AND($U$27=1,$T$44=2),ROUNDUP(SUM($O$22:$P$22)*$M$28,0),0)</f>
        <v>0</v>
      </c>
      <c r="AH10" s="168">
        <f t="shared" si="1"/>
        <v>0</v>
      </c>
      <c r="AI10" s="108"/>
      <c r="AJ10" s="108"/>
      <c r="AK10" s="383" t="str">
        <f>" "&amp;ListAVS!$B$158</f>
        <v xml:space="preserve"> Zamówienie</v>
      </c>
      <c r="AL10" s="137"/>
      <c r="AM10" s="137"/>
      <c r="AN10" s="137"/>
      <c r="AO10" s="137"/>
      <c r="AP10" s="1051" t="s">
        <v>109</v>
      </c>
      <c r="AQ10" s="1202"/>
      <c r="AR10" s="753" t="s">
        <v>110</v>
      </c>
      <c r="AS10" s="227"/>
      <c r="AT10" s="227"/>
      <c r="AU10" s="37"/>
      <c r="AV10" s="37"/>
    </row>
    <row r="11" spans="1:50" s="122" customFormat="1" ht="16.149999999999999" customHeight="1" x14ac:dyDescent="0.2">
      <c r="A11" s="37"/>
      <c r="B11" s="1011" t="str">
        <f>ListAVS!$B$75&amp;" KH [mm]  "</f>
        <v xml:space="preserve">Wysokość korpusu KH [mm]  </v>
      </c>
      <c r="C11" s="1012"/>
      <c r="D11" s="1012"/>
      <c r="E11" s="1012"/>
      <c r="F11" s="1012"/>
      <c r="G11" s="1013"/>
      <c r="H11" s="257"/>
      <c r="I11" s="273" t="str">
        <f>IF($H11=0," ",IF($H11&lt;190," min. 190mm",IF($H11&gt;600," max. 600 mm"," ")))&amp;IF(H17&gt;0,IF(H11=0,"● "&amp;ListAVS!$B$129," ")," ")</f>
        <v xml:space="preserve">  </v>
      </c>
      <c r="J11" s="255"/>
      <c r="K11" s="255"/>
      <c r="L11" s="255"/>
      <c r="M11" s="37"/>
      <c r="N11" s="119" t="s">
        <v>111</v>
      </c>
      <c r="O11" s="132">
        <f>IF($V$10=FALSE,IF($H$16&gt;R11,IF($H$16&lt;S11,1,0),0),0)</f>
        <v>0</v>
      </c>
      <c r="P11" s="132">
        <f>IF($V$10=TRUE,IF($H$16&gt;V11,IF($H$16&lt;W11,2,0),0),0)</f>
        <v>0</v>
      </c>
      <c r="Q11" s="119"/>
      <c r="R11" s="718">
        <v>219.99</v>
      </c>
      <c r="S11" s="718">
        <v>450</v>
      </c>
      <c r="T11" s="752"/>
      <c r="U11" s="119"/>
      <c r="V11" s="718">
        <v>329</v>
      </c>
      <c r="W11" s="718">
        <v>670</v>
      </c>
      <c r="X11" s="718"/>
      <c r="Y11" s="164" t="str">
        <f>CenAVS!A85</f>
        <v xml:space="preserve">Aventos HK-S słaby jedwabiście biały, zaślepka     </v>
      </c>
      <c r="Z11" s="164" t="str">
        <f>CenAVS!B85</f>
        <v>20K2B00.06</v>
      </c>
      <c r="AA11" s="301" t="str">
        <f>CenAVS!C85</f>
        <v>SWIG</v>
      </c>
      <c r="AB11" s="165">
        <f t="shared" si="2"/>
        <v>0</v>
      </c>
      <c r="AC11" s="395">
        <f>CenAVS!F85</f>
        <v>79.448830000000001</v>
      </c>
      <c r="AD11" s="167">
        <f t="shared" si="3"/>
        <v>0</v>
      </c>
      <c r="AE11" s="407">
        <f>IF(AND($U$16=1,$T$44=3),ROUNDUP(SUM($O$11:$P$11)*$M$17,0),0)</f>
        <v>0</v>
      </c>
      <c r="AF11" s="168">
        <f t="shared" si="0"/>
        <v>0</v>
      </c>
      <c r="AG11" s="407">
        <f>IF(AND($U$27=1,$T$44=3),ROUNDUP(SUM($O$22:$P$22)*$M$28,0),0)</f>
        <v>0</v>
      </c>
      <c r="AH11" s="168">
        <f t="shared" si="1"/>
        <v>0</v>
      </c>
      <c r="AI11" s="108"/>
      <c r="AJ11" s="108"/>
      <c r="AK11" s="255"/>
      <c r="AL11" s="137"/>
      <c r="AM11" s="137"/>
      <c r="AN11" s="137"/>
      <c r="AO11" s="137"/>
      <c r="AP11" s="1051" t="s">
        <v>112</v>
      </c>
      <c r="AQ11" s="1202"/>
      <c r="AR11" s="753" t="s">
        <v>113</v>
      </c>
      <c r="AS11" s="227"/>
      <c r="AT11" s="227"/>
      <c r="AU11" s="37"/>
      <c r="AV11" s="37"/>
    </row>
    <row r="12" spans="1:50" s="122" customFormat="1" ht="16.149999999999999" customHeight="1" x14ac:dyDescent="0.2">
      <c r="A12" s="37"/>
      <c r="B12" s="1011" t="str">
        <f>ListAVS!$B$78&amp;" [kg] ** "</f>
        <v xml:space="preserve">Waga frontu wraz z 2 uchwytami [kg] ** </v>
      </c>
      <c r="C12" s="1012"/>
      <c r="D12" s="1012"/>
      <c r="E12" s="1012"/>
      <c r="F12" s="1012"/>
      <c r="G12" s="1013"/>
      <c r="H12" s="258"/>
      <c r="I12" s="227" t="str">
        <f>IF($H17=0," ",IF(AND($H12=0, AF67=3, J4=0), $N$35, " "))&amp;IF($M17&gt;0,IF($H12&gt;0,$N$37," ")," ")</f>
        <v xml:space="preserve">  </v>
      </c>
      <c r="J12" s="255"/>
      <c r="K12" s="255"/>
      <c r="L12" s="255"/>
      <c r="M12" s="37"/>
      <c r="N12" s="119" t="s">
        <v>114</v>
      </c>
      <c r="O12" s="132">
        <f>IF($V$10=FALSE,IF($H$16&gt;R12,IF($H$16&lt;S12,1,0),0),0)</f>
        <v>0</v>
      </c>
      <c r="P12" s="132">
        <f>IF($V$10=TRUE,IF($H$16&gt;V12,IF($H$16&lt;W12,1.5,0),0),0)</f>
        <v>0</v>
      </c>
      <c r="Q12" s="119"/>
      <c r="R12" s="718">
        <v>449.99</v>
      </c>
      <c r="S12" s="718">
        <v>980</v>
      </c>
      <c r="T12" s="752"/>
      <c r="U12" s="119"/>
      <c r="V12" s="718">
        <v>669</v>
      </c>
      <c r="W12" s="718">
        <v>1470</v>
      </c>
      <c r="X12" s="718"/>
      <c r="Y12" s="164" t="str">
        <f>CenAVS!A86</f>
        <v xml:space="preserve">Aventos HK-S średni jasnoszary, zaślepka      </v>
      </c>
      <c r="Z12" s="164" t="str">
        <f>CenAVS!B86</f>
        <v>20K2C00.06</v>
      </c>
      <c r="AA12" s="301" t="str">
        <f>CenAVS!C86</f>
        <v>HGIG</v>
      </c>
      <c r="AB12" s="165">
        <f t="shared" si="2"/>
        <v>0</v>
      </c>
      <c r="AC12" s="395">
        <f>CenAVS!F86</f>
        <v>82.860640000000004</v>
      </c>
      <c r="AD12" s="167">
        <f t="shared" si="3"/>
        <v>0</v>
      </c>
      <c r="AE12" s="407">
        <f>IF(AND($U$16=1,$T$44=1),ROUNDUP(SUM($O$12:$P$12)*$M$17,0),0)</f>
        <v>0</v>
      </c>
      <c r="AF12" s="168">
        <f t="shared" si="0"/>
        <v>0</v>
      </c>
      <c r="AG12" s="407">
        <f>IF(AND($U$27=1,$T$44=1),ROUNDUP(SUM($O$23:$P$23)*$M$28,0),0)</f>
        <v>0</v>
      </c>
      <c r="AH12" s="168">
        <f t="shared" si="1"/>
        <v>0</v>
      </c>
      <c r="AI12" s="108"/>
      <c r="AJ12" s="108"/>
      <c r="AK12" s="670"/>
      <c r="AL12" s="137"/>
      <c r="AM12" s="137"/>
      <c r="AN12" s="137"/>
      <c r="AO12" s="137"/>
      <c r="AP12" s="1197" t="s">
        <v>115</v>
      </c>
      <c r="AQ12" s="1197"/>
      <c r="AR12" s="753" t="s">
        <v>116</v>
      </c>
      <c r="AS12" s="227"/>
      <c r="AT12" s="227"/>
      <c r="AU12" s="37"/>
      <c r="AV12" s="37"/>
    </row>
    <row r="13" spans="1:50" s="122" customFormat="1" ht="16.149999999999999" customHeight="1" x14ac:dyDescent="0.2">
      <c r="A13" s="37"/>
      <c r="B13" s="1055" t="str">
        <f>ListAVS!$B$293</f>
        <v>Obliczenie wagi</v>
      </c>
      <c r="C13" s="1055"/>
      <c r="D13" s="1153" t="str">
        <f>ListAVS!$B$80&amp;" TS [mm] "</f>
        <v xml:space="preserve">Grubość frontu TS [mm] </v>
      </c>
      <c r="E13" s="1153"/>
      <c r="F13" s="1153"/>
      <c r="G13" s="1154"/>
      <c r="H13" s="259"/>
      <c r="I13" s="256"/>
      <c r="J13" s="255"/>
      <c r="K13" s="255"/>
      <c r="L13" s="255"/>
      <c r="M13" s="37"/>
      <c r="N13" s="119" t="s">
        <v>117</v>
      </c>
      <c r="O13" s="132">
        <f>IF($V$10=FALSE,IF($H$16&gt;R13,IF($H$16&lt;S13,1,0),0),0)</f>
        <v>0</v>
      </c>
      <c r="P13" s="132">
        <f>IF($V$10=TRUE,IF($H$16&gt;V13,IF($H$16&lt;W13,1.5,0),0),0)</f>
        <v>0</v>
      </c>
      <c r="Q13" s="119"/>
      <c r="R13" s="718">
        <v>979.99</v>
      </c>
      <c r="S13" s="718">
        <v>2216</v>
      </c>
      <c r="T13" s="37"/>
      <c r="U13" s="37"/>
      <c r="V13" s="718">
        <v>1469</v>
      </c>
      <c r="W13" s="718">
        <v>3061</v>
      </c>
      <c r="X13" s="718"/>
      <c r="Y13" s="164" t="str">
        <f>CenAVS!A87</f>
        <v xml:space="preserve">Aventos HK-S średni, szary, zaślepka      </v>
      </c>
      <c r="Z13" s="164" t="str">
        <f>CenAVS!B87</f>
        <v>20K2C00.06</v>
      </c>
      <c r="AA13" s="301" t="str">
        <f>CenAVS!C87</f>
        <v>TGIG</v>
      </c>
      <c r="AB13" s="165">
        <f t="shared" si="2"/>
        <v>0</v>
      </c>
      <c r="AC13" s="395">
        <f>CenAVS!F87</f>
        <v>85.38176</v>
      </c>
      <c r="AD13" s="167">
        <f t="shared" si="3"/>
        <v>0</v>
      </c>
      <c r="AE13" s="407">
        <f>IF(AND($U$16=1,$T$44=2),ROUNDUP(SUM($O$12:$P$12)*$M$17,0),0)</f>
        <v>0</v>
      </c>
      <c r="AF13" s="168">
        <f t="shared" si="0"/>
        <v>0</v>
      </c>
      <c r="AG13" s="407">
        <f>IF(AND($U$27=1,$T$44=2),ROUNDUP(SUM($O$23:$P$23)*$M$28,0),0)</f>
        <v>0</v>
      </c>
      <c r="AH13" s="168">
        <f t="shared" si="1"/>
        <v>0</v>
      </c>
      <c r="AI13" s="108"/>
      <c r="AJ13" s="108"/>
      <c r="AK13" s="670"/>
      <c r="AL13" s="137"/>
      <c r="AM13" s="137"/>
      <c r="AN13" s="137"/>
      <c r="AO13" s="137"/>
      <c r="AP13" s="1203"/>
      <c r="AQ13" s="1203"/>
      <c r="AR13" s="268"/>
      <c r="AS13" s="227"/>
      <c r="AT13" s="227"/>
      <c r="AU13" s="37"/>
      <c r="AV13" s="37"/>
    </row>
    <row r="14" spans="1:50" s="122" customFormat="1" ht="16.149999999999999" customHeight="1" x14ac:dyDescent="0.2">
      <c r="A14" s="37"/>
      <c r="B14" s="1055"/>
      <c r="C14" s="1055"/>
      <c r="D14" s="1053" t="str">
        <f>ListAVS!$B$83&amp;" [kg] "</f>
        <v xml:space="preserve">Waga uchwytu [kg] </v>
      </c>
      <c r="E14" s="1053"/>
      <c r="F14" s="1053"/>
      <c r="G14" s="1054"/>
      <c r="H14" s="258"/>
      <c r="I14" s="256" t="str">
        <f>IF(H17=0, " ", IF(AND(H12=0, U16=1, H14=0), " ● "&amp;ListAVS!$B$130," "))</f>
        <v xml:space="preserve"> </v>
      </c>
      <c r="J14" s="255"/>
      <c r="K14" s="255"/>
      <c r="L14" s="255"/>
      <c r="M14" s="37"/>
      <c r="N14" s="119"/>
      <c r="O14" s="132"/>
      <c r="P14" s="132"/>
      <c r="Q14" s="119"/>
      <c r="R14" s="718"/>
      <c r="S14" s="718"/>
      <c r="T14" s="37"/>
      <c r="U14" s="37"/>
      <c r="V14" s="718"/>
      <c r="W14" s="718"/>
      <c r="X14" s="718"/>
      <c r="Y14" s="164" t="str">
        <f>CenAVS!A88</f>
        <v xml:space="preserve">Aventos HK-S średni jedwabiście biały, zaślepka     </v>
      </c>
      <c r="Z14" s="164" t="str">
        <f>CenAVS!B88</f>
        <v>20K2C00.06</v>
      </c>
      <c r="AA14" s="301" t="str">
        <f>CenAVS!C88</f>
        <v>SWIG</v>
      </c>
      <c r="AB14" s="165">
        <f t="shared" si="2"/>
        <v>0</v>
      </c>
      <c r="AC14" s="395">
        <f>CenAVS!F88</f>
        <v>85.38176</v>
      </c>
      <c r="AD14" s="167">
        <f t="shared" si="3"/>
        <v>0</v>
      </c>
      <c r="AE14" s="407">
        <f>IF(AND($U$16=1,$T$44=3),ROUNDUP(SUM($O$12:$P$12)*$M$17,0),0)</f>
        <v>0</v>
      </c>
      <c r="AF14" s="168">
        <f t="shared" si="0"/>
        <v>0</v>
      </c>
      <c r="AG14" s="407">
        <f>IF(AND($U$27=1,$T$44=3),ROUNDUP(SUM($O$23:$P$23)*$M$28,0),0)</f>
        <v>0</v>
      </c>
      <c r="AH14" s="168">
        <f t="shared" si="1"/>
        <v>0</v>
      </c>
      <c r="AI14" s="108"/>
      <c r="AJ14" s="108"/>
      <c r="AK14" s="670"/>
      <c r="AL14" s="137"/>
      <c r="AM14" s="137"/>
      <c r="AN14" s="137"/>
      <c r="AO14" s="137"/>
      <c r="AP14" s="1101" t="str">
        <f>ListAVS!$B$86&amp;" LF = "&amp;ListAVS!$B$75&amp;" KH [mm] x "&amp;ListAVS!$B$78&amp;" [kg]"</f>
        <v>Współczynnik mocy LF = Wysokość korpusu KH [mm] x Waga frontu wraz z 2 uchwytami [kg]</v>
      </c>
      <c r="AQ14" s="1101"/>
      <c r="AR14" s="1101"/>
      <c r="AS14" s="1101"/>
      <c r="AT14" s="1101"/>
      <c r="AU14" s="37"/>
      <c r="AV14" s="37"/>
    </row>
    <row r="15" spans="1:50" s="122" customFormat="1" ht="16.149999999999999" customHeight="1" x14ac:dyDescent="0.2">
      <c r="A15" s="37"/>
      <c r="B15" s="1055"/>
      <c r="C15" s="1055"/>
      <c r="D15" s="1053" t="str">
        <f>ListAVS!$B$79&amp;" [kg] "</f>
        <v xml:space="preserve">Obliczona waga frontu [kg] </v>
      </c>
      <c r="E15" s="1053"/>
      <c r="F15" s="1053"/>
      <c r="G15" s="1054"/>
      <c r="H15" s="259">
        <f>$T$71</f>
        <v>0</v>
      </c>
      <c r="I15" s="227" t="str">
        <f>IF($H17&gt;0,IF($H15&gt;0,IF($H12=0,$N$37," ")," ")," ")</f>
        <v xml:space="preserve"> </v>
      </c>
      <c r="J15" s="255"/>
      <c r="K15" s="255"/>
      <c r="L15" s="255"/>
      <c r="M15" s="37"/>
      <c r="N15" s="37"/>
      <c r="O15" s="37"/>
      <c r="P15" s="37"/>
      <c r="Q15" s="37"/>
      <c r="R15" s="37"/>
      <c r="S15" s="37"/>
      <c r="T15" s="754"/>
      <c r="U15" s="755" t="str">
        <f>IF(U16=1,$V$46,IF(U16=2,$V$47,$V$48))</f>
        <v>Standard</v>
      </c>
      <c r="V15" s="37"/>
      <c r="W15" s="37"/>
      <c r="X15" s="37"/>
      <c r="Y15" s="164" t="str">
        <f>CenAVS!A89</f>
        <v xml:space="preserve">Aventos HK-S mocny jasnoszary, zaślepka      </v>
      </c>
      <c r="Z15" s="164" t="str">
        <f>CenAVS!B89</f>
        <v>20K2E00.06</v>
      </c>
      <c r="AA15" s="301" t="str">
        <f>CenAVS!C89</f>
        <v>HGIG</v>
      </c>
      <c r="AB15" s="165">
        <f t="shared" si="2"/>
        <v>0</v>
      </c>
      <c r="AC15" s="395">
        <f>CenAVS!F89</f>
        <v>82.860640000000004</v>
      </c>
      <c r="AD15" s="167">
        <f t="shared" si="3"/>
        <v>0</v>
      </c>
      <c r="AE15" s="407">
        <f>IF(AND($U$16=1,$T$44=1),ROUNDUP(SUM($O$13:$P$13)*$M$17,0),0)</f>
        <v>0</v>
      </c>
      <c r="AF15" s="168">
        <f t="shared" si="0"/>
        <v>0</v>
      </c>
      <c r="AG15" s="407">
        <f>IF(AND($U$27=1,$T$44=1),ROUNDUP(SUM($O$24:$P$24)*$M$28,0),0)</f>
        <v>0</v>
      </c>
      <c r="AH15" s="168">
        <f t="shared" si="1"/>
        <v>0</v>
      </c>
      <c r="AI15" s="108"/>
      <c r="AJ15" s="108"/>
      <c r="AK15" s="255"/>
      <c r="AL15" s="137"/>
      <c r="AM15" s="137"/>
      <c r="AN15" s="137"/>
      <c r="AO15" s="137"/>
      <c r="AP15" s="1101"/>
      <c r="AQ15" s="1101"/>
      <c r="AR15" s="1101"/>
      <c r="AS15" s="1101"/>
      <c r="AT15" s="1101"/>
      <c r="AU15" s="37"/>
      <c r="AV15" s="37"/>
    </row>
    <row r="16" spans="1:50" s="122" customFormat="1" ht="16.149999999999999" customHeight="1" thickBot="1" x14ac:dyDescent="0.25">
      <c r="A16" s="37"/>
      <c r="B16" s="1011"/>
      <c r="C16" s="1013"/>
      <c r="D16" s="1011" t="str">
        <f>ListAVS!$B$86&amp;" LF "</f>
        <v xml:space="preserve">Współczynnik mocy LF </v>
      </c>
      <c r="E16" s="1012"/>
      <c r="F16" s="1012"/>
      <c r="G16" s="1013"/>
      <c r="H16" s="400">
        <f>IF(H12&gt;0,H11*H12,H11*H15)</f>
        <v>0</v>
      </c>
      <c r="I16" s="256" t="str">
        <f>IF(AND($H16&gt;0, $H16&lt;220), $N$39, IF($H16&gt;3322.5, $N$40, IF($H16&gt;2215.5, IF(V10=FALSE, $N$41, " ")," ")))</f>
        <v xml:space="preserve"> </v>
      </c>
      <c r="J16" s="255"/>
      <c r="K16" s="255"/>
      <c r="L16" s="255"/>
      <c r="M16" s="118"/>
      <c r="N16" s="119"/>
      <c r="O16" s="132"/>
      <c r="P16" s="132"/>
      <c r="Q16" s="119"/>
      <c r="R16" s="718"/>
      <c r="S16" s="718"/>
      <c r="T16" s="756"/>
      <c r="U16" s="207">
        <v>1</v>
      </c>
      <c r="V16" s="718"/>
      <c r="W16" s="718"/>
      <c r="X16" s="718"/>
      <c r="Y16" s="164" t="str">
        <f>CenAVS!A90</f>
        <v xml:space="preserve">Aventos HK-S mocny, szary, nowa zaślepka     </v>
      </c>
      <c r="Z16" s="164" t="str">
        <f>CenAVS!B90</f>
        <v>20K2E00.06</v>
      </c>
      <c r="AA16" s="301" t="str">
        <f>CenAVS!C90</f>
        <v>TGIG</v>
      </c>
      <c r="AB16" s="165">
        <f t="shared" si="2"/>
        <v>0</v>
      </c>
      <c r="AC16" s="395">
        <f>CenAVS!F90</f>
        <v>85.38176</v>
      </c>
      <c r="AD16" s="167">
        <f t="shared" si="3"/>
        <v>0</v>
      </c>
      <c r="AE16" s="407">
        <f>IF(AND($U$16=1,$T$44=2),ROUNDUP(SUM($O$13:$P$13)*$M$17,0),0)</f>
        <v>0</v>
      </c>
      <c r="AF16" s="168">
        <f t="shared" si="0"/>
        <v>0</v>
      </c>
      <c r="AG16" s="407">
        <f>IF(AND($U$27=1,$T$44=2),ROUNDUP(SUM($O$24:$P$24)*$M$28,0),0)</f>
        <v>0</v>
      </c>
      <c r="AH16" s="168">
        <f t="shared" si="1"/>
        <v>0</v>
      </c>
      <c r="AI16" s="108"/>
      <c r="AJ16" s="108"/>
      <c r="AK16" s="255"/>
      <c r="AL16" s="137"/>
      <c r="AM16" s="137"/>
      <c r="AN16" s="137"/>
      <c r="AO16" s="137"/>
      <c r="AP16" s="1101" t="str">
        <f>ListAVS!$B$355</f>
        <v>W razie wykorzystania trzeciego siłownika współczynnik mocy oraz waga frontu mogą się zwiększyć o 50 %.</v>
      </c>
      <c r="AQ16" s="1101"/>
      <c r="AR16" s="1101"/>
      <c r="AS16" s="1101"/>
      <c r="AT16" s="1101"/>
      <c r="AU16" s="37"/>
      <c r="AV16" s="37"/>
    </row>
    <row r="17" spans="1:49" s="122" customFormat="1" ht="16.149999999999999" customHeight="1" thickBot="1" x14ac:dyDescent="0.25">
      <c r="A17" s="37"/>
      <c r="B17" s="1155" t="str">
        <f>ListAVS!$B$71</f>
        <v>Ilość szafek</v>
      </c>
      <c r="C17" s="1156"/>
      <c r="D17" s="1156"/>
      <c r="E17" s="1156"/>
      <c r="F17" s="1156"/>
      <c r="G17" s="1156"/>
      <c r="H17" s="261"/>
      <c r="I17" s="273"/>
      <c r="J17" s="255"/>
      <c r="K17" s="255"/>
      <c r="L17" s="255"/>
      <c r="M17" s="315">
        <f>IF(OR($H10*$H11*$T17=0,$H11&lt;190,$H11&gt;600, H16&lt;220, $H16&gt;3322.5),0,IF($H16&gt;2215.5,IF($V10=FALSE,0,$H17),$H17))</f>
        <v>0</v>
      </c>
      <c r="N17" s="130"/>
      <c r="O17" s="132"/>
      <c r="P17" s="132"/>
      <c r="Q17" s="119"/>
      <c r="R17" s="718"/>
      <c r="S17" s="690" t="s">
        <v>51</v>
      </c>
      <c r="T17" s="691">
        <f>IF(H12&gt;0,H12,H15)</f>
        <v>0</v>
      </c>
      <c r="U17" s="37">
        <f>IF(SUM(H12,H15)=0,0,IF(H12&gt;0,1,2))</f>
        <v>0</v>
      </c>
      <c r="V17" s="571" t="s">
        <v>52</v>
      </c>
      <c r="W17" s="37"/>
      <c r="X17" s="718"/>
      <c r="Y17" s="164" t="str">
        <f>CenAVS!A91</f>
        <v xml:space="preserve">Aventos HK-S mocny jedwabiście biały      </v>
      </c>
      <c r="Z17" s="164" t="str">
        <f>CenAVS!B91</f>
        <v>20K2E00.06</v>
      </c>
      <c r="AA17" s="301" t="str">
        <f>CenAVS!C91</f>
        <v>SWIG</v>
      </c>
      <c r="AB17" s="165">
        <f t="shared" si="2"/>
        <v>0</v>
      </c>
      <c r="AC17" s="395">
        <f>CenAVS!F91</f>
        <v>85.38176</v>
      </c>
      <c r="AD17" s="167">
        <f t="shared" si="3"/>
        <v>0</v>
      </c>
      <c r="AE17" s="407">
        <f>IF(AND($U$16=1,$T$44=3),ROUNDUP(SUM($O$13:$P$13)*$M$17,0),0)</f>
        <v>0</v>
      </c>
      <c r="AF17" s="168">
        <f t="shared" si="0"/>
        <v>0</v>
      </c>
      <c r="AG17" s="407">
        <f>IF(AND($U$27=1,$T$44=3),ROUNDUP(SUM($O$24:$P$24)*$M$28,0),0)</f>
        <v>0</v>
      </c>
      <c r="AH17" s="168">
        <f t="shared" si="1"/>
        <v>0</v>
      </c>
      <c r="AI17" s="108"/>
      <c r="AJ17" s="108"/>
      <c r="AK17" s="692"/>
      <c r="AL17" s="137"/>
      <c r="AM17" s="137"/>
      <c r="AN17" s="137"/>
      <c r="AO17" s="137"/>
      <c r="AP17" s="1101"/>
      <c r="AQ17" s="1101"/>
      <c r="AR17" s="1101"/>
      <c r="AS17" s="1101"/>
      <c r="AT17" s="1101"/>
      <c r="AU17" s="37"/>
      <c r="AV17" s="37"/>
    </row>
    <row r="18" spans="1:49" s="122" customFormat="1" ht="16.149999999999999" customHeight="1" x14ac:dyDescent="0.2">
      <c r="A18" s="37"/>
      <c r="B18" s="227" t="str">
        <f>IF(M17&gt;0,IF(U17=0," ",IF(U17=1,$N$49,$N$50))," ")&amp;IF(M17&gt;0,IF(U17=0," ",IF(U17=1,$N$51,$N$52))," ")</f>
        <v xml:space="preserve">  </v>
      </c>
      <c r="C18" s="227"/>
      <c r="D18" s="227"/>
      <c r="E18" s="227"/>
      <c r="F18" s="262"/>
      <c r="G18" s="262"/>
      <c r="H18" s="227"/>
      <c r="I18" s="255"/>
      <c r="J18" s="255"/>
      <c r="K18" s="255"/>
      <c r="L18" s="255"/>
      <c r="M18" s="118"/>
      <c r="N18" s="119"/>
      <c r="O18" s="132"/>
      <c r="P18" s="132"/>
      <c r="Q18" s="119"/>
      <c r="R18" s="718"/>
      <c r="S18" s="718"/>
      <c r="T18" s="119"/>
      <c r="U18" s="151"/>
      <c r="V18" s="718"/>
      <c r="W18" s="718"/>
      <c r="X18" s="718"/>
      <c r="Y18" s="164" t="str">
        <f>CenAVS!A92</f>
        <v xml:space="preserve">          </v>
      </c>
      <c r="Z18" s="164">
        <f>CenAVS!B92</f>
        <v>0</v>
      </c>
      <c r="AA18" s="301">
        <f>CenAVS!C92</f>
        <v>0</v>
      </c>
      <c r="AB18" s="165">
        <f t="shared" si="2"/>
        <v>0</v>
      </c>
      <c r="AC18" s="395">
        <f>CenAVS!F92</f>
        <v>0</v>
      </c>
      <c r="AD18" s="167">
        <f t="shared" si="3"/>
        <v>0</v>
      </c>
      <c r="AE18" s="407"/>
      <c r="AF18" s="168">
        <f t="shared" si="0"/>
        <v>0</v>
      </c>
      <c r="AG18" s="407"/>
      <c r="AH18" s="168">
        <f t="shared" si="1"/>
        <v>0</v>
      </c>
      <c r="AI18" s="108"/>
      <c r="AJ18" s="108"/>
      <c r="AK18" s="670"/>
      <c r="AL18" s="137"/>
      <c r="AM18" s="137"/>
      <c r="AN18" s="137"/>
      <c r="AO18" s="137"/>
      <c r="AP18" s="227"/>
      <c r="AQ18" s="227"/>
      <c r="AR18" s="227"/>
      <c r="AS18" s="227"/>
      <c r="AT18" s="227"/>
      <c r="AU18" s="37"/>
      <c r="AV18" s="37"/>
    </row>
    <row r="19" spans="1:49" s="122" customFormat="1" ht="25.15" customHeight="1" thickBot="1" x14ac:dyDescent="0.25">
      <c r="A19" s="37"/>
      <c r="B19" s="227"/>
      <c r="C19" s="227"/>
      <c r="D19" s="227"/>
      <c r="E19" s="227"/>
      <c r="F19" s="262"/>
      <c r="G19" s="262"/>
      <c r="H19" s="227"/>
      <c r="I19" s="255"/>
      <c r="J19" s="255"/>
      <c r="K19" s="255"/>
      <c r="L19" s="255"/>
      <c r="M19" s="118"/>
      <c r="N19" s="119"/>
      <c r="O19" s="132"/>
      <c r="P19" s="132"/>
      <c r="Q19" s="119"/>
      <c r="R19" s="718"/>
      <c r="S19" s="718"/>
      <c r="T19" s="119"/>
      <c r="U19" s="151"/>
      <c r="V19" s="718"/>
      <c r="W19" s="718"/>
      <c r="X19" s="718"/>
      <c r="Y19" s="164" t="str">
        <f>CenAVS!A93</f>
        <v xml:space="preserve">Aventos HK-S Tip-on słaby jasnoszary bez Tip-on krytka   </v>
      </c>
      <c r="Z19" s="164" t="str">
        <f>CenAVS!B93</f>
        <v>20K2B00T06</v>
      </c>
      <c r="AA19" s="301" t="str">
        <f>CenAVS!C93</f>
        <v>HGIG</v>
      </c>
      <c r="AB19" s="165">
        <f t="shared" si="2"/>
        <v>0</v>
      </c>
      <c r="AC19" s="395">
        <f>CenAVS!F93</f>
        <v>77.645600000000002</v>
      </c>
      <c r="AD19" s="167">
        <f t="shared" si="3"/>
        <v>0</v>
      </c>
      <c r="AE19" s="407">
        <f>IF(AND($U$16=2,$T$44=1),ROUNDUP(SUM($O$11:$P$11)*$M$17,0),0)</f>
        <v>0</v>
      </c>
      <c r="AF19" s="168">
        <f t="shared" si="0"/>
        <v>0</v>
      </c>
      <c r="AG19" s="407">
        <f>IF(AND($U$27=2,$T$44=1),ROUNDUP(SUM($O$22:$P$22)*$M$28,0),0)</f>
        <v>0</v>
      </c>
      <c r="AH19" s="168">
        <f t="shared" si="1"/>
        <v>0</v>
      </c>
      <c r="AI19" s="108"/>
      <c r="AJ19" s="108"/>
      <c r="AK19" s="255"/>
      <c r="AL19" s="137"/>
      <c r="AM19" s="137"/>
      <c r="AN19" s="137"/>
      <c r="AO19" s="137"/>
      <c r="AP19" s="227"/>
      <c r="AQ19" s="227"/>
      <c r="AR19" s="227"/>
      <c r="AS19" s="227"/>
      <c r="AT19" s="227"/>
      <c r="AU19" s="37"/>
      <c r="AV19" s="37"/>
    </row>
    <row r="20" spans="1:49" s="122" customFormat="1" ht="16.149999999999999" customHeight="1" thickBot="1" x14ac:dyDescent="0.25">
      <c r="A20" s="37"/>
      <c r="B20" s="1051" t="str">
        <f>"▼ "&amp;ListAVS!$B$318</f>
        <v>▼ Sposób otwierania</v>
      </c>
      <c r="C20" s="1052"/>
      <c r="D20" s="406" t="str">
        <f>IF($M$28&gt;0, ListAVS!$B$37&amp;": ", " ")</f>
        <v xml:space="preserve"> </v>
      </c>
      <c r="E20" s="688" t="str">
        <f>IF(SUM(AG$9:AG$11)&gt;0, "B", IF(SUM(AG$12:AG$14)&gt;0, "C", IF(SUM(AG$15:AG$17)&gt;0, "E", IF(SUM(AG$19:AG$21)&gt;0, "B T", IF(SUM(AG$22:AG$24)&gt;0, "C T", IF(SUM(AG$25:AG$27)&gt;0, "E T",  " "))))))</f>
        <v xml:space="preserve"> </v>
      </c>
      <c r="F20" s="1056" t="str">
        <f>ListAVS!$B$64&amp;" B"</f>
        <v>Korpus B</v>
      </c>
      <c r="G20" s="1057"/>
      <c r="H20" s="1058"/>
      <c r="I20" s="273"/>
      <c r="J20" s="255"/>
      <c r="K20" s="255"/>
      <c r="L20" s="255"/>
      <c r="M20" s="37"/>
      <c r="N20" s="119"/>
      <c r="O20" s="132"/>
      <c r="P20" s="119"/>
      <c r="Q20" s="132"/>
      <c r="R20" s="1194" t="s">
        <v>89</v>
      </c>
      <c r="S20" s="1195"/>
      <c r="T20" s="747"/>
      <c r="U20" s="748"/>
      <c r="V20" s="1195" t="s">
        <v>90</v>
      </c>
      <c r="W20" s="1196"/>
      <c r="X20" s="132"/>
      <c r="Y20" s="164" t="str">
        <f>CenAVS!A94</f>
        <v xml:space="preserve">Aventos HK-S Tip-on słaby ciemnoszary bez Tip-on zaślepka   </v>
      </c>
      <c r="Z20" s="164" t="str">
        <f>CenAVS!B94</f>
        <v>20K2B00T06</v>
      </c>
      <c r="AA20" s="301" t="str">
        <f>CenAVS!C94</f>
        <v>TGIG</v>
      </c>
      <c r="AB20" s="165">
        <f t="shared" si="2"/>
        <v>0</v>
      </c>
      <c r="AC20" s="395">
        <f>CenAVS!F94</f>
        <v>80.166719999999998</v>
      </c>
      <c r="AD20" s="167">
        <f t="shared" si="3"/>
        <v>0</v>
      </c>
      <c r="AE20" s="407">
        <f>IF(AND($U$16=2,$T$44=2),ROUNDUP(SUM($O$11:$P$11)*$M$17,0),0)</f>
        <v>0</v>
      </c>
      <c r="AF20" s="168">
        <f t="shared" si="0"/>
        <v>0</v>
      </c>
      <c r="AG20" s="407">
        <f>IF(AND($U$27=2,$T$44=2),ROUNDUP(SUM($O$22:$P$22)*$M$28,0),0)</f>
        <v>0</v>
      </c>
      <c r="AH20" s="168">
        <f t="shared" si="1"/>
        <v>0</v>
      </c>
      <c r="AI20" s="108"/>
      <c r="AJ20" s="108"/>
      <c r="AK20" s="255"/>
      <c r="AL20" s="137"/>
      <c r="AM20" s="137"/>
      <c r="AN20" s="137"/>
      <c r="AO20" s="137"/>
      <c r="AP20" s="673"/>
      <c r="AQ20" s="227"/>
      <c r="AR20" s="227"/>
      <c r="AS20" s="227"/>
      <c r="AT20" s="227"/>
      <c r="AU20" s="37"/>
      <c r="AV20" s="37"/>
    </row>
    <row r="21" spans="1:49" s="122" customFormat="1" ht="16.149999999999999" customHeight="1" x14ac:dyDescent="0.2">
      <c r="A21" s="37"/>
      <c r="B21" s="1011" t="str">
        <f>ListAVS!$B$74&amp;" KB [mm] "</f>
        <v xml:space="preserve">Szerokość korpusu KB [mm] </v>
      </c>
      <c r="C21" s="1012"/>
      <c r="D21" s="1012"/>
      <c r="E21" s="1012"/>
      <c r="F21" s="1012"/>
      <c r="G21" s="1013"/>
      <c r="H21" s="257"/>
      <c r="I21" s="273" t="str">
        <f>IF($H21=0," ",IF($H21&lt;220," min. 220mm",IF($H21&gt;1800," max. 1 800mm"," ")))&amp;IF(H28&gt;0,IF(H21=0,"● "&amp;ListAVS!$B$129," ")," ")</f>
        <v xml:space="preserve">  </v>
      </c>
      <c r="J21" s="255"/>
      <c r="K21" s="255"/>
      <c r="L21" s="255"/>
      <c r="M21" s="37"/>
      <c r="N21" s="198" t="s">
        <v>32</v>
      </c>
      <c r="O21" s="199" t="s">
        <v>91</v>
      </c>
      <c r="P21" s="200" t="s">
        <v>92</v>
      </c>
      <c r="Q21" s="119"/>
      <c r="R21" s="750" t="s">
        <v>93</v>
      </c>
      <c r="S21" s="750" t="s">
        <v>76</v>
      </c>
      <c r="T21" s="751" t="s">
        <v>94</v>
      </c>
      <c r="U21" s="751" t="s">
        <v>95</v>
      </c>
      <c r="V21" s="1183" t="b">
        <v>0</v>
      </c>
      <c r="W21" s="1184"/>
      <c r="X21" s="444"/>
      <c r="Y21" s="164" t="str">
        <f>CenAVS!A95</f>
        <v xml:space="preserve">Aventos HK-S Tip-on słaby jedwabiście biały     </v>
      </c>
      <c r="Z21" s="164" t="str">
        <f>CenAVS!B95</f>
        <v>20K2B00T06</v>
      </c>
      <c r="AA21" s="301" t="str">
        <f>CenAVS!C95</f>
        <v>SWIG</v>
      </c>
      <c r="AB21" s="165">
        <f t="shared" si="2"/>
        <v>0</v>
      </c>
      <c r="AC21" s="395">
        <f>CenAVS!F95</f>
        <v>80.166719999999998</v>
      </c>
      <c r="AD21" s="167">
        <f t="shared" si="3"/>
        <v>0</v>
      </c>
      <c r="AE21" s="407">
        <f>IF(AND($U$16=2,$T$44=3),ROUNDUP(SUM($O$11:$P$11)*$M$17,0),0)</f>
        <v>0</v>
      </c>
      <c r="AF21" s="168">
        <f t="shared" si="0"/>
        <v>0</v>
      </c>
      <c r="AG21" s="407">
        <f>IF(AND($U$27=2,$T$44=3),ROUNDUP(SUM($O$22:$P$22)*$M$28,0),0)</f>
        <v>0</v>
      </c>
      <c r="AH21" s="168">
        <f t="shared" si="1"/>
        <v>0</v>
      </c>
      <c r="AI21" s="108"/>
      <c r="AJ21" s="108"/>
      <c r="AK21" s="255"/>
      <c r="AL21" s="137"/>
      <c r="AM21" s="137"/>
      <c r="AN21" s="137"/>
      <c r="AO21" s="137"/>
      <c r="AP21" s="227"/>
      <c r="AQ21" s="227"/>
      <c r="AR21" s="227"/>
      <c r="AS21" s="227"/>
      <c r="AT21" s="227"/>
      <c r="AU21" s="37"/>
      <c r="AV21" s="37"/>
    </row>
    <row r="22" spans="1:49" s="122" customFormat="1" ht="16.149999999999999" customHeight="1" x14ac:dyDescent="0.2">
      <c r="A22" s="37"/>
      <c r="B22" s="1011" t="str">
        <f>ListAVS!$B$75&amp;" KH [mm] "</f>
        <v xml:space="preserve">Wysokość korpusu KH [mm] </v>
      </c>
      <c r="C22" s="1012"/>
      <c r="D22" s="1012"/>
      <c r="E22" s="1012"/>
      <c r="F22" s="1012"/>
      <c r="G22" s="1013"/>
      <c r="H22" s="257"/>
      <c r="I22" s="273" t="str">
        <f>IF($H22=0," ",IF($H22&lt;190," min. 190mm",IF($H22&gt;600," max. 600 mm"," ")))&amp;IF(H28&gt;0,IF(H22=0,"● "&amp;ListAVS!$B$129," ")," ")</f>
        <v xml:space="preserve">  </v>
      </c>
      <c r="J22" s="255"/>
      <c r="K22" s="255"/>
      <c r="L22" s="255"/>
      <c r="M22" s="37"/>
      <c r="N22" s="119" t="s">
        <v>111</v>
      </c>
      <c r="O22" s="132">
        <f>IF($V$21=FALSE,IF($H$27&gt;R22,IF($H$27&lt;S22,1,0),0),0)</f>
        <v>0</v>
      </c>
      <c r="P22" s="132">
        <f>IF($V$21=TRUE,IF($H$27&gt;V22,IF($H$27&lt;W22,2,0),0),0)</f>
        <v>0</v>
      </c>
      <c r="Q22" s="119"/>
      <c r="R22" s="718">
        <v>219.99</v>
      </c>
      <c r="S22" s="718">
        <v>450</v>
      </c>
      <c r="T22" s="752"/>
      <c r="U22" s="119"/>
      <c r="V22" s="718">
        <v>329</v>
      </c>
      <c r="W22" s="718">
        <v>670</v>
      </c>
      <c r="X22" s="718"/>
      <c r="Y22" s="164" t="str">
        <f>CenAVS!A96</f>
        <v xml:space="preserve">Aventos HK-S Tip-on średni jasnoszary bez Tip-on zaślepka   </v>
      </c>
      <c r="Z22" s="164" t="str">
        <f>CenAVS!B96</f>
        <v>20K2C00T06</v>
      </c>
      <c r="AA22" s="301" t="str">
        <f>CenAVS!C96</f>
        <v>HGIG</v>
      </c>
      <c r="AB22" s="165">
        <f t="shared" si="2"/>
        <v>0</v>
      </c>
      <c r="AC22" s="395">
        <f>CenAVS!F96</f>
        <v>84.296419999999998</v>
      </c>
      <c r="AD22" s="167">
        <f t="shared" si="3"/>
        <v>0</v>
      </c>
      <c r="AE22" s="407">
        <f>IF(AND($U$16=2,$T$44=1),ROUNDUP(SUM($O$12:$P$12)*$M$17,0),0)</f>
        <v>0</v>
      </c>
      <c r="AF22" s="168">
        <f t="shared" si="0"/>
        <v>0</v>
      </c>
      <c r="AG22" s="407">
        <f>IF(AND($U$27=2,$T$44=1),ROUNDUP(SUM($O$23:$P$23)*$M$28,0),0)</f>
        <v>0</v>
      </c>
      <c r="AH22" s="168">
        <f t="shared" si="1"/>
        <v>0</v>
      </c>
      <c r="AI22" s="108"/>
      <c r="AJ22" s="108"/>
      <c r="AK22" s="255"/>
      <c r="AL22" s="137"/>
      <c r="AM22" s="137"/>
      <c r="AN22" s="137"/>
      <c r="AO22" s="137"/>
      <c r="AP22" s="227"/>
      <c r="AQ22" s="227"/>
      <c r="AR22" s="227"/>
      <c r="AS22" s="227"/>
      <c r="AT22" s="227"/>
      <c r="AU22" s="37"/>
      <c r="AV22" s="37"/>
    </row>
    <row r="23" spans="1:49" s="122" customFormat="1" ht="16.149999999999999" customHeight="1" x14ac:dyDescent="0.2">
      <c r="A23" s="37"/>
      <c r="B23" s="1011" t="str">
        <f>ListAVS!$B$78&amp;" [kg] ** "</f>
        <v xml:space="preserve">Waga frontu wraz z 2 uchwytami [kg] ** </v>
      </c>
      <c r="C23" s="1012"/>
      <c r="D23" s="1012"/>
      <c r="E23" s="1012"/>
      <c r="F23" s="1012"/>
      <c r="G23" s="1013"/>
      <c r="H23" s="263"/>
      <c r="I23" s="227" t="str">
        <f>IF($H28=0," ",IF(AND($H23=0, AF76=3, J15=0), $N$35, " "))&amp;IF($M28&gt;0,IF($H23&gt;0,$N$37," ")," ")</f>
        <v xml:space="preserve">  </v>
      </c>
      <c r="J23" s="255"/>
      <c r="K23" s="255"/>
      <c r="L23" s="255"/>
      <c r="M23" s="37"/>
      <c r="N23" s="119" t="s">
        <v>114</v>
      </c>
      <c r="O23" s="132">
        <f>IF($V$21=FALSE,IF($H$27&gt;R23,IF($H$27&lt;S23,1,0),0),0)</f>
        <v>0</v>
      </c>
      <c r="P23" s="132">
        <f>IF($V$21=TRUE,IF($H$27&gt;V23,IF($H$27&lt;W23,1.5,0),0),0)</f>
        <v>0</v>
      </c>
      <c r="Q23" s="119"/>
      <c r="R23" s="718">
        <v>449.99</v>
      </c>
      <c r="S23" s="718">
        <v>980</v>
      </c>
      <c r="T23" s="752"/>
      <c r="U23" s="119"/>
      <c r="V23" s="718">
        <v>669</v>
      </c>
      <c r="W23" s="718">
        <v>1470</v>
      </c>
      <c r="X23" s="718"/>
      <c r="Y23" s="164" t="str">
        <f>CenAVS!A97</f>
        <v xml:space="preserve">Aventos HK-S Tip-on średni ciemnoszary bez Tip-on zaślepka   </v>
      </c>
      <c r="Z23" s="164" t="str">
        <f>CenAVS!B97</f>
        <v>20K2C00T06</v>
      </c>
      <c r="AA23" s="301" t="str">
        <f>CenAVS!C97</f>
        <v>TGIG</v>
      </c>
      <c r="AB23" s="165">
        <f t="shared" si="2"/>
        <v>0</v>
      </c>
      <c r="AC23" s="395">
        <f>CenAVS!F97</f>
        <v>86.817539999999994</v>
      </c>
      <c r="AD23" s="167">
        <f t="shared" si="3"/>
        <v>0</v>
      </c>
      <c r="AE23" s="407">
        <f>IF(AND($U$16=2,$T$44=2),ROUNDUP(SUM($O$12:$P$12)*$M$17,0),0)</f>
        <v>0</v>
      </c>
      <c r="AF23" s="168">
        <f t="shared" si="0"/>
        <v>0</v>
      </c>
      <c r="AG23" s="407">
        <f>IF(AND($U$27=2,$T$44=2),ROUNDUP(SUM($O$23:$P$23)*$M$28,0),0)</f>
        <v>0</v>
      </c>
      <c r="AH23" s="168">
        <f t="shared" si="1"/>
        <v>0</v>
      </c>
      <c r="AI23" s="108"/>
      <c r="AJ23" s="108"/>
      <c r="AK23" s="255"/>
      <c r="AL23" s="137"/>
      <c r="AM23" s="37"/>
      <c r="AN23" s="37"/>
      <c r="AO23" s="37"/>
      <c r="AP23" s="37"/>
      <c r="AQ23" s="37"/>
      <c r="AR23" s="37"/>
      <c r="AS23" s="37"/>
      <c r="AT23" s="37"/>
      <c r="AU23" s="37"/>
      <c r="AV23" s="37"/>
    </row>
    <row r="24" spans="1:49" s="122" customFormat="1" ht="16.149999999999999" customHeight="1" x14ac:dyDescent="0.2">
      <c r="A24" s="37"/>
      <c r="B24" s="1055" t="str">
        <f>ListAVS!$B$293</f>
        <v>Obliczenie wagi</v>
      </c>
      <c r="C24" s="1055"/>
      <c r="D24" s="1153" t="str">
        <f>ListAVS!$B$80&amp;" TS [mm] "</f>
        <v xml:space="preserve">Grubość frontu TS [mm] </v>
      </c>
      <c r="E24" s="1153"/>
      <c r="F24" s="1153"/>
      <c r="G24" s="1154"/>
      <c r="H24" s="259"/>
      <c r="I24" s="227"/>
      <c r="J24" s="255"/>
      <c r="K24" s="255"/>
      <c r="L24" s="255"/>
      <c r="M24" s="37"/>
      <c r="N24" s="119" t="s">
        <v>117</v>
      </c>
      <c r="O24" s="132">
        <f>IF($V$21=FALSE,IF($H$27&gt;R24,IF($H$27&lt;S24,1,0),0),0)</f>
        <v>0</v>
      </c>
      <c r="P24" s="132">
        <f>IF($V$21=TRUE,IF($H$27&gt;V24,IF($H$27&lt;W24,1.5,0),0),0)</f>
        <v>0</v>
      </c>
      <c r="Q24" s="119"/>
      <c r="R24" s="718">
        <v>979.99</v>
      </c>
      <c r="S24" s="718">
        <v>2216</v>
      </c>
      <c r="T24" s="37"/>
      <c r="U24" s="37"/>
      <c r="V24" s="718">
        <v>1469</v>
      </c>
      <c r="W24" s="718">
        <v>3061</v>
      </c>
      <c r="X24" s="718"/>
      <c r="Y24" s="164" t="str">
        <f>CenAVS!A98</f>
        <v xml:space="preserve">Aventos HK-S Tip-on średni biały bez Tip-On zaślepka   </v>
      </c>
      <c r="Z24" s="164" t="str">
        <f>CenAVS!B98</f>
        <v>20K2C00T06</v>
      </c>
      <c r="AA24" s="301" t="str">
        <f>CenAVS!C98</f>
        <v>SWIG</v>
      </c>
      <c r="AB24" s="165">
        <f t="shared" si="2"/>
        <v>0</v>
      </c>
      <c r="AC24" s="395">
        <f>CenAVS!F98</f>
        <v>86.817539999999994</v>
      </c>
      <c r="AD24" s="167">
        <f t="shared" si="3"/>
        <v>0</v>
      </c>
      <c r="AE24" s="407">
        <f>IF(AND($U$16=2,$T$44=3),ROUNDUP(SUM($O$12:$P$12)*$M$17,0),0)</f>
        <v>0</v>
      </c>
      <c r="AF24" s="168">
        <f t="shared" si="0"/>
        <v>0</v>
      </c>
      <c r="AG24" s="407">
        <f>IF(AND($U$27=2,$T$44=3),ROUNDUP(SUM($O$23:$P$23)*$M$28,0),0)</f>
        <v>0</v>
      </c>
      <c r="AH24" s="168">
        <f t="shared" si="1"/>
        <v>0</v>
      </c>
      <c r="AI24" s="108"/>
      <c r="AJ24" s="108"/>
      <c r="AK24" s="137"/>
      <c r="AL24" s="37"/>
      <c r="AM24" s="137"/>
      <c r="AN24" s="137"/>
      <c r="AO24" s="137"/>
      <c r="AP24" s="137"/>
      <c r="AQ24" s="137"/>
      <c r="AR24" s="137"/>
      <c r="AS24" s="137"/>
      <c r="AT24" s="137"/>
      <c r="AU24" s="137"/>
      <c r="AV24" s="137"/>
    </row>
    <row r="25" spans="1:49" s="122" customFormat="1" ht="16.149999999999999" customHeight="1" x14ac:dyDescent="0.2">
      <c r="A25" s="37"/>
      <c r="B25" s="1055"/>
      <c r="C25" s="1055"/>
      <c r="D25" s="1053" t="str">
        <f>ListAVS!$B$83&amp;" [kg] "</f>
        <v xml:space="preserve">Waga uchwytu [kg] </v>
      </c>
      <c r="E25" s="1053"/>
      <c r="F25" s="1053"/>
      <c r="G25" s="1054"/>
      <c r="H25" s="263"/>
      <c r="I25" s="256" t="str">
        <f>IF(H28=0, " ", IF(AND(H23=0, U27=1, H25=0), " ● "&amp;ListAVS!$B$130," "))</f>
        <v xml:space="preserve"> </v>
      </c>
      <c r="J25" s="255"/>
      <c r="K25" s="255"/>
      <c r="L25" s="255"/>
      <c r="M25" s="118"/>
      <c r="N25" s="119"/>
      <c r="O25" s="132"/>
      <c r="P25" s="132"/>
      <c r="Q25" s="119"/>
      <c r="R25" s="718"/>
      <c r="S25" s="718"/>
      <c r="T25" s="37"/>
      <c r="U25" s="37"/>
      <c r="V25" s="718"/>
      <c r="W25" s="718"/>
      <c r="X25" s="718"/>
      <c r="Y25" s="164" t="str">
        <f>CenAVS!A99</f>
        <v xml:space="preserve">Aventos HK-S Tip-on mocny jasnoszary bez Tip-on zaślepka   </v>
      </c>
      <c r="Z25" s="164" t="str">
        <f>CenAVS!B99</f>
        <v>20K2E00T06</v>
      </c>
      <c r="AA25" s="301" t="str">
        <f>CenAVS!C99</f>
        <v>HGIG</v>
      </c>
      <c r="AB25" s="165">
        <f t="shared" si="2"/>
        <v>0</v>
      </c>
      <c r="AC25" s="395">
        <f>CenAVS!F99</f>
        <v>84.296419999999998</v>
      </c>
      <c r="AD25" s="167">
        <f t="shared" si="3"/>
        <v>0</v>
      </c>
      <c r="AE25" s="407">
        <f>IF(AND($U$16=2,$T$44=1),ROUNDUP(SUM($O$13:$P$13)*$M$17,0),0)</f>
        <v>0</v>
      </c>
      <c r="AF25" s="168">
        <f t="shared" si="0"/>
        <v>0</v>
      </c>
      <c r="AG25" s="407">
        <f>IF(AND($U$27=2,$T$44=1),ROUNDUP(SUM($O$24:$P$24)*$M$28,0),0)</f>
        <v>0</v>
      </c>
      <c r="AH25" s="168">
        <f t="shared" si="1"/>
        <v>0</v>
      </c>
      <c r="AI25" s="108"/>
      <c r="AJ25" s="108"/>
      <c r="AK25" s="137"/>
      <c r="AL25" s="137"/>
      <c r="AM25" s="137"/>
      <c r="AN25" s="137"/>
      <c r="AO25" s="137"/>
      <c r="AP25" s="137"/>
      <c r="AQ25" s="137"/>
      <c r="AR25" s="137"/>
      <c r="AS25" s="137"/>
      <c r="AT25" s="137"/>
      <c r="AU25" s="137"/>
      <c r="AV25" s="137"/>
    </row>
    <row r="26" spans="1:49" s="122" customFormat="1" ht="16.149999999999999" customHeight="1" x14ac:dyDescent="0.2">
      <c r="A26" s="37"/>
      <c r="B26" s="1055"/>
      <c r="C26" s="1055"/>
      <c r="D26" s="1053" t="str">
        <f>ListAVS!$B$79&amp;" [kg] "</f>
        <v xml:space="preserve">Obliczona waga frontu [kg] </v>
      </c>
      <c r="E26" s="1053"/>
      <c r="F26" s="1053"/>
      <c r="G26" s="1054"/>
      <c r="H26" s="259">
        <f>$T$80</f>
        <v>0</v>
      </c>
      <c r="I26" s="227" t="str">
        <f>IF($H28&gt;0,IF($H26&gt;0,IF($H23=0,$N$37," ")," ")," ")</f>
        <v xml:space="preserve"> </v>
      </c>
      <c r="J26" s="255"/>
      <c r="K26" s="255"/>
      <c r="L26" s="255"/>
      <c r="M26" s="37"/>
      <c r="N26" s="37"/>
      <c r="O26" s="37"/>
      <c r="P26" s="37"/>
      <c r="Q26" s="37"/>
      <c r="R26" s="37"/>
      <c r="S26" s="37"/>
      <c r="T26" s="754"/>
      <c r="U26" s="755" t="str">
        <f>IF(U27=1,$V$46,IF(U27=2,$V$47,$V$48))</f>
        <v>Standard</v>
      </c>
      <c r="V26" s="37"/>
      <c r="W26" s="37"/>
      <c r="X26" s="37"/>
      <c r="Y26" s="164" t="str">
        <f>CenAVS!A100</f>
        <v xml:space="preserve">Aventos HK-S Tip-on mocny ciemnoszary bez Tip-on zaślepka   </v>
      </c>
      <c r="Z26" s="164" t="str">
        <f>CenAVS!B100</f>
        <v>20K2E00T06</v>
      </c>
      <c r="AA26" s="301" t="str">
        <f>CenAVS!C100</f>
        <v>TGIG</v>
      </c>
      <c r="AB26" s="165">
        <f t="shared" si="2"/>
        <v>0</v>
      </c>
      <c r="AC26" s="395">
        <f>CenAVS!F100</f>
        <v>86.817539999999994</v>
      </c>
      <c r="AD26" s="167">
        <f t="shared" si="3"/>
        <v>0</v>
      </c>
      <c r="AE26" s="407">
        <f>IF(AND($U$16=2,$T$44=2),ROUNDUP(SUM($O$13:$P$13)*$M$17,0),0)</f>
        <v>0</v>
      </c>
      <c r="AF26" s="168">
        <f t="shared" si="0"/>
        <v>0</v>
      </c>
      <c r="AG26" s="407">
        <f>IF(AND($U$27=2,$T$44=2),ROUNDUP(SUM($O$24:$P$24)*$M$28,0),0)</f>
        <v>0</v>
      </c>
      <c r="AH26" s="168">
        <f t="shared" si="1"/>
        <v>0</v>
      </c>
      <c r="AI26" s="108"/>
      <c r="AJ26" s="108"/>
      <c r="AK26" s="108"/>
      <c r="AL26" s="137"/>
      <c r="AM26" s="137"/>
      <c r="AN26" s="137"/>
      <c r="AO26" s="137"/>
      <c r="AP26" s="137"/>
      <c r="AQ26" s="137"/>
      <c r="AR26" s="137"/>
      <c r="AS26" s="137"/>
      <c r="AT26" s="137"/>
      <c r="AU26" s="137"/>
      <c r="AV26" s="137"/>
      <c r="AW26" s="121"/>
    </row>
    <row r="27" spans="1:49" s="122" customFormat="1" ht="16.149999999999999" customHeight="1" thickBot="1" x14ac:dyDescent="0.25">
      <c r="A27" s="37"/>
      <c r="B27" s="1011"/>
      <c r="C27" s="1013"/>
      <c r="D27" s="1011" t="str">
        <f>ListAVS!$B$86&amp;" LF "</f>
        <v xml:space="preserve">Współczynnik mocy LF </v>
      </c>
      <c r="E27" s="1012"/>
      <c r="F27" s="1012"/>
      <c r="G27" s="1013"/>
      <c r="H27" s="400">
        <f>IF(H23&gt;0,H22*H23,H22*H26)</f>
        <v>0</v>
      </c>
      <c r="I27" s="256" t="str">
        <f>IF(AND($H27&gt;0, $H27&lt;220), $N$39, IF($H27&gt;3322.5, $N$40, IF($H27&gt;2215.5, IF(V21=FALSE, $N$41, " ")," ")))</f>
        <v xml:space="preserve"> </v>
      </c>
      <c r="J27" s="255"/>
      <c r="K27" s="248"/>
      <c r="L27" s="255"/>
      <c r="M27" s="37"/>
      <c r="N27" s="137"/>
      <c r="O27" s="137"/>
      <c r="P27" s="137"/>
      <c r="Q27" s="137"/>
      <c r="R27" s="37"/>
      <c r="S27" s="37"/>
      <c r="T27" s="756"/>
      <c r="U27" s="207">
        <v>1</v>
      </c>
      <c r="V27" s="37"/>
      <c r="W27" s="37"/>
      <c r="X27" s="37"/>
      <c r="Y27" s="164" t="str">
        <f>CenAVS!A101</f>
        <v xml:space="preserve">Aventos HK-S Tip-on mocny biały bez Tip-on zaślepka   </v>
      </c>
      <c r="Z27" s="164" t="str">
        <f>CenAVS!B101</f>
        <v>20K2E00T06</v>
      </c>
      <c r="AA27" s="301" t="str">
        <f>CenAVS!C101</f>
        <v>SWIG</v>
      </c>
      <c r="AB27" s="165">
        <f t="shared" si="2"/>
        <v>0</v>
      </c>
      <c r="AC27" s="395">
        <f>CenAVS!F101</f>
        <v>86.817539999999994</v>
      </c>
      <c r="AD27" s="167">
        <f t="shared" si="3"/>
        <v>0</v>
      </c>
      <c r="AE27" s="407">
        <f>IF(AND($U$16=2,$T$44=3),ROUNDUP(SUM($O$13:$P$13)*$M$17,0),0)</f>
        <v>0</v>
      </c>
      <c r="AF27" s="168">
        <f t="shared" si="0"/>
        <v>0</v>
      </c>
      <c r="AG27" s="407">
        <f>IF(AND($U$27=2,$T$44=3),ROUNDUP(SUM($O$24:$P$24)*$M$28,0),0)</f>
        <v>0</v>
      </c>
      <c r="AH27" s="168">
        <f t="shared" si="1"/>
        <v>0</v>
      </c>
      <c r="AI27" s="108"/>
      <c r="AJ27" s="108"/>
      <c r="AK27" s="693"/>
      <c r="AL27" s="137"/>
      <c r="AM27" s="137"/>
      <c r="AN27" s="137"/>
      <c r="AO27" s="137"/>
      <c r="AP27" s="137"/>
      <c r="AQ27" s="137"/>
      <c r="AR27" s="137"/>
      <c r="AS27" s="137"/>
      <c r="AT27" s="137"/>
      <c r="AU27" s="137"/>
      <c r="AV27" s="137"/>
      <c r="AW27" s="121"/>
    </row>
    <row r="28" spans="1:49" ht="16.149999999999999" customHeight="1" thickBot="1" x14ac:dyDescent="0.25">
      <c r="B28" s="1155" t="str">
        <f>ListAVS!$B$71</f>
        <v>Ilość szafek</v>
      </c>
      <c r="C28" s="1156"/>
      <c r="D28" s="1156"/>
      <c r="E28" s="1156"/>
      <c r="F28" s="1156"/>
      <c r="G28" s="1156"/>
      <c r="H28" s="261"/>
      <c r="I28" s="273"/>
      <c r="J28" s="264"/>
      <c r="K28" s="396"/>
      <c r="L28" s="265"/>
      <c r="M28" s="315">
        <f>IF(OR($H21*$H22*$T28=0,$H22&lt;190,$H22&gt;600, H27&lt;220, $H27&gt;3322.5),0,IF($H27&gt;2215.5,IF($V21=FALSE,0,$H28),$H28))</f>
        <v>0</v>
      </c>
      <c r="N28" s="39"/>
      <c r="O28" s="39"/>
      <c r="P28" s="39"/>
      <c r="Q28" s="39"/>
      <c r="R28" s="137"/>
      <c r="S28" s="690" t="s">
        <v>51</v>
      </c>
      <c r="T28" s="691">
        <f>IF(H23&gt;0,H23,H26)</f>
        <v>0</v>
      </c>
      <c r="U28" s="37">
        <f>IF(SUM(H23,H26)=0,0,IF(H23&gt;0,1,2))</f>
        <v>0</v>
      </c>
      <c r="V28" s="571" t="s">
        <v>52</v>
      </c>
      <c r="Y28" s="164" t="str">
        <f>CenAVS!A102</f>
        <v xml:space="preserve">          </v>
      </c>
      <c r="Z28" s="164">
        <f>CenAVS!B102</f>
        <v>0</v>
      </c>
      <c r="AA28" s="301">
        <f>CenAVS!C102</f>
        <v>0</v>
      </c>
      <c r="AB28" s="165">
        <f t="shared" si="2"/>
        <v>0</v>
      </c>
      <c r="AC28" s="395">
        <f>CenAVS!F102</f>
        <v>0</v>
      </c>
      <c r="AD28" s="167">
        <f t="shared" si="3"/>
        <v>0</v>
      </c>
      <c r="AE28" s="407"/>
      <c r="AF28" s="168">
        <f>$AC28*AE28</f>
        <v>0</v>
      </c>
      <c r="AG28" s="407"/>
      <c r="AH28" s="168">
        <f t="shared" si="1"/>
        <v>0</v>
      </c>
      <c r="AI28" s="108"/>
      <c r="AJ28" s="108"/>
      <c r="AK28" s="693"/>
      <c r="AL28" s="137"/>
      <c r="AM28" s="137"/>
      <c r="AN28" s="137"/>
      <c r="AO28" s="137"/>
      <c r="AP28" s="137"/>
      <c r="AQ28" s="137"/>
      <c r="AR28" s="137"/>
      <c r="AS28" s="137"/>
      <c r="AT28" s="137"/>
      <c r="AU28" s="137"/>
      <c r="AV28" s="137"/>
    </row>
    <row r="29" spans="1:49" ht="16.149999999999999" customHeight="1" x14ac:dyDescent="0.2">
      <c r="A29" s="137"/>
      <c r="B29" s="255" t="str">
        <f>IF(M28&gt;0,IF(U28=0," ",IF(U28=1,$N$49,$N$50))," ")&amp;IF(M28&gt;0,IF(U28=0," ",IF(U28=1,$N$51,$N$52))," ")</f>
        <v xml:space="preserve">  </v>
      </c>
      <c r="C29" s="255"/>
      <c r="D29" s="255"/>
      <c r="E29" s="255"/>
      <c r="F29" s="255"/>
      <c r="G29" s="255"/>
      <c r="H29" s="273"/>
      <c r="I29" s="273"/>
      <c r="J29" s="266"/>
      <c r="K29" s="266"/>
      <c r="L29" s="266"/>
      <c r="X29" s="118"/>
      <c r="Y29" s="164" t="str">
        <f>CenAVS!A103</f>
        <v xml:space="preserve">P+L, okucie Aventos HK-S do wąskich ALU ramek   </v>
      </c>
      <c r="Z29" s="164" t="str">
        <f>CenAVS!B103</f>
        <v>20K4A00A02</v>
      </c>
      <c r="AA29" s="301" t="str">
        <f>CenAVS!C103</f>
        <v>NI</v>
      </c>
      <c r="AB29" s="165">
        <f t="shared" si="2"/>
        <v>0</v>
      </c>
      <c r="AC29" s="395">
        <f>CenAVS!F103</f>
        <v>21.740570000000002</v>
      </c>
      <c r="AD29" s="167">
        <f t="shared" si="3"/>
        <v>0</v>
      </c>
      <c r="AE29" s="407">
        <f>SUM(AE$9:AE$27)</f>
        <v>0</v>
      </c>
      <c r="AF29" s="168">
        <f>$AC29*AE29</f>
        <v>0</v>
      </c>
      <c r="AG29" s="407">
        <f>SUM(AG$9:AG$27)</f>
        <v>0</v>
      </c>
      <c r="AH29" s="168">
        <f t="shared" si="1"/>
        <v>0</v>
      </c>
      <c r="AI29" s="108"/>
      <c r="AJ29" s="108"/>
      <c r="AK29" s="693"/>
      <c r="AL29" s="137"/>
      <c r="AM29" s="137"/>
      <c r="AN29" s="137"/>
      <c r="AO29" s="137"/>
      <c r="AP29" s="137"/>
      <c r="AQ29" s="137"/>
      <c r="AR29" s="137"/>
      <c r="AS29" s="137"/>
      <c r="AT29" s="137"/>
      <c r="AU29" s="137"/>
      <c r="AV29" s="137"/>
    </row>
    <row r="30" spans="1:49" ht="16.149999999999999" customHeight="1" x14ac:dyDescent="0.2">
      <c r="B30" s="396"/>
      <c r="C30" s="248"/>
      <c r="D30" s="396"/>
      <c r="E30" s="396"/>
      <c r="F30" s="274"/>
      <c r="G30" s="274"/>
      <c r="H30" s="396"/>
      <c r="I30" s="264"/>
      <c r="J30" s="264"/>
      <c r="K30" s="396"/>
      <c r="L30" s="265"/>
      <c r="S30" s="138">
        <f>IF($T$30=FALSE,2,1)</f>
        <v>2</v>
      </c>
      <c r="T30" s="1063" t="b">
        <v>0</v>
      </c>
      <c r="U30" s="1064"/>
      <c r="V30" s="139" t="s">
        <v>56</v>
      </c>
      <c r="W30" s="140"/>
      <c r="Y30" s="164" t="str">
        <f>CenAVS!A166</f>
        <v xml:space="preserve">prowadnik prosty wkręt 8 5mm stal     </v>
      </c>
      <c r="Z30" s="164" t="str">
        <f>CenAVS!B166</f>
        <v>175H3100</v>
      </c>
      <c r="AA30" s="301" t="str">
        <f>CenAVS!C166</f>
        <v>NI</v>
      </c>
      <c r="AB30" s="165">
        <f>SUM(AE30,AG30)</f>
        <v>0</v>
      </c>
      <c r="AC30" s="395">
        <f>CenAVS!F166</f>
        <v>1.65564</v>
      </c>
      <c r="AD30" s="167">
        <f>AB30*AC30</f>
        <v>0</v>
      </c>
      <c r="AE30" s="407"/>
      <c r="AF30" s="168">
        <f>$AC30*AE30</f>
        <v>0</v>
      </c>
      <c r="AG30" s="407"/>
      <c r="AH30" s="168">
        <f>$AC30*AG30</f>
        <v>0</v>
      </c>
      <c r="AI30" s="108"/>
      <c r="AJ30" s="108"/>
      <c r="AK30" s="108"/>
      <c r="AL30" s="137"/>
      <c r="AM30" s="137"/>
      <c r="AN30" s="137"/>
      <c r="AO30" s="137"/>
      <c r="AP30" s="137"/>
      <c r="AQ30" s="137"/>
      <c r="AR30" s="137"/>
      <c r="AS30" s="137"/>
      <c r="AT30" s="137"/>
      <c r="AU30" s="137"/>
      <c r="AV30" s="137"/>
    </row>
    <row r="31" spans="1:49" ht="16.149999999999999" customHeight="1" x14ac:dyDescent="0.2">
      <c r="B31" s="255"/>
      <c r="C31" s="255"/>
      <c r="D31" s="266"/>
      <c r="E31" s="266"/>
      <c r="F31" s="266"/>
      <c r="G31" s="266"/>
      <c r="H31" s="266"/>
      <c r="I31" s="255"/>
      <c r="J31" s="266"/>
      <c r="K31" s="266"/>
      <c r="L31" s="397"/>
      <c r="Y31" s="164" t="str">
        <f>CenAVS!A167</f>
        <v xml:space="preserve">prowadnik prosty Expando 8 5mm stal     </v>
      </c>
      <c r="Z31" s="164" t="str">
        <f>CenAVS!B167</f>
        <v>177H3100E </v>
      </c>
      <c r="AA31" s="301" t="str">
        <f>CenAVS!C167</f>
        <v>NI</v>
      </c>
      <c r="AB31" s="165">
        <f>SUM(AE31,AG31)</f>
        <v>0</v>
      </c>
      <c r="AC31" s="395">
        <f>CenAVS!F167</f>
        <v>1.8724499999999999</v>
      </c>
      <c r="AD31" s="167">
        <f>AB31*AC31</f>
        <v>0</v>
      </c>
      <c r="AE31" s="407"/>
      <c r="AF31" s="168">
        <f>$AC31*AE31</f>
        <v>0</v>
      </c>
      <c r="AG31" s="407"/>
      <c r="AH31" s="168">
        <f>$AC31*AG31</f>
        <v>0</v>
      </c>
      <c r="AI31" s="108"/>
      <c r="AJ31" s="108"/>
      <c r="AK31" s="710"/>
      <c r="AL31" s="137"/>
      <c r="AM31" s="137"/>
      <c r="AN31" s="137"/>
      <c r="AO31" s="137"/>
      <c r="AP31" s="137"/>
      <c r="AQ31" s="137"/>
      <c r="AR31" s="137"/>
      <c r="AS31" s="137"/>
      <c r="AT31" s="137"/>
      <c r="AU31" s="137"/>
      <c r="AV31" s="137"/>
    </row>
    <row r="32" spans="1:49" ht="16.149999999999999" customHeight="1" x14ac:dyDescent="0.2">
      <c r="B32" s="272"/>
      <c r="C32" s="273"/>
      <c r="D32" s="266"/>
      <c r="E32" s="266"/>
      <c r="F32" s="266"/>
      <c r="G32" s="266"/>
      <c r="H32" s="266"/>
      <c r="I32" s="255"/>
      <c r="J32" s="266"/>
      <c r="K32" s="266"/>
      <c r="L32" s="397"/>
      <c r="Y32" s="164"/>
      <c r="Z32" s="164"/>
      <c r="AA32" s="301"/>
      <c r="AB32" s="165"/>
      <c r="AC32" s="395"/>
      <c r="AD32" s="167"/>
      <c r="AE32" s="407"/>
      <c r="AF32" s="168"/>
      <c r="AG32" s="407"/>
      <c r="AH32" s="168"/>
      <c r="AI32" s="108"/>
      <c r="AJ32" s="108"/>
      <c r="AK32" s="108"/>
      <c r="AL32" s="137"/>
      <c r="AM32" s="137"/>
      <c r="AN32" s="137"/>
      <c r="AO32" s="137"/>
      <c r="AP32" s="137"/>
      <c r="AQ32" s="137"/>
      <c r="AR32" s="137"/>
      <c r="AS32" s="137"/>
      <c r="AT32" s="137"/>
      <c r="AU32" s="137"/>
      <c r="AV32" s="137"/>
    </row>
    <row r="33" spans="2:49" ht="16.149999999999999" customHeight="1" x14ac:dyDescent="0.2">
      <c r="B33" s="272"/>
      <c r="C33" s="255"/>
      <c r="D33" s="255"/>
      <c r="E33" s="255"/>
      <c r="F33" s="255"/>
      <c r="G33" s="255"/>
      <c r="H33" s="255"/>
      <c r="I33" s="255"/>
      <c r="J33" s="255"/>
      <c r="K33" s="255"/>
      <c r="L33" s="255"/>
      <c r="Y33" s="164"/>
      <c r="Z33" s="164"/>
      <c r="AA33" s="301"/>
      <c r="AB33" s="165"/>
      <c r="AC33" s="395"/>
      <c r="AD33" s="167"/>
      <c r="AE33" s="407"/>
      <c r="AF33" s="168"/>
      <c r="AG33" s="407"/>
      <c r="AH33" s="168"/>
      <c r="AI33" s="108"/>
      <c r="AJ33" s="108"/>
      <c r="AK33" s="108"/>
      <c r="AL33" s="137"/>
      <c r="AM33" s="137"/>
      <c r="AN33" s="137"/>
      <c r="AO33" s="137"/>
      <c r="AP33" s="137"/>
      <c r="AQ33" s="137"/>
      <c r="AR33" s="137"/>
      <c r="AS33" s="137"/>
      <c r="AT33" s="137"/>
      <c r="AU33" s="137"/>
      <c r="AV33" s="137"/>
    </row>
    <row r="34" spans="2:49" ht="16.149999999999999" customHeight="1" x14ac:dyDescent="0.2">
      <c r="B34" s="274"/>
      <c r="C34" s="255" t="str">
        <f>"** "&amp;ListAVS!$B$187</f>
        <v>** Jeżeli znasz wagę i nie chcesz skorzystać z "obliczenie wagi"</v>
      </c>
      <c r="D34" s="266"/>
      <c r="E34" s="266"/>
      <c r="F34" s="266"/>
      <c r="G34" s="266"/>
      <c r="H34" s="276"/>
      <c r="I34" s="276"/>
      <c r="J34" s="276"/>
      <c r="K34" s="276"/>
      <c r="L34" s="255"/>
      <c r="Y34" s="164"/>
      <c r="Z34" s="164"/>
      <c r="AA34" s="301"/>
      <c r="AB34" s="165"/>
      <c r="AC34" s="395"/>
      <c r="AD34" s="167"/>
      <c r="AE34" s="407"/>
      <c r="AF34" s="168"/>
      <c r="AG34" s="407"/>
      <c r="AH34" s="168"/>
      <c r="AI34" s="108"/>
      <c r="AJ34" s="108"/>
      <c r="AK34" s="108"/>
      <c r="AL34" s="137"/>
      <c r="AM34" s="137"/>
      <c r="AN34" s="137"/>
      <c r="AO34" s="137"/>
      <c r="AP34" s="137"/>
      <c r="AQ34" s="137"/>
      <c r="AR34" s="137"/>
      <c r="AS34" s="137"/>
      <c r="AT34" s="137"/>
      <c r="AU34" s="137"/>
      <c r="AV34" s="137"/>
    </row>
    <row r="35" spans="2:49" ht="16.149999999999999" customHeight="1" x14ac:dyDescent="0.2">
      <c r="B35" s="255"/>
      <c r="C35" s="273" t="str">
        <f>"*** "&amp;ListAVS!$B$403</f>
        <v>*** Wybierz rodzaj ramki aluminiowej!</v>
      </c>
      <c r="D35" s="255"/>
      <c r="E35" s="255"/>
      <c r="F35" s="255"/>
      <c r="G35" s="255"/>
      <c r="H35" s="276"/>
      <c r="I35" s="276"/>
      <c r="J35" s="276"/>
      <c r="K35" s="276"/>
      <c r="L35" s="255"/>
      <c r="N35" s="37" t="str">
        <f>" "&amp;ListAVS!$B$117</f>
        <v xml:space="preserve"> Wprowadź wagę lub wypełnij na górze grubość szkła</v>
      </c>
      <c r="Y35" s="164" t="str">
        <f>CenAVS!A185</f>
        <v xml:space="preserve">Tip-on do zawiasu 50mm PG, szary     </v>
      </c>
      <c r="Z35" s="164" t="str">
        <f>CenAVS!B185</f>
        <v>956.1004</v>
      </c>
      <c r="AA35" s="301" t="str">
        <f>CenAVS!C185</f>
        <v>R7036</v>
      </c>
      <c r="AB35" s="165">
        <f t="shared" si="2"/>
        <v>0</v>
      </c>
      <c r="AC35" s="395">
        <f>CenAVS!F185</f>
        <v>12.830769999999999</v>
      </c>
      <c r="AD35" s="167">
        <f t="shared" si="3"/>
        <v>0</v>
      </c>
      <c r="AE35" s="407">
        <f>IF(AND($T$44&lt;3,$U$16=2),$M$17,0)</f>
        <v>0</v>
      </c>
      <c r="AF35" s="168">
        <f>$AC35*AE35</f>
        <v>0</v>
      </c>
      <c r="AG35" s="407">
        <f>IF(AND($T$44&lt;3,$U$27=2),$M$28,0)</f>
        <v>0</v>
      </c>
      <c r="AH35" s="168">
        <f t="shared" si="1"/>
        <v>0</v>
      </c>
      <c r="AI35" s="108"/>
      <c r="AJ35" s="108"/>
      <c r="AK35" s="108"/>
      <c r="AL35" s="137"/>
      <c r="AM35" s="137"/>
      <c r="AN35" s="137"/>
      <c r="AO35" s="137"/>
      <c r="AP35" s="137"/>
      <c r="AQ35" s="137"/>
      <c r="AR35" s="137"/>
      <c r="AS35" s="137"/>
      <c r="AT35" s="137"/>
      <c r="AU35" s="137"/>
      <c r="AV35" s="137"/>
    </row>
    <row r="36" spans="2:49" ht="16.149999999999999" customHeight="1" x14ac:dyDescent="0.2">
      <c r="B36" s="255"/>
      <c r="C36" s="670" t="str">
        <f>"      "&amp;ListAVS!$B$404</f>
        <v xml:space="preserve">      Więcej informacji o wyborze ramki aluminiowej w Pomocy</v>
      </c>
      <c r="D36" s="399"/>
      <c r="E36" s="399"/>
      <c r="F36" s="399"/>
      <c r="G36" s="399"/>
      <c r="H36" s="276"/>
      <c r="I36" s="276"/>
      <c r="J36" s="276"/>
      <c r="K36" s="276"/>
      <c r="L36" s="255"/>
      <c r="N36" s="37" t="str">
        <f>" "&amp;ListAVS!$B$116</f>
        <v xml:space="preserve"> Wprowadź wagę lub wypełnij wszystkie komórki</v>
      </c>
      <c r="Y36" s="164" t="str">
        <f>CenAVS!A186</f>
        <v xml:space="preserve">Tip-on do zawiasu 50mm SW, biały     </v>
      </c>
      <c r="Z36" s="164" t="str">
        <f>CenAVS!B186</f>
        <v>956.1004</v>
      </c>
      <c r="AA36" s="301" t="str">
        <f>CenAVS!C186</f>
        <v>SW</v>
      </c>
      <c r="AB36" s="165">
        <f>SUM(AE36,AG36)</f>
        <v>0</v>
      </c>
      <c r="AC36" s="395">
        <f>CenAVS!F186</f>
        <v>12.830769999999999</v>
      </c>
      <c r="AD36" s="167">
        <f>AB36*AC36</f>
        <v>0</v>
      </c>
      <c r="AE36" s="407">
        <f>IF(AND($T$44=3,$U$16=2),$M$17,0)</f>
        <v>0</v>
      </c>
      <c r="AF36" s="168">
        <f>$AC36*AE36</f>
        <v>0</v>
      </c>
      <c r="AG36" s="407">
        <f>IF(AND($T$44=3,$U$27=2),$M$28,0)</f>
        <v>0</v>
      </c>
      <c r="AH36" s="168">
        <f>$AC36*AG36</f>
        <v>0</v>
      </c>
      <c r="AI36" s="108"/>
      <c r="AJ36" s="108"/>
      <c r="AK36" s="108"/>
      <c r="AL36" s="137"/>
      <c r="AM36" s="137"/>
      <c r="AN36" s="137"/>
      <c r="AO36" s="137"/>
      <c r="AP36" s="137"/>
      <c r="AQ36" s="137"/>
      <c r="AR36" s="137"/>
      <c r="AS36" s="137"/>
      <c r="AT36" s="137"/>
      <c r="AU36" s="137"/>
      <c r="AV36" s="137"/>
    </row>
    <row r="37" spans="2:49" ht="16.149999999999999" customHeight="1" x14ac:dyDescent="0.2">
      <c r="B37" s="255"/>
      <c r="C37" s="276"/>
      <c r="D37" s="276"/>
      <c r="E37" s="276"/>
      <c r="F37" s="276"/>
      <c r="G37" s="276"/>
      <c r="H37" s="276"/>
      <c r="I37" s="276"/>
      <c r="J37" s="276"/>
      <c r="K37" s="276"/>
      <c r="L37" s="255"/>
      <c r="N37" s="37" t="str">
        <f>"◄ "&amp;ListAVS!$B$112</f>
        <v>◄ wartość będzie wykorzystana do obliczenia LF</v>
      </c>
      <c r="Y37" s="164" t="str">
        <f>CenAVS!A187</f>
        <v xml:space="preserve">Tip-on do zawiasu krótki 50mm z magnesem,komplet, karbon czarny CS </v>
      </c>
      <c r="Z37" s="164" t="str">
        <f>CenAVS!B187</f>
        <v>956.1004</v>
      </c>
      <c r="AA37" s="301" t="str">
        <f>CenAVS!C187</f>
        <v>CS</v>
      </c>
      <c r="AB37" s="165">
        <f>SUM(AE37,AG37)</f>
        <v>0</v>
      </c>
      <c r="AC37" s="395">
        <f>CenAVS!F187</f>
        <v>12.830769999999999</v>
      </c>
      <c r="AD37" s="167">
        <f>AB37*AC37</f>
        <v>0</v>
      </c>
      <c r="AE37" s="407"/>
      <c r="AF37" s="168">
        <f>$AC37*AE37</f>
        <v>0</v>
      </c>
      <c r="AG37" s="407"/>
      <c r="AH37" s="168">
        <f>$AC37*AG37</f>
        <v>0</v>
      </c>
      <c r="AI37" s="108"/>
      <c r="AJ37" s="108"/>
      <c r="AK37" s="108"/>
      <c r="AL37" s="137"/>
      <c r="AM37" s="137"/>
      <c r="AN37" s="137"/>
      <c r="AO37" s="137"/>
      <c r="AP37" s="137"/>
      <c r="AQ37" s="137"/>
      <c r="AR37" s="137"/>
      <c r="AS37" s="137"/>
      <c r="AT37" s="137"/>
      <c r="AU37" s="137"/>
      <c r="AV37" s="137"/>
    </row>
    <row r="38" spans="2:49" ht="16.149999999999999" customHeight="1" x14ac:dyDescent="0.2">
      <c r="B38" s="255"/>
      <c r="C38" s="255"/>
      <c r="D38" s="255"/>
      <c r="E38" s="255"/>
      <c r="F38" s="255"/>
      <c r="G38" s="255"/>
      <c r="H38" s="255"/>
      <c r="I38" s="255"/>
      <c r="J38" s="255"/>
      <c r="K38" s="255"/>
      <c r="L38" s="255"/>
      <c r="N38" s="37" t="str">
        <f>" * "&amp;ListAVS!$B$128</f>
        <v xml:space="preserve"> * Wypełnij wartości</v>
      </c>
      <c r="Y38" s="164"/>
      <c r="Z38" s="164"/>
      <c r="AA38" s="301"/>
      <c r="AB38" s="165"/>
      <c r="AC38" s="395"/>
      <c r="AD38" s="167"/>
      <c r="AE38" s="408"/>
      <c r="AF38" s="168"/>
      <c r="AG38" s="408"/>
      <c r="AH38" s="168"/>
      <c r="AI38" s="108"/>
      <c r="AJ38" s="108"/>
      <c r="AK38" s="108"/>
      <c r="AL38" s="137"/>
      <c r="AM38" s="37"/>
      <c r="AN38" s="37"/>
      <c r="AO38" s="37"/>
      <c r="AP38" s="37"/>
      <c r="AQ38" s="37"/>
      <c r="AR38" s="37"/>
      <c r="AS38" s="37"/>
      <c r="AT38" s="37"/>
      <c r="AU38" s="37"/>
      <c r="AV38" s="37"/>
    </row>
    <row r="39" spans="2:49" ht="16.149999999999999" customHeight="1" x14ac:dyDescent="0.2">
      <c r="B39" s="255"/>
      <c r="C39" s="255"/>
      <c r="D39" s="255"/>
      <c r="E39" s="255"/>
      <c r="F39" s="255"/>
      <c r="G39" s="255"/>
      <c r="H39" s="255"/>
      <c r="I39" s="255"/>
      <c r="J39" s="255"/>
      <c r="K39" s="255"/>
      <c r="L39" s="255"/>
      <c r="N39" s="37" t="str">
        <f>" min. 220! "&amp;ListAVS!$B$122</f>
        <v xml:space="preserve"> min. 220! Popraw wagę albo wysokość</v>
      </c>
      <c r="Y39" s="164"/>
      <c r="Z39" s="164"/>
      <c r="AA39" s="301"/>
      <c r="AB39" s="165"/>
      <c r="AC39" s="395"/>
      <c r="AD39" s="167"/>
      <c r="AE39" s="408"/>
      <c r="AF39" s="168"/>
      <c r="AG39" s="408"/>
      <c r="AH39" s="168"/>
      <c r="AI39" s="108"/>
      <c r="AJ39" s="108"/>
      <c r="AK39" s="108"/>
      <c r="AL39" s="37"/>
      <c r="AM39" s="37"/>
      <c r="AN39" s="37"/>
      <c r="AO39" s="37"/>
      <c r="AP39" s="37"/>
      <c r="AQ39" s="37"/>
      <c r="AR39" s="37"/>
      <c r="AS39" s="37"/>
      <c r="AT39" s="37"/>
      <c r="AU39" s="37"/>
      <c r="AV39" s="37"/>
    </row>
    <row r="40" spans="2:49" ht="16.149999999999999" customHeight="1" x14ac:dyDescent="0.2">
      <c r="N40" s="37" t="str">
        <f>" max. 3.060! "&amp;ListAVS!$B$122</f>
        <v xml:space="preserve"> max. 3.060! Popraw wagę albo wysokość</v>
      </c>
      <c r="O40" s="37"/>
      <c r="Q40" s="37"/>
      <c r="Y40" s="164"/>
      <c r="Z40" s="164"/>
      <c r="AA40" s="301"/>
      <c r="AB40" s="165"/>
      <c r="AC40" s="395"/>
      <c r="AD40" s="167"/>
      <c r="AE40" s="408"/>
      <c r="AF40" s="168"/>
      <c r="AG40" s="408"/>
      <c r="AH40" s="168"/>
      <c r="AI40" s="108"/>
      <c r="AJ40" s="108"/>
      <c r="AK40" s="108"/>
      <c r="AL40" s="37"/>
      <c r="AM40" s="37"/>
      <c r="AN40" s="37"/>
      <c r="AO40" s="37"/>
      <c r="AP40" s="37"/>
      <c r="AQ40" s="37"/>
      <c r="AR40" s="37"/>
      <c r="AS40" s="37"/>
      <c r="AT40" s="37"/>
      <c r="AU40" s="37"/>
      <c r="AV40" s="37"/>
      <c r="AW40" s="37"/>
    </row>
    <row r="41" spans="2:49" ht="16.149999999999999" customHeight="1" x14ac:dyDescent="0.2">
      <c r="N41" s="37" t="str">
        <f>" max. 2.215! "&amp;ListAVS!$B$122</f>
        <v xml:space="preserve"> max. 2.215! Popraw wagę albo wysokość</v>
      </c>
      <c r="Y41" s="164"/>
      <c r="Z41" s="164"/>
      <c r="AA41" s="301"/>
      <c r="AB41" s="165"/>
      <c r="AC41" s="395"/>
      <c r="AD41" s="167"/>
      <c r="AE41" s="408"/>
      <c r="AF41" s="168"/>
      <c r="AG41" s="408"/>
      <c r="AH41" s="168"/>
      <c r="AI41" s="108"/>
      <c r="AJ41" s="108"/>
      <c r="AK41" s="108"/>
      <c r="AL41" s="37"/>
      <c r="AM41" s="137"/>
      <c r="AN41" s="137"/>
      <c r="AO41" s="137"/>
      <c r="AP41" s="137"/>
      <c r="AQ41" s="137"/>
      <c r="AR41" s="137"/>
      <c r="AS41" s="137"/>
      <c r="AT41" s="137"/>
      <c r="AU41" s="137"/>
      <c r="AV41" s="137"/>
      <c r="AW41" s="37"/>
    </row>
    <row r="42" spans="2:49" s="37" customFormat="1" ht="16.149999999999999" customHeight="1" x14ac:dyDescent="0.2">
      <c r="N42" s="149" t="str">
        <f>"                       "&amp;ListAVS!$B$123</f>
        <v xml:space="preserve">                       lub dodaj trzeci siłownik</v>
      </c>
      <c r="O42" s="118"/>
      <c r="Q42" s="118"/>
      <c r="Y42" s="164"/>
      <c r="Z42" s="164"/>
      <c r="AA42" s="301"/>
      <c r="AB42" s="165"/>
      <c r="AC42" s="395"/>
      <c r="AD42" s="167"/>
      <c r="AE42" s="408"/>
      <c r="AF42" s="168"/>
      <c r="AG42" s="408"/>
      <c r="AH42" s="168"/>
      <c r="AI42" s="108"/>
      <c r="AJ42" s="108"/>
      <c r="AK42" s="108"/>
      <c r="AL42" s="137"/>
      <c r="AM42" s="137"/>
      <c r="AN42" s="137"/>
      <c r="AO42" s="137"/>
      <c r="AP42" s="137"/>
      <c r="AQ42" s="137"/>
      <c r="AR42" s="137"/>
      <c r="AS42" s="137"/>
      <c r="AT42" s="137"/>
      <c r="AU42" s="137"/>
      <c r="AV42" s="137"/>
    </row>
    <row r="43" spans="2:49" s="37" customFormat="1" ht="16.149999999999999" customHeight="1" x14ac:dyDescent="0.2">
      <c r="B43" s="147" t="str">
        <f>IF($H$11&gt;600,"***",IF($H$22&gt;600,"***"," "))</f>
        <v xml:space="preserve"> </v>
      </c>
      <c r="O43" s="118"/>
      <c r="Q43" s="118"/>
      <c r="Y43" s="164"/>
      <c r="Z43" s="164"/>
      <c r="AA43" s="301"/>
      <c r="AB43" s="165"/>
      <c r="AC43" s="395"/>
      <c r="AD43" s="167"/>
      <c r="AE43" s="408"/>
      <c r="AF43" s="168"/>
      <c r="AG43" s="408"/>
      <c r="AH43" s="168"/>
      <c r="AI43" s="108"/>
      <c r="AJ43" s="108"/>
      <c r="AK43" s="108"/>
      <c r="AL43" s="137"/>
      <c r="AM43" s="137"/>
      <c r="AN43" s="137"/>
      <c r="AO43" s="137"/>
      <c r="AP43" s="137"/>
      <c r="AQ43" s="137"/>
      <c r="AR43" s="137"/>
      <c r="AS43" s="137"/>
      <c r="AT43" s="137"/>
      <c r="AU43" s="137"/>
      <c r="AV43" s="137"/>
      <c r="AW43" s="121"/>
    </row>
    <row r="44" spans="2:49" s="37" customFormat="1" ht="16.149999999999999" customHeight="1" x14ac:dyDescent="0.2">
      <c r="B44" s="142"/>
      <c r="N44" s="117">
        <v>1</v>
      </c>
      <c r="O44" s="182"/>
      <c r="P44" s="117">
        <v>1</v>
      </c>
      <c r="Q44" s="182"/>
      <c r="R44" s="117">
        <f>HK!$N$26</f>
        <v>2</v>
      </c>
      <c r="S44" s="194"/>
      <c r="T44" s="117">
        <f>MenuAVS!$P$28</f>
        <v>1</v>
      </c>
      <c r="Y44" s="164"/>
      <c r="Z44" s="164"/>
      <c r="AA44" s="301"/>
      <c r="AB44" s="165"/>
      <c r="AC44" s="395"/>
      <c r="AD44" s="167"/>
      <c r="AE44" s="408"/>
      <c r="AF44" s="168"/>
      <c r="AG44" s="408"/>
      <c r="AH44" s="168"/>
      <c r="AI44" s="108"/>
      <c r="AJ44" s="108"/>
      <c r="AK44" s="108"/>
      <c r="AL44" s="137"/>
      <c r="AM44" s="137"/>
      <c r="AN44" s="137"/>
      <c r="AO44" s="137"/>
      <c r="AP44" s="137"/>
      <c r="AQ44" s="137"/>
      <c r="AR44" s="137"/>
      <c r="AS44" s="137"/>
      <c r="AT44" s="137"/>
      <c r="AU44" s="137"/>
      <c r="AV44" s="137"/>
      <c r="AW44" s="121"/>
    </row>
    <row r="45" spans="2:49" ht="16.149999999999999" customHeight="1" x14ac:dyDescent="0.2">
      <c r="B45" s="349"/>
      <c r="D45" s="148"/>
      <c r="E45" s="148"/>
      <c r="F45" s="148"/>
      <c r="G45" s="148"/>
      <c r="H45" s="148"/>
      <c r="I45" s="148"/>
      <c r="J45" s="148"/>
      <c r="K45" s="148"/>
      <c r="N45" s="153" t="s">
        <v>7</v>
      </c>
      <c r="P45" s="153" t="s">
        <v>8</v>
      </c>
      <c r="R45" s="153" t="s">
        <v>84</v>
      </c>
      <c r="T45" s="153" t="s">
        <v>6</v>
      </c>
      <c r="V45" s="208" t="s">
        <v>18</v>
      </c>
      <c r="AG45" s="118"/>
      <c r="AI45" s="108"/>
      <c r="AJ45" s="108"/>
      <c r="AK45" s="108"/>
      <c r="AL45" s="137"/>
      <c r="AM45" s="137"/>
      <c r="AN45" s="137"/>
      <c r="AO45" s="137"/>
      <c r="AP45" s="137"/>
      <c r="AQ45" s="137"/>
      <c r="AR45" s="137"/>
      <c r="AS45" s="137"/>
      <c r="AT45" s="137"/>
      <c r="AU45" s="137"/>
      <c r="AV45" s="137"/>
    </row>
    <row r="46" spans="2:49" ht="16.149999999999999" customHeight="1" x14ac:dyDescent="0.2">
      <c r="B46" s="350"/>
      <c r="C46" s="148"/>
      <c r="D46" s="148"/>
      <c r="E46" s="148"/>
      <c r="F46" s="148"/>
      <c r="G46" s="148"/>
      <c r="H46" s="148"/>
      <c r="I46" s="148"/>
      <c r="J46" s="148"/>
      <c r="K46" s="148"/>
      <c r="R46" s="118" t="str">
        <f>ListAVS!$B$143</f>
        <v>Expando</v>
      </c>
      <c r="T46" s="37" t="str">
        <f>ListAVS!$B$146</f>
        <v>Jasnoszary (HGR)</v>
      </c>
      <c r="V46" s="209" t="s">
        <v>58</v>
      </c>
      <c r="AC46" s="144" t="str">
        <f>ListAVS!$B$61&amp;" "</f>
        <v xml:space="preserve">Cena całkowita bez VAT </v>
      </c>
      <c r="AD46" s="171">
        <f>SUM(AD9:AD43)</f>
        <v>0</v>
      </c>
      <c r="AF46" s="201">
        <f>SUM(AF9:AF45)</f>
        <v>0</v>
      </c>
      <c r="AH46" s="201">
        <f>SUM(AH9:AH45)</f>
        <v>0</v>
      </c>
      <c r="AI46" s="108"/>
      <c r="AJ46" s="108"/>
      <c r="AK46" s="108"/>
      <c r="AL46" s="137"/>
      <c r="AM46" s="137"/>
      <c r="AN46" s="137"/>
      <c r="AO46" s="137"/>
      <c r="AP46" s="137"/>
      <c r="AQ46" s="137"/>
      <c r="AR46" s="137"/>
      <c r="AS46" s="137"/>
      <c r="AT46" s="137"/>
      <c r="AU46" s="137"/>
      <c r="AV46" s="137"/>
    </row>
    <row r="47" spans="2:49" ht="16.149999999999999" customHeight="1" x14ac:dyDescent="0.2">
      <c r="B47" s="316"/>
      <c r="C47" s="317"/>
      <c r="D47" s="317"/>
      <c r="E47" s="317"/>
      <c r="F47" s="317"/>
      <c r="G47" s="317"/>
      <c r="I47" s="317"/>
      <c r="J47" s="317"/>
      <c r="R47" s="118" t="str">
        <f>ListAVS!$B$144</f>
        <v>na wkręty</v>
      </c>
      <c r="T47" s="37" t="str">
        <f>ListAVS!$B$148</f>
        <v>Jedwabiście biały (SW)</v>
      </c>
      <c r="V47" s="209" t="s">
        <v>107</v>
      </c>
      <c r="AI47" s="108"/>
      <c r="AJ47" s="108"/>
      <c r="AK47" s="108"/>
      <c r="AL47" s="137"/>
      <c r="AM47" s="137"/>
      <c r="AN47" s="137"/>
      <c r="AO47" s="137"/>
      <c r="AP47" s="137"/>
      <c r="AQ47" s="137"/>
      <c r="AR47" s="137"/>
      <c r="AS47" s="137"/>
      <c r="AT47" s="137"/>
      <c r="AU47" s="137"/>
      <c r="AV47" s="137"/>
    </row>
    <row r="48" spans="2:49" ht="16.149999999999999" customHeight="1" x14ac:dyDescent="0.2">
      <c r="B48" s="317"/>
      <c r="C48" s="317"/>
      <c r="D48" s="317"/>
      <c r="E48" s="317"/>
      <c r="F48" s="317"/>
      <c r="G48" s="317"/>
      <c r="I48" s="317"/>
      <c r="J48" s="317"/>
      <c r="T48" s="37">
        <f>ListAVS!$B$149</f>
        <v>0</v>
      </c>
      <c r="AI48" s="108"/>
      <c r="AJ48" s="108"/>
      <c r="AK48" s="108"/>
      <c r="AL48" s="137"/>
      <c r="AM48" s="137"/>
      <c r="AN48" s="137"/>
      <c r="AO48" s="137"/>
      <c r="AP48" s="137"/>
      <c r="AQ48" s="137"/>
      <c r="AR48" s="137"/>
      <c r="AS48" s="137"/>
      <c r="AT48" s="137"/>
      <c r="AU48" s="137"/>
      <c r="AV48" s="137"/>
    </row>
    <row r="49" spans="1:49" ht="16.149999999999999" customHeight="1" x14ac:dyDescent="0.2">
      <c r="B49" s="316"/>
      <c r="C49" s="317"/>
      <c r="D49" s="317"/>
      <c r="E49" s="317"/>
      <c r="F49" s="317"/>
      <c r="G49" s="317"/>
      <c r="I49" s="317"/>
      <c r="J49" s="317"/>
      <c r="N49" s="37" t="str">
        <f>ListAVS!B188&amp;". "</f>
        <v xml:space="preserve">W celu określenia rodzaju siłownika będzie wykorzystana podana waga. </v>
      </c>
      <c r="AI49" s="108"/>
      <c r="AJ49" s="108"/>
      <c r="AK49" s="108"/>
      <c r="AL49" s="137"/>
      <c r="AM49" s="137"/>
      <c r="AN49" s="137"/>
      <c r="AO49" s="137"/>
      <c r="AP49" s="137"/>
      <c r="AQ49" s="137"/>
      <c r="AR49" s="137"/>
      <c r="AS49" s="137"/>
      <c r="AT49" s="137"/>
      <c r="AU49" s="137"/>
      <c r="AV49" s="137"/>
    </row>
    <row r="50" spans="1:49" ht="16.149999999999999" customHeight="1" x14ac:dyDescent="0.2">
      <c r="B50" s="144"/>
      <c r="C50" s="317"/>
      <c r="N50" s="37" t="str">
        <f>ListAVS!B189&amp;". "</f>
        <v xml:space="preserve">W celu określenia rodzaju siłownika będzie wykorzystana obliczona waga. </v>
      </c>
      <c r="AI50" s="108"/>
      <c r="AJ50" s="108"/>
      <c r="AK50" s="108"/>
      <c r="AL50" s="137"/>
      <c r="AM50" s="137"/>
      <c r="AN50" s="137"/>
      <c r="AO50" s="137"/>
      <c r="AP50" s="137"/>
      <c r="AQ50" s="137"/>
      <c r="AR50" s="137"/>
      <c r="AS50" s="137"/>
      <c r="AT50" s="137"/>
      <c r="AU50" s="137"/>
      <c r="AV50" s="137"/>
    </row>
    <row r="51" spans="1:49" ht="16.149999999999999" customHeight="1" x14ac:dyDescent="0.2">
      <c r="B51" s="144"/>
      <c r="N51" s="37" t="str">
        <f>ListAVS!B190</f>
        <v>Jeżeli chcesz wykorzystać obliczoną wagę, zmaż podaną wartość</v>
      </c>
      <c r="AI51" s="108"/>
      <c r="AJ51" s="108"/>
      <c r="AK51" s="108"/>
      <c r="AL51" s="137"/>
      <c r="AM51" s="137"/>
      <c r="AN51" s="137"/>
      <c r="AO51" s="137"/>
      <c r="AP51" s="137"/>
      <c r="AQ51" s="137"/>
      <c r="AR51" s="137"/>
      <c r="AS51" s="137"/>
      <c r="AT51" s="137"/>
      <c r="AU51" s="137"/>
      <c r="AV51" s="137"/>
    </row>
    <row r="52" spans="1:49" ht="16.149999999999999" customHeight="1" x14ac:dyDescent="0.2">
      <c r="B52" s="155"/>
      <c r="D52" s="155"/>
      <c r="E52" s="155"/>
      <c r="F52" s="155"/>
      <c r="G52" s="155"/>
      <c r="I52" s="155"/>
      <c r="J52" s="155"/>
      <c r="N52" s="37" t="str">
        <f>ListAVS!B191</f>
        <v>Jeżeli chcesz wykorzystać podaną wagą, wpisz ją w pole</v>
      </c>
      <c r="AI52" s="108"/>
      <c r="AJ52" s="108"/>
      <c r="AK52" s="108"/>
      <c r="AL52" s="137"/>
      <c r="AM52" s="137"/>
      <c r="AN52" s="137"/>
      <c r="AO52" s="137"/>
      <c r="AP52" s="137"/>
      <c r="AQ52" s="137"/>
      <c r="AR52" s="137"/>
      <c r="AS52" s="137"/>
      <c r="AT52" s="137"/>
      <c r="AU52" s="137"/>
      <c r="AV52" s="137"/>
    </row>
    <row r="53" spans="1:49" ht="16.149999999999999" customHeight="1" x14ac:dyDescent="0.2">
      <c r="AI53" s="108"/>
      <c r="AJ53" s="108"/>
      <c r="AK53" s="108"/>
      <c r="AL53" s="137"/>
      <c r="AM53" s="137"/>
      <c r="AN53" s="137"/>
      <c r="AO53" s="137"/>
      <c r="AP53" s="137"/>
      <c r="AQ53" s="137"/>
      <c r="AR53" s="137"/>
      <c r="AS53" s="137"/>
      <c r="AT53" s="137"/>
      <c r="AU53" s="137"/>
      <c r="AV53" s="137"/>
    </row>
    <row r="54" spans="1:49" ht="16.149999999999999" customHeight="1" x14ac:dyDescent="0.2">
      <c r="AI54" s="108"/>
      <c r="AJ54" s="108"/>
      <c r="AK54" s="108"/>
      <c r="AL54" s="137"/>
      <c r="AM54" s="137"/>
      <c r="AN54" s="137"/>
      <c r="AO54" s="137"/>
      <c r="AP54" s="137"/>
      <c r="AQ54" s="137"/>
      <c r="AR54" s="137"/>
      <c r="AS54" s="137"/>
      <c r="AT54" s="137"/>
      <c r="AU54" s="137"/>
      <c r="AV54" s="137"/>
    </row>
    <row r="55" spans="1:49" ht="16.149999999999999" customHeight="1" x14ac:dyDescent="0.2">
      <c r="AI55" s="108"/>
      <c r="AJ55" s="108"/>
      <c r="AK55" s="108"/>
      <c r="AL55" s="137"/>
      <c r="AM55" s="137"/>
      <c r="AN55" s="137"/>
      <c r="AO55" s="137"/>
      <c r="AP55" s="37"/>
      <c r="AQ55" s="37"/>
      <c r="AR55" s="37"/>
      <c r="AS55" s="37"/>
      <c r="AT55" s="37"/>
      <c r="AU55" s="37"/>
      <c r="AV55" s="37"/>
    </row>
    <row r="56" spans="1:49" ht="16.149999999999999" customHeight="1" x14ac:dyDescent="0.2">
      <c r="AI56" s="108"/>
      <c r="AJ56" s="108"/>
      <c r="AK56" s="108"/>
      <c r="AL56" s="137"/>
      <c r="AM56" s="137"/>
      <c r="AN56" s="137"/>
      <c r="AO56" s="137"/>
      <c r="AP56" s="37"/>
      <c r="AQ56" s="37"/>
      <c r="AR56" s="37"/>
      <c r="AS56" s="37"/>
      <c r="AT56" s="37"/>
      <c r="AU56" s="37"/>
      <c r="AV56" s="37"/>
    </row>
    <row r="57" spans="1:49" ht="16.149999999999999" customHeight="1" x14ac:dyDescent="0.2">
      <c r="O57" s="37"/>
      <c r="Q57" s="37"/>
      <c r="AI57" s="108"/>
      <c r="AJ57" s="108"/>
      <c r="AK57" s="108"/>
      <c r="AL57" s="137"/>
      <c r="AM57" s="137"/>
      <c r="AN57" s="137"/>
      <c r="AO57" s="137"/>
      <c r="AP57" s="137"/>
      <c r="AQ57" s="137"/>
      <c r="AR57" s="137"/>
      <c r="AS57" s="137"/>
      <c r="AT57" s="137"/>
      <c r="AU57" s="137"/>
      <c r="AV57" s="137"/>
      <c r="AW57" s="37"/>
    </row>
    <row r="58" spans="1:49" x14ac:dyDescent="0.2">
      <c r="AI58" s="108"/>
      <c r="AJ58" s="108"/>
      <c r="AK58" s="108"/>
      <c r="AL58" s="137"/>
      <c r="AM58" s="137"/>
      <c r="AN58" s="137"/>
      <c r="AO58" s="137"/>
      <c r="AP58" s="137"/>
      <c r="AQ58" s="137"/>
      <c r="AR58" s="137"/>
      <c r="AS58" s="137"/>
      <c r="AT58" s="137"/>
      <c r="AU58" s="137"/>
      <c r="AV58" s="137"/>
    </row>
    <row r="59" spans="1:49" ht="12.75" x14ac:dyDescent="0.2">
      <c r="A59" s="255"/>
      <c r="N59" s="255"/>
      <c r="O59" s="255"/>
      <c r="P59" s="255"/>
      <c r="Q59" s="255"/>
      <c r="R59" s="255"/>
      <c r="S59" s="255"/>
      <c r="T59" s="255"/>
      <c r="U59" s="255"/>
      <c r="V59" s="255"/>
      <c r="W59" s="255"/>
      <c r="AI59" s="108"/>
      <c r="AJ59" s="108"/>
      <c r="AK59" s="108"/>
      <c r="AL59" s="137"/>
      <c r="AM59" s="137"/>
      <c r="AN59" s="137"/>
      <c r="AO59" s="137"/>
      <c r="AP59" s="137"/>
      <c r="AQ59" s="137"/>
      <c r="AR59" s="137"/>
      <c r="AS59" s="137"/>
      <c r="AT59" s="137"/>
      <c r="AU59" s="137"/>
      <c r="AV59" s="137"/>
    </row>
    <row r="60" spans="1:49" ht="12.75" x14ac:dyDescent="0.2">
      <c r="A60" s="255"/>
      <c r="N60" s="517" t="str">
        <f>ListAVS!$B$73</f>
        <v>Obliczanie wagi frontów</v>
      </c>
      <c r="O60" s="518"/>
      <c r="P60" s="518"/>
      <c r="Q60" s="518"/>
      <c r="R60" s="518"/>
      <c r="S60" s="255"/>
      <c r="T60" s="255"/>
      <c r="U60" s="255"/>
      <c r="V60" s="255"/>
      <c r="W60" s="255"/>
      <c r="AI60" s="108"/>
      <c r="AJ60" s="108"/>
      <c r="AK60" s="108"/>
      <c r="AL60" s="137"/>
      <c r="AM60" s="137"/>
      <c r="AN60" s="137"/>
      <c r="AO60" s="137"/>
      <c r="AP60" s="137"/>
      <c r="AQ60" s="137"/>
      <c r="AR60" s="137"/>
      <c r="AS60" s="137"/>
      <c r="AT60" s="137"/>
      <c r="AU60" s="137"/>
      <c r="AV60" s="137"/>
    </row>
    <row r="61" spans="1:49" ht="15.75" customHeight="1" x14ac:dyDescent="0.2">
      <c r="A61" s="255"/>
      <c r="N61" s="255"/>
      <c r="O61" s="269"/>
      <c r="P61" s="269" t="str">
        <f>ListAVS!$B$180&amp;"  "</f>
        <v xml:space="preserve">Wykonanie frontów  </v>
      </c>
      <c r="Q61" s="255"/>
      <c r="R61" s="255"/>
      <c r="S61" s="255"/>
      <c r="T61" s="829">
        <f>J4</f>
        <v>0</v>
      </c>
      <c r="U61" s="262" t="str">
        <f>IF(AF67=3,IF(T61=0,Y63," "),IF(T61&gt;0,Y64," "))</f>
        <v xml:space="preserve"> </v>
      </c>
      <c r="V61" s="255"/>
      <c r="W61" s="255"/>
      <c r="Y61" s="335" t="str">
        <f>IF($AF$67=1,$AF$88,IF($AF$67=2,$AF$89,$AF$90&amp;" - "&amp;$Y$71&amp;"mm"))</f>
        <v>Ramki aluminiowe z 4mm szkłem</v>
      </c>
      <c r="Z61" s="118"/>
      <c r="AB61" s="118"/>
      <c r="AD61" s="209">
        <f>MenuAVS!$Q$81</f>
        <v>2500</v>
      </c>
      <c r="AI61" s="108"/>
      <c r="AJ61" s="108"/>
      <c r="AK61" s="108"/>
      <c r="AL61" s="137"/>
      <c r="AM61" s="137"/>
      <c r="AN61" s="137"/>
      <c r="AO61" s="137"/>
      <c r="AP61" s="137"/>
      <c r="AQ61" s="137"/>
      <c r="AR61" s="137"/>
      <c r="AS61" s="137"/>
      <c r="AT61" s="137"/>
      <c r="AU61" s="137"/>
      <c r="AV61" s="137"/>
    </row>
    <row r="62" spans="1:49" ht="15.75" customHeight="1" x14ac:dyDescent="0.2">
      <c r="A62" s="255"/>
      <c r="N62" s="255"/>
      <c r="O62" s="255"/>
      <c r="P62" s="255"/>
      <c r="Q62" s="255"/>
      <c r="R62" s="255"/>
      <c r="S62" s="255"/>
      <c r="T62" s="255"/>
      <c r="U62" s="255"/>
      <c r="V62" s="255"/>
      <c r="W62" s="255"/>
      <c r="Y62" s="37" t="str">
        <f>" "&amp;ListAVS!$B$410</f>
        <v xml:space="preserve"> Możesz zmienić wartości we Wstępie do planowania</v>
      </c>
      <c r="Z62" s="118"/>
      <c r="AB62" s="118"/>
      <c r="AI62" s="108"/>
      <c r="AJ62" s="108"/>
      <c r="AK62" s="108"/>
      <c r="AL62" s="137"/>
      <c r="AM62" s="137"/>
      <c r="AN62" s="137"/>
      <c r="AO62" s="137"/>
      <c r="AP62" s="137"/>
      <c r="AQ62" s="137"/>
      <c r="AR62" s="137"/>
      <c r="AS62" s="137"/>
      <c r="AT62" s="137"/>
      <c r="AU62" s="137"/>
      <c r="AV62" s="137"/>
    </row>
    <row r="63" spans="1:49" ht="15" customHeight="1" x14ac:dyDescent="0.2">
      <c r="A63" s="255"/>
      <c r="N63" s="266"/>
      <c r="O63" s="255"/>
      <c r="P63" s="255"/>
      <c r="Q63" s="255"/>
      <c r="R63" s="255"/>
      <c r="S63" s="255"/>
      <c r="T63" s="255"/>
      <c r="U63" s="255"/>
      <c r="V63" s="255"/>
      <c r="W63" s="255"/>
      <c r="Y63" s="37" t="str">
        <f>" "&amp;ListAVS!$B$246&amp;" [mm]"</f>
        <v xml:space="preserve"> Podaj grubość szkła [mm]</v>
      </c>
      <c r="Z63" s="118"/>
      <c r="AB63" s="118"/>
      <c r="AI63" s="108"/>
      <c r="AJ63" s="108"/>
      <c r="AK63" s="108"/>
      <c r="AL63" s="137"/>
      <c r="AM63" s="137"/>
      <c r="AN63" s="137"/>
      <c r="AO63" s="137"/>
      <c r="AP63" s="118"/>
      <c r="AQ63" s="118"/>
      <c r="AR63" s="118"/>
      <c r="AS63" s="118"/>
      <c r="AT63" s="118"/>
      <c r="AU63" s="118"/>
      <c r="AV63" s="118"/>
    </row>
    <row r="64" spans="1:49" ht="15" customHeight="1" x14ac:dyDescent="0.2">
      <c r="A64" s="255"/>
      <c r="N64" s="266"/>
      <c r="O64" s="255"/>
      <c r="P64" s="255"/>
      <c r="Q64" s="255"/>
      <c r="R64" s="255"/>
      <c r="S64" s="255"/>
      <c r="T64" s="255"/>
      <c r="U64" s="255"/>
      <c r="V64" s="255"/>
      <c r="W64" s="255"/>
      <c r="Y64" s="37" t="str">
        <f>" "&amp;ListAVS!$B$241&amp;" '"&amp;ListAVS!$B$95&amp;"'"</f>
        <v xml:space="preserve"> Wartość obowiązuje tylko dla opcji 'Ramki aluminiowe z innym szkłem'</v>
      </c>
      <c r="Z64" s="118"/>
      <c r="AB64" s="118"/>
      <c r="AI64" s="108"/>
      <c r="AJ64" s="108"/>
      <c r="AK64" s="108"/>
      <c r="AL64" s="137"/>
      <c r="AM64" s="137"/>
      <c r="AN64" s="137"/>
      <c r="AO64" s="137"/>
      <c r="AP64" s="118"/>
      <c r="AQ64" s="118"/>
      <c r="AR64" s="118"/>
      <c r="AS64" s="118"/>
      <c r="AT64" s="118"/>
      <c r="AU64" s="118"/>
      <c r="AV64" s="118"/>
    </row>
    <row r="65" spans="1:49" ht="15" customHeight="1" x14ac:dyDescent="0.2">
      <c r="A65" s="255"/>
      <c r="N65" s="255"/>
      <c r="O65" s="255"/>
      <c r="P65" s="255"/>
      <c r="Q65" s="255"/>
      <c r="R65" s="255"/>
      <c r="S65" s="255"/>
      <c r="T65" s="255"/>
      <c r="U65" s="255"/>
      <c r="V65" s="255"/>
      <c r="W65" s="255"/>
      <c r="Z65" s="118"/>
      <c r="AB65" s="118"/>
      <c r="AI65" s="108"/>
      <c r="AJ65" s="108"/>
      <c r="AK65" s="108"/>
      <c r="AL65" s="137"/>
      <c r="AM65" s="137"/>
      <c r="AN65" s="137"/>
      <c r="AO65" s="137"/>
      <c r="AP65" s="118"/>
      <c r="AQ65" s="118"/>
      <c r="AR65" s="118"/>
      <c r="AS65" s="118"/>
      <c r="AT65" s="118"/>
      <c r="AU65" s="118"/>
      <c r="AV65" s="118"/>
      <c r="AW65" s="118"/>
    </row>
    <row r="66" spans="1:49" ht="15" customHeight="1" x14ac:dyDescent="0.2">
      <c r="A66" s="255"/>
      <c r="N66" s="266"/>
      <c r="O66" s="266"/>
      <c r="P66" s="266"/>
      <c r="Q66" s="255"/>
      <c r="R66" s="1148" t="str">
        <f>D9</f>
        <v xml:space="preserve"> </v>
      </c>
      <c r="S66" s="1149"/>
      <c r="T66" s="1150"/>
      <c r="U66" s="255"/>
      <c r="V66" s="255"/>
      <c r="W66" s="255"/>
      <c r="Z66" s="118"/>
      <c r="AB66" s="118"/>
      <c r="AD66" s="209"/>
      <c r="AE66" s="601" t="s">
        <v>68</v>
      </c>
      <c r="AF66" s="601" t="s">
        <v>69</v>
      </c>
      <c r="AG66" s="601" t="s">
        <v>70</v>
      </c>
      <c r="AI66" s="108"/>
      <c r="AJ66" s="108"/>
      <c r="AK66" s="108"/>
      <c r="AL66" s="137"/>
      <c r="AM66" s="137"/>
      <c r="AN66" s="137"/>
      <c r="AO66" s="137"/>
      <c r="AP66" s="118"/>
      <c r="AQ66" s="118"/>
      <c r="AR66" s="118"/>
      <c r="AS66" s="118"/>
      <c r="AT66" s="118"/>
      <c r="AU66" s="118"/>
      <c r="AV66" s="118"/>
      <c r="AW66" s="118"/>
    </row>
    <row r="67" spans="1:49" s="118" customFormat="1" ht="15" customHeight="1" x14ac:dyDescent="0.2">
      <c r="A67" s="255"/>
      <c r="N67" s="1138" t="str">
        <f>ListAVS!$B$74&amp;" KB [mm]       "</f>
        <v xml:space="preserve">Szerokość korpusu KB [mm]       </v>
      </c>
      <c r="O67" s="1139"/>
      <c r="P67" s="1139"/>
      <c r="Q67" s="1139"/>
      <c r="R67" s="1139"/>
      <c r="S67" s="1140"/>
      <c r="T67" s="829">
        <f>H10</f>
        <v>0</v>
      </c>
      <c r="U67" s="670"/>
      <c r="V67" s="248"/>
      <c r="W67" s="255"/>
      <c r="X67" s="37"/>
      <c r="Y67" s="37">
        <f>T67*T68*T69</f>
        <v>0</v>
      </c>
      <c r="Z67" s="37"/>
      <c r="AA67" s="37"/>
      <c r="AC67" s="37"/>
      <c r="AD67" s="325">
        <f>IF($AG$67=1,$X$88,$X$89)</f>
        <v>0.31</v>
      </c>
      <c r="AE67" s="339">
        <f>$X$90</f>
        <v>0.46</v>
      </c>
      <c r="AF67" s="327">
        <v>1</v>
      </c>
      <c r="AG67" s="328">
        <f>$O$4</f>
        <v>1</v>
      </c>
      <c r="AH67" s="37"/>
      <c r="AJ67" s="108"/>
      <c r="AK67" s="108"/>
      <c r="AL67" s="137"/>
      <c r="AM67" s="137"/>
      <c r="AN67" s="137"/>
      <c r="AO67" s="137"/>
    </row>
    <row r="68" spans="1:49" s="118" customFormat="1" ht="15" customHeight="1" x14ac:dyDescent="0.2">
      <c r="A68" s="255"/>
      <c r="N68" s="1138" t="str">
        <f>ListAVS!$B$75&amp;" KH [mm]       "</f>
        <v xml:space="preserve">Wysokość korpusu KH [mm]       </v>
      </c>
      <c r="O68" s="1139"/>
      <c r="P68" s="1139"/>
      <c r="Q68" s="1139"/>
      <c r="R68" s="1139"/>
      <c r="S68" s="1140"/>
      <c r="T68" s="829">
        <f>H11</f>
        <v>0</v>
      </c>
      <c r="U68" s="670"/>
      <c r="V68" s="248"/>
      <c r="W68" s="255"/>
      <c r="X68" s="37"/>
      <c r="Y68" s="37">
        <f>Y67/1000000000</f>
        <v>0</v>
      </c>
      <c r="Z68" s="117">
        <v>1</v>
      </c>
      <c r="AC68" s="37"/>
      <c r="AD68" s="153" t="s">
        <v>71</v>
      </c>
      <c r="AE68" s="209">
        <f>SUM(T67*2,(T68-40)*2)*AD67/1000</f>
        <v>-2.4799999999999999E-2</v>
      </c>
      <c r="AF68" s="601" t="s">
        <v>72</v>
      </c>
      <c r="AG68" s="601"/>
      <c r="AH68" s="37"/>
      <c r="AJ68" s="108"/>
      <c r="AK68" s="108"/>
      <c r="AL68" s="137"/>
      <c r="AM68" s="137"/>
      <c r="AN68" s="137"/>
      <c r="AO68" s="137"/>
      <c r="AP68" s="137"/>
      <c r="AQ68" s="137"/>
      <c r="AR68" s="137"/>
      <c r="AS68" s="137"/>
      <c r="AT68" s="137"/>
      <c r="AU68" s="137"/>
      <c r="AV68" s="137"/>
    </row>
    <row r="69" spans="1:49" s="118" customFormat="1" ht="15" customHeight="1" x14ac:dyDescent="0.2">
      <c r="A69" s="255"/>
      <c r="N69" s="1173" t="str">
        <f>ListAVS!$B$80&amp;" TS [mm] "</f>
        <v xml:space="preserve">Grubość frontu TS [mm] </v>
      </c>
      <c r="O69" s="1174"/>
      <c r="P69" s="1174"/>
      <c r="Q69" s="1174"/>
      <c r="R69" s="1174"/>
      <c r="S69" s="1175"/>
      <c r="T69" s="829"/>
      <c r="U69" s="227"/>
      <c r="V69" s="248"/>
      <c r="W69" s="255"/>
      <c r="X69" s="37"/>
      <c r="Y69" s="319">
        <f>MenuAVS!$C$31</f>
        <v>760</v>
      </c>
      <c r="Z69" s="175" t="str">
        <f>ListAVS!$B$90&amp;" ("&amp;Y69&amp;" kg/m3)"</f>
        <v>MDF (760 kg/m3)</v>
      </c>
      <c r="AC69" s="37"/>
      <c r="AD69" s="209">
        <f>$AD$61*4/1000</f>
        <v>10</v>
      </c>
      <c r="AE69" s="330">
        <f>IF($AG$67=1,AF69*AD69,AG69*AD69)</f>
        <v>8.9999999999999993E-3</v>
      </c>
      <c r="AF69" s="209">
        <f>SUM(($T$67-30)*($T$68-30)/1000000)</f>
        <v>8.9999999999999998E-4</v>
      </c>
      <c r="AG69" s="351">
        <f>SUM(($T$67-6)*($T$68-6)/1000000)</f>
        <v>3.6000000000000001E-5</v>
      </c>
      <c r="AH69" s="208" t="s">
        <v>73</v>
      </c>
      <c r="AJ69" s="108"/>
      <c r="AK69" s="108"/>
      <c r="AL69" s="137"/>
      <c r="AM69" s="137"/>
      <c r="AN69" s="137"/>
      <c r="AO69" s="137"/>
      <c r="AP69" s="137"/>
      <c r="AQ69" s="137"/>
      <c r="AR69" s="137"/>
      <c r="AS69" s="137"/>
      <c r="AT69" s="137"/>
      <c r="AU69" s="137"/>
      <c r="AV69" s="137"/>
    </row>
    <row r="70" spans="1:49" s="118" customFormat="1" ht="15" customHeight="1" x14ac:dyDescent="0.2">
      <c r="A70" s="255"/>
      <c r="N70" s="1143" t="str">
        <f>ListAVS!$B$83&amp;" [kg] "</f>
        <v xml:space="preserve">Waga uchwytu [kg] </v>
      </c>
      <c r="O70" s="1144"/>
      <c r="P70" s="1144"/>
      <c r="Q70" s="1144"/>
      <c r="R70" s="1144"/>
      <c r="S70" s="1145"/>
      <c r="T70" s="831">
        <f>H14</f>
        <v>0</v>
      </c>
      <c r="U70" s="256" t="str">
        <f>IF($U$16=2," ",IF(SUM(T67,T68)=0," ",IF(T70=0," ● "&amp;ListAVS!$B$130," ")))</f>
        <v xml:space="preserve"> </v>
      </c>
      <c r="V70" s="248"/>
      <c r="W70" s="255"/>
      <c r="X70" s="37"/>
      <c r="Y70" s="319">
        <f>MenuAVS!$C$32</f>
        <v>680</v>
      </c>
      <c r="Z70" s="175" t="str">
        <f>ListAVS!$B$91&amp;" ("&amp;Y70&amp;" kg/m3)"</f>
        <v>Płyta wiórowa (680 kg/m3)</v>
      </c>
      <c r="AC70" s="37"/>
      <c r="AD70" s="209">
        <f>$AD$61*5/1000</f>
        <v>12.5</v>
      </c>
      <c r="AE70" s="330">
        <f>IF($AG$67=1,AF70*AD70,AG70*AD70)</f>
        <v>1.125E-2</v>
      </c>
      <c r="AF70" s="209">
        <f>SUM(($T$67-30)*($T$68-30)/1000000)</f>
        <v>8.9999999999999998E-4</v>
      </c>
      <c r="AG70" s="351">
        <f>SUM(($T$67-6)*($T$68-6)/1000000)</f>
        <v>3.6000000000000001E-5</v>
      </c>
      <c r="AH70" s="208" t="s">
        <v>74</v>
      </c>
      <c r="AJ70" s="108"/>
      <c r="AK70" s="108"/>
      <c r="AL70" s="137"/>
      <c r="AM70" s="137"/>
      <c r="AN70" s="137"/>
      <c r="AO70" s="137"/>
      <c r="AW70" s="121"/>
    </row>
    <row r="71" spans="1:49" s="118" customFormat="1" ht="15" customHeight="1" x14ac:dyDescent="0.2">
      <c r="A71" s="255"/>
      <c r="N71" s="1143" t="str">
        <f>ListAVS!$B$79&amp;" [kg] "</f>
        <v xml:space="preserve">Obliczona waga frontu [kg] </v>
      </c>
      <c r="O71" s="1144"/>
      <c r="P71" s="1144"/>
      <c r="Q71" s="1144"/>
      <c r="R71" s="1144"/>
      <c r="S71" s="1145"/>
      <c r="T71" s="533">
        <f>IF(AD72=0,0,AD72+2*T70)</f>
        <v>0</v>
      </c>
      <c r="U71" s="227"/>
      <c r="V71" s="248"/>
      <c r="W71" s="255"/>
      <c r="X71" s="186">
        <f>IF(T67*T68*T69=0,0,IF(Z68=1,Y68*Y69,IF(Z68=2,Y68*Y70,Y68*Y71)))</f>
        <v>0</v>
      </c>
      <c r="Y71" s="37">
        <f>$T$61</f>
        <v>0</v>
      </c>
      <c r="Z71" s="175" t="str">
        <f>ListAVS!$B$92</f>
        <v>Inne – wybrana gęstość materiału</v>
      </c>
      <c r="AC71" s="37"/>
      <c r="AD71" s="209">
        <f>$AD$61*$T$61/1000</f>
        <v>0</v>
      </c>
      <c r="AE71" s="330">
        <f>IF($AG$67=1,AF71*AD71,AG71*AD71)</f>
        <v>0</v>
      </c>
      <c r="AF71" s="209">
        <f>SUM(($T$67-30)*($T$68-30)/1000000)</f>
        <v>8.9999999999999998E-4</v>
      </c>
      <c r="AG71" s="351">
        <f>SUM(($T$67-6)*($T$68-6)/1000000)</f>
        <v>3.6000000000000001E-5</v>
      </c>
      <c r="AH71" s="208" t="s">
        <v>75</v>
      </c>
      <c r="AJ71" s="108"/>
      <c r="AK71" s="108"/>
      <c r="AL71" s="137"/>
      <c r="AM71" s="137"/>
      <c r="AN71" s="137"/>
      <c r="AO71" s="137"/>
      <c r="AW71" s="121"/>
    </row>
    <row r="72" spans="1:49" ht="15" customHeight="1" x14ac:dyDescent="0.2">
      <c r="A72" s="255"/>
      <c r="N72" s="255"/>
      <c r="O72" s="273" t="str">
        <f>IF((U16=2)*AND(T71&gt;0)*AND(T70&gt;0),$Z$89&amp;" "&amp;$Z$90,IF((U16&lt;&gt;2)*AND(T71&gt;0),IF(T70=0,$Z$88," ")," "))</f>
        <v xml:space="preserve"> </v>
      </c>
      <c r="P72" s="255"/>
      <c r="Q72" s="255"/>
      <c r="R72" s="255"/>
      <c r="S72" s="255"/>
      <c r="T72" s="255"/>
      <c r="U72" s="255"/>
      <c r="V72" s="255"/>
      <c r="W72" s="255"/>
      <c r="Z72" s="118"/>
      <c r="AB72" s="118"/>
      <c r="AD72" s="332">
        <f>IF(OR(AND(AF67=3, $T$61=0), T67*T68=0), 0, SUM(IF(AF67=1,AE69,IF(AF67=2,AE70,AE71)),AE68,AE67))</f>
        <v>0</v>
      </c>
      <c r="AI72" s="108"/>
      <c r="AJ72" s="108"/>
      <c r="AK72" s="108"/>
      <c r="AL72" s="137"/>
      <c r="AM72" s="137"/>
      <c r="AN72" s="137"/>
      <c r="AO72" s="137"/>
      <c r="AP72" s="118"/>
      <c r="AQ72" s="118"/>
      <c r="AR72" s="118"/>
      <c r="AS72" s="118"/>
      <c r="AT72" s="118"/>
      <c r="AU72" s="118"/>
      <c r="AV72" s="118"/>
      <c r="AW72" s="118"/>
    </row>
    <row r="73" spans="1:49" ht="15" customHeight="1" x14ac:dyDescent="0.2">
      <c r="A73" s="255"/>
      <c r="N73" s="255"/>
      <c r="O73" s="255"/>
      <c r="P73" s="255"/>
      <c r="Q73" s="255"/>
      <c r="R73" s="255"/>
      <c r="S73" s="255"/>
      <c r="T73" s="255"/>
      <c r="U73" s="255"/>
      <c r="V73" s="255"/>
      <c r="W73" s="255"/>
      <c r="Z73" s="118"/>
      <c r="AB73" s="118"/>
      <c r="AI73" s="108"/>
      <c r="AJ73" s="108"/>
      <c r="AK73" s="108"/>
      <c r="AL73" s="137"/>
      <c r="AM73" s="137"/>
      <c r="AN73" s="137"/>
      <c r="AO73" s="137"/>
      <c r="AP73" s="118"/>
      <c r="AQ73" s="118"/>
      <c r="AR73" s="118"/>
      <c r="AS73" s="118"/>
      <c r="AT73" s="118"/>
      <c r="AU73" s="118"/>
      <c r="AV73" s="118"/>
      <c r="AW73" s="118"/>
    </row>
    <row r="74" spans="1:49" s="118" customFormat="1" ht="15" customHeight="1" x14ac:dyDescent="0.2">
      <c r="A74" s="255"/>
      <c r="N74" s="255"/>
      <c r="O74" s="255"/>
      <c r="P74" s="255"/>
      <c r="Q74" s="255"/>
      <c r="R74" s="255"/>
      <c r="S74" s="255"/>
      <c r="T74" s="255"/>
      <c r="U74" s="255"/>
      <c r="V74" s="255"/>
      <c r="W74" s="255"/>
      <c r="X74" s="37"/>
      <c r="Y74" s="37"/>
      <c r="AA74" s="37"/>
      <c r="AC74" s="37"/>
      <c r="AD74" s="37"/>
      <c r="AE74" s="37"/>
      <c r="AF74" s="37"/>
      <c r="AG74" s="37"/>
      <c r="AH74" s="37"/>
      <c r="AJ74" s="108"/>
      <c r="AK74" s="108"/>
      <c r="AL74" s="137"/>
      <c r="AM74" s="137"/>
      <c r="AN74" s="137"/>
      <c r="AO74" s="137"/>
    </row>
    <row r="75" spans="1:49" s="118" customFormat="1" ht="15" customHeight="1" x14ac:dyDescent="0.2">
      <c r="A75" s="255"/>
      <c r="N75" s="248"/>
      <c r="O75" s="248"/>
      <c r="P75" s="248"/>
      <c r="Q75" s="255"/>
      <c r="R75" s="1148" t="str">
        <f>D20</f>
        <v xml:space="preserve"> </v>
      </c>
      <c r="S75" s="1149"/>
      <c r="T75" s="1150"/>
      <c r="U75" s="255"/>
      <c r="V75" s="255"/>
      <c r="W75" s="255"/>
      <c r="X75" s="37"/>
      <c r="AA75" s="37"/>
      <c r="AC75" s="37"/>
      <c r="AD75" s="209"/>
      <c r="AE75" s="601" t="s">
        <v>68</v>
      </c>
      <c r="AF75" s="601" t="s">
        <v>69</v>
      </c>
      <c r="AG75" s="601" t="s">
        <v>70</v>
      </c>
      <c r="AH75" s="37"/>
      <c r="AJ75" s="108"/>
      <c r="AK75" s="108"/>
      <c r="AL75" s="137"/>
      <c r="AM75" s="137"/>
      <c r="AN75" s="137"/>
      <c r="AO75" s="137"/>
    </row>
    <row r="76" spans="1:49" s="118" customFormat="1" ht="15" customHeight="1" x14ac:dyDescent="0.2">
      <c r="A76" s="255"/>
      <c r="N76" s="1138" t="str">
        <f>ListAVS!$B$74&amp;" KB [mm]       "</f>
        <v xml:space="preserve">Szerokość korpusu KB [mm]       </v>
      </c>
      <c r="O76" s="1139"/>
      <c r="P76" s="1139"/>
      <c r="Q76" s="1139"/>
      <c r="R76" s="1139"/>
      <c r="S76" s="1140"/>
      <c r="T76" s="829">
        <f>H21</f>
        <v>0</v>
      </c>
      <c r="U76" s="670"/>
      <c r="V76" s="255"/>
      <c r="W76" s="255"/>
      <c r="X76" s="37"/>
      <c r="Y76" s="37">
        <f>T76*T77*T78</f>
        <v>0</v>
      </c>
      <c r="Z76" s="37"/>
      <c r="AA76" s="37"/>
      <c r="AC76" s="37"/>
      <c r="AD76" s="325">
        <f>IF($AG$67=1,$X$88,$X$89)</f>
        <v>0.31</v>
      </c>
      <c r="AE76" s="339">
        <f>$X$90</f>
        <v>0.46</v>
      </c>
      <c r="AF76" s="333">
        <f>$AF$67</f>
        <v>1</v>
      </c>
      <c r="AG76" s="328">
        <f>$AG$67</f>
        <v>1</v>
      </c>
      <c r="AH76" s="37"/>
      <c r="AJ76" s="108"/>
      <c r="AK76" s="108"/>
      <c r="AL76" s="137"/>
      <c r="AM76" s="137"/>
      <c r="AN76" s="137"/>
      <c r="AO76" s="137"/>
    </row>
    <row r="77" spans="1:49" s="118" customFormat="1" ht="15" customHeight="1" x14ac:dyDescent="0.2">
      <c r="A77" s="255"/>
      <c r="N77" s="1138" t="str">
        <f>ListAVS!$B$75&amp;" KH [mm]       "</f>
        <v xml:space="preserve">Wysokość korpusu KH [mm]       </v>
      </c>
      <c r="O77" s="1139"/>
      <c r="P77" s="1139"/>
      <c r="Q77" s="1139"/>
      <c r="R77" s="1139"/>
      <c r="S77" s="1140"/>
      <c r="T77" s="829">
        <f>H22</f>
        <v>0</v>
      </c>
      <c r="U77" s="670"/>
      <c r="V77" s="255"/>
      <c r="W77" s="255"/>
      <c r="X77" s="37"/>
      <c r="Y77" s="37">
        <f>Y76/1000000000</f>
        <v>0</v>
      </c>
      <c r="Z77" s="182">
        <f>Z68</f>
        <v>1</v>
      </c>
      <c r="AC77" s="37"/>
      <c r="AD77" s="144" t="s">
        <v>71</v>
      </c>
      <c r="AE77" s="209">
        <f>SUM(T76*2,(T77-40)*2)*AD76/1000</f>
        <v>-2.4799999999999999E-2</v>
      </c>
      <c r="AF77" s="601" t="s">
        <v>72</v>
      </c>
      <c r="AG77" s="601"/>
      <c r="AH77" s="37"/>
      <c r="AJ77" s="108"/>
      <c r="AK77" s="108"/>
      <c r="AL77" s="137"/>
      <c r="AM77" s="137"/>
      <c r="AN77" s="137"/>
      <c r="AO77" s="137"/>
    </row>
    <row r="78" spans="1:49" s="118" customFormat="1" ht="15" customHeight="1" x14ac:dyDescent="0.2">
      <c r="A78" s="255"/>
      <c r="N78" s="1173" t="str">
        <f>ListAVS!$B$80&amp;" TS [mm] "</f>
        <v xml:space="preserve">Grubość frontu TS [mm] </v>
      </c>
      <c r="O78" s="1174"/>
      <c r="P78" s="1174"/>
      <c r="Q78" s="1174"/>
      <c r="R78" s="1174"/>
      <c r="S78" s="1175"/>
      <c r="T78" s="829"/>
      <c r="U78" s="227"/>
      <c r="V78" s="248"/>
      <c r="W78" s="248"/>
      <c r="X78" s="37"/>
      <c r="Y78" s="319">
        <f>$Y$69</f>
        <v>760</v>
      </c>
      <c r="Z78" s="37" t="str">
        <f>$Z$69</f>
        <v>MDF (760 kg/m3)</v>
      </c>
      <c r="AC78" s="37"/>
      <c r="AD78" s="37">
        <f>AD69</f>
        <v>10</v>
      </c>
      <c r="AE78" s="330">
        <f>IF($AG$67=1,AF78*AD78,AG78*AD78)</f>
        <v>8.9999999999999993E-3</v>
      </c>
      <c r="AF78" s="209">
        <f>SUM(($T$76-30)*($T$77-30)/1000000)</f>
        <v>8.9999999999999998E-4</v>
      </c>
      <c r="AG78" s="209">
        <f>SUM(($T$76-6)*($T$77-6)/1000000)</f>
        <v>3.6000000000000001E-5</v>
      </c>
      <c r="AH78" s="208" t="s">
        <v>73</v>
      </c>
      <c r="AJ78" s="108"/>
      <c r="AK78" s="108"/>
      <c r="AL78" s="137"/>
      <c r="AM78" s="137"/>
      <c r="AN78" s="137"/>
      <c r="AO78" s="137"/>
    </row>
    <row r="79" spans="1:49" s="118" customFormat="1" ht="15" customHeight="1" x14ac:dyDescent="0.2">
      <c r="A79" s="255"/>
      <c r="N79" s="1143" t="str">
        <f>ListAVS!$B$83&amp;" [kg] "</f>
        <v xml:space="preserve">Waga uchwytu [kg] </v>
      </c>
      <c r="O79" s="1144"/>
      <c r="P79" s="1144"/>
      <c r="Q79" s="1144"/>
      <c r="R79" s="1144"/>
      <c r="S79" s="1145"/>
      <c r="T79" s="834">
        <f>H25</f>
        <v>0</v>
      </c>
      <c r="U79" s="256" t="str">
        <f>IF($U$27=2," ",IF(SUM(T76,T77)=0," ",IF(T79=0," ● "&amp;ListAVS!$B$130," ")))</f>
        <v xml:space="preserve"> </v>
      </c>
      <c r="V79" s="248"/>
      <c r="W79" s="248"/>
      <c r="X79" s="37"/>
      <c r="Y79" s="319">
        <f>$Y$70</f>
        <v>680</v>
      </c>
      <c r="Z79" s="37" t="str">
        <f>$Z$70</f>
        <v>Płyta wiórowa (680 kg/m3)</v>
      </c>
      <c r="AC79" s="37"/>
      <c r="AD79" s="37">
        <f>AD70</f>
        <v>12.5</v>
      </c>
      <c r="AE79" s="330">
        <f>IF($AG$67=1,AF79*AD79,AG79*AD79)</f>
        <v>1.125E-2</v>
      </c>
      <c r="AF79" s="209">
        <f>SUM(($T$76-30)*($T$77-30)/1000000)</f>
        <v>8.9999999999999998E-4</v>
      </c>
      <c r="AG79" s="209">
        <f>SUM(($T$76-6)*($T$77-6)/1000000)</f>
        <v>3.6000000000000001E-5</v>
      </c>
      <c r="AH79" s="208" t="s">
        <v>74</v>
      </c>
      <c r="AJ79" s="108"/>
      <c r="AK79" s="108"/>
      <c r="AL79" s="137"/>
      <c r="AM79" s="137"/>
      <c r="AN79" s="137"/>
      <c r="AO79" s="137"/>
    </row>
    <row r="80" spans="1:49" s="118" customFormat="1" ht="15" customHeight="1" x14ac:dyDescent="0.2">
      <c r="A80" s="255"/>
      <c r="N80" s="1143" t="str">
        <f>ListAVS!$B$79&amp;" [kg] "</f>
        <v xml:space="preserve">Obliczona waga frontu [kg] </v>
      </c>
      <c r="O80" s="1144"/>
      <c r="P80" s="1144"/>
      <c r="Q80" s="1144"/>
      <c r="R80" s="1144"/>
      <c r="S80" s="1145"/>
      <c r="T80" s="533">
        <f>IF(AD81=0,0,AD81+2*T79)</f>
        <v>0</v>
      </c>
      <c r="U80" s="227"/>
      <c r="V80" s="248"/>
      <c r="W80" s="248"/>
      <c r="X80" s="186">
        <f>IF(T76*T77*T78=0,0,IF(Z77=1,Y77*Y78,IF(Z77=2,Y77*Y79,Y77*Y80)))</f>
        <v>0</v>
      </c>
      <c r="Y80" s="37">
        <f>$Y$71</f>
        <v>0</v>
      </c>
      <c r="Z80" s="37" t="str">
        <f>$Z$71</f>
        <v>Inne – wybrana gęstość materiału</v>
      </c>
      <c r="AC80" s="37"/>
      <c r="AD80" s="340">
        <f>AD71</f>
        <v>0</v>
      </c>
      <c r="AE80" s="330">
        <f>IF($AG$67=1,AF80*AD80,AG80*AD80)</f>
        <v>0</v>
      </c>
      <c r="AF80" s="209">
        <f>SUM(($T$76-30)*($T$77-30)/1000000)</f>
        <v>8.9999999999999998E-4</v>
      </c>
      <c r="AG80" s="209">
        <f>SUM(($T$76-6)*($T$77-6)/1000000)</f>
        <v>3.6000000000000001E-5</v>
      </c>
      <c r="AH80" s="208" t="s">
        <v>75</v>
      </c>
      <c r="AJ80" s="108"/>
      <c r="AK80" s="108"/>
      <c r="AL80" s="137"/>
      <c r="AM80" s="137"/>
      <c r="AN80" s="137"/>
      <c r="AO80" s="137"/>
    </row>
    <row r="81" spans="1:49" s="118" customFormat="1" ht="15" customHeight="1" x14ac:dyDescent="0.2">
      <c r="A81" s="255"/>
      <c r="N81" s="255"/>
      <c r="O81" s="273" t="str">
        <f>IF((U27=2)*AND(T80&gt;0)*AND(T79&gt;0),$Z$89&amp;" "&amp;$Z$90,IF((U27&lt;&gt;2)*AND(T80&gt;0),IF(T79=0,$Z$88," ")," "))</f>
        <v xml:space="preserve"> </v>
      </c>
      <c r="P81" s="255"/>
      <c r="Q81" s="255"/>
      <c r="R81" s="255"/>
      <c r="S81" s="255"/>
      <c r="T81" s="255"/>
      <c r="U81" s="255"/>
      <c r="V81" s="255"/>
      <c r="W81" s="255"/>
      <c r="X81" s="37"/>
      <c r="Y81" s="37"/>
      <c r="AA81" s="37"/>
      <c r="AC81" s="37"/>
      <c r="AD81" s="332">
        <f>IF(OR(AND(AF76=3, $T$61=0), T76*T77=0), 0, SUM(IF(AF76=1,AE78,IF(AF76=2,AE79,AE80)),AE77,AE76))</f>
        <v>0</v>
      </c>
      <c r="AE81" s="37"/>
      <c r="AF81" s="37"/>
      <c r="AG81" s="37"/>
      <c r="AH81" s="37"/>
      <c r="AJ81" s="108"/>
      <c r="AK81" s="108"/>
      <c r="AL81" s="137"/>
      <c r="AM81" s="137"/>
      <c r="AN81" s="137"/>
      <c r="AO81" s="137"/>
    </row>
    <row r="82" spans="1:49" s="118" customFormat="1" ht="15" customHeight="1" x14ac:dyDescent="0.2">
      <c r="A82" s="255"/>
      <c r="N82" s="255"/>
      <c r="O82" s="255"/>
      <c r="P82" s="255"/>
      <c r="Q82" s="255"/>
      <c r="R82" s="255"/>
      <c r="S82" s="255"/>
      <c r="T82" s="255"/>
      <c r="U82" s="255"/>
      <c r="V82" s="255"/>
      <c r="W82" s="255"/>
      <c r="X82" s="37"/>
      <c r="Y82" s="37"/>
      <c r="AA82" s="37"/>
      <c r="AC82" s="37"/>
      <c r="AD82" s="37"/>
      <c r="AE82" s="37"/>
      <c r="AF82" s="37"/>
      <c r="AG82" s="37"/>
      <c r="AH82" s="37"/>
      <c r="AJ82" s="108"/>
      <c r="AK82" s="108"/>
      <c r="AL82" s="137"/>
      <c r="AM82" s="137"/>
      <c r="AN82" s="137"/>
      <c r="AO82" s="137"/>
    </row>
    <row r="83" spans="1:49" s="118" customFormat="1" ht="15" customHeight="1" x14ac:dyDescent="0.2">
      <c r="A83" s="255"/>
      <c r="N83" s="255"/>
      <c r="O83" s="255"/>
      <c r="P83" s="255"/>
      <c r="Q83" s="255"/>
      <c r="R83" s="255"/>
      <c r="S83" s="255"/>
      <c r="T83" s="255"/>
      <c r="U83" s="255"/>
      <c r="V83" s="255"/>
      <c r="W83" s="255"/>
      <c r="X83" s="37"/>
      <c r="Y83" s="37"/>
      <c r="AA83" s="37"/>
      <c r="AC83" s="37"/>
      <c r="AD83" s="37"/>
      <c r="AE83" s="37"/>
      <c r="AF83" s="37"/>
      <c r="AG83" s="37"/>
      <c r="AH83" s="37"/>
      <c r="AJ83" s="108"/>
      <c r="AK83" s="108"/>
      <c r="AL83" s="137"/>
      <c r="AM83" s="137"/>
      <c r="AN83" s="137"/>
      <c r="AO83" s="137"/>
    </row>
    <row r="84" spans="1:49" s="118" customFormat="1" ht="15" customHeight="1" x14ac:dyDescent="0.2">
      <c r="A84" s="255"/>
      <c r="N84" s="255"/>
      <c r="O84" s="255"/>
      <c r="P84" s="255"/>
      <c r="Q84" s="255"/>
      <c r="R84" s="255"/>
      <c r="S84" s="255"/>
      <c r="T84" s="255"/>
      <c r="U84" s="255"/>
      <c r="V84" s="255"/>
      <c r="W84" s="255"/>
      <c r="X84" s="37"/>
      <c r="Y84" s="37"/>
      <c r="AA84" s="37"/>
      <c r="AC84" s="37"/>
      <c r="AD84" s="37"/>
      <c r="AE84" s="37"/>
      <c r="AF84" s="37"/>
      <c r="AG84" s="37"/>
      <c r="AH84" s="37"/>
      <c r="AJ84" s="108"/>
      <c r="AK84" s="108"/>
      <c r="AL84" s="137"/>
      <c r="AM84" s="137"/>
      <c r="AN84" s="137"/>
      <c r="AO84" s="137"/>
    </row>
    <row r="85" spans="1:49" s="118" customFormat="1" ht="15" customHeight="1" x14ac:dyDescent="0.2">
      <c r="A85" s="255"/>
      <c r="N85" s="255"/>
      <c r="O85" s="255"/>
      <c r="P85" s="255"/>
      <c r="Q85" s="255"/>
      <c r="R85" s="255"/>
      <c r="S85" s="1128"/>
      <c r="T85" s="1128"/>
      <c r="U85" s="255"/>
      <c r="V85" s="255"/>
      <c r="W85" s="255"/>
      <c r="X85" s="37"/>
      <c r="Y85" s="37"/>
      <c r="AA85" s="37"/>
      <c r="AC85" s="37"/>
      <c r="AD85" s="37"/>
      <c r="AE85" s="37"/>
      <c r="AF85" s="37"/>
      <c r="AG85" s="37"/>
      <c r="AH85" s="37"/>
      <c r="AJ85" s="108"/>
      <c r="AK85" s="108"/>
      <c r="AL85" s="137"/>
      <c r="AM85" s="137"/>
      <c r="AN85" s="137"/>
      <c r="AO85" s="137"/>
    </row>
    <row r="86" spans="1:49" s="118" customFormat="1" ht="15" customHeight="1" x14ac:dyDescent="0.2">
      <c r="A86" s="255"/>
      <c r="N86" s="255"/>
      <c r="O86" s="255"/>
      <c r="P86" s="255"/>
      <c r="Q86" s="255"/>
      <c r="R86" s="255"/>
      <c r="S86" s="255"/>
      <c r="T86" s="255"/>
      <c r="U86" s="255"/>
      <c r="V86" s="255"/>
      <c r="W86" s="255"/>
      <c r="X86" s="37"/>
      <c r="Y86" s="37"/>
      <c r="AA86" s="37"/>
      <c r="AC86" s="37"/>
      <c r="AD86" s="37"/>
      <c r="AE86" s="37"/>
      <c r="AF86" s="37"/>
      <c r="AG86" s="37"/>
      <c r="AH86" s="37"/>
      <c r="AJ86" s="108"/>
      <c r="AK86" s="108"/>
      <c r="AL86" s="137"/>
      <c r="AM86" s="137"/>
      <c r="AN86" s="137"/>
      <c r="AO86" s="137"/>
      <c r="AP86" s="37"/>
      <c r="AQ86" s="37"/>
      <c r="AR86" s="37"/>
      <c r="AS86" s="37"/>
      <c r="AT86" s="37"/>
      <c r="AU86" s="37"/>
      <c r="AV86" s="37"/>
    </row>
    <row r="87" spans="1:49" s="118" customFormat="1" ht="15" customHeight="1" x14ac:dyDescent="0.2">
      <c r="A87" s="255"/>
      <c r="N87" s="255"/>
      <c r="O87" s="255"/>
      <c r="P87" s="255"/>
      <c r="Q87" s="255"/>
      <c r="R87" s="255"/>
      <c r="S87" s="248"/>
      <c r="T87" s="248"/>
      <c r="U87" s="255"/>
      <c r="V87" s="255"/>
      <c r="W87" s="255"/>
      <c r="X87" s="37"/>
      <c r="Y87" s="37"/>
      <c r="AA87" s="37"/>
      <c r="AC87" s="37"/>
      <c r="AD87" s="37"/>
      <c r="AE87" s="37"/>
      <c r="AF87" s="37"/>
      <c r="AG87" s="37"/>
      <c r="AH87" s="37"/>
      <c r="AJ87" s="108"/>
      <c r="AK87" s="108"/>
      <c r="AL87" s="137"/>
      <c r="AM87" s="137"/>
      <c r="AN87" s="137"/>
      <c r="AO87" s="137"/>
      <c r="AP87" s="37"/>
      <c r="AQ87" s="37"/>
      <c r="AR87" s="37"/>
      <c r="AS87" s="37"/>
      <c r="AT87" s="37"/>
      <c r="AU87" s="37"/>
      <c r="AV87" s="37"/>
    </row>
    <row r="88" spans="1:49" s="118" customFormat="1" ht="15" customHeight="1" x14ac:dyDescent="0.2">
      <c r="A88" s="255"/>
      <c r="N88" s="255"/>
      <c r="O88" s="442"/>
      <c r="P88" s="442"/>
      <c r="Q88" s="442"/>
      <c r="R88" s="442"/>
      <c r="S88" s="442"/>
      <c r="T88" s="442"/>
      <c r="U88" s="442"/>
      <c r="V88" s="442"/>
      <c r="W88" s="816" t="str">
        <f>ListAVS!$B$424&amp;"  "</f>
        <v xml:space="preserve">z wpuszczanym szkłem  </v>
      </c>
      <c r="X88" s="711">
        <f>MenuAVS!$I$91</f>
        <v>0.31</v>
      </c>
      <c r="Z88" s="37" t="str">
        <f>ListAVS!$B$103&amp;"!"</f>
        <v>Bez wagi uchwytu!</v>
      </c>
      <c r="AA88" s="37"/>
      <c r="AC88" s="37"/>
      <c r="AD88" s="37"/>
      <c r="AE88" s="37"/>
      <c r="AF88" s="335" t="str">
        <f>ListAVS!$B$93</f>
        <v>Ramki aluminiowe z 4mm szkłem</v>
      </c>
      <c r="AG88" s="37"/>
      <c r="AH88" s="37"/>
      <c r="AJ88" s="108"/>
      <c r="AK88" s="108"/>
      <c r="AL88" s="137"/>
      <c r="AM88" s="137"/>
      <c r="AN88" s="137"/>
      <c r="AO88" s="137"/>
      <c r="AP88" s="37"/>
      <c r="AQ88" s="37"/>
      <c r="AR88" s="37"/>
      <c r="AS88" s="37"/>
      <c r="AT88" s="37"/>
      <c r="AU88" s="37"/>
      <c r="AV88" s="37"/>
      <c r="AW88" s="37"/>
    </row>
    <row r="89" spans="1:49" s="118" customFormat="1" ht="15" customHeight="1" x14ac:dyDescent="0.2">
      <c r="A89" s="255"/>
      <c r="N89" s="255"/>
      <c r="O89" s="442"/>
      <c r="P89" s="442"/>
      <c r="Q89" s="442"/>
      <c r="R89" s="442"/>
      <c r="S89" s="442"/>
      <c r="T89" s="442"/>
      <c r="U89" s="442"/>
      <c r="V89" s="442"/>
      <c r="W89" s="816" t="str">
        <f>ListAVS!$B$425&amp;"  "</f>
        <v xml:space="preserve">ze szkłem nakładanym lub przyklejanym  </v>
      </c>
      <c r="X89" s="711">
        <f>MenuAVS!$I$92</f>
        <v>0.32</v>
      </c>
      <c r="Z89" s="37" t="str">
        <f>ListAVS!B104</f>
        <v>Na pewno masz uchwyt do wersji TIP-ON?</v>
      </c>
      <c r="AA89" s="37"/>
      <c r="AC89" s="37"/>
      <c r="AD89" s="37"/>
      <c r="AE89" s="37"/>
      <c r="AF89" s="335" t="str">
        <f>ListAVS!$B$94</f>
        <v>Ramki aluminiowe z 5mm szkłem</v>
      </c>
      <c r="AG89" s="37"/>
      <c r="AH89" s="37"/>
      <c r="AJ89" s="108"/>
      <c r="AK89" s="108"/>
      <c r="AL89" s="137"/>
      <c r="AM89" s="137"/>
      <c r="AN89" s="137"/>
      <c r="AO89" s="137"/>
      <c r="AP89" s="37"/>
      <c r="AQ89" s="37"/>
      <c r="AR89" s="37"/>
      <c r="AS89" s="37"/>
      <c r="AT89" s="37"/>
      <c r="AU89" s="37"/>
      <c r="AV89" s="37"/>
      <c r="AW89" s="37"/>
    </row>
    <row r="90" spans="1:49" s="37" customFormat="1" ht="15" customHeight="1" x14ac:dyDescent="0.2">
      <c r="A90" s="255"/>
      <c r="N90" s="255"/>
      <c r="O90" s="442"/>
      <c r="P90" s="442"/>
      <c r="Q90" s="442"/>
      <c r="R90" s="442"/>
      <c r="S90" s="442"/>
      <c r="T90" s="442"/>
      <c r="U90" s="442"/>
      <c r="V90" s="442"/>
      <c r="W90" s="816" t="str">
        <f>ListAVS!$B$405&amp;" [kg/set] *  "</f>
        <v xml:space="preserve">Waga materiału łączącego  [kg/set] *  </v>
      </c>
      <c r="X90" s="711">
        <f>MenuAVS!$I$93</f>
        <v>0.46</v>
      </c>
      <c r="Z90" s="37" t="str">
        <f>ListAVS!B105&amp;"!"</f>
        <v>Jeśli nie wymaż wagę uchwytu!</v>
      </c>
      <c r="AB90" s="118"/>
      <c r="AF90" s="335" t="str">
        <f>ListAVS!$B$95</f>
        <v>Ramki aluminiowe z innym szkłem</v>
      </c>
      <c r="AJ90" s="108"/>
      <c r="AK90" s="108"/>
      <c r="AL90" s="137"/>
      <c r="AM90" s="137"/>
      <c r="AN90" s="137"/>
      <c r="AO90" s="137"/>
    </row>
    <row r="91" spans="1:49" s="37" customFormat="1" ht="15" customHeight="1" x14ac:dyDescent="0.2">
      <c r="A91" s="255"/>
      <c r="N91" s="255"/>
      <c r="O91" s="255"/>
      <c r="P91" s="255"/>
      <c r="Q91" s="255"/>
      <c r="R91" s="255"/>
      <c r="S91" s="255"/>
      <c r="T91" s="255"/>
      <c r="U91" s="255"/>
      <c r="V91" s="255"/>
      <c r="W91" s="255"/>
      <c r="Z91" s="118"/>
      <c r="AB91" s="118"/>
      <c r="AJ91" s="108"/>
      <c r="AK91" s="108"/>
      <c r="AL91" s="137"/>
      <c r="AM91" s="137"/>
      <c r="AN91" s="137"/>
      <c r="AO91" s="137"/>
    </row>
    <row r="92" spans="1:49" s="37" customFormat="1" ht="15" customHeight="1" x14ac:dyDescent="0.2">
      <c r="A92" s="255"/>
      <c r="N92" s="255"/>
      <c r="O92" s="255"/>
      <c r="P92" s="255"/>
      <c r="Q92" s="255"/>
      <c r="R92" s="255"/>
      <c r="S92" s="255"/>
      <c r="T92" s="255"/>
      <c r="U92" s="255"/>
      <c r="V92" s="255"/>
      <c r="W92" s="255"/>
      <c r="Z92" s="118"/>
      <c r="AB92" s="118"/>
      <c r="AJ92" s="108"/>
      <c r="AK92" s="108"/>
      <c r="AL92" s="137"/>
      <c r="AM92" s="137"/>
      <c r="AN92" s="137"/>
      <c r="AO92" s="137"/>
    </row>
    <row r="93" spans="1:49" s="37" customFormat="1" ht="15" customHeight="1" x14ac:dyDescent="0.2">
      <c r="A93" s="255"/>
      <c r="N93" s="255"/>
      <c r="O93" s="255"/>
      <c r="P93" s="255"/>
      <c r="Q93" s="255"/>
      <c r="R93" s="255"/>
      <c r="S93" s="255"/>
      <c r="T93" s="255"/>
      <c r="U93" s="255"/>
      <c r="V93" s="255"/>
      <c r="W93" s="255"/>
      <c r="Z93" s="118"/>
      <c r="AB93" s="118"/>
      <c r="AJ93" s="108"/>
      <c r="AK93" s="108"/>
      <c r="AL93" s="137"/>
      <c r="AM93" s="137"/>
      <c r="AN93" s="137"/>
      <c r="AO93" s="137"/>
    </row>
    <row r="94" spans="1:49" s="37" customFormat="1" ht="15" customHeight="1" x14ac:dyDescent="0.2">
      <c r="A94" s="255"/>
      <c r="N94" s="255"/>
      <c r="O94" s="255"/>
      <c r="P94" s="255"/>
      <c r="Q94" s="255"/>
      <c r="R94" s="255"/>
      <c r="S94" s="255"/>
      <c r="T94" s="255"/>
      <c r="U94" s="255"/>
      <c r="V94" s="255"/>
      <c r="W94" s="255"/>
      <c r="Z94" s="118"/>
      <c r="AB94" s="118"/>
      <c r="AJ94" s="108"/>
      <c r="AK94" s="108"/>
      <c r="AL94" s="137"/>
      <c r="AM94" s="137"/>
      <c r="AN94" s="137"/>
      <c r="AO94" s="137"/>
    </row>
    <row r="95" spans="1:49" s="37" customFormat="1" ht="15" customHeight="1" x14ac:dyDescent="0.2">
      <c r="A95" s="255"/>
      <c r="N95" s="255"/>
      <c r="O95" s="255"/>
      <c r="P95" s="255"/>
      <c r="Q95" s="255"/>
      <c r="R95" s="255"/>
      <c r="S95" s="255"/>
      <c r="T95" s="255"/>
      <c r="U95" s="255"/>
      <c r="V95" s="255"/>
      <c r="W95" s="255"/>
      <c r="Z95" s="118"/>
      <c r="AB95" s="118"/>
      <c r="AJ95" s="108"/>
      <c r="AK95" s="108"/>
      <c r="AL95" s="137"/>
      <c r="AM95" s="137"/>
      <c r="AN95" s="137"/>
      <c r="AO95" s="137"/>
    </row>
    <row r="96" spans="1:49" s="37" customFormat="1" ht="15" customHeight="1" x14ac:dyDescent="0.2">
      <c r="A96" s="255"/>
      <c r="N96" s="255"/>
      <c r="O96" s="255"/>
      <c r="P96" s="255"/>
      <c r="Q96" s="255"/>
      <c r="R96" s="255"/>
      <c r="S96" s="255"/>
      <c r="T96" s="255"/>
      <c r="U96" s="255"/>
      <c r="V96" s="255"/>
      <c r="W96" s="255"/>
      <c r="Z96" s="118"/>
      <c r="AB96" s="118"/>
      <c r="AJ96" s="108"/>
      <c r="AK96" s="108"/>
      <c r="AL96" s="137"/>
      <c r="AM96" s="137"/>
      <c r="AN96" s="137"/>
      <c r="AO96" s="137"/>
    </row>
    <row r="97" spans="1:48" s="37" customFormat="1" ht="15" customHeight="1" x14ac:dyDescent="0.2">
      <c r="A97" s="255"/>
      <c r="N97" s="255"/>
      <c r="O97" s="255"/>
      <c r="P97" s="255"/>
      <c r="Q97" s="255"/>
      <c r="R97" s="255"/>
      <c r="S97" s="255"/>
      <c r="T97" s="255"/>
      <c r="U97" s="255"/>
      <c r="V97" s="255"/>
      <c r="W97" s="255"/>
      <c r="Z97" s="118"/>
      <c r="AB97" s="118"/>
      <c r="AJ97" s="108"/>
      <c r="AK97" s="108"/>
      <c r="AL97" s="137"/>
      <c r="AM97" s="137"/>
      <c r="AN97" s="137"/>
      <c r="AO97" s="137"/>
    </row>
    <row r="98" spans="1:48" s="37" customFormat="1" ht="15" customHeight="1" x14ac:dyDescent="0.2">
      <c r="A98" s="255"/>
      <c r="N98" s="255"/>
      <c r="O98" s="255"/>
      <c r="P98" s="255"/>
      <c r="Q98" s="255"/>
      <c r="R98" s="255"/>
      <c r="S98" s="255"/>
      <c r="T98" s="255"/>
      <c r="U98" s="255"/>
      <c r="V98" s="255"/>
      <c r="W98" s="255"/>
      <c r="Z98" s="118"/>
      <c r="AB98" s="118"/>
      <c r="AJ98" s="108"/>
      <c r="AK98" s="108"/>
      <c r="AL98" s="137"/>
      <c r="AM98" s="137"/>
      <c r="AN98" s="137"/>
      <c r="AO98" s="137"/>
    </row>
    <row r="99" spans="1:48" x14ac:dyDescent="0.2">
      <c r="A99" s="1045"/>
      <c r="AI99" s="108"/>
      <c r="AJ99" s="108"/>
      <c r="AK99" s="108"/>
      <c r="AL99" s="137"/>
      <c r="AM99" s="137"/>
      <c r="AN99" s="137"/>
      <c r="AO99" s="137"/>
      <c r="AP99" s="137"/>
      <c r="AQ99" s="137"/>
      <c r="AR99" s="137"/>
      <c r="AS99" s="137"/>
      <c r="AT99" s="137"/>
      <c r="AU99" s="137"/>
      <c r="AV99" s="137"/>
    </row>
    <row r="100" spans="1:48" ht="18" x14ac:dyDescent="0.2">
      <c r="A100" s="1045"/>
      <c r="B100" s="308" t="s">
        <v>22</v>
      </c>
      <c r="C100" s="321"/>
      <c r="D100" s="308"/>
      <c r="E100" s="308"/>
      <c r="F100" s="308"/>
      <c r="G100" s="308"/>
      <c r="H100" s="308"/>
      <c r="I100" s="308"/>
      <c r="J100" s="308"/>
      <c r="K100" s="308"/>
      <c r="L100" s="308"/>
      <c r="AI100" s="108"/>
      <c r="AJ100" s="108"/>
      <c r="AK100" s="108"/>
      <c r="AL100" s="137"/>
      <c r="AM100" s="137"/>
      <c r="AN100" s="137"/>
      <c r="AO100" s="137"/>
      <c r="AP100" s="137"/>
      <c r="AQ100" s="137"/>
      <c r="AR100" s="137"/>
      <c r="AS100" s="137"/>
      <c r="AT100" s="137"/>
      <c r="AU100" s="137"/>
      <c r="AV100" s="137"/>
    </row>
    <row r="101" spans="1:48" x14ac:dyDescent="0.2">
      <c r="A101" s="1045"/>
      <c r="AI101" s="108"/>
      <c r="AJ101" s="108"/>
      <c r="AK101" s="108"/>
      <c r="AL101" s="137"/>
      <c r="AM101" s="137"/>
      <c r="AN101" s="137"/>
      <c r="AO101" s="137"/>
      <c r="AP101" s="137"/>
      <c r="AQ101" s="137"/>
      <c r="AR101" s="137"/>
      <c r="AS101" s="137"/>
      <c r="AT101" s="137"/>
      <c r="AU101" s="137"/>
      <c r="AV101" s="137"/>
    </row>
    <row r="102" spans="1:48" ht="15" customHeight="1" x14ac:dyDescent="0.2">
      <c r="A102" s="1045"/>
      <c r="B102" s="255" t="str">
        <f>ListAVS!$B$303</f>
        <v>Odpowiedni siłownik będzie określony za pomocą współczynnika mocy</v>
      </c>
      <c r="C102" s="255"/>
      <c r="D102" s="255"/>
      <c r="E102" s="255"/>
      <c r="F102" s="255"/>
      <c r="G102" s="255"/>
      <c r="H102" s="255"/>
      <c r="I102" s="255"/>
      <c r="J102" s="255"/>
      <c r="K102" s="255"/>
      <c r="L102" s="255"/>
      <c r="AI102" s="108"/>
      <c r="AJ102" s="108"/>
      <c r="AK102" s="108"/>
      <c r="AL102" s="137"/>
      <c r="AM102" s="137"/>
      <c r="AN102" s="137"/>
      <c r="AO102" s="137"/>
      <c r="AP102" s="137"/>
      <c r="AQ102" s="137"/>
      <c r="AR102" s="137"/>
      <c r="AS102" s="137"/>
      <c r="AT102" s="137"/>
      <c r="AU102" s="137"/>
      <c r="AV102" s="137"/>
    </row>
    <row r="103" spans="1:48" ht="15" customHeight="1" x14ac:dyDescent="0.2">
      <c r="A103" s="1045"/>
      <c r="B103" s="255" t="str">
        <f>ListAVS!$B$341</f>
        <v>Współczynnik mocy zależy od wagi frontu (wraz z podwójną wagą uchwytu) i od wysokości korpusu.</v>
      </c>
      <c r="C103" s="255"/>
      <c r="D103" s="255"/>
      <c r="E103" s="255"/>
      <c r="F103" s="255"/>
      <c r="G103" s="255"/>
      <c r="H103" s="255"/>
      <c r="I103" s="255"/>
      <c r="J103" s="255"/>
      <c r="K103" s="255"/>
      <c r="L103" s="255"/>
      <c r="AI103" s="108"/>
      <c r="AJ103" s="108"/>
      <c r="AK103" s="108"/>
      <c r="AL103" s="137"/>
      <c r="AM103" s="137"/>
      <c r="AN103" s="137"/>
      <c r="AO103" s="137"/>
      <c r="AP103" s="137"/>
      <c r="AQ103" s="137"/>
      <c r="AR103" s="137"/>
      <c r="AS103" s="137"/>
      <c r="AT103" s="137"/>
      <c r="AU103" s="137"/>
      <c r="AV103" s="137"/>
    </row>
    <row r="104" spans="1:48" ht="15" customHeight="1" x14ac:dyDescent="0.2">
      <c r="A104" s="1045"/>
      <c r="B104" s="255"/>
      <c r="C104" s="695"/>
      <c r="D104" s="695"/>
      <c r="E104" s="695"/>
      <c r="F104" s="695"/>
      <c r="G104" s="695"/>
      <c r="H104" s="695"/>
      <c r="I104" s="695"/>
      <c r="J104" s="695"/>
      <c r="K104" s="695"/>
      <c r="L104" s="695"/>
      <c r="AI104" s="108"/>
      <c r="AJ104" s="108"/>
      <c r="AK104" s="108"/>
      <c r="AL104" s="137"/>
      <c r="AM104" s="137"/>
      <c r="AN104" s="137"/>
      <c r="AO104" s="137"/>
      <c r="AP104" s="137"/>
      <c r="AQ104" s="137"/>
      <c r="AR104" s="137"/>
      <c r="AS104" s="137"/>
      <c r="AT104" s="137"/>
      <c r="AU104" s="137"/>
      <c r="AV104" s="137"/>
    </row>
    <row r="105" spans="1:48" ht="15" customHeight="1" x14ac:dyDescent="0.2">
      <c r="A105" s="1045"/>
      <c r="B105" s="696"/>
      <c r="C105" s="696"/>
      <c r="D105" s="696"/>
      <c r="E105" s="696"/>
      <c r="F105" s="696"/>
      <c r="G105" s="696"/>
      <c r="H105" s="696"/>
      <c r="I105" s="696"/>
      <c r="J105" s="696"/>
      <c r="K105" s="696"/>
      <c r="L105" s="696"/>
      <c r="AI105" s="108"/>
      <c r="AJ105" s="108"/>
      <c r="AK105" s="108"/>
      <c r="AL105" s="137"/>
      <c r="AM105" s="137"/>
      <c r="AN105" s="137"/>
      <c r="AO105" s="137"/>
      <c r="AP105" s="137"/>
      <c r="AQ105" s="137"/>
      <c r="AR105" s="137"/>
      <c r="AS105" s="137"/>
      <c r="AT105" s="137"/>
      <c r="AU105" s="137"/>
      <c r="AV105" s="137"/>
    </row>
    <row r="106" spans="1:48" ht="30" customHeight="1" x14ac:dyDescent="0.2">
      <c r="A106" s="1045"/>
      <c r="B106" s="746"/>
      <c r="C106" s="746"/>
      <c r="D106" s="698" t="str">
        <f>ListAVS!$B$86&amp;" = "</f>
        <v xml:space="preserve">Współczynnik mocy = </v>
      </c>
      <c r="E106" s="1068" t="str">
        <f>ListAVS!$B$342&amp;" [kg]"</f>
        <v>wysokość korpusu (KH) [mm] x waga frontu wraz z podwójną wagą uchwytu [kg]</v>
      </c>
      <c r="F106" s="1068"/>
      <c r="G106" s="1068"/>
      <c r="H106" s="1068"/>
      <c r="I106" s="1068"/>
      <c r="J106" s="1068"/>
      <c r="K106" s="1068"/>
      <c r="L106" s="1068"/>
      <c r="AI106" s="108"/>
      <c r="AJ106" s="108"/>
      <c r="AK106" s="108"/>
      <c r="AL106" s="137"/>
      <c r="AM106" s="137"/>
      <c r="AN106" s="137"/>
      <c r="AO106" s="137"/>
      <c r="AP106" s="137"/>
      <c r="AQ106" s="137"/>
      <c r="AR106" s="137"/>
      <c r="AS106" s="137"/>
      <c r="AT106" s="137"/>
      <c r="AU106" s="137"/>
      <c r="AV106" s="137"/>
    </row>
    <row r="107" spans="1:48" ht="15" customHeight="1" x14ac:dyDescent="0.2">
      <c r="A107" s="1045"/>
      <c r="B107" s="255"/>
      <c r="C107" s="255"/>
      <c r="D107" s="255"/>
      <c r="E107" s="255"/>
      <c r="F107" s="255"/>
      <c r="G107" s="255"/>
      <c r="H107" s="255"/>
      <c r="I107" s="255"/>
      <c r="J107" s="255"/>
      <c r="K107" s="255"/>
      <c r="L107" s="255"/>
      <c r="AI107" s="108"/>
      <c r="AJ107" s="108"/>
      <c r="AK107" s="108"/>
      <c r="AL107" s="137"/>
      <c r="AM107" s="137"/>
      <c r="AN107" s="137"/>
      <c r="AO107" s="137"/>
      <c r="AP107" s="137"/>
      <c r="AQ107" s="137"/>
      <c r="AR107" s="137"/>
      <c r="AS107" s="137"/>
      <c r="AT107" s="137"/>
      <c r="AU107" s="137"/>
      <c r="AV107" s="137"/>
    </row>
    <row r="108" spans="1:48" ht="15" customHeight="1" x14ac:dyDescent="0.2">
      <c r="A108" s="1045"/>
      <c r="B108" s="255"/>
      <c r="C108" s="255"/>
      <c r="D108" s="255"/>
      <c r="E108" s="255"/>
      <c r="F108" s="255"/>
      <c r="G108" s="255"/>
      <c r="H108" s="255"/>
      <c r="I108" s="255"/>
      <c r="J108" s="255"/>
      <c r="K108" s="255"/>
      <c r="L108" s="255"/>
      <c r="AI108" s="108"/>
      <c r="AJ108" s="108"/>
      <c r="AK108" s="108"/>
      <c r="AL108" s="137"/>
      <c r="AM108" s="137"/>
      <c r="AN108" s="137"/>
      <c r="AO108" s="137"/>
      <c r="AP108" s="137"/>
      <c r="AQ108" s="137"/>
      <c r="AR108" s="137"/>
      <c r="AS108" s="137"/>
      <c r="AT108" s="137"/>
      <c r="AU108" s="137"/>
      <c r="AV108" s="137"/>
    </row>
    <row r="109" spans="1:48" ht="15" customHeight="1" x14ac:dyDescent="0.2">
      <c r="A109" s="1045"/>
      <c r="B109" s="255"/>
      <c r="C109" s="255"/>
      <c r="D109" s="255"/>
      <c r="E109" s="255"/>
      <c r="F109" s="255"/>
      <c r="G109" s="255"/>
      <c r="H109" s="255"/>
      <c r="I109" s="255"/>
      <c r="J109" s="255"/>
      <c r="K109" s="255"/>
      <c r="L109" s="255"/>
      <c r="AI109" s="108"/>
      <c r="AJ109" s="108"/>
      <c r="AK109" s="108"/>
      <c r="AL109" s="137"/>
      <c r="AM109" s="137"/>
      <c r="AN109" s="137"/>
      <c r="AO109" s="137"/>
      <c r="AP109" s="137"/>
      <c r="AQ109" s="137"/>
      <c r="AR109" s="137"/>
      <c r="AS109" s="137"/>
      <c r="AT109" s="137"/>
      <c r="AU109" s="137"/>
      <c r="AV109" s="137"/>
    </row>
    <row r="110" spans="1:48" ht="15" customHeight="1" x14ac:dyDescent="0.2">
      <c r="A110" s="1045"/>
      <c r="B110" s="273"/>
      <c r="C110" s="255"/>
      <c r="D110" s="255"/>
      <c r="E110" s="255"/>
      <c r="F110" s="255"/>
      <c r="G110" s="255"/>
      <c r="H110" s="255"/>
      <c r="I110" s="255"/>
      <c r="J110" s="255"/>
      <c r="K110" s="255"/>
      <c r="L110" s="255"/>
      <c r="AI110" s="108"/>
      <c r="AJ110" s="108"/>
      <c r="AK110" s="108"/>
      <c r="AL110" s="137"/>
      <c r="AM110" s="137"/>
      <c r="AN110" s="137"/>
      <c r="AO110" s="137"/>
      <c r="AP110" s="137"/>
      <c r="AQ110" s="137"/>
      <c r="AR110" s="137"/>
      <c r="AS110" s="137"/>
      <c r="AT110" s="137"/>
      <c r="AU110" s="137"/>
      <c r="AV110" s="137"/>
    </row>
    <row r="111" spans="1:48" ht="15" customHeight="1" x14ac:dyDescent="0.2">
      <c r="A111" s="1045"/>
      <c r="B111" s="255"/>
      <c r="C111" s="255"/>
      <c r="D111" s="255"/>
      <c r="E111" s="255"/>
      <c r="F111" s="255"/>
      <c r="G111" s="255"/>
      <c r="H111" s="255"/>
      <c r="I111" s="255"/>
      <c r="J111" s="255"/>
      <c r="K111" s="255"/>
      <c r="L111" s="255"/>
      <c r="AI111" s="108"/>
      <c r="AJ111" s="108"/>
      <c r="AK111" s="108"/>
      <c r="AL111" s="137"/>
      <c r="AM111" s="137"/>
      <c r="AN111" s="137"/>
      <c r="AO111" s="137"/>
      <c r="AP111" s="137"/>
      <c r="AQ111" s="137"/>
      <c r="AR111" s="137"/>
      <c r="AS111" s="137"/>
      <c r="AT111" s="137"/>
      <c r="AU111" s="137"/>
      <c r="AV111" s="137"/>
    </row>
    <row r="112" spans="1:48" ht="15" customHeight="1" x14ac:dyDescent="0.2">
      <c r="A112" s="1045"/>
      <c r="B112" s="255" t="str">
        <f>ListAVS!$B$312</f>
        <v>Jeśli znasz wagę frontu, możesz ją wprowadzić, w przeciwnym razie skorzystaj z „Obliczenia wagi”.</v>
      </c>
      <c r="C112" s="255"/>
      <c r="D112" s="255"/>
      <c r="E112" s="255"/>
      <c r="F112" s="255"/>
      <c r="G112" s="255"/>
      <c r="H112" s="255"/>
      <c r="I112" s="255"/>
      <c r="J112" s="255"/>
      <c r="K112" s="255"/>
      <c r="L112" s="255"/>
      <c r="AI112" s="108"/>
      <c r="AJ112" s="108"/>
      <c r="AK112" s="108"/>
      <c r="AL112" s="137"/>
      <c r="AM112" s="137"/>
      <c r="AN112" s="137"/>
      <c r="AO112" s="137"/>
      <c r="AP112" s="137"/>
      <c r="AQ112" s="137"/>
      <c r="AR112" s="137"/>
      <c r="AS112" s="137"/>
      <c r="AT112" s="137"/>
      <c r="AU112" s="137"/>
      <c r="AV112" s="137"/>
    </row>
    <row r="113" spans="1:48" ht="15" customHeight="1" x14ac:dyDescent="0.2">
      <c r="A113" s="1045"/>
      <c r="B113" s="255" t="str">
        <f>ListAVS!$B$313</f>
        <v>W tabeli wprowadzona wartość ma pierwszeństwo aby skorzystać z wagi obliczeniowej, należy usunąć wprowadzoną wartość.</v>
      </c>
      <c r="C113" s="255"/>
      <c r="D113" s="255"/>
      <c r="E113" s="255"/>
      <c r="F113" s="255"/>
      <c r="G113" s="255"/>
      <c r="H113" s="255"/>
      <c r="I113" s="255"/>
      <c r="J113" s="255"/>
      <c r="K113" s="255"/>
      <c r="L113" s="255"/>
      <c r="AI113" s="108"/>
      <c r="AJ113" s="108"/>
      <c r="AK113" s="108"/>
      <c r="AL113" s="137"/>
      <c r="AM113" s="137"/>
      <c r="AN113" s="137"/>
      <c r="AO113" s="137"/>
      <c r="AP113" s="137"/>
      <c r="AQ113" s="137"/>
      <c r="AR113" s="137"/>
      <c r="AS113" s="137"/>
      <c r="AT113" s="137"/>
      <c r="AU113" s="137"/>
      <c r="AV113" s="137"/>
    </row>
    <row r="114" spans="1:48" ht="15" customHeight="1" x14ac:dyDescent="0.2">
      <c r="A114" s="1045"/>
      <c r="B114" s="255"/>
      <c r="C114" s="255"/>
      <c r="D114" s="255"/>
      <c r="E114" s="255"/>
      <c r="F114" s="255"/>
      <c r="G114" s="255"/>
      <c r="H114" s="255"/>
      <c r="I114" s="255"/>
      <c r="J114" s="255"/>
      <c r="K114" s="255"/>
      <c r="L114" s="255"/>
      <c r="AI114" s="108"/>
      <c r="AJ114" s="108"/>
      <c r="AK114" s="108"/>
      <c r="AL114" s="137"/>
      <c r="AM114" s="137"/>
      <c r="AN114" s="137"/>
      <c r="AO114" s="137"/>
      <c r="AP114" s="137"/>
      <c r="AQ114" s="137"/>
      <c r="AR114" s="137"/>
      <c r="AS114" s="137"/>
      <c r="AT114" s="137"/>
      <c r="AU114" s="137"/>
      <c r="AV114" s="137"/>
    </row>
    <row r="115" spans="1:48" ht="15" customHeight="1" x14ac:dyDescent="0.2">
      <c r="A115" s="1045"/>
      <c r="B115" s="255"/>
      <c r="C115" s="255"/>
      <c r="D115" s="255"/>
      <c r="E115" s="255"/>
      <c r="F115" s="255"/>
      <c r="G115" s="255"/>
      <c r="H115" s="255"/>
      <c r="I115" s="255"/>
      <c r="J115" s="255"/>
      <c r="K115" s="255"/>
      <c r="L115" s="255"/>
      <c r="AI115" s="108"/>
      <c r="AJ115" s="108"/>
      <c r="AK115" s="108"/>
      <c r="AL115" s="137"/>
      <c r="AM115" s="137"/>
      <c r="AN115" s="137"/>
      <c r="AO115" s="137"/>
      <c r="AP115" s="137"/>
      <c r="AQ115" s="137"/>
      <c r="AR115" s="137"/>
      <c r="AS115" s="137"/>
      <c r="AT115" s="137"/>
      <c r="AU115" s="137"/>
      <c r="AV115" s="137"/>
    </row>
    <row r="116" spans="1:48" ht="15" customHeight="1" x14ac:dyDescent="0.2">
      <c r="A116" s="1045"/>
      <c r="B116" s="255" t="str">
        <f>ListAVS!$B$306</f>
        <v>Aby zmienić kolor zaślepek przejdź do „Wprowadzenie do planowania”</v>
      </c>
      <c r="C116" s="255"/>
      <c r="D116" s="255"/>
      <c r="E116" s="255"/>
      <c r="F116" s="255"/>
      <c r="G116" s="255"/>
      <c r="H116" s="255"/>
      <c r="I116" s="255"/>
      <c r="J116" s="255"/>
      <c r="K116" s="255"/>
      <c r="L116" s="255"/>
      <c r="AI116" s="108"/>
      <c r="AJ116" s="108"/>
      <c r="AK116" s="108"/>
      <c r="AL116" s="137"/>
      <c r="AM116" s="137"/>
      <c r="AN116" s="137"/>
      <c r="AO116" s="137"/>
      <c r="AP116" s="137"/>
      <c r="AQ116" s="137"/>
      <c r="AR116" s="137"/>
      <c r="AS116" s="137"/>
      <c r="AT116" s="137"/>
      <c r="AU116" s="137"/>
      <c r="AV116" s="137"/>
    </row>
    <row r="117" spans="1:48" ht="15" customHeight="1" x14ac:dyDescent="0.2">
      <c r="A117" s="1045"/>
      <c r="B117" s="255"/>
      <c r="C117" s="255"/>
      <c r="D117" s="255"/>
      <c r="E117" s="255"/>
      <c r="F117" s="255"/>
      <c r="G117" s="255"/>
      <c r="H117" s="255"/>
      <c r="I117" s="255"/>
      <c r="J117" s="255"/>
      <c r="K117" s="255"/>
      <c r="L117" s="255"/>
      <c r="AI117" s="108"/>
      <c r="AJ117" s="108"/>
      <c r="AK117" s="108"/>
      <c r="AL117" s="137"/>
      <c r="AM117" s="137"/>
      <c r="AN117" s="137"/>
      <c r="AO117" s="137"/>
      <c r="AP117" s="137"/>
      <c r="AQ117" s="137"/>
      <c r="AR117" s="137"/>
      <c r="AS117" s="137"/>
      <c r="AT117" s="137"/>
      <c r="AU117" s="137"/>
      <c r="AV117" s="137"/>
    </row>
    <row r="118" spans="1:48" ht="15" customHeight="1" x14ac:dyDescent="0.2">
      <c r="A118" s="1045"/>
      <c r="B118" s="255" t="str">
        <f>ListAVS!$B$411</f>
        <v>Zwróć uwagę na wybór ramek aluminiowych</v>
      </c>
      <c r="C118" s="255"/>
      <c r="D118" s="255"/>
      <c r="E118" s="255"/>
      <c r="F118" s="255"/>
      <c r="G118" s="255"/>
      <c r="H118" s="255"/>
      <c r="I118" s="255"/>
      <c r="J118" s="255"/>
      <c r="K118" s="255"/>
      <c r="L118" s="255"/>
      <c r="AI118" s="108"/>
      <c r="AJ118" s="108"/>
      <c r="AK118" s="108"/>
      <c r="AL118" s="137"/>
      <c r="AM118" s="137"/>
      <c r="AN118" s="137"/>
      <c r="AO118" s="137"/>
      <c r="AP118" s="137"/>
      <c r="AQ118" s="137"/>
      <c r="AR118" s="137"/>
      <c r="AS118" s="137"/>
      <c r="AT118" s="137"/>
      <c r="AU118" s="137"/>
      <c r="AV118" s="137"/>
    </row>
    <row r="119" spans="1:48" ht="15" customHeight="1" x14ac:dyDescent="0.2">
      <c r="A119" s="1045"/>
      <c r="B119" s="255" t="str">
        <f>ListAVS!$B$412</f>
        <v>Wybierz, rodzaj, który lepiej pasuje do kształtu zastosowanej ramki aluminiowej.</v>
      </c>
      <c r="C119" s="255"/>
      <c r="D119" s="255"/>
      <c r="E119" s="255"/>
      <c r="F119" s="255"/>
      <c r="G119" s="255"/>
      <c r="H119" s="255"/>
      <c r="I119" s="255"/>
      <c r="J119" s="255"/>
      <c r="K119" s="255"/>
      <c r="L119" s="255"/>
      <c r="AI119" s="108"/>
      <c r="AJ119" s="108"/>
      <c r="AK119" s="108"/>
      <c r="AL119" s="137"/>
      <c r="AM119" s="137"/>
      <c r="AN119" s="137"/>
      <c r="AO119" s="137"/>
      <c r="AP119" s="137"/>
      <c r="AQ119" s="137"/>
      <c r="AR119" s="137"/>
      <c r="AS119" s="137"/>
      <c r="AT119" s="137"/>
      <c r="AU119" s="137"/>
      <c r="AV119" s="137"/>
    </row>
    <row r="120" spans="1:48" ht="15" customHeight="1" x14ac:dyDescent="0.2">
      <c r="A120" s="1045"/>
      <c r="B120" s="255" t="str">
        <f>ListAVS!$B$413</f>
        <v>Sposób mocowania szkła w ramkę znacząco wpływa na powierzchnię szkła, a co za tym idzie na jego wagę!</v>
      </c>
      <c r="C120" s="255"/>
      <c r="D120" s="255"/>
      <c r="E120" s="255"/>
      <c r="F120" s="255"/>
      <c r="G120" s="255"/>
      <c r="H120" s="255"/>
      <c r="I120" s="255"/>
      <c r="J120" s="255"/>
      <c r="K120" s="255"/>
      <c r="L120" s="255"/>
      <c r="AI120" s="108"/>
      <c r="AJ120" s="108"/>
      <c r="AK120" s="108"/>
      <c r="AL120" s="137"/>
      <c r="AM120" s="137"/>
      <c r="AN120" s="137"/>
      <c r="AO120" s="137"/>
      <c r="AP120" s="137"/>
      <c r="AQ120" s="137"/>
      <c r="AR120" s="137"/>
      <c r="AS120" s="137"/>
      <c r="AT120" s="137"/>
      <c r="AU120" s="137"/>
      <c r="AV120" s="137"/>
    </row>
    <row r="121" spans="1:48" ht="15" customHeight="1" x14ac:dyDescent="0.2">
      <c r="A121" s="1045"/>
      <c r="B121" s="255"/>
      <c r="C121" s="255"/>
      <c r="D121" s="255"/>
      <c r="E121" s="255"/>
      <c r="F121" s="255"/>
      <c r="G121" s="255"/>
      <c r="H121" s="255"/>
      <c r="I121" s="255"/>
      <c r="J121" s="255"/>
      <c r="K121" s="255"/>
      <c r="L121" s="255"/>
      <c r="AI121" s="108"/>
      <c r="AJ121" s="108"/>
      <c r="AK121" s="108"/>
      <c r="AL121" s="137"/>
      <c r="AM121" s="137"/>
      <c r="AN121" s="137"/>
      <c r="AO121" s="137"/>
      <c r="AP121" s="137"/>
      <c r="AQ121" s="137"/>
      <c r="AR121" s="137"/>
      <c r="AS121" s="137"/>
      <c r="AT121" s="137"/>
      <c r="AU121" s="137"/>
      <c r="AV121" s="137"/>
    </row>
    <row r="122" spans="1:48" ht="15" customHeight="1" x14ac:dyDescent="0.2">
      <c r="A122" s="1045"/>
      <c r="B122" s="255"/>
      <c r="C122" s="796" t="str">
        <f>"  "&amp;ListAVS!$B$424&amp;"  "</f>
        <v xml:space="preserve">  z wpuszczanym szkłem  </v>
      </c>
      <c r="D122" s="255"/>
      <c r="E122" s="255"/>
      <c r="F122" s="255"/>
      <c r="G122" s="255"/>
      <c r="H122" s="255"/>
      <c r="I122" s="255"/>
      <c r="J122" s="255"/>
      <c r="K122" s="255"/>
      <c r="L122" s="255"/>
      <c r="AI122" s="108"/>
      <c r="AJ122" s="108"/>
      <c r="AK122" s="108"/>
      <c r="AL122" s="137"/>
      <c r="AM122" s="137"/>
      <c r="AN122" s="137"/>
      <c r="AO122" s="137"/>
      <c r="AP122" s="137"/>
      <c r="AQ122" s="137"/>
      <c r="AR122" s="137"/>
      <c r="AS122" s="137"/>
      <c r="AT122" s="137"/>
      <c r="AU122" s="137"/>
      <c r="AV122" s="137"/>
    </row>
    <row r="123" spans="1:48" ht="15" customHeight="1" x14ac:dyDescent="0.2">
      <c r="A123" s="1045"/>
      <c r="B123" s="255"/>
      <c r="C123" s="266"/>
      <c r="D123" s="255"/>
      <c r="E123" s="255"/>
      <c r="F123" s="255"/>
      <c r="G123" s="255"/>
      <c r="H123" s="255"/>
      <c r="I123" s="255"/>
      <c r="J123" s="255"/>
      <c r="K123" s="255"/>
      <c r="L123" s="255"/>
      <c r="AI123" s="108"/>
      <c r="AJ123" s="108"/>
      <c r="AK123" s="108"/>
      <c r="AL123" s="137"/>
      <c r="AM123" s="137"/>
      <c r="AN123" s="137"/>
      <c r="AO123" s="137"/>
      <c r="AP123" s="137"/>
      <c r="AQ123" s="137"/>
      <c r="AR123" s="137"/>
      <c r="AS123" s="137"/>
      <c r="AT123" s="137"/>
      <c r="AU123" s="137"/>
      <c r="AV123" s="137"/>
    </row>
    <row r="124" spans="1:48" ht="15" customHeight="1" x14ac:dyDescent="0.2">
      <c r="A124" s="1045"/>
      <c r="B124" s="255"/>
      <c r="C124" s="796" t="str">
        <f>"  "&amp;ListAVS!$B$425&amp;"  "</f>
        <v xml:space="preserve">  ze szkłem nakładanym lub przyklejanym  </v>
      </c>
      <c r="D124" s="255"/>
      <c r="E124" s="255"/>
      <c r="F124" s="255"/>
      <c r="G124" s="255"/>
      <c r="H124" s="255"/>
      <c r="I124" s="255"/>
      <c r="J124" s="255"/>
      <c r="K124" s="255"/>
      <c r="L124" s="255"/>
      <c r="AI124" s="108"/>
      <c r="AJ124" s="108"/>
      <c r="AK124" s="108"/>
      <c r="AL124" s="137"/>
      <c r="AM124" s="137"/>
      <c r="AN124" s="137"/>
      <c r="AO124" s="137"/>
      <c r="AP124" s="137"/>
      <c r="AQ124" s="137"/>
      <c r="AR124" s="137"/>
      <c r="AS124" s="137"/>
      <c r="AT124" s="137"/>
      <c r="AU124" s="137"/>
      <c r="AV124" s="137"/>
    </row>
    <row r="125" spans="1:48" ht="12.75" x14ac:dyDescent="0.2">
      <c r="A125" s="1045"/>
      <c r="B125" s="255"/>
      <c r="C125" s="255"/>
      <c r="D125" s="255"/>
      <c r="E125" s="255"/>
      <c r="F125" s="255"/>
      <c r="G125" s="255"/>
      <c r="H125" s="255"/>
      <c r="I125" s="255"/>
      <c r="J125" s="255"/>
      <c r="K125" s="255"/>
      <c r="L125" s="255"/>
      <c r="AI125" s="108"/>
      <c r="AJ125" s="108"/>
      <c r="AK125" s="108"/>
      <c r="AL125" s="137"/>
      <c r="AM125" s="137"/>
      <c r="AN125" s="137"/>
      <c r="AO125" s="137"/>
      <c r="AP125" s="137"/>
      <c r="AQ125" s="137"/>
      <c r="AR125" s="137"/>
      <c r="AS125" s="137"/>
      <c r="AT125" s="137"/>
      <c r="AU125" s="137"/>
      <c r="AV125" s="137"/>
    </row>
    <row r="126" spans="1:48" ht="12.75" x14ac:dyDescent="0.2">
      <c r="A126" s="1045"/>
      <c r="B126" s="255"/>
      <c r="C126" s="255"/>
      <c r="D126" s="255"/>
      <c r="E126" s="255"/>
      <c r="F126" s="255"/>
      <c r="G126" s="255"/>
      <c r="H126" s="255"/>
      <c r="I126" s="255"/>
      <c r="J126" s="255"/>
      <c r="K126" s="255"/>
      <c r="L126" s="255"/>
      <c r="AI126" s="108"/>
      <c r="AJ126" s="108"/>
      <c r="AK126" s="108"/>
      <c r="AL126" s="137"/>
      <c r="AM126" s="137"/>
      <c r="AN126" s="137"/>
      <c r="AO126" s="137"/>
      <c r="AP126" s="137"/>
      <c r="AQ126" s="137"/>
      <c r="AR126" s="137"/>
      <c r="AS126" s="137"/>
      <c r="AT126" s="137"/>
      <c r="AU126" s="137"/>
      <c r="AV126" s="137"/>
    </row>
    <row r="127" spans="1:48" ht="15" customHeight="1" x14ac:dyDescent="0.2">
      <c r="A127" s="1045"/>
      <c r="L127" s="224" t="str">
        <f>ListAVS!$B$168</f>
        <v>Z powrotem</v>
      </c>
      <c r="AI127" s="108"/>
      <c r="AJ127" s="108"/>
      <c r="AK127" s="108"/>
      <c r="AL127" s="137"/>
      <c r="AM127" s="137"/>
      <c r="AN127" s="137"/>
      <c r="AO127" s="137"/>
      <c r="AP127" s="137"/>
      <c r="AQ127" s="137"/>
      <c r="AR127" s="137"/>
      <c r="AS127" s="137"/>
      <c r="AT127" s="137"/>
      <c r="AU127" s="137"/>
      <c r="AV127" s="137"/>
    </row>
    <row r="128" spans="1:48" x14ac:dyDescent="0.2">
      <c r="A128" s="1045"/>
      <c r="AI128" s="108"/>
      <c r="AJ128" s="108"/>
      <c r="AK128" s="108"/>
      <c r="AL128" s="137"/>
      <c r="AM128" s="137"/>
      <c r="AN128" s="137"/>
      <c r="AO128" s="137"/>
      <c r="AP128" s="137"/>
      <c r="AQ128" s="137"/>
      <c r="AR128" s="137"/>
      <c r="AS128" s="137"/>
      <c r="AT128" s="137"/>
      <c r="AU128" s="137"/>
      <c r="AV128" s="137"/>
    </row>
    <row r="129" spans="1:48" x14ac:dyDescent="0.2">
      <c r="A129" s="1045"/>
      <c r="AI129" s="108"/>
      <c r="AJ129" s="108"/>
      <c r="AK129" s="108"/>
      <c r="AL129" s="137"/>
      <c r="AM129" s="137"/>
      <c r="AN129" s="137"/>
      <c r="AO129" s="137"/>
      <c r="AP129" s="137"/>
      <c r="AQ129" s="137"/>
      <c r="AR129" s="137"/>
      <c r="AS129" s="137"/>
      <c r="AT129" s="137"/>
      <c r="AU129" s="137"/>
      <c r="AV129" s="137"/>
    </row>
    <row r="130" spans="1:48" x14ac:dyDescent="0.2">
      <c r="A130" s="1045"/>
      <c r="AI130" s="108"/>
      <c r="AJ130" s="108"/>
      <c r="AK130" s="108"/>
      <c r="AL130" s="137"/>
      <c r="AM130" s="137"/>
      <c r="AN130" s="137"/>
      <c r="AO130" s="137"/>
      <c r="AP130" s="137"/>
      <c r="AQ130" s="137"/>
      <c r="AR130" s="137"/>
      <c r="AS130" s="137"/>
      <c r="AT130" s="137"/>
      <c r="AU130" s="137"/>
      <c r="AV130" s="137"/>
    </row>
    <row r="131" spans="1:48" x14ac:dyDescent="0.2">
      <c r="A131" s="1045"/>
      <c r="AI131" s="108"/>
      <c r="AJ131" s="108"/>
      <c r="AK131" s="108"/>
      <c r="AL131" s="137"/>
      <c r="AM131" s="137"/>
      <c r="AN131" s="137"/>
      <c r="AO131" s="137"/>
      <c r="AP131" s="137"/>
      <c r="AQ131" s="137"/>
      <c r="AR131" s="137"/>
      <c r="AS131" s="137"/>
      <c r="AT131" s="137"/>
      <c r="AU131" s="137"/>
      <c r="AV131" s="137"/>
    </row>
    <row r="132" spans="1:48" x14ac:dyDescent="0.2">
      <c r="A132" s="1045"/>
      <c r="AI132" s="108"/>
      <c r="AJ132" s="108"/>
      <c r="AK132" s="108"/>
      <c r="AL132" s="137"/>
      <c r="AM132" s="137"/>
      <c r="AN132" s="137"/>
      <c r="AO132" s="137"/>
      <c r="AP132" s="137"/>
      <c r="AQ132" s="137"/>
      <c r="AR132" s="137"/>
      <c r="AS132" s="137"/>
      <c r="AT132" s="137"/>
      <c r="AU132" s="137"/>
      <c r="AV132" s="137"/>
    </row>
    <row r="133" spans="1:48" x14ac:dyDescent="0.2">
      <c r="A133" s="1045"/>
      <c r="AI133" s="108"/>
      <c r="AJ133" s="108"/>
      <c r="AK133" s="108"/>
      <c r="AL133" s="137"/>
      <c r="AM133" s="137"/>
      <c r="AN133" s="137"/>
      <c r="AO133" s="137"/>
      <c r="AP133" s="137"/>
      <c r="AQ133" s="137"/>
      <c r="AR133" s="137"/>
      <c r="AS133" s="137"/>
      <c r="AT133" s="137"/>
      <c r="AU133" s="137"/>
      <c r="AV133" s="137"/>
    </row>
    <row r="134" spans="1:48" x14ac:dyDescent="0.2">
      <c r="A134" s="1045"/>
      <c r="AI134" s="108"/>
      <c r="AJ134" s="108"/>
      <c r="AK134" s="108"/>
      <c r="AL134" s="137"/>
      <c r="AM134" s="137"/>
      <c r="AN134" s="137"/>
      <c r="AO134" s="137"/>
      <c r="AP134" s="137"/>
      <c r="AQ134" s="137"/>
      <c r="AR134" s="137"/>
      <c r="AS134" s="137"/>
      <c r="AT134" s="137"/>
      <c r="AU134" s="137"/>
      <c r="AV134" s="137"/>
    </row>
    <row r="135" spans="1:48" x14ac:dyDescent="0.2">
      <c r="A135" s="1045"/>
      <c r="AI135" s="108"/>
      <c r="AJ135" s="108"/>
      <c r="AK135" s="108"/>
      <c r="AL135" s="137"/>
      <c r="AM135" s="137"/>
      <c r="AN135" s="137"/>
      <c r="AO135" s="137"/>
      <c r="AP135" s="137"/>
      <c r="AQ135" s="137"/>
      <c r="AR135" s="137"/>
      <c r="AS135" s="137"/>
      <c r="AT135" s="137"/>
      <c r="AU135" s="137"/>
      <c r="AV135" s="137"/>
    </row>
    <row r="136" spans="1:48" x14ac:dyDescent="0.2">
      <c r="A136" s="1045"/>
      <c r="AI136" s="108"/>
      <c r="AJ136" s="108"/>
      <c r="AK136" s="108"/>
      <c r="AL136" s="137"/>
      <c r="AM136" s="137"/>
      <c r="AN136" s="137"/>
      <c r="AO136" s="137"/>
      <c r="AP136" s="137"/>
      <c r="AQ136" s="137"/>
      <c r="AR136" s="137"/>
      <c r="AS136" s="137"/>
      <c r="AT136" s="137"/>
      <c r="AU136" s="137"/>
      <c r="AV136" s="137"/>
    </row>
    <row r="137" spans="1:48" x14ac:dyDescent="0.2">
      <c r="A137" s="1045"/>
      <c r="AI137" s="108"/>
      <c r="AJ137" s="108"/>
      <c r="AK137" s="108"/>
      <c r="AL137" s="137"/>
      <c r="AM137" s="137"/>
      <c r="AN137" s="137"/>
      <c r="AO137" s="137"/>
      <c r="AP137" s="137"/>
      <c r="AQ137" s="137"/>
      <c r="AR137" s="137"/>
      <c r="AS137" s="137"/>
      <c r="AT137" s="137"/>
      <c r="AU137" s="137"/>
      <c r="AV137" s="137"/>
    </row>
    <row r="138" spans="1:48" x14ac:dyDescent="0.2">
      <c r="A138" s="1045"/>
      <c r="AI138" s="108"/>
      <c r="AJ138" s="108"/>
      <c r="AK138" s="108"/>
      <c r="AL138" s="137"/>
      <c r="AM138" s="137"/>
      <c r="AN138" s="137"/>
      <c r="AO138" s="137"/>
      <c r="AP138" s="137"/>
      <c r="AQ138" s="137"/>
      <c r="AR138" s="137"/>
      <c r="AS138" s="137"/>
      <c r="AT138" s="137"/>
      <c r="AU138" s="137"/>
      <c r="AV138" s="137"/>
    </row>
    <row r="139" spans="1:48" x14ac:dyDescent="0.2">
      <c r="A139" s="1045"/>
      <c r="AI139" s="108"/>
      <c r="AJ139" s="108"/>
      <c r="AK139" s="108"/>
      <c r="AL139" s="137"/>
      <c r="AM139" s="137"/>
      <c r="AN139" s="137"/>
      <c r="AO139" s="137"/>
      <c r="AP139" s="137"/>
      <c r="AQ139" s="137"/>
      <c r="AR139" s="137"/>
      <c r="AS139" s="137"/>
      <c r="AT139" s="137"/>
      <c r="AU139" s="137"/>
      <c r="AV139" s="137"/>
    </row>
    <row r="140" spans="1:48" x14ac:dyDescent="0.2">
      <c r="A140" s="1045"/>
      <c r="AI140" s="108"/>
      <c r="AJ140" s="108"/>
      <c r="AK140" s="108"/>
      <c r="AL140" s="137"/>
      <c r="AM140" s="137"/>
      <c r="AN140" s="137"/>
      <c r="AO140" s="137"/>
      <c r="AP140" s="137"/>
      <c r="AQ140" s="137"/>
      <c r="AR140" s="137"/>
      <c r="AS140" s="137"/>
      <c r="AT140" s="137"/>
      <c r="AU140" s="137"/>
      <c r="AV140" s="137"/>
    </row>
    <row r="141" spans="1:48" x14ac:dyDescent="0.2">
      <c r="AI141" s="108"/>
      <c r="AJ141" s="108"/>
      <c r="AK141" s="108"/>
      <c r="AL141" s="137"/>
      <c r="AM141" s="137"/>
      <c r="AN141" s="137"/>
      <c r="AO141" s="137"/>
      <c r="AP141" s="137"/>
      <c r="AQ141" s="137"/>
      <c r="AR141" s="137"/>
      <c r="AS141" s="137"/>
      <c r="AT141" s="137"/>
      <c r="AU141" s="137"/>
      <c r="AV141" s="137"/>
    </row>
    <row r="142" spans="1:48" x14ac:dyDescent="0.2">
      <c r="AI142" s="108"/>
      <c r="AJ142" s="108"/>
      <c r="AK142" s="108"/>
      <c r="AL142" s="137"/>
      <c r="AM142" s="137"/>
      <c r="AN142" s="137"/>
      <c r="AO142" s="137"/>
      <c r="AP142" s="137"/>
      <c r="AQ142" s="137"/>
      <c r="AR142" s="137"/>
      <c r="AS142" s="137"/>
      <c r="AT142" s="137"/>
      <c r="AU142" s="137"/>
      <c r="AV142" s="137"/>
    </row>
    <row r="143" spans="1:48" x14ac:dyDescent="0.2">
      <c r="AI143" s="108"/>
      <c r="AJ143" s="108"/>
      <c r="AK143" s="108"/>
      <c r="AL143" s="137"/>
      <c r="AM143" s="137"/>
      <c r="AN143" s="137"/>
      <c r="AO143" s="137"/>
      <c r="AP143" s="137"/>
      <c r="AQ143" s="137"/>
      <c r="AR143" s="137"/>
      <c r="AS143" s="137"/>
      <c r="AT143" s="137"/>
      <c r="AU143" s="137"/>
      <c r="AV143" s="137"/>
    </row>
    <row r="144" spans="1:48" x14ac:dyDescent="0.2">
      <c r="AI144" s="108"/>
      <c r="AJ144" s="108"/>
      <c r="AK144" s="108"/>
      <c r="AL144" s="137"/>
      <c r="AM144" s="137"/>
      <c r="AN144" s="137"/>
      <c r="AO144" s="137"/>
      <c r="AP144" s="137"/>
      <c r="AQ144" s="137"/>
      <c r="AR144" s="137"/>
      <c r="AS144" s="137"/>
      <c r="AT144" s="137"/>
      <c r="AU144" s="137"/>
      <c r="AV144" s="137"/>
    </row>
    <row r="145" spans="35:48" x14ac:dyDescent="0.2">
      <c r="AI145" s="108"/>
      <c r="AJ145" s="108"/>
      <c r="AK145" s="108"/>
      <c r="AL145" s="137"/>
      <c r="AM145" s="137"/>
      <c r="AN145" s="137"/>
      <c r="AO145" s="137"/>
      <c r="AP145" s="137"/>
      <c r="AQ145" s="137"/>
      <c r="AR145" s="137"/>
      <c r="AS145" s="137"/>
      <c r="AT145" s="137"/>
      <c r="AU145" s="137"/>
      <c r="AV145" s="137"/>
    </row>
    <row r="146" spans="35:48" x14ac:dyDescent="0.2">
      <c r="AI146" s="108"/>
      <c r="AJ146" s="108"/>
      <c r="AK146" s="108"/>
      <c r="AL146" s="137"/>
      <c r="AM146" s="137"/>
      <c r="AN146" s="137"/>
      <c r="AO146" s="137"/>
      <c r="AP146" s="137"/>
      <c r="AQ146" s="137"/>
      <c r="AR146" s="137"/>
      <c r="AS146" s="137"/>
      <c r="AT146" s="137"/>
      <c r="AU146" s="137"/>
      <c r="AV146" s="137"/>
    </row>
    <row r="147" spans="35:48" x14ac:dyDescent="0.2">
      <c r="AI147" s="108"/>
      <c r="AJ147" s="108"/>
      <c r="AK147" s="108"/>
      <c r="AL147" s="137"/>
      <c r="AM147" s="137"/>
      <c r="AN147" s="137"/>
      <c r="AO147" s="137"/>
      <c r="AP147" s="137"/>
      <c r="AQ147" s="137"/>
      <c r="AR147" s="137"/>
      <c r="AS147" s="137"/>
      <c r="AT147" s="137"/>
      <c r="AU147" s="137"/>
      <c r="AV147" s="137"/>
    </row>
    <row r="148" spans="35:48" x14ac:dyDescent="0.2">
      <c r="AI148" s="108"/>
      <c r="AJ148" s="108"/>
      <c r="AK148" s="108"/>
      <c r="AL148" s="137"/>
      <c r="AM148" s="137"/>
      <c r="AN148" s="137"/>
      <c r="AO148" s="137"/>
      <c r="AP148" s="137"/>
      <c r="AQ148" s="137"/>
      <c r="AR148" s="137"/>
      <c r="AS148" s="137"/>
      <c r="AT148" s="137"/>
      <c r="AU148" s="137"/>
      <c r="AV148" s="137"/>
    </row>
    <row r="149" spans="35:48" x14ac:dyDescent="0.2">
      <c r="AI149" s="108"/>
      <c r="AJ149" s="108"/>
      <c r="AK149" s="108"/>
      <c r="AL149" s="137"/>
      <c r="AM149" s="137"/>
      <c r="AN149" s="137"/>
      <c r="AO149" s="137"/>
      <c r="AP149" s="137"/>
      <c r="AQ149" s="137"/>
      <c r="AR149" s="137"/>
      <c r="AS149" s="137"/>
      <c r="AT149" s="137"/>
      <c r="AU149" s="137"/>
      <c r="AV149" s="137"/>
    </row>
    <row r="150" spans="35:48" x14ac:dyDescent="0.2">
      <c r="AI150" s="108"/>
      <c r="AJ150" s="108"/>
      <c r="AK150" s="108"/>
      <c r="AL150" s="137"/>
      <c r="AM150" s="137"/>
      <c r="AN150" s="137"/>
      <c r="AO150" s="137"/>
      <c r="AP150" s="137"/>
      <c r="AQ150" s="137"/>
      <c r="AR150" s="137"/>
      <c r="AS150" s="137"/>
      <c r="AT150" s="137"/>
      <c r="AU150" s="137"/>
      <c r="AV150" s="137"/>
    </row>
    <row r="151" spans="35:48" x14ac:dyDescent="0.2">
      <c r="AI151" s="108"/>
      <c r="AJ151" s="108"/>
      <c r="AK151" s="108"/>
      <c r="AL151" s="137"/>
      <c r="AM151" s="137"/>
      <c r="AN151" s="137"/>
      <c r="AO151" s="137"/>
      <c r="AP151" s="137"/>
      <c r="AQ151" s="137"/>
      <c r="AR151" s="137"/>
      <c r="AS151" s="137"/>
      <c r="AT151" s="137"/>
      <c r="AU151" s="137"/>
      <c r="AV151" s="137"/>
    </row>
    <row r="152" spans="35:48" x14ac:dyDescent="0.2">
      <c r="AI152" s="108"/>
      <c r="AJ152" s="108"/>
      <c r="AK152" s="108"/>
      <c r="AL152" s="137"/>
      <c r="AM152" s="137"/>
      <c r="AN152" s="137"/>
      <c r="AO152" s="137"/>
      <c r="AP152" s="137"/>
      <c r="AQ152" s="137"/>
      <c r="AR152" s="137"/>
      <c r="AS152" s="137"/>
      <c r="AT152" s="137"/>
      <c r="AU152" s="137"/>
      <c r="AV152" s="137"/>
    </row>
    <row r="153" spans="35:48" x14ac:dyDescent="0.2">
      <c r="AI153" s="108"/>
      <c r="AJ153" s="108"/>
      <c r="AK153" s="108"/>
      <c r="AL153" s="137"/>
      <c r="AM153" s="137"/>
      <c r="AN153" s="137"/>
      <c r="AO153" s="137"/>
      <c r="AP153" s="137"/>
      <c r="AQ153" s="137"/>
      <c r="AR153" s="137"/>
      <c r="AS153" s="137"/>
      <c r="AT153" s="137"/>
      <c r="AU153" s="137"/>
      <c r="AV153" s="137"/>
    </row>
    <row r="154" spans="35:48" x14ac:dyDescent="0.2">
      <c r="AI154" s="108"/>
      <c r="AJ154" s="108"/>
      <c r="AK154" s="108"/>
      <c r="AL154" s="137"/>
      <c r="AM154" s="137"/>
      <c r="AN154" s="137"/>
      <c r="AO154" s="137"/>
      <c r="AP154" s="137"/>
      <c r="AQ154" s="137"/>
      <c r="AR154" s="137"/>
      <c r="AS154" s="137"/>
      <c r="AT154" s="137"/>
      <c r="AU154" s="137"/>
      <c r="AV154" s="137"/>
    </row>
    <row r="155" spans="35:48" x14ac:dyDescent="0.2">
      <c r="AI155" s="108"/>
      <c r="AJ155" s="108"/>
      <c r="AK155" s="108"/>
      <c r="AL155" s="137"/>
      <c r="AM155" s="137"/>
      <c r="AN155" s="137"/>
      <c r="AO155" s="137"/>
      <c r="AP155" s="137"/>
      <c r="AQ155" s="137"/>
      <c r="AR155" s="137"/>
      <c r="AS155" s="137"/>
      <c r="AT155" s="137"/>
      <c r="AU155" s="137"/>
      <c r="AV155" s="137"/>
    </row>
    <row r="156" spans="35:48" x14ac:dyDescent="0.2">
      <c r="AI156" s="108"/>
      <c r="AJ156" s="108"/>
      <c r="AK156" s="108"/>
      <c r="AL156" s="137"/>
      <c r="AM156" s="137"/>
      <c r="AN156" s="137"/>
      <c r="AO156" s="137"/>
      <c r="AP156" s="137"/>
      <c r="AQ156" s="137"/>
      <c r="AR156" s="137"/>
      <c r="AS156" s="137"/>
      <c r="AT156" s="137"/>
      <c r="AU156" s="137"/>
      <c r="AV156" s="137"/>
    </row>
    <row r="157" spans="35:48" x14ac:dyDescent="0.2">
      <c r="AI157" s="108"/>
      <c r="AJ157" s="108"/>
      <c r="AK157" s="108"/>
      <c r="AL157" s="137"/>
      <c r="AM157" s="137"/>
      <c r="AN157" s="137"/>
      <c r="AO157" s="137"/>
      <c r="AP157" s="137"/>
      <c r="AQ157" s="137"/>
      <c r="AR157" s="137"/>
      <c r="AS157" s="137"/>
      <c r="AT157" s="137"/>
      <c r="AU157" s="137"/>
      <c r="AV157" s="137"/>
    </row>
    <row r="158" spans="35:48" x14ac:dyDescent="0.2">
      <c r="AI158" s="108"/>
      <c r="AJ158" s="108"/>
      <c r="AK158" s="108"/>
      <c r="AL158" s="137"/>
      <c r="AM158" s="137"/>
      <c r="AN158" s="137"/>
      <c r="AO158" s="137"/>
      <c r="AP158" s="137"/>
      <c r="AQ158" s="137"/>
      <c r="AR158" s="137"/>
      <c r="AS158" s="137"/>
      <c r="AT158" s="137"/>
      <c r="AU158" s="137"/>
      <c r="AV158" s="137"/>
    </row>
    <row r="159" spans="35:48" x14ac:dyDescent="0.2">
      <c r="AI159" s="108"/>
      <c r="AJ159" s="108"/>
      <c r="AK159" s="108"/>
      <c r="AL159" s="137"/>
      <c r="AM159" s="137"/>
      <c r="AN159" s="137"/>
      <c r="AO159" s="137"/>
      <c r="AP159" s="137"/>
      <c r="AQ159" s="137"/>
      <c r="AR159" s="137"/>
      <c r="AS159" s="137"/>
      <c r="AT159" s="137"/>
      <c r="AU159" s="137"/>
      <c r="AV159" s="137"/>
    </row>
    <row r="160" spans="35:48" x14ac:dyDescent="0.2">
      <c r="AI160" s="108"/>
      <c r="AJ160" s="108"/>
      <c r="AK160" s="108"/>
      <c r="AL160" s="137"/>
      <c r="AM160" s="137"/>
      <c r="AN160" s="137"/>
      <c r="AO160" s="137"/>
      <c r="AP160" s="137"/>
      <c r="AQ160" s="137"/>
      <c r="AR160" s="137"/>
      <c r="AS160" s="137"/>
      <c r="AT160" s="137"/>
      <c r="AU160" s="137"/>
      <c r="AV160" s="137"/>
    </row>
    <row r="161" spans="35:48" x14ac:dyDescent="0.2">
      <c r="AI161" s="108"/>
      <c r="AJ161" s="108"/>
      <c r="AK161" s="108"/>
      <c r="AL161" s="137"/>
      <c r="AM161" s="137"/>
      <c r="AN161" s="137"/>
      <c r="AO161" s="137"/>
      <c r="AP161" s="137"/>
      <c r="AQ161" s="137"/>
      <c r="AR161" s="137"/>
      <c r="AS161" s="137"/>
      <c r="AT161" s="137"/>
      <c r="AU161" s="137"/>
      <c r="AV161" s="137"/>
    </row>
    <row r="162" spans="35:48" x14ac:dyDescent="0.2">
      <c r="AI162" s="108"/>
      <c r="AJ162" s="108"/>
      <c r="AK162" s="108"/>
      <c r="AL162" s="137"/>
      <c r="AM162" s="137"/>
      <c r="AN162" s="137"/>
      <c r="AO162" s="137"/>
      <c r="AP162" s="137"/>
      <c r="AQ162" s="137"/>
      <c r="AR162" s="137"/>
      <c r="AS162" s="137"/>
      <c r="AT162" s="137"/>
      <c r="AU162" s="137"/>
      <c r="AV162" s="137"/>
    </row>
    <row r="163" spans="35:48" x14ac:dyDescent="0.2">
      <c r="AI163" s="108"/>
      <c r="AJ163" s="108"/>
      <c r="AK163" s="108"/>
      <c r="AL163" s="137"/>
      <c r="AM163" s="137"/>
      <c r="AN163" s="137"/>
      <c r="AO163" s="137"/>
      <c r="AP163" s="137"/>
      <c r="AQ163" s="137"/>
      <c r="AR163" s="137"/>
      <c r="AS163" s="137"/>
      <c r="AT163" s="137"/>
      <c r="AU163" s="137"/>
      <c r="AV163" s="137"/>
    </row>
    <row r="164" spans="35:48" x14ac:dyDescent="0.2">
      <c r="AI164" s="108"/>
      <c r="AJ164" s="108"/>
      <c r="AK164" s="108"/>
      <c r="AL164" s="137"/>
      <c r="AM164" s="137"/>
      <c r="AN164" s="137"/>
      <c r="AO164" s="137"/>
      <c r="AP164" s="137"/>
      <c r="AQ164" s="137"/>
      <c r="AR164" s="137"/>
      <c r="AS164" s="137"/>
      <c r="AT164" s="137"/>
      <c r="AU164" s="137"/>
      <c r="AV164" s="137"/>
    </row>
    <row r="165" spans="35:48" x14ac:dyDescent="0.2">
      <c r="AI165" s="108"/>
      <c r="AJ165" s="108"/>
      <c r="AK165" s="108"/>
      <c r="AL165" s="137"/>
      <c r="AM165" s="137"/>
      <c r="AN165" s="137"/>
      <c r="AO165" s="137"/>
      <c r="AP165" s="137"/>
      <c r="AQ165" s="137"/>
      <c r="AR165" s="137"/>
      <c r="AS165" s="137"/>
      <c r="AT165" s="137"/>
      <c r="AU165" s="137"/>
      <c r="AV165" s="137"/>
    </row>
    <row r="166" spans="35:48" x14ac:dyDescent="0.2">
      <c r="AI166" s="108"/>
      <c r="AJ166" s="108"/>
      <c r="AK166" s="108"/>
      <c r="AL166" s="137"/>
      <c r="AM166" s="137"/>
      <c r="AN166" s="137"/>
      <c r="AO166" s="137"/>
      <c r="AP166" s="137"/>
      <c r="AQ166" s="137"/>
      <c r="AR166" s="137"/>
      <c r="AS166" s="137"/>
      <c r="AT166" s="137"/>
      <c r="AU166" s="137"/>
      <c r="AV166" s="137"/>
    </row>
    <row r="167" spans="35:48" x14ac:dyDescent="0.2">
      <c r="AI167" s="108"/>
      <c r="AJ167" s="108"/>
      <c r="AK167" s="108"/>
      <c r="AL167" s="137"/>
      <c r="AM167" s="137"/>
      <c r="AN167" s="137"/>
      <c r="AO167" s="137"/>
      <c r="AP167" s="137"/>
      <c r="AQ167" s="137"/>
      <c r="AR167" s="137"/>
      <c r="AS167" s="137"/>
      <c r="AT167" s="137"/>
      <c r="AU167" s="137"/>
      <c r="AV167" s="137"/>
    </row>
    <row r="168" spans="35:48" x14ac:dyDescent="0.2">
      <c r="AI168" s="108"/>
      <c r="AJ168" s="108"/>
      <c r="AK168" s="108"/>
      <c r="AL168" s="137"/>
      <c r="AM168" s="137"/>
      <c r="AN168" s="137"/>
      <c r="AO168" s="137"/>
      <c r="AP168" s="137"/>
      <c r="AQ168" s="137"/>
      <c r="AR168" s="137"/>
      <c r="AS168" s="137"/>
      <c r="AT168" s="137"/>
      <c r="AU168" s="137"/>
      <c r="AV168" s="137"/>
    </row>
    <row r="169" spans="35:48" x14ac:dyDescent="0.2">
      <c r="AI169" s="108"/>
      <c r="AJ169" s="108"/>
      <c r="AK169" s="108"/>
      <c r="AL169" s="137"/>
      <c r="AM169" s="137"/>
      <c r="AN169" s="137"/>
      <c r="AO169" s="137"/>
      <c r="AP169" s="137"/>
      <c r="AQ169" s="137"/>
      <c r="AR169" s="137"/>
      <c r="AS169" s="137"/>
      <c r="AT169" s="137"/>
      <c r="AU169" s="137"/>
      <c r="AV169" s="137"/>
    </row>
    <row r="170" spans="35:48" x14ac:dyDescent="0.2">
      <c r="AI170" s="108"/>
      <c r="AJ170" s="108"/>
      <c r="AK170" s="108"/>
      <c r="AL170" s="137"/>
      <c r="AM170" s="137"/>
      <c r="AN170" s="137"/>
      <c r="AO170" s="137"/>
      <c r="AP170" s="137"/>
      <c r="AQ170" s="137"/>
      <c r="AR170" s="137"/>
      <c r="AS170" s="137"/>
      <c r="AT170" s="137"/>
      <c r="AU170" s="137"/>
      <c r="AV170" s="137"/>
    </row>
    <row r="171" spans="35:48" x14ac:dyDescent="0.2">
      <c r="AI171" s="108"/>
      <c r="AJ171" s="108"/>
      <c r="AK171" s="108"/>
      <c r="AL171" s="137"/>
      <c r="AM171" s="137"/>
      <c r="AN171" s="137"/>
      <c r="AO171" s="137"/>
      <c r="AP171" s="137"/>
      <c r="AQ171" s="137"/>
      <c r="AR171" s="137"/>
      <c r="AS171" s="137"/>
      <c r="AT171" s="137"/>
      <c r="AU171" s="137"/>
      <c r="AV171" s="137"/>
    </row>
    <row r="172" spans="35:48" x14ac:dyDescent="0.2">
      <c r="AI172" s="108"/>
      <c r="AJ172" s="108"/>
      <c r="AK172" s="108"/>
      <c r="AL172" s="137"/>
      <c r="AM172" s="137"/>
      <c r="AN172" s="137"/>
      <c r="AO172" s="137"/>
      <c r="AP172" s="137"/>
      <c r="AQ172" s="137"/>
      <c r="AR172" s="137"/>
      <c r="AS172" s="137"/>
      <c r="AT172" s="137"/>
      <c r="AU172" s="137"/>
      <c r="AV172" s="137"/>
    </row>
    <row r="173" spans="35:48" x14ac:dyDescent="0.2">
      <c r="AI173" s="108"/>
      <c r="AJ173" s="108"/>
      <c r="AK173" s="108"/>
      <c r="AL173" s="137"/>
      <c r="AM173" s="137"/>
      <c r="AN173" s="137"/>
      <c r="AO173" s="137"/>
      <c r="AP173" s="137"/>
      <c r="AQ173" s="137"/>
      <c r="AR173" s="137"/>
      <c r="AS173" s="137"/>
      <c r="AT173" s="137"/>
      <c r="AU173" s="137"/>
      <c r="AV173" s="137"/>
    </row>
    <row r="174" spans="35:48" x14ac:dyDescent="0.2">
      <c r="AI174" s="108"/>
      <c r="AJ174" s="108"/>
      <c r="AK174" s="108"/>
      <c r="AL174" s="137"/>
      <c r="AM174" s="137"/>
      <c r="AN174" s="137"/>
      <c r="AO174" s="137"/>
      <c r="AP174" s="137"/>
      <c r="AQ174" s="137"/>
      <c r="AR174" s="137"/>
      <c r="AS174" s="137"/>
      <c r="AT174" s="137"/>
      <c r="AU174" s="137"/>
      <c r="AV174" s="137"/>
    </row>
    <row r="175" spans="35:48" x14ac:dyDescent="0.2">
      <c r="AI175" s="108"/>
      <c r="AJ175" s="108"/>
      <c r="AK175" s="108"/>
      <c r="AL175" s="137"/>
      <c r="AM175" s="137"/>
      <c r="AN175" s="137"/>
      <c r="AO175" s="137"/>
      <c r="AP175" s="137"/>
      <c r="AQ175" s="137"/>
      <c r="AR175" s="137"/>
      <c r="AS175" s="137"/>
      <c r="AT175" s="137"/>
      <c r="AU175" s="137"/>
      <c r="AV175" s="137"/>
    </row>
    <row r="176" spans="35:48" x14ac:dyDescent="0.2">
      <c r="AI176" s="108"/>
      <c r="AJ176" s="108"/>
      <c r="AK176" s="108"/>
      <c r="AL176" s="137"/>
      <c r="AM176" s="137"/>
      <c r="AN176" s="137"/>
      <c r="AO176" s="137"/>
      <c r="AP176" s="137"/>
      <c r="AQ176" s="137"/>
      <c r="AR176" s="137"/>
      <c r="AS176" s="137"/>
      <c r="AT176" s="137"/>
      <c r="AU176" s="137"/>
      <c r="AV176" s="137"/>
    </row>
    <row r="177" spans="35:48" x14ac:dyDescent="0.2">
      <c r="AI177" s="108"/>
      <c r="AJ177" s="108"/>
      <c r="AK177" s="108"/>
      <c r="AL177" s="137"/>
      <c r="AM177" s="137"/>
      <c r="AN177" s="137"/>
      <c r="AO177" s="137"/>
      <c r="AP177" s="137"/>
      <c r="AQ177" s="137"/>
      <c r="AR177" s="137"/>
      <c r="AS177" s="137"/>
      <c r="AT177" s="137"/>
      <c r="AU177" s="137"/>
      <c r="AV177" s="137"/>
    </row>
    <row r="178" spans="35:48" x14ac:dyDescent="0.2">
      <c r="AI178" s="108"/>
      <c r="AJ178" s="108"/>
      <c r="AK178" s="108"/>
      <c r="AL178" s="137"/>
      <c r="AM178" s="137"/>
      <c r="AN178" s="137"/>
      <c r="AO178" s="137"/>
      <c r="AP178" s="137"/>
      <c r="AQ178" s="137"/>
      <c r="AR178" s="137"/>
      <c r="AS178" s="137"/>
      <c r="AT178" s="137"/>
      <c r="AU178" s="137"/>
      <c r="AV178" s="137"/>
    </row>
    <row r="179" spans="35:48" x14ac:dyDescent="0.2">
      <c r="AI179" s="108"/>
      <c r="AJ179" s="108"/>
      <c r="AK179" s="108"/>
      <c r="AL179" s="137"/>
      <c r="AM179" s="137"/>
      <c r="AN179" s="137"/>
      <c r="AO179" s="137"/>
      <c r="AP179" s="137"/>
      <c r="AQ179" s="137"/>
      <c r="AR179" s="137"/>
      <c r="AS179" s="137"/>
      <c r="AT179" s="137"/>
      <c r="AU179" s="137"/>
      <c r="AV179" s="137"/>
    </row>
    <row r="180" spans="35:48" x14ac:dyDescent="0.2">
      <c r="AI180" s="108"/>
      <c r="AJ180" s="108"/>
      <c r="AK180" s="108"/>
      <c r="AL180" s="137"/>
      <c r="AM180" s="137"/>
      <c r="AN180" s="137"/>
      <c r="AO180" s="137"/>
      <c r="AP180" s="137"/>
      <c r="AQ180" s="137"/>
      <c r="AR180" s="137"/>
      <c r="AS180" s="137"/>
      <c r="AT180" s="137"/>
      <c r="AU180" s="137"/>
      <c r="AV180" s="137"/>
    </row>
    <row r="181" spans="35:48" x14ac:dyDescent="0.2">
      <c r="AI181" s="108"/>
      <c r="AJ181" s="108"/>
      <c r="AK181" s="108"/>
      <c r="AL181" s="137"/>
      <c r="AM181" s="137"/>
      <c r="AN181" s="137"/>
      <c r="AO181" s="137"/>
      <c r="AP181" s="137"/>
      <c r="AQ181" s="137"/>
      <c r="AR181" s="137"/>
      <c r="AS181" s="137"/>
      <c r="AT181" s="137"/>
      <c r="AU181" s="137"/>
      <c r="AV181" s="137"/>
    </row>
    <row r="182" spans="35:48" x14ac:dyDescent="0.2">
      <c r="AI182" s="108"/>
      <c r="AJ182" s="108"/>
      <c r="AK182" s="108"/>
      <c r="AL182" s="137"/>
      <c r="AM182" s="137"/>
      <c r="AN182" s="137"/>
      <c r="AO182" s="137"/>
      <c r="AP182" s="137"/>
      <c r="AQ182" s="137"/>
      <c r="AR182" s="137"/>
      <c r="AS182" s="137"/>
      <c r="AT182" s="137"/>
      <c r="AU182" s="137"/>
      <c r="AV182" s="137"/>
    </row>
    <row r="183" spans="35:48" x14ac:dyDescent="0.2">
      <c r="AI183" s="108"/>
      <c r="AJ183" s="108"/>
      <c r="AK183" s="108"/>
      <c r="AL183" s="137"/>
      <c r="AM183" s="137"/>
      <c r="AN183" s="137"/>
      <c r="AO183" s="137"/>
      <c r="AP183" s="137"/>
      <c r="AQ183" s="137"/>
      <c r="AR183" s="137"/>
      <c r="AS183" s="137"/>
      <c r="AT183" s="137"/>
      <c r="AU183" s="137"/>
      <c r="AV183" s="137"/>
    </row>
    <row r="184" spans="35:48" x14ac:dyDescent="0.2">
      <c r="AI184" s="108"/>
      <c r="AJ184" s="108"/>
      <c r="AK184" s="108"/>
      <c r="AL184" s="137"/>
      <c r="AM184" s="137"/>
      <c r="AN184" s="137"/>
      <c r="AO184" s="137"/>
      <c r="AP184" s="137"/>
      <c r="AQ184" s="137"/>
      <c r="AR184" s="137"/>
      <c r="AS184" s="137"/>
      <c r="AT184" s="137"/>
      <c r="AU184" s="137"/>
      <c r="AV184" s="137"/>
    </row>
    <row r="185" spans="35:48" x14ac:dyDescent="0.2">
      <c r="AI185" s="108"/>
      <c r="AJ185" s="108"/>
      <c r="AK185" s="108"/>
      <c r="AL185" s="137"/>
      <c r="AM185" s="137"/>
      <c r="AN185" s="137"/>
      <c r="AO185" s="137"/>
      <c r="AP185" s="137"/>
      <c r="AQ185" s="137"/>
      <c r="AR185" s="137"/>
      <c r="AS185" s="137"/>
      <c r="AT185" s="137"/>
      <c r="AU185" s="137"/>
      <c r="AV185" s="137"/>
    </row>
    <row r="186" spans="35:48" x14ac:dyDescent="0.2">
      <c r="AI186" s="108"/>
      <c r="AJ186" s="108"/>
      <c r="AK186" s="108"/>
      <c r="AL186" s="137"/>
      <c r="AM186" s="137"/>
      <c r="AN186" s="137"/>
      <c r="AO186" s="137"/>
      <c r="AP186" s="137"/>
      <c r="AQ186" s="137"/>
      <c r="AR186" s="137"/>
      <c r="AS186" s="137"/>
      <c r="AT186" s="137"/>
      <c r="AU186" s="137"/>
      <c r="AV186" s="137"/>
    </row>
    <row r="187" spans="35:48" x14ac:dyDescent="0.2">
      <c r="AI187" s="108"/>
      <c r="AJ187" s="108"/>
      <c r="AK187" s="108"/>
      <c r="AL187" s="137"/>
      <c r="AM187" s="137"/>
      <c r="AN187" s="137"/>
      <c r="AO187" s="137"/>
      <c r="AP187" s="137"/>
      <c r="AQ187" s="137"/>
      <c r="AR187" s="137"/>
      <c r="AS187" s="137"/>
      <c r="AT187" s="137"/>
      <c r="AU187" s="137"/>
      <c r="AV187" s="137"/>
    </row>
    <row r="188" spans="35:48" x14ac:dyDescent="0.2">
      <c r="AI188" s="108"/>
      <c r="AJ188" s="108"/>
      <c r="AK188" s="108"/>
      <c r="AL188" s="137"/>
      <c r="AM188" s="137"/>
      <c r="AN188" s="137"/>
      <c r="AO188" s="137"/>
      <c r="AP188" s="137"/>
      <c r="AQ188" s="137"/>
      <c r="AR188" s="137"/>
      <c r="AS188" s="137"/>
      <c r="AT188" s="137"/>
      <c r="AU188" s="137"/>
      <c r="AV188" s="137"/>
    </row>
    <row r="189" spans="35:48" x14ac:dyDescent="0.2">
      <c r="AI189" s="108"/>
      <c r="AJ189" s="108"/>
      <c r="AK189" s="108"/>
      <c r="AL189" s="137"/>
      <c r="AM189" s="137"/>
      <c r="AN189" s="137"/>
      <c r="AO189" s="137"/>
      <c r="AP189" s="137"/>
      <c r="AQ189" s="137"/>
      <c r="AR189" s="137"/>
      <c r="AS189" s="137"/>
      <c r="AT189" s="137"/>
      <c r="AU189" s="137"/>
      <c r="AV189" s="137"/>
    </row>
    <row r="190" spans="35:48" x14ac:dyDescent="0.2">
      <c r="AI190" s="108"/>
      <c r="AJ190" s="108"/>
      <c r="AK190" s="108"/>
      <c r="AL190" s="137"/>
      <c r="AM190" s="137"/>
      <c r="AN190" s="137"/>
      <c r="AO190" s="137"/>
      <c r="AP190" s="137"/>
      <c r="AQ190" s="137"/>
      <c r="AR190" s="137"/>
      <c r="AS190" s="137"/>
      <c r="AT190" s="137"/>
      <c r="AU190" s="137"/>
      <c r="AV190" s="137"/>
    </row>
    <row r="191" spans="35:48" x14ac:dyDescent="0.2">
      <c r="AI191" s="108"/>
      <c r="AJ191" s="108"/>
      <c r="AK191" s="108"/>
      <c r="AL191" s="137"/>
      <c r="AM191" s="137"/>
      <c r="AN191" s="137"/>
      <c r="AO191" s="137"/>
      <c r="AP191" s="137"/>
      <c r="AQ191" s="137"/>
      <c r="AR191" s="137"/>
      <c r="AS191" s="137"/>
      <c r="AT191" s="137"/>
      <c r="AU191" s="137"/>
      <c r="AV191" s="137"/>
    </row>
    <row r="192" spans="35:48" x14ac:dyDescent="0.2">
      <c r="AI192" s="108"/>
      <c r="AJ192" s="108"/>
      <c r="AK192" s="108"/>
      <c r="AL192" s="137"/>
      <c r="AM192" s="137"/>
      <c r="AN192" s="137"/>
      <c r="AO192" s="137"/>
      <c r="AP192" s="137"/>
      <c r="AQ192" s="137"/>
      <c r="AR192" s="137"/>
      <c r="AS192" s="137"/>
      <c r="AT192" s="137"/>
      <c r="AU192" s="137"/>
      <c r="AV192" s="137"/>
    </row>
    <row r="193" spans="35:48" x14ac:dyDescent="0.2">
      <c r="AI193" s="108"/>
      <c r="AJ193" s="108"/>
      <c r="AK193" s="108"/>
      <c r="AL193" s="137"/>
      <c r="AM193" s="137"/>
      <c r="AN193" s="137"/>
      <c r="AO193" s="137"/>
      <c r="AP193" s="137"/>
      <c r="AQ193" s="137"/>
      <c r="AR193" s="137"/>
      <c r="AS193" s="137"/>
      <c r="AT193" s="137"/>
      <c r="AU193" s="137"/>
      <c r="AV193" s="137"/>
    </row>
    <row r="194" spans="35:48" x14ac:dyDescent="0.2">
      <c r="AI194" s="108"/>
      <c r="AJ194" s="108"/>
      <c r="AK194" s="108"/>
      <c r="AL194" s="137"/>
      <c r="AM194" s="137"/>
      <c r="AN194" s="137"/>
      <c r="AO194" s="137"/>
      <c r="AP194" s="137"/>
      <c r="AQ194" s="137"/>
      <c r="AR194" s="137"/>
      <c r="AS194" s="137"/>
      <c r="AT194" s="137"/>
      <c r="AU194" s="137"/>
      <c r="AV194" s="137"/>
    </row>
    <row r="195" spans="35:48" x14ac:dyDescent="0.2">
      <c r="AI195" s="108"/>
      <c r="AJ195" s="108"/>
      <c r="AK195" s="108"/>
      <c r="AL195" s="137"/>
      <c r="AM195" s="137"/>
      <c r="AN195" s="137"/>
      <c r="AO195" s="137"/>
      <c r="AP195" s="137"/>
      <c r="AQ195" s="137"/>
      <c r="AR195" s="137"/>
      <c r="AS195" s="137"/>
      <c r="AT195" s="137"/>
      <c r="AU195" s="137"/>
      <c r="AV195" s="137"/>
    </row>
    <row r="196" spans="35:48" x14ac:dyDescent="0.2">
      <c r="AI196" s="108"/>
      <c r="AJ196" s="108"/>
      <c r="AK196" s="108"/>
      <c r="AL196" s="137"/>
      <c r="AM196" s="137"/>
      <c r="AN196" s="137"/>
      <c r="AO196" s="137"/>
      <c r="AP196" s="137"/>
      <c r="AQ196" s="137"/>
      <c r="AR196" s="137"/>
      <c r="AS196" s="137"/>
      <c r="AT196" s="137"/>
      <c r="AU196" s="137"/>
      <c r="AV196" s="137"/>
    </row>
    <row r="197" spans="35:48" x14ac:dyDescent="0.2">
      <c r="AI197" s="108"/>
      <c r="AJ197" s="108"/>
      <c r="AK197" s="108"/>
      <c r="AL197" s="137"/>
      <c r="AM197" s="137"/>
      <c r="AN197" s="137"/>
      <c r="AO197" s="137"/>
      <c r="AP197" s="137"/>
      <c r="AQ197" s="137"/>
      <c r="AR197" s="137"/>
      <c r="AS197" s="137"/>
      <c r="AT197" s="137"/>
      <c r="AU197" s="137"/>
      <c r="AV197" s="137"/>
    </row>
    <row r="198" spans="35:48" x14ac:dyDescent="0.2">
      <c r="AI198" s="108"/>
      <c r="AJ198" s="108"/>
      <c r="AK198" s="108"/>
      <c r="AL198" s="137"/>
      <c r="AM198" s="137"/>
      <c r="AN198" s="137"/>
      <c r="AO198" s="137"/>
      <c r="AP198" s="137"/>
      <c r="AQ198" s="137"/>
      <c r="AR198" s="137"/>
      <c r="AS198" s="137"/>
      <c r="AT198" s="137"/>
      <c r="AU198" s="137"/>
      <c r="AV198" s="137"/>
    </row>
    <row r="199" spans="35:48" x14ac:dyDescent="0.2">
      <c r="AI199" s="108"/>
      <c r="AJ199" s="108"/>
      <c r="AK199" s="108"/>
      <c r="AL199" s="137"/>
      <c r="AM199" s="137"/>
      <c r="AN199" s="137"/>
      <c r="AO199" s="137"/>
      <c r="AP199" s="137"/>
      <c r="AQ199" s="137"/>
      <c r="AR199" s="137"/>
      <c r="AS199" s="137"/>
      <c r="AT199" s="137"/>
      <c r="AU199" s="137"/>
      <c r="AV199" s="137"/>
    </row>
    <row r="200" spans="35:48" x14ac:dyDescent="0.2">
      <c r="AI200" s="108"/>
      <c r="AJ200" s="108"/>
      <c r="AK200" s="108"/>
      <c r="AL200" s="137"/>
      <c r="AM200" s="137"/>
      <c r="AN200" s="137"/>
      <c r="AO200" s="137"/>
      <c r="AP200" s="137"/>
      <c r="AQ200" s="137"/>
      <c r="AR200" s="137"/>
      <c r="AS200" s="137"/>
      <c r="AT200" s="137"/>
      <c r="AU200" s="137"/>
      <c r="AV200" s="137"/>
    </row>
    <row r="201" spans="35:48" x14ac:dyDescent="0.2">
      <c r="AI201" s="108"/>
      <c r="AJ201" s="108"/>
      <c r="AK201" s="108"/>
      <c r="AL201" s="137"/>
      <c r="AM201" s="137"/>
      <c r="AN201" s="137"/>
      <c r="AO201" s="137"/>
      <c r="AP201" s="137"/>
      <c r="AQ201" s="137"/>
      <c r="AR201" s="137"/>
      <c r="AS201" s="137"/>
      <c r="AT201" s="137"/>
      <c r="AU201" s="137"/>
      <c r="AV201" s="137"/>
    </row>
    <row r="202" spans="35:48" x14ac:dyDescent="0.2">
      <c r="AI202" s="108"/>
      <c r="AJ202" s="108"/>
      <c r="AK202" s="108"/>
      <c r="AL202" s="137"/>
      <c r="AM202" s="137"/>
      <c r="AN202" s="137"/>
      <c r="AO202" s="137"/>
      <c r="AP202" s="137"/>
      <c r="AQ202" s="137"/>
      <c r="AR202" s="137"/>
      <c r="AS202" s="137"/>
      <c r="AT202" s="137"/>
      <c r="AU202" s="137"/>
      <c r="AV202" s="137"/>
    </row>
    <row r="203" spans="35:48" x14ac:dyDescent="0.2">
      <c r="AI203" s="108"/>
      <c r="AJ203" s="108"/>
      <c r="AK203" s="108"/>
      <c r="AL203" s="137"/>
      <c r="AM203" s="137"/>
      <c r="AN203" s="137"/>
      <c r="AO203" s="137"/>
      <c r="AP203" s="137"/>
      <c r="AQ203" s="137"/>
      <c r="AR203" s="137"/>
      <c r="AS203" s="137"/>
      <c r="AT203" s="137"/>
      <c r="AU203" s="137"/>
      <c r="AV203" s="137"/>
    </row>
    <row r="204" spans="35:48" x14ac:dyDescent="0.2">
      <c r="AI204" s="108"/>
      <c r="AJ204" s="108"/>
      <c r="AK204" s="108"/>
      <c r="AL204" s="137"/>
      <c r="AM204" s="137"/>
      <c r="AN204" s="137"/>
      <c r="AO204" s="137"/>
      <c r="AP204" s="137"/>
      <c r="AQ204" s="137"/>
      <c r="AR204" s="137"/>
      <c r="AS204" s="137"/>
      <c r="AT204" s="137"/>
      <c r="AU204" s="137"/>
      <c r="AV204" s="137"/>
    </row>
    <row r="205" spans="35:48" x14ac:dyDescent="0.2">
      <c r="AI205" s="108"/>
      <c r="AJ205" s="108"/>
      <c r="AK205" s="108"/>
      <c r="AL205" s="137"/>
      <c r="AM205" s="137"/>
      <c r="AN205" s="137"/>
      <c r="AO205" s="137"/>
      <c r="AP205" s="137"/>
      <c r="AQ205" s="137"/>
      <c r="AR205" s="137"/>
      <c r="AS205" s="137"/>
      <c r="AT205" s="137"/>
      <c r="AU205" s="137"/>
      <c r="AV205" s="137"/>
    </row>
    <row r="206" spans="35:48" x14ac:dyDescent="0.2">
      <c r="AI206" s="108"/>
      <c r="AJ206" s="108"/>
      <c r="AK206" s="108"/>
      <c r="AL206" s="137"/>
      <c r="AM206" s="137"/>
      <c r="AN206" s="137"/>
      <c r="AO206" s="137"/>
      <c r="AP206" s="137"/>
      <c r="AQ206" s="137"/>
      <c r="AR206" s="137"/>
      <c r="AS206" s="137"/>
      <c r="AT206" s="137"/>
      <c r="AU206" s="137"/>
      <c r="AV206" s="137"/>
    </row>
    <row r="207" spans="35:48" x14ac:dyDescent="0.2">
      <c r="AI207" s="108"/>
      <c r="AJ207" s="108"/>
      <c r="AK207" s="108"/>
      <c r="AL207" s="137"/>
      <c r="AM207" s="137"/>
      <c r="AN207" s="137"/>
      <c r="AO207" s="137"/>
      <c r="AP207" s="137"/>
      <c r="AQ207" s="137"/>
      <c r="AR207" s="137"/>
      <c r="AS207" s="137"/>
      <c r="AT207" s="137"/>
      <c r="AU207" s="137"/>
      <c r="AV207" s="137"/>
    </row>
    <row r="208" spans="35:48" x14ac:dyDescent="0.2">
      <c r="AI208" s="108"/>
      <c r="AJ208" s="108"/>
      <c r="AK208" s="108"/>
      <c r="AL208" s="137"/>
      <c r="AM208" s="137"/>
      <c r="AN208" s="137"/>
      <c r="AO208" s="137"/>
      <c r="AP208" s="137"/>
      <c r="AQ208" s="137"/>
      <c r="AR208" s="137"/>
      <c r="AS208" s="137"/>
      <c r="AT208" s="137"/>
      <c r="AU208" s="137"/>
      <c r="AV208" s="137"/>
    </row>
    <row r="209" spans="35:48" x14ac:dyDescent="0.2">
      <c r="AI209" s="108"/>
      <c r="AJ209" s="108"/>
      <c r="AK209" s="108"/>
      <c r="AL209" s="137"/>
      <c r="AM209" s="137"/>
      <c r="AN209" s="137"/>
      <c r="AO209" s="137"/>
      <c r="AP209" s="137"/>
      <c r="AQ209" s="137"/>
      <c r="AR209" s="137"/>
      <c r="AS209" s="137"/>
      <c r="AT209" s="137"/>
      <c r="AU209" s="137"/>
      <c r="AV209" s="137"/>
    </row>
    <row r="210" spans="35:48" x14ac:dyDescent="0.2">
      <c r="AI210" s="108"/>
      <c r="AJ210" s="108"/>
      <c r="AK210" s="108"/>
      <c r="AL210" s="137"/>
      <c r="AM210" s="137"/>
      <c r="AN210" s="137"/>
      <c r="AO210" s="137"/>
      <c r="AP210" s="137"/>
      <c r="AQ210" s="137"/>
      <c r="AR210" s="137"/>
      <c r="AS210" s="137"/>
      <c r="AT210" s="137"/>
      <c r="AU210" s="137"/>
      <c r="AV210" s="137"/>
    </row>
    <row r="211" spans="35:48" x14ac:dyDescent="0.2">
      <c r="AI211" s="108"/>
      <c r="AJ211" s="108"/>
      <c r="AK211" s="108"/>
      <c r="AL211" s="137"/>
      <c r="AM211" s="137"/>
      <c r="AN211" s="137"/>
      <c r="AO211" s="137"/>
      <c r="AP211" s="137"/>
      <c r="AQ211" s="137"/>
      <c r="AR211" s="137"/>
      <c r="AS211" s="137"/>
      <c r="AT211" s="137"/>
      <c r="AU211" s="137"/>
      <c r="AV211" s="137"/>
    </row>
    <row r="212" spans="35:48" x14ac:dyDescent="0.2">
      <c r="AI212" s="108"/>
      <c r="AJ212" s="108"/>
      <c r="AK212" s="108"/>
      <c r="AL212" s="137"/>
      <c r="AM212" s="137"/>
      <c r="AN212" s="137"/>
      <c r="AO212" s="137"/>
      <c r="AP212" s="137"/>
      <c r="AQ212" s="137"/>
      <c r="AR212" s="137"/>
      <c r="AS212" s="137"/>
      <c r="AT212" s="137"/>
      <c r="AU212" s="137"/>
      <c r="AV212" s="137"/>
    </row>
    <row r="213" spans="35:48" x14ac:dyDescent="0.2">
      <c r="AI213" s="108"/>
      <c r="AJ213" s="108"/>
      <c r="AK213" s="108"/>
      <c r="AL213" s="137"/>
      <c r="AM213" s="137"/>
      <c r="AN213" s="137"/>
      <c r="AO213" s="137"/>
      <c r="AP213" s="137"/>
      <c r="AQ213" s="137"/>
      <c r="AR213" s="137"/>
      <c r="AS213" s="137"/>
      <c r="AT213" s="137"/>
      <c r="AU213" s="137"/>
      <c r="AV213" s="137"/>
    </row>
    <row r="214" spans="35:48" x14ac:dyDescent="0.2">
      <c r="AI214" s="108"/>
      <c r="AJ214" s="108"/>
      <c r="AK214" s="108"/>
      <c r="AL214" s="137"/>
      <c r="AM214" s="137"/>
      <c r="AN214" s="137"/>
      <c r="AO214" s="137"/>
      <c r="AP214" s="137"/>
      <c r="AQ214" s="137"/>
      <c r="AR214" s="137"/>
      <c r="AS214" s="137"/>
      <c r="AT214" s="137"/>
      <c r="AU214" s="137"/>
      <c r="AV214" s="137"/>
    </row>
    <row r="215" spans="35:48" x14ac:dyDescent="0.2">
      <c r="AI215" s="108"/>
      <c r="AJ215" s="108"/>
      <c r="AK215" s="108"/>
      <c r="AL215" s="137"/>
      <c r="AM215" s="137"/>
      <c r="AN215" s="137"/>
      <c r="AO215" s="137"/>
      <c r="AP215" s="137"/>
      <c r="AQ215" s="137"/>
      <c r="AR215" s="137"/>
      <c r="AS215" s="137"/>
      <c r="AT215" s="137"/>
      <c r="AU215" s="137"/>
      <c r="AV215" s="137"/>
    </row>
    <row r="216" spans="35:48" x14ac:dyDescent="0.2">
      <c r="AI216" s="108"/>
      <c r="AJ216" s="108"/>
      <c r="AK216" s="108"/>
      <c r="AL216" s="137"/>
      <c r="AM216" s="137"/>
      <c r="AN216" s="137"/>
      <c r="AO216" s="137"/>
      <c r="AP216" s="137"/>
      <c r="AQ216" s="137"/>
      <c r="AR216" s="137"/>
      <c r="AS216" s="137"/>
      <c r="AT216" s="137"/>
      <c r="AU216" s="137"/>
      <c r="AV216" s="137"/>
    </row>
    <row r="217" spans="35:48" x14ac:dyDescent="0.2">
      <c r="AI217" s="108"/>
      <c r="AJ217" s="108"/>
      <c r="AK217" s="108"/>
      <c r="AL217" s="137"/>
      <c r="AM217" s="137"/>
      <c r="AN217" s="137"/>
      <c r="AO217" s="137"/>
      <c r="AP217" s="137"/>
      <c r="AQ217" s="137"/>
      <c r="AR217" s="137"/>
      <c r="AS217" s="137"/>
      <c r="AT217" s="137"/>
      <c r="AU217" s="137"/>
      <c r="AV217" s="137"/>
    </row>
    <row r="218" spans="35:48" x14ac:dyDescent="0.2">
      <c r="AI218" s="108"/>
      <c r="AJ218" s="108"/>
      <c r="AK218" s="108"/>
      <c r="AL218" s="137"/>
      <c r="AM218" s="137"/>
      <c r="AN218" s="137"/>
      <c r="AO218" s="137"/>
      <c r="AP218" s="137"/>
      <c r="AQ218" s="137"/>
      <c r="AR218" s="137"/>
      <c r="AS218" s="137"/>
      <c r="AT218" s="137"/>
      <c r="AU218" s="137"/>
      <c r="AV218" s="137"/>
    </row>
    <row r="219" spans="35:48" x14ac:dyDescent="0.2">
      <c r="AI219" s="108"/>
      <c r="AJ219" s="108"/>
      <c r="AK219" s="108"/>
      <c r="AL219" s="137"/>
      <c r="AM219" s="137"/>
      <c r="AN219" s="137"/>
      <c r="AO219" s="137"/>
      <c r="AP219" s="137"/>
      <c r="AQ219" s="137"/>
      <c r="AR219" s="137"/>
      <c r="AS219" s="137"/>
      <c r="AT219" s="137"/>
      <c r="AU219" s="137"/>
      <c r="AV219" s="137"/>
    </row>
    <row r="220" spans="35:48" x14ac:dyDescent="0.2">
      <c r="AI220" s="108"/>
      <c r="AJ220" s="108"/>
      <c r="AK220" s="108"/>
      <c r="AL220" s="137"/>
      <c r="AM220" s="137"/>
      <c r="AN220" s="137"/>
      <c r="AO220" s="137"/>
      <c r="AP220" s="137"/>
      <c r="AQ220" s="137"/>
      <c r="AR220" s="137"/>
      <c r="AS220" s="137"/>
      <c r="AT220" s="137"/>
      <c r="AU220" s="137"/>
      <c r="AV220" s="137"/>
    </row>
    <row r="221" spans="35:48" x14ac:dyDescent="0.2">
      <c r="AI221" s="108"/>
      <c r="AJ221" s="108"/>
      <c r="AK221" s="108"/>
      <c r="AL221" s="137"/>
      <c r="AM221" s="137"/>
      <c r="AN221" s="137"/>
      <c r="AO221" s="137"/>
      <c r="AP221" s="137"/>
      <c r="AQ221" s="137"/>
      <c r="AR221" s="137"/>
      <c r="AS221" s="137"/>
      <c r="AT221" s="137"/>
      <c r="AU221" s="137"/>
      <c r="AV221" s="137"/>
    </row>
    <row r="222" spans="35:48" x14ac:dyDescent="0.2">
      <c r="AI222" s="108"/>
      <c r="AJ222" s="108"/>
      <c r="AK222" s="108"/>
      <c r="AL222" s="137"/>
      <c r="AM222" s="137"/>
      <c r="AN222" s="137"/>
      <c r="AO222" s="137"/>
      <c r="AP222" s="137"/>
      <c r="AQ222" s="137"/>
      <c r="AR222" s="137"/>
      <c r="AS222" s="137"/>
      <c r="AT222" s="137"/>
      <c r="AU222" s="137"/>
      <c r="AV222" s="137"/>
    </row>
    <row r="223" spans="35:48" x14ac:dyDescent="0.2">
      <c r="AI223" s="108"/>
      <c r="AJ223" s="108"/>
      <c r="AK223" s="108"/>
      <c r="AL223" s="137"/>
      <c r="AM223" s="137"/>
      <c r="AN223" s="137"/>
      <c r="AO223" s="137"/>
      <c r="AP223" s="137"/>
      <c r="AQ223" s="137"/>
      <c r="AR223" s="137"/>
      <c r="AS223" s="137"/>
      <c r="AT223" s="137"/>
      <c r="AU223" s="137"/>
      <c r="AV223" s="137"/>
    </row>
    <row r="224" spans="35:48" x14ac:dyDescent="0.2">
      <c r="AI224" s="108"/>
      <c r="AJ224" s="108"/>
      <c r="AK224" s="108"/>
      <c r="AL224" s="137"/>
      <c r="AM224" s="137"/>
      <c r="AN224" s="137"/>
      <c r="AO224" s="137"/>
      <c r="AP224" s="137"/>
      <c r="AQ224" s="137"/>
      <c r="AR224" s="137"/>
      <c r="AS224" s="137"/>
      <c r="AT224" s="137"/>
      <c r="AU224" s="137"/>
      <c r="AV224" s="137"/>
    </row>
    <row r="225" spans="35:48" x14ac:dyDescent="0.2">
      <c r="AI225" s="108"/>
      <c r="AJ225" s="108"/>
      <c r="AK225" s="108"/>
      <c r="AL225" s="137"/>
      <c r="AM225" s="137"/>
      <c r="AN225" s="137"/>
      <c r="AO225" s="137"/>
      <c r="AP225" s="137"/>
      <c r="AQ225" s="137"/>
      <c r="AR225" s="137"/>
      <c r="AS225" s="137"/>
      <c r="AT225" s="137"/>
      <c r="AU225" s="137"/>
      <c r="AV225" s="137"/>
    </row>
    <row r="226" spans="35:48" x14ac:dyDescent="0.2">
      <c r="AI226" s="108"/>
      <c r="AJ226" s="108"/>
      <c r="AK226" s="108"/>
      <c r="AL226" s="137"/>
      <c r="AM226" s="137"/>
      <c r="AN226" s="137"/>
      <c r="AO226" s="137"/>
      <c r="AP226" s="137"/>
      <c r="AQ226" s="137"/>
      <c r="AR226" s="137"/>
      <c r="AS226" s="137"/>
      <c r="AT226" s="137"/>
      <c r="AU226" s="137"/>
      <c r="AV226" s="137"/>
    </row>
    <row r="227" spans="35:48" x14ac:dyDescent="0.2">
      <c r="AI227" s="108"/>
      <c r="AJ227" s="108"/>
      <c r="AK227" s="108"/>
      <c r="AL227" s="137"/>
      <c r="AM227" s="137"/>
      <c r="AN227" s="137"/>
      <c r="AO227" s="137"/>
      <c r="AP227" s="137"/>
      <c r="AQ227" s="137"/>
      <c r="AR227" s="137"/>
      <c r="AS227" s="137"/>
      <c r="AT227" s="137"/>
      <c r="AU227" s="137"/>
      <c r="AV227" s="137"/>
    </row>
    <row r="228" spans="35:48" x14ac:dyDescent="0.2">
      <c r="AI228" s="108"/>
      <c r="AJ228" s="108"/>
      <c r="AK228" s="108"/>
      <c r="AL228" s="137"/>
      <c r="AM228" s="137"/>
      <c r="AN228" s="137"/>
      <c r="AO228" s="137"/>
      <c r="AP228" s="137"/>
      <c r="AQ228" s="137"/>
      <c r="AR228" s="137"/>
      <c r="AS228" s="137"/>
      <c r="AT228" s="137"/>
      <c r="AU228" s="137"/>
      <c r="AV228" s="137"/>
    </row>
    <row r="229" spans="35:48" x14ac:dyDescent="0.2">
      <c r="AI229" s="108"/>
      <c r="AJ229" s="108"/>
      <c r="AK229" s="108"/>
      <c r="AL229" s="137"/>
      <c r="AM229" s="137"/>
      <c r="AN229" s="137"/>
      <c r="AO229" s="137"/>
      <c r="AP229" s="137"/>
      <c r="AQ229" s="137"/>
      <c r="AR229" s="137"/>
      <c r="AS229" s="137"/>
      <c r="AT229" s="137"/>
      <c r="AU229" s="137"/>
      <c r="AV229" s="137"/>
    </row>
    <row r="230" spans="35:48" x14ac:dyDescent="0.2">
      <c r="AI230" s="108"/>
      <c r="AJ230" s="108"/>
      <c r="AK230" s="108"/>
      <c r="AL230" s="137"/>
      <c r="AM230" s="137"/>
      <c r="AN230" s="137"/>
      <c r="AO230" s="137"/>
      <c r="AP230" s="137"/>
      <c r="AQ230" s="137"/>
      <c r="AR230" s="137"/>
      <c r="AS230" s="137"/>
      <c r="AT230" s="137"/>
      <c r="AU230" s="137"/>
      <c r="AV230" s="137"/>
    </row>
    <row r="231" spans="35:48" x14ac:dyDescent="0.2">
      <c r="AI231" s="108"/>
      <c r="AJ231" s="108"/>
      <c r="AK231" s="108"/>
      <c r="AL231" s="137"/>
      <c r="AM231" s="137"/>
      <c r="AN231" s="137"/>
      <c r="AO231" s="137"/>
      <c r="AP231" s="137"/>
      <c r="AQ231" s="137"/>
      <c r="AR231" s="137"/>
      <c r="AS231" s="137"/>
      <c r="AT231" s="137"/>
      <c r="AU231" s="137"/>
      <c r="AV231" s="137"/>
    </row>
    <row r="232" spans="35:48" x14ac:dyDescent="0.2">
      <c r="AI232" s="108"/>
      <c r="AJ232" s="108"/>
      <c r="AK232" s="108"/>
      <c r="AL232" s="137"/>
      <c r="AM232" s="137"/>
      <c r="AN232" s="137"/>
      <c r="AO232" s="137"/>
      <c r="AP232" s="137"/>
      <c r="AQ232" s="137"/>
      <c r="AR232" s="137"/>
      <c r="AS232" s="137"/>
      <c r="AT232" s="137"/>
      <c r="AU232" s="137"/>
      <c r="AV232" s="137"/>
    </row>
  </sheetData>
  <sheetProtection algorithmName="SHA-512" hashValue="TCYtRMiF68DAKSvwfVIfFfmx+kWFqhK0x3dxTZahYiBTfa9m/8ZiazULMc2g+qowR6BrqNRrfFkQJ8QYS7pw9g==" saltValue="hg5Uaio7nxQ6B1/pjOkwuw==" spinCount="100000" sheet="1" objects="1" scenarios="1"/>
  <mergeCells count="60">
    <mergeCell ref="S85:T85"/>
    <mergeCell ref="A99:A140"/>
    <mergeCell ref="E106:L106"/>
    <mergeCell ref="N79:S79"/>
    <mergeCell ref="T30:U30"/>
    <mergeCell ref="R66:T66"/>
    <mergeCell ref="N67:S67"/>
    <mergeCell ref="N68:S68"/>
    <mergeCell ref="N69:S69"/>
    <mergeCell ref="N70:S70"/>
    <mergeCell ref="N71:S71"/>
    <mergeCell ref="R75:T75"/>
    <mergeCell ref="N76:S76"/>
    <mergeCell ref="N77:S77"/>
    <mergeCell ref="N78:S78"/>
    <mergeCell ref="N80:S80"/>
    <mergeCell ref="B28:G28"/>
    <mergeCell ref="AP16:AT17"/>
    <mergeCell ref="R20:S20"/>
    <mergeCell ref="V20:W20"/>
    <mergeCell ref="B21:G21"/>
    <mergeCell ref="V21:W21"/>
    <mergeCell ref="B22:G22"/>
    <mergeCell ref="B23:G23"/>
    <mergeCell ref="B27:C27"/>
    <mergeCell ref="D27:G27"/>
    <mergeCell ref="B20:C20"/>
    <mergeCell ref="F20:H20"/>
    <mergeCell ref="B24:C26"/>
    <mergeCell ref="D24:G24"/>
    <mergeCell ref="D25:G25"/>
    <mergeCell ref="D26:G26"/>
    <mergeCell ref="B11:G11"/>
    <mergeCell ref="AP11:AQ11"/>
    <mergeCell ref="B17:G17"/>
    <mergeCell ref="B13:C15"/>
    <mergeCell ref="D13:G13"/>
    <mergeCell ref="D14:G14"/>
    <mergeCell ref="D15:G15"/>
    <mergeCell ref="AP13:AQ13"/>
    <mergeCell ref="B16:C16"/>
    <mergeCell ref="D16:G16"/>
    <mergeCell ref="AP14:AT15"/>
    <mergeCell ref="AP12:AQ12"/>
    <mergeCell ref="AP1:AX1"/>
    <mergeCell ref="K4:L5"/>
    <mergeCell ref="B9:C9"/>
    <mergeCell ref="B12:G12"/>
    <mergeCell ref="AR8:AR9"/>
    <mergeCell ref="R9:S9"/>
    <mergeCell ref="V9:W9"/>
    <mergeCell ref="F5:J5"/>
    <mergeCell ref="F9:H9"/>
    <mergeCell ref="B2:D2"/>
    <mergeCell ref="B7:C7"/>
    <mergeCell ref="G7:H7"/>
    <mergeCell ref="AP8:AQ9"/>
    <mergeCell ref="B10:G10"/>
    <mergeCell ref="V10:W10"/>
    <mergeCell ref="AP10:AQ10"/>
  </mergeCells>
  <conditionalFormatting sqref="I23">
    <cfRule type="containsText" dxfId="132" priority="2" operator="containsText" text="Doplňte">
      <formula>NOT(ISERROR(SEARCH("Doplňte",I23)))</formula>
    </cfRule>
  </conditionalFormatting>
  <conditionalFormatting sqref="I24">
    <cfRule type="containsText" dxfId="131" priority="3" operator="containsText" text="Doplňte">
      <formula>NOT(ISERROR(SEARCH("Doplňte",I24)))</formula>
    </cfRule>
  </conditionalFormatting>
  <conditionalFormatting sqref="E9">
    <cfRule type="expression" dxfId="130" priority="86">
      <formula>$M$17&gt;0</formula>
    </cfRule>
  </conditionalFormatting>
  <conditionalFormatting sqref="I12">
    <cfRule type="expression" dxfId="129" priority="87">
      <formula>$M$17=0</formula>
    </cfRule>
    <cfRule type="containsText" dxfId="128" priority="88" operator="containsText" text="Doplňte">
      <formula>NOT(ISERROR(SEARCH("Doplňte",I12)))</formula>
    </cfRule>
  </conditionalFormatting>
  <conditionalFormatting sqref="E20">
    <cfRule type="expression" dxfId="127" priority="96">
      <formula>$M$28&gt;0</formula>
    </cfRule>
  </conditionalFormatting>
  <conditionalFormatting sqref="I23">
    <cfRule type="expression" dxfId="126" priority="97">
      <formula>$M$28=0</formula>
    </cfRule>
  </conditionalFormatting>
  <hyperlinks>
    <hyperlink ref="N67:S67" location="HKSna!H10" tooltip=" " display="HKSna!H10" xr:uid="{943A8681-EA1A-4DE8-833D-3BA12B2B4CD5}"/>
    <hyperlink ref="N68:S68" location="HKSna!H11" tooltip=" " display="HKSna!H11" xr:uid="{6298280B-7418-4391-A2BB-7CDF352100A6}"/>
    <hyperlink ref="N76:S76" location="HKSna!H19" tooltip=" " display="HKSna!H19" xr:uid="{5D3C6DA4-EA60-4B8D-BBF7-2F248B9FB35E}"/>
    <hyperlink ref="N77:S77" location="HKSna!H20" tooltip=" " display="HKSna!H20" xr:uid="{24AA4193-03D3-4462-BA72-F96B1A6757CB}"/>
    <hyperlink ref="AK5" location="HKSna!A100" tooltip=" " display="HKSna!A100" xr:uid="{A0CFE348-5AA6-426F-96DE-D687E4CBDFA5}"/>
    <hyperlink ref="L127" location="HKSna!A1" tooltip=" " display="HKSna!A1" xr:uid="{9BCDE64E-ED69-4FEE-AD38-FF2C55E6C788}"/>
    <hyperlink ref="AK9" location="SumAVS!A1" tooltip=" " display="SumAVS!A1" xr:uid="{305DFE4F-8ED8-481D-8E40-413BBCACE980}"/>
    <hyperlink ref="AK10" location="OrdAVS!A1" tooltip=" " display="OrdAVS!A1" xr:uid="{C49A3A8C-4867-4F37-BE16-797C8E5DD3EA}"/>
    <hyperlink ref="AK7" location="AcsAVS!A1" tooltip=" " display="AcsAVS!A1" xr:uid="{9A831EED-443D-44B5-9CAE-170C84AB5211}"/>
    <hyperlink ref="AK4" location="MenuAVS!A1" tooltip=" " display="MenuAVS!A1" xr:uid="{982FAF05-3FB6-436F-9C36-3B48B3551191}"/>
    <hyperlink ref="B2:C2" location="HK!A1" tooltip=" " display="AVENTOS HK top" xr:uid="{97E1B065-6E36-4770-A425-CA97911945C1}"/>
    <hyperlink ref="B2:L2" location="HKS!A1" tooltip=" " display="AVENTOS HK-S" xr:uid="{963AC309-073F-4377-B2BC-09524F58D465}"/>
  </hyperlinks>
  <pageMargins left="0.62992125984251968" right="0.23622047244094488" top="0.74803149606299213" bottom="0.74803149606299213" header="0.31496062992125984" footer="0.31496062992125984"/>
  <pageSetup paperSize="9" orientation="portrait" horizontalDpi="4294967293"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74081" r:id="rId4" name="Drop Down 1">
              <controlPr defaultSize="0" autoLine="0" autoPict="0">
                <anchor moveWithCells="1">
                  <from>
                    <xdr:col>3</xdr:col>
                    <xdr:colOff>19050</xdr:colOff>
                    <xdr:row>6</xdr:row>
                    <xdr:rowOff>9525</xdr:rowOff>
                  </from>
                  <to>
                    <xdr:col>5</xdr:col>
                    <xdr:colOff>571500</xdr:colOff>
                    <xdr:row>7</xdr:row>
                    <xdr:rowOff>0</xdr:rowOff>
                  </to>
                </anchor>
              </controlPr>
            </control>
          </mc:Choice>
        </mc:AlternateContent>
        <mc:AlternateContent xmlns:mc="http://schemas.openxmlformats.org/markup-compatibility/2006">
          <mc:Choice Requires="x14">
            <control shapeId="174083" r:id="rId5" name="Drop Down 3">
              <controlPr defaultSize="0" autoLine="0" autoPict="0">
                <anchor moveWithCells="1">
                  <from>
                    <xdr:col>1</xdr:col>
                    <xdr:colOff>0</xdr:colOff>
                    <xdr:row>9</xdr:row>
                    <xdr:rowOff>0</xdr:rowOff>
                  </from>
                  <to>
                    <xdr:col>2</xdr:col>
                    <xdr:colOff>571500</xdr:colOff>
                    <xdr:row>10</xdr:row>
                    <xdr:rowOff>0</xdr:rowOff>
                  </to>
                </anchor>
              </controlPr>
            </control>
          </mc:Choice>
        </mc:AlternateContent>
        <mc:AlternateContent xmlns:mc="http://schemas.openxmlformats.org/markup-compatibility/2006">
          <mc:Choice Requires="x14">
            <control shapeId="174084" r:id="rId6" name="Drop Down 4">
              <controlPr defaultSize="0" autoLine="0" autoPict="0">
                <anchor moveWithCells="1">
                  <from>
                    <xdr:col>1</xdr:col>
                    <xdr:colOff>9525</xdr:colOff>
                    <xdr:row>20</xdr:row>
                    <xdr:rowOff>0</xdr:rowOff>
                  </from>
                  <to>
                    <xdr:col>3</xdr:col>
                    <xdr:colOff>9525</xdr:colOff>
                    <xdr:row>21</xdr:row>
                    <xdr:rowOff>0</xdr:rowOff>
                  </to>
                </anchor>
              </controlPr>
            </control>
          </mc:Choice>
        </mc:AlternateContent>
        <mc:AlternateContent xmlns:mc="http://schemas.openxmlformats.org/markup-compatibility/2006">
          <mc:Choice Requires="x14">
            <control shapeId="174085" r:id="rId7" name="Option Button 5">
              <controlPr defaultSize="0" autoFill="0" autoLine="0" autoPict="0">
                <anchor moveWithCells="1">
                  <from>
                    <xdr:col>1</xdr:col>
                    <xdr:colOff>390525</xdr:colOff>
                    <xdr:row>5</xdr:row>
                    <xdr:rowOff>57150</xdr:rowOff>
                  </from>
                  <to>
                    <xdr:col>2</xdr:col>
                    <xdr:colOff>76200</xdr:colOff>
                    <xdr:row>5</xdr:row>
                    <xdr:rowOff>266700</xdr:rowOff>
                  </to>
                </anchor>
              </controlPr>
            </control>
          </mc:Choice>
        </mc:AlternateContent>
        <mc:AlternateContent xmlns:mc="http://schemas.openxmlformats.org/markup-compatibility/2006">
          <mc:Choice Requires="x14">
            <control shapeId="174086" r:id="rId8" name="Option Button 6">
              <controlPr defaultSize="0" autoFill="0" autoLine="0" autoPict="0">
                <anchor moveWithCells="1">
                  <from>
                    <xdr:col>3</xdr:col>
                    <xdr:colOff>390525</xdr:colOff>
                    <xdr:row>5</xdr:row>
                    <xdr:rowOff>57150</xdr:rowOff>
                  </from>
                  <to>
                    <xdr:col>4</xdr:col>
                    <xdr:colOff>66675</xdr:colOff>
                    <xdr:row>5</xdr:row>
                    <xdr:rowOff>266700</xdr:rowOff>
                  </to>
                </anchor>
              </controlPr>
            </control>
          </mc:Choice>
        </mc:AlternateContent>
        <mc:AlternateContent xmlns:mc="http://schemas.openxmlformats.org/markup-compatibility/2006">
          <mc:Choice Requires="x14">
            <control shapeId="174087" r:id="rId9" name="Drop Down 7">
              <controlPr defaultSize="0" autoLine="0" autoPict="0">
                <anchor moveWithCells="1">
                  <from>
                    <xdr:col>5</xdr:col>
                    <xdr:colOff>590550</xdr:colOff>
                    <xdr:row>3</xdr:row>
                    <xdr:rowOff>0</xdr:rowOff>
                  </from>
                  <to>
                    <xdr:col>9</xdr:col>
                    <xdr:colOff>0</xdr:colOff>
                    <xdr:row>4</xdr:row>
                    <xdr:rowOff>0</xdr:rowOff>
                  </to>
                </anchor>
              </controlPr>
            </control>
          </mc:Choice>
        </mc:AlternateContent>
      </controls>
    </mc:Choice>
  </mc:AlternateContent>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A02C0-56E3-4B22-AA4F-00B7DFD516C8}">
  <sheetPr codeName="Sheet38">
    <tabColor theme="2" tint="-0.499984740745262"/>
  </sheetPr>
  <dimension ref="A1:AW232"/>
  <sheetViews>
    <sheetView showGridLines="0" showRowColHeaders="0" workbookViewId="0">
      <selection activeCell="K22" sqref="K22"/>
    </sheetView>
  </sheetViews>
  <sheetFormatPr defaultColWidth="8.28515625" defaultRowHeight="12" x14ac:dyDescent="0.2"/>
  <cols>
    <col min="1" max="1" width="1.28515625" style="37" customWidth="1"/>
    <col min="2" max="9" width="8.5703125" style="37" customWidth="1"/>
    <col min="10" max="10" width="6.7109375" style="37" customWidth="1"/>
    <col min="11" max="11" width="10.42578125" style="37" customWidth="1"/>
    <col min="12" max="12" width="17.28515625" style="37" customWidth="1"/>
    <col min="13" max="14" width="6.42578125" style="37" hidden="1" customWidth="1"/>
    <col min="15" max="15" width="6.42578125" style="118" hidden="1" customWidth="1"/>
    <col min="16" max="16" width="6.42578125" style="37" hidden="1" customWidth="1"/>
    <col min="17" max="17" width="6" style="118" hidden="1" customWidth="1"/>
    <col min="18" max="18" width="6.42578125" style="37" hidden="1" customWidth="1"/>
    <col min="19" max="19" width="7.7109375" style="37" hidden="1" customWidth="1"/>
    <col min="20" max="20" width="9.5703125" style="37" hidden="1" customWidth="1"/>
    <col min="21" max="21" width="6.42578125" style="37" hidden="1" customWidth="1"/>
    <col min="22" max="22" width="8.42578125" style="37" hidden="1" customWidth="1"/>
    <col min="23" max="23" width="6.42578125" style="37" hidden="1" customWidth="1"/>
    <col min="24" max="24" width="6.42578125" style="36" hidden="1" customWidth="1"/>
    <col min="25" max="25" width="37.28515625" style="36" hidden="1" customWidth="1"/>
    <col min="26" max="26" width="13.5703125" style="36" hidden="1" customWidth="1"/>
    <col min="27" max="29" width="6.7109375" style="36" hidden="1" customWidth="1"/>
    <col min="30" max="30" width="9.42578125" style="36" hidden="1" customWidth="1"/>
    <col min="31" max="34" width="6.7109375" style="36" hidden="1" customWidth="1"/>
    <col min="35" max="35" width="3.28515625" style="36" hidden="1" customWidth="1"/>
    <col min="36" max="36" width="5.28515625" style="36" customWidth="1"/>
    <col min="37" max="37" width="23.42578125" style="36" customWidth="1"/>
    <col min="38" max="41" width="8.28515625" style="121"/>
    <col min="42" max="42" width="16.42578125" style="121" customWidth="1"/>
    <col min="43" max="43" width="8.28515625" style="121"/>
    <col min="44" max="44" width="19.5703125" style="121" customWidth="1"/>
    <col min="45" max="250" width="8.28515625" style="121"/>
    <col min="251" max="251" width="1.28515625" style="121" customWidth="1"/>
    <col min="252" max="259" width="7.7109375" style="121" customWidth="1"/>
    <col min="260" max="260" width="6.42578125" style="121" customWidth="1"/>
    <col min="261" max="261" width="9.28515625" style="121" customWidth="1"/>
    <col min="262" max="262" width="15.42578125" style="121" customWidth="1"/>
    <col min="263" max="266" width="6.42578125" style="121" customWidth="1"/>
    <col min="267" max="267" width="6" style="121" customWidth="1"/>
    <col min="268" max="268" width="6.42578125" style="121" customWidth="1"/>
    <col min="269" max="269" width="7.7109375" style="121" customWidth="1"/>
    <col min="270" max="270" width="9.5703125" style="121" customWidth="1"/>
    <col min="271" max="271" width="6.42578125" style="121" customWidth="1"/>
    <col min="272" max="272" width="8.42578125" style="121" customWidth="1"/>
    <col min="273" max="273" width="6.42578125" style="121" customWidth="1"/>
    <col min="274" max="274" width="12.42578125" style="121" customWidth="1"/>
    <col min="275" max="276" width="3.28515625" style="121" customWidth="1"/>
    <col min="277" max="277" width="7.5703125" style="121" customWidth="1"/>
    <col min="278" max="278" width="3.28515625" style="121" customWidth="1"/>
    <col min="279" max="279" width="5.28515625" style="121" customWidth="1"/>
    <col min="280" max="280" width="23.42578125" style="121" customWidth="1"/>
    <col min="281" max="295" width="8.28515625" style="121"/>
    <col min="296" max="297" width="16.28515625" style="121" customWidth="1"/>
    <col min="298" max="298" width="18.7109375" style="121" customWidth="1"/>
    <col min="299" max="506" width="8.28515625" style="121"/>
    <col min="507" max="507" width="1.28515625" style="121" customWidth="1"/>
    <col min="508" max="515" width="7.7109375" style="121" customWidth="1"/>
    <col min="516" max="516" width="6.42578125" style="121" customWidth="1"/>
    <col min="517" max="517" width="9.28515625" style="121" customWidth="1"/>
    <col min="518" max="518" width="15.42578125" style="121" customWidth="1"/>
    <col min="519" max="522" width="6.42578125" style="121" customWidth="1"/>
    <col min="523" max="523" width="6" style="121" customWidth="1"/>
    <col min="524" max="524" width="6.42578125" style="121" customWidth="1"/>
    <col min="525" max="525" width="7.7109375" style="121" customWidth="1"/>
    <col min="526" max="526" width="9.5703125" style="121" customWidth="1"/>
    <col min="527" max="527" width="6.42578125" style="121" customWidth="1"/>
    <col min="528" max="528" width="8.42578125" style="121" customWidth="1"/>
    <col min="529" max="529" width="6.42578125" style="121" customWidth="1"/>
    <col min="530" max="530" width="12.42578125" style="121" customWidth="1"/>
    <col min="531" max="532" width="3.28515625" style="121" customWidth="1"/>
    <col min="533" max="533" width="7.5703125" style="121" customWidth="1"/>
    <col min="534" max="534" width="3.28515625" style="121" customWidth="1"/>
    <col min="535" max="535" width="5.28515625" style="121" customWidth="1"/>
    <col min="536" max="536" width="23.42578125" style="121" customWidth="1"/>
    <col min="537" max="551" width="8.28515625" style="121"/>
    <col min="552" max="553" width="16.28515625" style="121" customWidth="1"/>
    <col min="554" max="554" width="18.7109375" style="121" customWidth="1"/>
    <col min="555" max="762" width="8.28515625" style="121"/>
    <col min="763" max="763" width="1.28515625" style="121" customWidth="1"/>
    <col min="764" max="771" width="7.7109375" style="121" customWidth="1"/>
    <col min="772" max="772" width="6.42578125" style="121" customWidth="1"/>
    <col min="773" max="773" width="9.28515625" style="121" customWidth="1"/>
    <col min="774" max="774" width="15.42578125" style="121" customWidth="1"/>
    <col min="775" max="778" width="6.42578125" style="121" customWidth="1"/>
    <col min="779" max="779" width="6" style="121" customWidth="1"/>
    <col min="780" max="780" width="6.42578125" style="121" customWidth="1"/>
    <col min="781" max="781" width="7.7109375" style="121" customWidth="1"/>
    <col min="782" max="782" width="9.5703125" style="121" customWidth="1"/>
    <col min="783" max="783" width="6.42578125" style="121" customWidth="1"/>
    <col min="784" max="784" width="8.42578125" style="121" customWidth="1"/>
    <col min="785" max="785" width="6.42578125" style="121" customWidth="1"/>
    <col min="786" max="786" width="12.42578125" style="121" customWidth="1"/>
    <col min="787" max="788" width="3.28515625" style="121" customWidth="1"/>
    <col min="789" max="789" width="7.5703125" style="121" customWidth="1"/>
    <col min="790" max="790" width="3.28515625" style="121" customWidth="1"/>
    <col min="791" max="791" width="5.28515625" style="121" customWidth="1"/>
    <col min="792" max="792" width="23.42578125" style="121" customWidth="1"/>
    <col min="793" max="807" width="8.28515625" style="121"/>
    <col min="808" max="809" width="16.28515625" style="121" customWidth="1"/>
    <col min="810" max="810" width="18.7109375" style="121" customWidth="1"/>
    <col min="811" max="1018" width="8.28515625" style="121"/>
    <col min="1019" max="1019" width="1.28515625" style="121" customWidth="1"/>
    <col min="1020" max="1027" width="7.7109375" style="121" customWidth="1"/>
    <col min="1028" max="1028" width="6.42578125" style="121" customWidth="1"/>
    <col min="1029" max="1029" width="9.28515625" style="121" customWidth="1"/>
    <col min="1030" max="1030" width="15.42578125" style="121" customWidth="1"/>
    <col min="1031" max="1034" width="6.42578125" style="121" customWidth="1"/>
    <col min="1035" max="1035" width="6" style="121" customWidth="1"/>
    <col min="1036" max="1036" width="6.42578125" style="121" customWidth="1"/>
    <col min="1037" max="1037" width="7.7109375" style="121" customWidth="1"/>
    <col min="1038" max="1038" width="9.5703125" style="121" customWidth="1"/>
    <col min="1039" max="1039" width="6.42578125" style="121" customWidth="1"/>
    <col min="1040" max="1040" width="8.42578125" style="121" customWidth="1"/>
    <col min="1041" max="1041" width="6.42578125" style="121" customWidth="1"/>
    <col min="1042" max="1042" width="12.42578125" style="121" customWidth="1"/>
    <col min="1043" max="1044" width="3.28515625" style="121" customWidth="1"/>
    <col min="1045" max="1045" width="7.5703125" style="121" customWidth="1"/>
    <col min="1046" max="1046" width="3.28515625" style="121" customWidth="1"/>
    <col min="1047" max="1047" width="5.28515625" style="121" customWidth="1"/>
    <col min="1048" max="1048" width="23.42578125" style="121" customWidth="1"/>
    <col min="1049" max="1063" width="8.28515625" style="121"/>
    <col min="1064" max="1065" width="16.28515625" style="121" customWidth="1"/>
    <col min="1066" max="1066" width="18.7109375" style="121" customWidth="1"/>
    <col min="1067" max="1274" width="8.28515625" style="121"/>
    <col min="1275" max="1275" width="1.28515625" style="121" customWidth="1"/>
    <col min="1276" max="1283" width="7.7109375" style="121" customWidth="1"/>
    <col min="1284" max="1284" width="6.42578125" style="121" customWidth="1"/>
    <col min="1285" max="1285" width="9.28515625" style="121" customWidth="1"/>
    <col min="1286" max="1286" width="15.42578125" style="121" customWidth="1"/>
    <col min="1287" max="1290" width="6.42578125" style="121" customWidth="1"/>
    <col min="1291" max="1291" width="6" style="121" customWidth="1"/>
    <col min="1292" max="1292" width="6.42578125" style="121" customWidth="1"/>
    <col min="1293" max="1293" width="7.7109375" style="121" customWidth="1"/>
    <col min="1294" max="1294" width="9.5703125" style="121" customWidth="1"/>
    <col min="1295" max="1295" width="6.42578125" style="121" customWidth="1"/>
    <col min="1296" max="1296" width="8.42578125" style="121" customWidth="1"/>
    <col min="1297" max="1297" width="6.42578125" style="121" customWidth="1"/>
    <col min="1298" max="1298" width="12.42578125" style="121" customWidth="1"/>
    <col min="1299" max="1300" width="3.28515625" style="121" customWidth="1"/>
    <col min="1301" max="1301" width="7.5703125" style="121" customWidth="1"/>
    <col min="1302" max="1302" width="3.28515625" style="121" customWidth="1"/>
    <col min="1303" max="1303" width="5.28515625" style="121" customWidth="1"/>
    <col min="1304" max="1304" width="23.42578125" style="121" customWidth="1"/>
    <col min="1305" max="1319" width="8.28515625" style="121"/>
    <col min="1320" max="1321" width="16.28515625" style="121" customWidth="1"/>
    <col min="1322" max="1322" width="18.7109375" style="121" customWidth="1"/>
    <col min="1323" max="1530" width="8.28515625" style="121"/>
    <col min="1531" max="1531" width="1.28515625" style="121" customWidth="1"/>
    <col min="1532" max="1539" width="7.7109375" style="121" customWidth="1"/>
    <col min="1540" max="1540" width="6.42578125" style="121" customWidth="1"/>
    <col min="1541" max="1541" width="9.28515625" style="121" customWidth="1"/>
    <col min="1542" max="1542" width="15.42578125" style="121" customWidth="1"/>
    <col min="1543" max="1546" width="6.42578125" style="121" customWidth="1"/>
    <col min="1547" max="1547" width="6" style="121" customWidth="1"/>
    <col min="1548" max="1548" width="6.42578125" style="121" customWidth="1"/>
    <col min="1549" max="1549" width="7.7109375" style="121" customWidth="1"/>
    <col min="1550" max="1550" width="9.5703125" style="121" customWidth="1"/>
    <col min="1551" max="1551" width="6.42578125" style="121" customWidth="1"/>
    <col min="1552" max="1552" width="8.42578125" style="121" customWidth="1"/>
    <col min="1553" max="1553" width="6.42578125" style="121" customWidth="1"/>
    <col min="1554" max="1554" width="12.42578125" style="121" customWidth="1"/>
    <col min="1555" max="1556" width="3.28515625" style="121" customWidth="1"/>
    <col min="1557" max="1557" width="7.5703125" style="121" customWidth="1"/>
    <col min="1558" max="1558" width="3.28515625" style="121" customWidth="1"/>
    <col min="1559" max="1559" width="5.28515625" style="121" customWidth="1"/>
    <col min="1560" max="1560" width="23.42578125" style="121" customWidth="1"/>
    <col min="1561" max="1575" width="8.28515625" style="121"/>
    <col min="1576" max="1577" width="16.28515625" style="121" customWidth="1"/>
    <col min="1578" max="1578" width="18.7109375" style="121" customWidth="1"/>
    <col min="1579" max="1786" width="8.28515625" style="121"/>
    <col min="1787" max="1787" width="1.28515625" style="121" customWidth="1"/>
    <col min="1788" max="1795" width="7.7109375" style="121" customWidth="1"/>
    <col min="1796" max="1796" width="6.42578125" style="121" customWidth="1"/>
    <col min="1797" max="1797" width="9.28515625" style="121" customWidth="1"/>
    <col min="1798" max="1798" width="15.42578125" style="121" customWidth="1"/>
    <col min="1799" max="1802" width="6.42578125" style="121" customWidth="1"/>
    <col min="1803" max="1803" width="6" style="121" customWidth="1"/>
    <col min="1804" max="1804" width="6.42578125" style="121" customWidth="1"/>
    <col min="1805" max="1805" width="7.7109375" style="121" customWidth="1"/>
    <col min="1806" max="1806" width="9.5703125" style="121" customWidth="1"/>
    <col min="1807" max="1807" width="6.42578125" style="121" customWidth="1"/>
    <col min="1808" max="1808" width="8.42578125" style="121" customWidth="1"/>
    <col min="1809" max="1809" width="6.42578125" style="121" customWidth="1"/>
    <col min="1810" max="1810" width="12.42578125" style="121" customWidth="1"/>
    <col min="1811" max="1812" width="3.28515625" style="121" customWidth="1"/>
    <col min="1813" max="1813" width="7.5703125" style="121" customWidth="1"/>
    <col min="1814" max="1814" width="3.28515625" style="121" customWidth="1"/>
    <col min="1815" max="1815" width="5.28515625" style="121" customWidth="1"/>
    <col min="1816" max="1816" width="23.42578125" style="121" customWidth="1"/>
    <col min="1817" max="1831" width="8.28515625" style="121"/>
    <col min="1832" max="1833" width="16.28515625" style="121" customWidth="1"/>
    <col min="1834" max="1834" width="18.7109375" style="121" customWidth="1"/>
    <col min="1835" max="2042" width="8.28515625" style="121"/>
    <col min="2043" max="2043" width="1.28515625" style="121" customWidth="1"/>
    <col min="2044" max="2051" width="7.7109375" style="121" customWidth="1"/>
    <col min="2052" max="2052" width="6.42578125" style="121" customWidth="1"/>
    <col min="2053" max="2053" width="9.28515625" style="121" customWidth="1"/>
    <col min="2054" max="2054" width="15.42578125" style="121" customWidth="1"/>
    <col min="2055" max="2058" width="6.42578125" style="121" customWidth="1"/>
    <col min="2059" max="2059" width="6" style="121" customWidth="1"/>
    <col min="2060" max="2060" width="6.42578125" style="121" customWidth="1"/>
    <col min="2061" max="2061" width="7.7109375" style="121" customWidth="1"/>
    <col min="2062" max="2062" width="9.5703125" style="121" customWidth="1"/>
    <col min="2063" max="2063" width="6.42578125" style="121" customWidth="1"/>
    <col min="2064" max="2064" width="8.42578125" style="121" customWidth="1"/>
    <col min="2065" max="2065" width="6.42578125" style="121" customWidth="1"/>
    <col min="2066" max="2066" width="12.42578125" style="121" customWidth="1"/>
    <col min="2067" max="2068" width="3.28515625" style="121" customWidth="1"/>
    <col min="2069" max="2069" width="7.5703125" style="121" customWidth="1"/>
    <col min="2070" max="2070" width="3.28515625" style="121" customWidth="1"/>
    <col min="2071" max="2071" width="5.28515625" style="121" customWidth="1"/>
    <col min="2072" max="2072" width="23.42578125" style="121" customWidth="1"/>
    <col min="2073" max="2087" width="8.28515625" style="121"/>
    <col min="2088" max="2089" width="16.28515625" style="121" customWidth="1"/>
    <col min="2090" max="2090" width="18.7109375" style="121" customWidth="1"/>
    <col min="2091" max="2298" width="8.28515625" style="121"/>
    <col min="2299" max="2299" width="1.28515625" style="121" customWidth="1"/>
    <col min="2300" max="2307" width="7.7109375" style="121" customWidth="1"/>
    <col min="2308" max="2308" width="6.42578125" style="121" customWidth="1"/>
    <col min="2309" max="2309" width="9.28515625" style="121" customWidth="1"/>
    <col min="2310" max="2310" width="15.42578125" style="121" customWidth="1"/>
    <col min="2311" max="2314" width="6.42578125" style="121" customWidth="1"/>
    <col min="2315" max="2315" width="6" style="121" customWidth="1"/>
    <col min="2316" max="2316" width="6.42578125" style="121" customWidth="1"/>
    <col min="2317" max="2317" width="7.7109375" style="121" customWidth="1"/>
    <col min="2318" max="2318" width="9.5703125" style="121" customWidth="1"/>
    <col min="2319" max="2319" width="6.42578125" style="121" customWidth="1"/>
    <col min="2320" max="2320" width="8.42578125" style="121" customWidth="1"/>
    <col min="2321" max="2321" width="6.42578125" style="121" customWidth="1"/>
    <col min="2322" max="2322" width="12.42578125" style="121" customWidth="1"/>
    <col min="2323" max="2324" width="3.28515625" style="121" customWidth="1"/>
    <col min="2325" max="2325" width="7.5703125" style="121" customWidth="1"/>
    <col min="2326" max="2326" width="3.28515625" style="121" customWidth="1"/>
    <col min="2327" max="2327" width="5.28515625" style="121" customWidth="1"/>
    <col min="2328" max="2328" width="23.42578125" style="121" customWidth="1"/>
    <col min="2329" max="2343" width="8.28515625" style="121"/>
    <col min="2344" max="2345" width="16.28515625" style="121" customWidth="1"/>
    <col min="2346" max="2346" width="18.7109375" style="121" customWidth="1"/>
    <col min="2347" max="2554" width="8.28515625" style="121"/>
    <col min="2555" max="2555" width="1.28515625" style="121" customWidth="1"/>
    <col min="2556" max="2563" width="7.7109375" style="121" customWidth="1"/>
    <col min="2564" max="2564" width="6.42578125" style="121" customWidth="1"/>
    <col min="2565" max="2565" width="9.28515625" style="121" customWidth="1"/>
    <col min="2566" max="2566" width="15.42578125" style="121" customWidth="1"/>
    <col min="2567" max="2570" width="6.42578125" style="121" customWidth="1"/>
    <col min="2571" max="2571" width="6" style="121" customWidth="1"/>
    <col min="2572" max="2572" width="6.42578125" style="121" customWidth="1"/>
    <col min="2573" max="2573" width="7.7109375" style="121" customWidth="1"/>
    <col min="2574" max="2574" width="9.5703125" style="121" customWidth="1"/>
    <col min="2575" max="2575" width="6.42578125" style="121" customWidth="1"/>
    <col min="2576" max="2576" width="8.42578125" style="121" customWidth="1"/>
    <col min="2577" max="2577" width="6.42578125" style="121" customWidth="1"/>
    <col min="2578" max="2578" width="12.42578125" style="121" customWidth="1"/>
    <col min="2579" max="2580" width="3.28515625" style="121" customWidth="1"/>
    <col min="2581" max="2581" width="7.5703125" style="121" customWidth="1"/>
    <col min="2582" max="2582" width="3.28515625" style="121" customWidth="1"/>
    <col min="2583" max="2583" width="5.28515625" style="121" customWidth="1"/>
    <col min="2584" max="2584" width="23.42578125" style="121" customWidth="1"/>
    <col min="2585" max="2599" width="8.28515625" style="121"/>
    <col min="2600" max="2601" width="16.28515625" style="121" customWidth="1"/>
    <col min="2602" max="2602" width="18.7109375" style="121" customWidth="1"/>
    <col min="2603" max="2810" width="8.28515625" style="121"/>
    <col min="2811" max="2811" width="1.28515625" style="121" customWidth="1"/>
    <col min="2812" max="2819" width="7.7109375" style="121" customWidth="1"/>
    <col min="2820" max="2820" width="6.42578125" style="121" customWidth="1"/>
    <col min="2821" max="2821" width="9.28515625" style="121" customWidth="1"/>
    <col min="2822" max="2822" width="15.42578125" style="121" customWidth="1"/>
    <col min="2823" max="2826" width="6.42578125" style="121" customWidth="1"/>
    <col min="2827" max="2827" width="6" style="121" customWidth="1"/>
    <col min="2828" max="2828" width="6.42578125" style="121" customWidth="1"/>
    <col min="2829" max="2829" width="7.7109375" style="121" customWidth="1"/>
    <col min="2830" max="2830" width="9.5703125" style="121" customWidth="1"/>
    <col min="2831" max="2831" width="6.42578125" style="121" customWidth="1"/>
    <col min="2832" max="2832" width="8.42578125" style="121" customWidth="1"/>
    <col min="2833" max="2833" width="6.42578125" style="121" customWidth="1"/>
    <col min="2834" max="2834" width="12.42578125" style="121" customWidth="1"/>
    <col min="2835" max="2836" width="3.28515625" style="121" customWidth="1"/>
    <col min="2837" max="2837" width="7.5703125" style="121" customWidth="1"/>
    <col min="2838" max="2838" width="3.28515625" style="121" customWidth="1"/>
    <col min="2839" max="2839" width="5.28515625" style="121" customWidth="1"/>
    <col min="2840" max="2840" width="23.42578125" style="121" customWidth="1"/>
    <col min="2841" max="2855" width="8.28515625" style="121"/>
    <col min="2856" max="2857" width="16.28515625" style="121" customWidth="1"/>
    <col min="2858" max="2858" width="18.7109375" style="121" customWidth="1"/>
    <col min="2859" max="3066" width="8.28515625" style="121"/>
    <col min="3067" max="3067" width="1.28515625" style="121" customWidth="1"/>
    <col min="3068" max="3075" width="7.7109375" style="121" customWidth="1"/>
    <col min="3076" max="3076" width="6.42578125" style="121" customWidth="1"/>
    <col min="3077" max="3077" width="9.28515625" style="121" customWidth="1"/>
    <col min="3078" max="3078" width="15.42578125" style="121" customWidth="1"/>
    <col min="3079" max="3082" width="6.42578125" style="121" customWidth="1"/>
    <col min="3083" max="3083" width="6" style="121" customWidth="1"/>
    <col min="3084" max="3084" width="6.42578125" style="121" customWidth="1"/>
    <col min="3085" max="3085" width="7.7109375" style="121" customWidth="1"/>
    <col min="3086" max="3086" width="9.5703125" style="121" customWidth="1"/>
    <col min="3087" max="3087" width="6.42578125" style="121" customWidth="1"/>
    <col min="3088" max="3088" width="8.42578125" style="121" customWidth="1"/>
    <col min="3089" max="3089" width="6.42578125" style="121" customWidth="1"/>
    <col min="3090" max="3090" width="12.42578125" style="121" customWidth="1"/>
    <col min="3091" max="3092" width="3.28515625" style="121" customWidth="1"/>
    <col min="3093" max="3093" width="7.5703125" style="121" customWidth="1"/>
    <col min="3094" max="3094" width="3.28515625" style="121" customWidth="1"/>
    <col min="3095" max="3095" width="5.28515625" style="121" customWidth="1"/>
    <col min="3096" max="3096" width="23.42578125" style="121" customWidth="1"/>
    <col min="3097" max="3111" width="8.28515625" style="121"/>
    <col min="3112" max="3113" width="16.28515625" style="121" customWidth="1"/>
    <col min="3114" max="3114" width="18.7109375" style="121" customWidth="1"/>
    <col min="3115" max="3322" width="8.28515625" style="121"/>
    <col min="3323" max="3323" width="1.28515625" style="121" customWidth="1"/>
    <col min="3324" max="3331" width="7.7109375" style="121" customWidth="1"/>
    <col min="3332" max="3332" width="6.42578125" style="121" customWidth="1"/>
    <col min="3333" max="3333" width="9.28515625" style="121" customWidth="1"/>
    <col min="3334" max="3334" width="15.42578125" style="121" customWidth="1"/>
    <col min="3335" max="3338" width="6.42578125" style="121" customWidth="1"/>
    <col min="3339" max="3339" width="6" style="121" customWidth="1"/>
    <col min="3340" max="3340" width="6.42578125" style="121" customWidth="1"/>
    <col min="3341" max="3341" width="7.7109375" style="121" customWidth="1"/>
    <col min="3342" max="3342" width="9.5703125" style="121" customWidth="1"/>
    <col min="3343" max="3343" width="6.42578125" style="121" customWidth="1"/>
    <col min="3344" max="3344" width="8.42578125" style="121" customWidth="1"/>
    <col min="3345" max="3345" width="6.42578125" style="121" customWidth="1"/>
    <col min="3346" max="3346" width="12.42578125" style="121" customWidth="1"/>
    <col min="3347" max="3348" width="3.28515625" style="121" customWidth="1"/>
    <col min="3349" max="3349" width="7.5703125" style="121" customWidth="1"/>
    <col min="3350" max="3350" width="3.28515625" style="121" customWidth="1"/>
    <col min="3351" max="3351" width="5.28515625" style="121" customWidth="1"/>
    <col min="3352" max="3352" width="23.42578125" style="121" customWidth="1"/>
    <col min="3353" max="3367" width="8.28515625" style="121"/>
    <col min="3368" max="3369" width="16.28515625" style="121" customWidth="1"/>
    <col min="3370" max="3370" width="18.7109375" style="121" customWidth="1"/>
    <col min="3371" max="3578" width="8.28515625" style="121"/>
    <col min="3579" max="3579" width="1.28515625" style="121" customWidth="1"/>
    <col min="3580" max="3587" width="7.7109375" style="121" customWidth="1"/>
    <col min="3588" max="3588" width="6.42578125" style="121" customWidth="1"/>
    <col min="3589" max="3589" width="9.28515625" style="121" customWidth="1"/>
    <col min="3590" max="3590" width="15.42578125" style="121" customWidth="1"/>
    <col min="3591" max="3594" width="6.42578125" style="121" customWidth="1"/>
    <col min="3595" max="3595" width="6" style="121" customWidth="1"/>
    <col min="3596" max="3596" width="6.42578125" style="121" customWidth="1"/>
    <col min="3597" max="3597" width="7.7109375" style="121" customWidth="1"/>
    <col min="3598" max="3598" width="9.5703125" style="121" customWidth="1"/>
    <col min="3599" max="3599" width="6.42578125" style="121" customWidth="1"/>
    <col min="3600" max="3600" width="8.42578125" style="121" customWidth="1"/>
    <col min="3601" max="3601" width="6.42578125" style="121" customWidth="1"/>
    <col min="3602" max="3602" width="12.42578125" style="121" customWidth="1"/>
    <col min="3603" max="3604" width="3.28515625" style="121" customWidth="1"/>
    <col min="3605" max="3605" width="7.5703125" style="121" customWidth="1"/>
    <col min="3606" max="3606" width="3.28515625" style="121" customWidth="1"/>
    <col min="3607" max="3607" width="5.28515625" style="121" customWidth="1"/>
    <col min="3608" max="3608" width="23.42578125" style="121" customWidth="1"/>
    <col min="3609" max="3623" width="8.28515625" style="121"/>
    <col min="3624" max="3625" width="16.28515625" style="121" customWidth="1"/>
    <col min="3626" max="3626" width="18.7109375" style="121" customWidth="1"/>
    <col min="3627" max="3834" width="8.28515625" style="121"/>
    <col min="3835" max="3835" width="1.28515625" style="121" customWidth="1"/>
    <col min="3836" max="3843" width="7.7109375" style="121" customWidth="1"/>
    <col min="3844" max="3844" width="6.42578125" style="121" customWidth="1"/>
    <col min="3845" max="3845" width="9.28515625" style="121" customWidth="1"/>
    <col min="3846" max="3846" width="15.42578125" style="121" customWidth="1"/>
    <col min="3847" max="3850" width="6.42578125" style="121" customWidth="1"/>
    <col min="3851" max="3851" width="6" style="121" customWidth="1"/>
    <col min="3852" max="3852" width="6.42578125" style="121" customWidth="1"/>
    <col min="3853" max="3853" width="7.7109375" style="121" customWidth="1"/>
    <col min="3854" max="3854" width="9.5703125" style="121" customWidth="1"/>
    <col min="3855" max="3855" width="6.42578125" style="121" customWidth="1"/>
    <col min="3856" max="3856" width="8.42578125" style="121" customWidth="1"/>
    <col min="3857" max="3857" width="6.42578125" style="121" customWidth="1"/>
    <col min="3858" max="3858" width="12.42578125" style="121" customWidth="1"/>
    <col min="3859" max="3860" width="3.28515625" style="121" customWidth="1"/>
    <col min="3861" max="3861" width="7.5703125" style="121" customWidth="1"/>
    <col min="3862" max="3862" width="3.28515625" style="121" customWidth="1"/>
    <col min="3863" max="3863" width="5.28515625" style="121" customWidth="1"/>
    <col min="3864" max="3864" width="23.42578125" style="121" customWidth="1"/>
    <col min="3865" max="3879" width="8.28515625" style="121"/>
    <col min="3880" max="3881" width="16.28515625" style="121" customWidth="1"/>
    <col min="3882" max="3882" width="18.7109375" style="121" customWidth="1"/>
    <col min="3883" max="4090" width="8.28515625" style="121"/>
    <col min="4091" max="4091" width="1.28515625" style="121" customWidth="1"/>
    <col min="4092" max="4099" width="7.7109375" style="121" customWidth="1"/>
    <col min="4100" max="4100" width="6.42578125" style="121" customWidth="1"/>
    <col min="4101" max="4101" width="9.28515625" style="121" customWidth="1"/>
    <col min="4102" max="4102" width="15.42578125" style="121" customWidth="1"/>
    <col min="4103" max="4106" width="6.42578125" style="121" customWidth="1"/>
    <col min="4107" max="4107" width="6" style="121" customWidth="1"/>
    <col min="4108" max="4108" width="6.42578125" style="121" customWidth="1"/>
    <col min="4109" max="4109" width="7.7109375" style="121" customWidth="1"/>
    <col min="4110" max="4110" width="9.5703125" style="121" customWidth="1"/>
    <col min="4111" max="4111" width="6.42578125" style="121" customWidth="1"/>
    <col min="4112" max="4112" width="8.42578125" style="121" customWidth="1"/>
    <col min="4113" max="4113" width="6.42578125" style="121" customWidth="1"/>
    <col min="4114" max="4114" width="12.42578125" style="121" customWidth="1"/>
    <col min="4115" max="4116" width="3.28515625" style="121" customWidth="1"/>
    <col min="4117" max="4117" width="7.5703125" style="121" customWidth="1"/>
    <col min="4118" max="4118" width="3.28515625" style="121" customWidth="1"/>
    <col min="4119" max="4119" width="5.28515625" style="121" customWidth="1"/>
    <col min="4120" max="4120" width="23.42578125" style="121" customWidth="1"/>
    <col min="4121" max="4135" width="8.28515625" style="121"/>
    <col min="4136" max="4137" width="16.28515625" style="121" customWidth="1"/>
    <col min="4138" max="4138" width="18.7109375" style="121" customWidth="1"/>
    <col min="4139" max="4346" width="8.28515625" style="121"/>
    <col min="4347" max="4347" width="1.28515625" style="121" customWidth="1"/>
    <col min="4348" max="4355" width="7.7109375" style="121" customWidth="1"/>
    <col min="4356" max="4356" width="6.42578125" style="121" customWidth="1"/>
    <col min="4357" max="4357" width="9.28515625" style="121" customWidth="1"/>
    <col min="4358" max="4358" width="15.42578125" style="121" customWidth="1"/>
    <col min="4359" max="4362" width="6.42578125" style="121" customWidth="1"/>
    <col min="4363" max="4363" width="6" style="121" customWidth="1"/>
    <col min="4364" max="4364" width="6.42578125" style="121" customWidth="1"/>
    <col min="4365" max="4365" width="7.7109375" style="121" customWidth="1"/>
    <col min="4366" max="4366" width="9.5703125" style="121" customWidth="1"/>
    <col min="4367" max="4367" width="6.42578125" style="121" customWidth="1"/>
    <col min="4368" max="4368" width="8.42578125" style="121" customWidth="1"/>
    <col min="4369" max="4369" width="6.42578125" style="121" customWidth="1"/>
    <col min="4370" max="4370" width="12.42578125" style="121" customWidth="1"/>
    <col min="4371" max="4372" width="3.28515625" style="121" customWidth="1"/>
    <col min="4373" max="4373" width="7.5703125" style="121" customWidth="1"/>
    <col min="4374" max="4374" width="3.28515625" style="121" customWidth="1"/>
    <col min="4375" max="4375" width="5.28515625" style="121" customWidth="1"/>
    <col min="4376" max="4376" width="23.42578125" style="121" customWidth="1"/>
    <col min="4377" max="4391" width="8.28515625" style="121"/>
    <col min="4392" max="4393" width="16.28515625" style="121" customWidth="1"/>
    <col min="4394" max="4394" width="18.7109375" style="121" customWidth="1"/>
    <col min="4395" max="4602" width="8.28515625" style="121"/>
    <col min="4603" max="4603" width="1.28515625" style="121" customWidth="1"/>
    <col min="4604" max="4611" width="7.7109375" style="121" customWidth="1"/>
    <col min="4612" max="4612" width="6.42578125" style="121" customWidth="1"/>
    <col min="4613" max="4613" width="9.28515625" style="121" customWidth="1"/>
    <col min="4614" max="4614" width="15.42578125" style="121" customWidth="1"/>
    <col min="4615" max="4618" width="6.42578125" style="121" customWidth="1"/>
    <col min="4619" max="4619" width="6" style="121" customWidth="1"/>
    <col min="4620" max="4620" width="6.42578125" style="121" customWidth="1"/>
    <col min="4621" max="4621" width="7.7109375" style="121" customWidth="1"/>
    <col min="4622" max="4622" width="9.5703125" style="121" customWidth="1"/>
    <col min="4623" max="4623" width="6.42578125" style="121" customWidth="1"/>
    <col min="4624" max="4624" width="8.42578125" style="121" customWidth="1"/>
    <col min="4625" max="4625" width="6.42578125" style="121" customWidth="1"/>
    <col min="4626" max="4626" width="12.42578125" style="121" customWidth="1"/>
    <col min="4627" max="4628" width="3.28515625" style="121" customWidth="1"/>
    <col min="4629" max="4629" width="7.5703125" style="121" customWidth="1"/>
    <col min="4630" max="4630" width="3.28515625" style="121" customWidth="1"/>
    <col min="4631" max="4631" width="5.28515625" style="121" customWidth="1"/>
    <col min="4632" max="4632" width="23.42578125" style="121" customWidth="1"/>
    <col min="4633" max="4647" width="8.28515625" style="121"/>
    <col min="4648" max="4649" width="16.28515625" style="121" customWidth="1"/>
    <col min="4650" max="4650" width="18.7109375" style="121" customWidth="1"/>
    <col min="4651" max="4858" width="8.28515625" style="121"/>
    <col min="4859" max="4859" width="1.28515625" style="121" customWidth="1"/>
    <col min="4860" max="4867" width="7.7109375" style="121" customWidth="1"/>
    <col min="4868" max="4868" width="6.42578125" style="121" customWidth="1"/>
    <col min="4869" max="4869" width="9.28515625" style="121" customWidth="1"/>
    <col min="4870" max="4870" width="15.42578125" style="121" customWidth="1"/>
    <col min="4871" max="4874" width="6.42578125" style="121" customWidth="1"/>
    <col min="4875" max="4875" width="6" style="121" customWidth="1"/>
    <col min="4876" max="4876" width="6.42578125" style="121" customWidth="1"/>
    <col min="4877" max="4877" width="7.7109375" style="121" customWidth="1"/>
    <col min="4878" max="4878" width="9.5703125" style="121" customWidth="1"/>
    <col min="4879" max="4879" width="6.42578125" style="121" customWidth="1"/>
    <col min="4880" max="4880" width="8.42578125" style="121" customWidth="1"/>
    <col min="4881" max="4881" width="6.42578125" style="121" customWidth="1"/>
    <col min="4882" max="4882" width="12.42578125" style="121" customWidth="1"/>
    <col min="4883" max="4884" width="3.28515625" style="121" customWidth="1"/>
    <col min="4885" max="4885" width="7.5703125" style="121" customWidth="1"/>
    <col min="4886" max="4886" width="3.28515625" style="121" customWidth="1"/>
    <col min="4887" max="4887" width="5.28515625" style="121" customWidth="1"/>
    <col min="4888" max="4888" width="23.42578125" style="121" customWidth="1"/>
    <col min="4889" max="4903" width="8.28515625" style="121"/>
    <col min="4904" max="4905" width="16.28515625" style="121" customWidth="1"/>
    <col min="4906" max="4906" width="18.7109375" style="121" customWidth="1"/>
    <col min="4907" max="5114" width="8.28515625" style="121"/>
    <col min="5115" max="5115" width="1.28515625" style="121" customWidth="1"/>
    <col min="5116" max="5123" width="7.7109375" style="121" customWidth="1"/>
    <col min="5124" max="5124" width="6.42578125" style="121" customWidth="1"/>
    <col min="5125" max="5125" width="9.28515625" style="121" customWidth="1"/>
    <col min="5126" max="5126" width="15.42578125" style="121" customWidth="1"/>
    <col min="5127" max="5130" width="6.42578125" style="121" customWidth="1"/>
    <col min="5131" max="5131" width="6" style="121" customWidth="1"/>
    <col min="5132" max="5132" width="6.42578125" style="121" customWidth="1"/>
    <col min="5133" max="5133" width="7.7109375" style="121" customWidth="1"/>
    <col min="5134" max="5134" width="9.5703125" style="121" customWidth="1"/>
    <col min="5135" max="5135" width="6.42578125" style="121" customWidth="1"/>
    <col min="5136" max="5136" width="8.42578125" style="121" customWidth="1"/>
    <col min="5137" max="5137" width="6.42578125" style="121" customWidth="1"/>
    <col min="5138" max="5138" width="12.42578125" style="121" customWidth="1"/>
    <col min="5139" max="5140" width="3.28515625" style="121" customWidth="1"/>
    <col min="5141" max="5141" width="7.5703125" style="121" customWidth="1"/>
    <col min="5142" max="5142" width="3.28515625" style="121" customWidth="1"/>
    <col min="5143" max="5143" width="5.28515625" style="121" customWidth="1"/>
    <col min="5144" max="5144" width="23.42578125" style="121" customWidth="1"/>
    <col min="5145" max="5159" width="8.28515625" style="121"/>
    <col min="5160" max="5161" width="16.28515625" style="121" customWidth="1"/>
    <col min="5162" max="5162" width="18.7109375" style="121" customWidth="1"/>
    <col min="5163" max="5370" width="8.28515625" style="121"/>
    <col min="5371" max="5371" width="1.28515625" style="121" customWidth="1"/>
    <col min="5372" max="5379" width="7.7109375" style="121" customWidth="1"/>
    <col min="5380" max="5380" width="6.42578125" style="121" customWidth="1"/>
    <col min="5381" max="5381" width="9.28515625" style="121" customWidth="1"/>
    <col min="5382" max="5382" width="15.42578125" style="121" customWidth="1"/>
    <col min="5383" max="5386" width="6.42578125" style="121" customWidth="1"/>
    <col min="5387" max="5387" width="6" style="121" customWidth="1"/>
    <col min="5388" max="5388" width="6.42578125" style="121" customWidth="1"/>
    <col min="5389" max="5389" width="7.7109375" style="121" customWidth="1"/>
    <col min="5390" max="5390" width="9.5703125" style="121" customWidth="1"/>
    <col min="5391" max="5391" width="6.42578125" style="121" customWidth="1"/>
    <col min="5392" max="5392" width="8.42578125" style="121" customWidth="1"/>
    <col min="5393" max="5393" width="6.42578125" style="121" customWidth="1"/>
    <col min="5394" max="5394" width="12.42578125" style="121" customWidth="1"/>
    <col min="5395" max="5396" width="3.28515625" style="121" customWidth="1"/>
    <col min="5397" max="5397" width="7.5703125" style="121" customWidth="1"/>
    <col min="5398" max="5398" width="3.28515625" style="121" customWidth="1"/>
    <col min="5399" max="5399" width="5.28515625" style="121" customWidth="1"/>
    <col min="5400" max="5400" width="23.42578125" style="121" customWidth="1"/>
    <col min="5401" max="5415" width="8.28515625" style="121"/>
    <col min="5416" max="5417" width="16.28515625" style="121" customWidth="1"/>
    <col min="5418" max="5418" width="18.7109375" style="121" customWidth="1"/>
    <col min="5419" max="5626" width="8.28515625" style="121"/>
    <col min="5627" max="5627" width="1.28515625" style="121" customWidth="1"/>
    <col min="5628" max="5635" width="7.7109375" style="121" customWidth="1"/>
    <col min="5636" max="5636" width="6.42578125" style="121" customWidth="1"/>
    <col min="5637" max="5637" width="9.28515625" style="121" customWidth="1"/>
    <col min="5638" max="5638" width="15.42578125" style="121" customWidth="1"/>
    <col min="5639" max="5642" width="6.42578125" style="121" customWidth="1"/>
    <col min="5643" max="5643" width="6" style="121" customWidth="1"/>
    <col min="5644" max="5644" width="6.42578125" style="121" customWidth="1"/>
    <col min="5645" max="5645" width="7.7109375" style="121" customWidth="1"/>
    <col min="5646" max="5646" width="9.5703125" style="121" customWidth="1"/>
    <col min="5647" max="5647" width="6.42578125" style="121" customWidth="1"/>
    <col min="5648" max="5648" width="8.42578125" style="121" customWidth="1"/>
    <col min="5649" max="5649" width="6.42578125" style="121" customWidth="1"/>
    <col min="5650" max="5650" width="12.42578125" style="121" customWidth="1"/>
    <col min="5651" max="5652" width="3.28515625" style="121" customWidth="1"/>
    <col min="5653" max="5653" width="7.5703125" style="121" customWidth="1"/>
    <col min="5654" max="5654" width="3.28515625" style="121" customWidth="1"/>
    <col min="5655" max="5655" width="5.28515625" style="121" customWidth="1"/>
    <col min="5656" max="5656" width="23.42578125" style="121" customWidth="1"/>
    <col min="5657" max="5671" width="8.28515625" style="121"/>
    <col min="5672" max="5673" width="16.28515625" style="121" customWidth="1"/>
    <col min="5674" max="5674" width="18.7109375" style="121" customWidth="1"/>
    <col min="5675" max="5882" width="8.28515625" style="121"/>
    <col min="5883" max="5883" width="1.28515625" style="121" customWidth="1"/>
    <col min="5884" max="5891" width="7.7109375" style="121" customWidth="1"/>
    <col min="5892" max="5892" width="6.42578125" style="121" customWidth="1"/>
    <col min="5893" max="5893" width="9.28515625" style="121" customWidth="1"/>
    <col min="5894" max="5894" width="15.42578125" style="121" customWidth="1"/>
    <col min="5895" max="5898" width="6.42578125" style="121" customWidth="1"/>
    <col min="5899" max="5899" width="6" style="121" customWidth="1"/>
    <col min="5900" max="5900" width="6.42578125" style="121" customWidth="1"/>
    <col min="5901" max="5901" width="7.7109375" style="121" customWidth="1"/>
    <col min="5902" max="5902" width="9.5703125" style="121" customWidth="1"/>
    <col min="5903" max="5903" width="6.42578125" style="121" customWidth="1"/>
    <col min="5904" max="5904" width="8.42578125" style="121" customWidth="1"/>
    <col min="5905" max="5905" width="6.42578125" style="121" customWidth="1"/>
    <col min="5906" max="5906" width="12.42578125" style="121" customWidth="1"/>
    <col min="5907" max="5908" width="3.28515625" style="121" customWidth="1"/>
    <col min="5909" max="5909" width="7.5703125" style="121" customWidth="1"/>
    <col min="5910" max="5910" width="3.28515625" style="121" customWidth="1"/>
    <col min="5911" max="5911" width="5.28515625" style="121" customWidth="1"/>
    <col min="5912" max="5912" width="23.42578125" style="121" customWidth="1"/>
    <col min="5913" max="5927" width="8.28515625" style="121"/>
    <col min="5928" max="5929" width="16.28515625" style="121" customWidth="1"/>
    <col min="5930" max="5930" width="18.7109375" style="121" customWidth="1"/>
    <col min="5931" max="6138" width="8.28515625" style="121"/>
    <col min="6139" max="6139" width="1.28515625" style="121" customWidth="1"/>
    <col min="6140" max="6147" width="7.7109375" style="121" customWidth="1"/>
    <col min="6148" max="6148" width="6.42578125" style="121" customWidth="1"/>
    <col min="6149" max="6149" width="9.28515625" style="121" customWidth="1"/>
    <col min="6150" max="6150" width="15.42578125" style="121" customWidth="1"/>
    <col min="6151" max="6154" width="6.42578125" style="121" customWidth="1"/>
    <col min="6155" max="6155" width="6" style="121" customWidth="1"/>
    <col min="6156" max="6156" width="6.42578125" style="121" customWidth="1"/>
    <col min="6157" max="6157" width="7.7109375" style="121" customWidth="1"/>
    <col min="6158" max="6158" width="9.5703125" style="121" customWidth="1"/>
    <col min="6159" max="6159" width="6.42578125" style="121" customWidth="1"/>
    <col min="6160" max="6160" width="8.42578125" style="121" customWidth="1"/>
    <col min="6161" max="6161" width="6.42578125" style="121" customWidth="1"/>
    <col min="6162" max="6162" width="12.42578125" style="121" customWidth="1"/>
    <col min="6163" max="6164" width="3.28515625" style="121" customWidth="1"/>
    <col min="6165" max="6165" width="7.5703125" style="121" customWidth="1"/>
    <col min="6166" max="6166" width="3.28515625" style="121" customWidth="1"/>
    <col min="6167" max="6167" width="5.28515625" style="121" customWidth="1"/>
    <col min="6168" max="6168" width="23.42578125" style="121" customWidth="1"/>
    <col min="6169" max="6183" width="8.28515625" style="121"/>
    <col min="6184" max="6185" width="16.28515625" style="121" customWidth="1"/>
    <col min="6186" max="6186" width="18.7109375" style="121" customWidth="1"/>
    <col min="6187" max="6394" width="8.28515625" style="121"/>
    <col min="6395" max="6395" width="1.28515625" style="121" customWidth="1"/>
    <col min="6396" max="6403" width="7.7109375" style="121" customWidth="1"/>
    <col min="6404" max="6404" width="6.42578125" style="121" customWidth="1"/>
    <col min="6405" max="6405" width="9.28515625" style="121" customWidth="1"/>
    <col min="6406" max="6406" width="15.42578125" style="121" customWidth="1"/>
    <col min="6407" max="6410" width="6.42578125" style="121" customWidth="1"/>
    <col min="6411" max="6411" width="6" style="121" customWidth="1"/>
    <col min="6412" max="6412" width="6.42578125" style="121" customWidth="1"/>
    <col min="6413" max="6413" width="7.7109375" style="121" customWidth="1"/>
    <col min="6414" max="6414" width="9.5703125" style="121" customWidth="1"/>
    <col min="6415" max="6415" width="6.42578125" style="121" customWidth="1"/>
    <col min="6416" max="6416" width="8.42578125" style="121" customWidth="1"/>
    <col min="6417" max="6417" width="6.42578125" style="121" customWidth="1"/>
    <col min="6418" max="6418" width="12.42578125" style="121" customWidth="1"/>
    <col min="6419" max="6420" width="3.28515625" style="121" customWidth="1"/>
    <col min="6421" max="6421" width="7.5703125" style="121" customWidth="1"/>
    <col min="6422" max="6422" width="3.28515625" style="121" customWidth="1"/>
    <col min="6423" max="6423" width="5.28515625" style="121" customWidth="1"/>
    <col min="6424" max="6424" width="23.42578125" style="121" customWidth="1"/>
    <col min="6425" max="6439" width="8.28515625" style="121"/>
    <col min="6440" max="6441" width="16.28515625" style="121" customWidth="1"/>
    <col min="6442" max="6442" width="18.7109375" style="121" customWidth="1"/>
    <col min="6443" max="6650" width="8.28515625" style="121"/>
    <col min="6651" max="6651" width="1.28515625" style="121" customWidth="1"/>
    <col min="6652" max="6659" width="7.7109375" style="121" customWidth="1"/>
    <col min="6660" max="6660" width="6.42578125" style="121" customWidth="1"/>
    <col min="6661" max="6661" width="9.28515625" style="121" customWidth="1"/>
    <col min="6662" max="6662" width="15.42578125" style="121" customWidth="1"/>
    <col min="6663" max="6666" width="6.42578125" style="121" customWidth="1"/>
    <col min="6667" max="6667" width="6" style="121" customWidth="1"/>
    <col min="6668" max="6668" width="6.42578125" style="121" customWidth="1"/>
    <col min="6669" max="6669" width="7.7109375" style="121" customWidth="1"/>
    <col min="6670" max="6670" width="9.5703125" style="121" customWidth="1"/>
    <col min="6671" max="6671" width="6.42578125" style="121" customWidth="1"/>
    <col min="6672" max="6672" width="8.42578125" style="121" customWidth="1"/>
    <col min="6673" max="6673" width="6.42578125" style="121" customWidth="1"/>
    <col min="6674" max="6674" width="12.42578125" style="121" customWidth="1"/>
    <col min="6675" max="6676" width="3.28515625" style="121" customWidth="1"/>
    <col min="6677" max="6677" width="7.5703125" style="121" customWidth="1"/>
    <col min="6678" max="6678" width="3.28515625" style="121" customWidth="1"/>
    <col min="6679" max="6679" width="5.28515625" style="121" customWidth="1"/>
    <col min="6680" max="6680" width="23.42578125" style="121" customWidth="1"/>
    <col min="6681" max="6695" width="8.28515625" style="121"/>
    <col min="6696" max="6697" width="16.28515625" style="121" customWidth="1"/>
    <col min="6698" max="6698" width="18.7109375" style="121" customWidth="1"/>
    <col min="6699" max="6906" width="8.28515625" style="121"/>
    <col min="6907" max="6907" width="1.28515625" style="121" customWidth="1"/>
    <col min="6908" max="6915" width="7.7109375" style="121" customWidth="1"/>
    <col min="6916" max="6916" width="6.42578125" style="121" customWidth="1"/>
    <col min="6917" max="6917" width="9.28515625" style="121" customWidth="1"/>
    <col min="6918" max="6918" width="15.42578125" style="121" customWidth="1"/>
    <col min="6919" max="6922" width="6.42578125" style="121" customWidth="1"/>
    <col min="6923" max="6923" width="6" style="121" customWidth="1"/>
    <col min="6924" max="6924" width="6.42578125" style="121" customWidth="1"/>
    <col min="6925" max="6925" width="7.7109375" style="121" customWidth="1"/>
    <col min="6926" max="6926" width="9.5703125" style="121" customWidth="1"/>
    <col min="6927" max="6927" width="6.42578125" style="121" customWidth="1"/>
    <col min="6928" max="6928" width="8.42578125" style="121" customWidth="1"/>
    <col min="6929" max="6929" width="6.42578125" style="121" customWidth="1"/>
    <col min="6930" max="6930" width="12.42578125" style="121" customWidth="1"/>
    <col min="6931" max="6932" width="3.28515625" style="121" customWidth="1"/>
    <col min="6933" max="6933" width="7.5703125" style="121" customWidth="1"/>
    <col min="6934" max="6934" width="3.28515625" style="121" customWidth="1"/>
    <col min="6935" max="6935" width="5.28515625" style="121" customWidth="1"/>
    <col min="6936" max="6936" width="23.42578125" style="121" customWidth="1"/>
    <col min="6937" max="6951" width="8.28515625" style="121"/>
    <col min="6952" max="6953" width="16.28515625" style="121" customWidth="1"/>
    <col min="6954" max="6954" width="18.7109375" style="121" customWidth="1"/>
    <col min="6955" max="7162" width="8.28515625" style="121"/>
    <col min="7163" max="7163" width="1.28515625" style="121" customWidth="1"/>
    <col min="7164" max="7171" width="7.7109375" style="121" customWidth="1"/>
    <col min="7172" max="7172" width="6.42578125" style="121" customWidth="1"/>
    <col min="7173" max="7173" width="9.28515625" style="121" customWidth="1"/>
    <col min="7174" max="7174" width="15.42578125" style="121" customWidth="1"/>
    <col min="7175" max="7178" width="6.42578125" style="121" customWidth="1"/>
    <col min="7179" max="7179" width="6" style="121" customWidth="1"/>
    <col min="7180" max="7180" width="6.42578125" style="121" customWidth="1"/>
    <col min="7181" max="7181" width="7.7109375" style="121" customWidth="1"/>
    <col min="7182" max="7182" width="9.5703125" style="121" customWidth="1"/>
    <col min="7183" max="7183" width="6.42578125" style="121" customWidth="1"/>
    <col min="7184" max="7184" width="8.42578125" style="121" customWidth="1"/>
    <col min="7185" max="7185" width="6.42578125" style="121" customWidth="1"/>
    <col min="7186" max="7186" width="12.42578125" style="121" customWidth="1"/>
    <col min="7187" max="7188" width="3.28515625" style="121" customWidth="1"/>
    <col min="7189" max="7189" width="7.5703125" style="121" customWidth="1"/>
    <col min="7190" max="7190" width="3.28515625" style="121" customWidth="1"/>
    <col min="7191" max="7191" width="5.28515625" style="121" customWidth="1"/>
    <col min="7192" max="7192" width="23.42578125" style="121" customWidth="1"/>
    <col min="7193" max="7207" width="8.28515625" style="121"/>
    <col min="7208" max="7209" width="16.28515625" style="121" customWidth="1"/>
    <col min="7210" max="7210" width="18.7109375" style="121" customWidth="1"/>
    <col min="7211" max="7418" width="8.28515625" style="121"/>
    <col min="7419" max="7419" width="1.28515625" style="121" customWidth="1"/>
    <col min="7420" max="7427" width="7.7109375" style="121" customWidth="1"/>
    <col min="7428" max="7428" width="6.42578125" style="121" customWidth="1"/>
    <col min="7429" max="7429" width="9.28515625" style="121" customWidth="1"/>
    <col min="7430" max="7430" width="15.42578125" style="121" customWidth="1"/>
    <col min="7431" max="7434" width="6.42578125" style="121" customWidth="1"/>
    <col min="7435" max="7435" width="6" style="121" customWidth="1"/>
    <col min="7436" max="7436" width="6.42578125" style="121" customWidth="1"/>
    <col min="7437" max="7437" width="7.7109375" style="121" customWidth="1"/>
    <col min="7438" max="7438" width="9.5703125" style="121" customWidth="1"/>
    <col min="7439" max="7439" width="6.42578125" style="121" customWidth="1"/>
    <col min="7440" max="7440" width="8.42578125" style="121" customWidth="1"/>
    <col min="7441" max="7441" width="6.42578125" style="121" customWidth="1"/>
    <col min="7442" max="7442" width="12.42578125" style="121" customWidth="1"/>
    <col min="7443" max="7444" width="3.28515625" style="121" customWidth="1"/>
    <col min="7445" max="7445" width="7.5703125" style="121" customWidth="1"/>
    <col min="7446" max="7446" width="3.28515625" style="121" customWidth="1"/>
    <col min="7447" max="7447" width="5.28515625" style="121" customWidth="1"/>
    <col min="7448" max="7448" width="23.42578125" style="121" customWidth="1"/>
    <col min="7449" max="7463" width="8.28515625" style="121"/>
    <col min="7464" max="7465" width="16.28515625" style="121" customWidth="1"/>
    <col min="7466" max="7466" width="18.7109375" style="121" customWidth="1"/>
    <col min="7467" max="7674" width="8.28515625" style="121"/>
    <col min="7675" max="7675" width="1.28515625" style="121" customWidth="1"/>
    <col min="7676" max="7683" width="7.7109375" style="121" customWidth="1"/>
    <col min="7684" max="7684" width="6.42578125" style="121" customWidth="1"/>
    <col min="7685" max="7685" width="9.28515625" style="121" customWidth="1"/>
    <col min="7686" max="7686" width="15.42578125" style="121" customWidth="1"/>
    <col min="7687" max="7690" width="6.42578125" style="121" customWidth="1"/>
    <col min="7691" max="7691" width="6" style="121" customWidth="1"/>
    <col min="7692" max="7692" width="6.42578125" style="121" customWidth="1"/>
    <col min="7693" max="7693" width="7.7109375" style="121" customWidth="1"/>
    <col min="7694" max="7694" width="9.5703125" style="121" customWidth="1"/>
    <col min="7695" max="7695" width="6.42578125" style="121" customWidth="1"/>
    <col min="7696" max="7696" width="8.42578125" style="121" customWidth="1"/>
    <col min="7697" max="7697" width="6.42578125" style="121" customWidth="1"/>
    <col min="7698" max="7698" width="12.42578125" style="121" customWidth="1"/>
    <col min="7699" max="7700" width="3.28515625" style="121" customWidth="1"/>
    <col min="7701" max="7701" width="7.5703125" style="121" customWidth="1"/>
    <col min="7702" max="7702" width="3.28515625" style="121" customWidth="1"/>
    <col min="7703" max="7703" width="5.28515625" style="121" customWidth="1"/>
    <col min="7704" max="7704" width="23.42578125" style="121" customWidth="1"/>
    <col min="7705" max="7719" width="8.28515625" style="121"/>
    <col min="7720" max="7721" width="16.28515625" style="121" customWidth="1"/>
    <col min="7722" max="7722" width="18.7109375" style="121" customWidth="1"/>
    <col min="7723" max="7930" width="8.28515625" style="121"/>
    <col min="7931" max="7931" width="1.28515625" style="121" customWidth="1"/>
    <col min="7932" max="7939" width="7.7109375" style="121" customWidth="1"/>
    <col min="7940" max="7940" width="6.42578125" style="121" customWidth="1"/>
    <col min="7941" max="7941" width="9.28515625" style="121" customWidth="1"/>
    <col min="7942" max="7942" width="15.42578125" style="121" customWidth="1"/>
    <col min="7943" max="7946" width="6.42578125" style="121" customWidth="1"/>
    <col min="7947" max="7947" width="6" style="121" customWidth="1"/>
    <col min="7948" max="7948" width="6.42578125" style="121" customWidth="1"/>
    <col min="7949" max="7949" width="7.7109375" style="121" customWidth="1"/>
    <col min="7950" max="7950" width="9.5703125" style="121" customWidth="1"/>
    <col min="7951" max="7951" width="6.42578125" style="121" customWidth="1"/>
    <col min="7952" max="7952" width="8.42578125" style="121" customWidth="1"/>
    <col min="7953" max="7953" width="6.42578125" style="121" customWidth="1"/>
    <col min="7954" max="7954" width="12.42578125" style="121" customWidth="1"/>
    <col min="7955" max="7956" width="3.28515625" style="121" customWidth="1"/>
    <col min="7957" max="7957" width="7.5703125" style="121" customWidth="1"/>
    <col min="7958" max="7958" width="3.28515625" style="121" customWidth="1"/>
    <col min="7959" max="7959" width="5.28515625" style="121" customWidth="1"/>
    <col min="7960" max="7960" width="23.42578125" style="121" customWidth="1"/>
    <col min="7961" max="7975" width="8.28515625" style="121"/>
    <col min="7976" max="7977" width="16.28515625" style="121" customWidth="1"/>
    <col min="7978" max="7978" width="18.7109375" style="121" customWidth="1"/>
    <col min="7979" max="8186" width="8.28515625" style="121"/>
    <col min="8187" max="8187" width="1.28515625" style="121" customWidth="1"/>
    <col min="8188" max="8195" width="7.7109375" style="121" customWidth="1"/>
    <col min="8196" max="8196" width="6.42578125" style="121" customWidth="1"/>
    <col min="8197" max="8197" width="9.28515625" style="121" customWidth="1"/>
    <col min="8198" max="8198" width="15.42578125" style="121" customWidth="1"/>
    <col min="8199" max="8202" width="6.42578125" style="121" customWidth="1"/>
    <col min="8203" max="8203" width="6" style="121" customWidth="1"/>
    <col min="8204" max="8204" width="6.42578125" style="121" customWidth="1"/>
    <col min="8205" max="8205" width="7.7109375" style="121" customWidth="1"/>
    <col min="8206" max="8206" width="9.5703125" style="121" customWidth="1"/>
    <col min="8207" max="8207" width="6.42578125" style="121" customWidth="1"/>
    <col min="8208" max="8208" width="8.42578125" style="121" customWidth="1"/>
    <col min="8209" max="8209" width="6.42578125" style="121" customWidth="1"/>
    <col min="8210" max="8210" width="12.42578125" style="121" customWidth="1"/>
    <col min="8211" max="8212" width="3.28515625" style="121" customWidth="1"/>
    <col min="8213" max="8213" width="7.5703125" style="121" customWidth="1"/>
    <col min="8214" max="8214" width="3.28515625" style="121" customWidth="1"/>
    <col min="8215" max="8215" width="5.28515625" style="121" customWidth="1"/>
    <col min="8216" max="8216" width="23.42578125" style="121" customWidth="1"/>
    <col min="8217" max="8231" width="8.28515625" style="121"/>
    <col min="8232" max="8233" width="16.28515625" style="121" customWidth="1"/>
    <col min="8234" max="8234" width="18.7109375" style="121" customWidth="1"/>
    <col min="8235" max="8442" width="8.28515625" style="121"/>
    <col min="8443" max="8443" width="1.28515625" style="121" customWidth="1"/>
    <col min="8444" max="8451" width="7.7109375" style="121" customWidth="1"/>
    <col min="8452" max="8452" width="6.42578125" style="121" customWidth="1"/>
    <col min="8453" max="8453" width="9.28515625" style="121" customWidth="1"/>
    <col min="8454" max="8454" width="15.42578125" style="121" customWidth="1"/>
    <col min="8455" max="8458" width="6.42578125" style="121" customWidth="1"/>
    <col min="8459" max="8459" width="6" style="121" customWidth="1"/>
    <col min="8460" max="8460" width="6.42578125" style="121" customWidth="1"/>
    <col min="8461" max="8461" width="7.7109375" style="121" customWidth="1"/>
    <col min="8462" max="8462" width="9.5703125" style="121" customWidth="1"/>
    <col min="8463" max="8463" width="6.42578125" style="121" customWidth="1"/>
    <col min="8464" max="8464" width="8.42578125" style="121" customWidth="1"/>
    <col min="8465" max="8465" width="6.42578125" style="121" customWidth="1"/>
    <col min="8466" max="8466" width="12.42578125" style="121" customWidth="1"/>
    <col min="8467" max="8468" width="3.28515625" style="121" customWidth="1"/>
    <col min="8469" max="8469" width="7.5703125" style="121" customWidth="1"/>
    <col min="8470" max="8470" width="3.28515625" style="121" customWidth="1"/>
    <col min="8471" max="8471" width="5.28515625" style="121" customWidth="1"/>
    <col min="8472" max="8472" width="23.42578125" style="121" customWidth="1"/>
    <col min="8473" max="8487" width="8.28515625" style="121"/>
    <col min="8488" max="8489" width="16.28515625" style="121" customWidth="1"/>
    <col min="8490" max="8490" width="18.7109375" style="121" customWidth="1"/>
    <col min="8491" max="8698" width="8.28515625" style="121"/>
    <col min="8699" max="8699" width="1.28515625" style="121" customWidth="1"/>
    <col min="8700" max="8707" width="7.7109375" style="121" customWidth="1"/>
    <col min="8708" max="8708" width="6.42578125" style="121" customWidth="1"/>
    <col min="8709" max="8709" width="9.28515625" style="121" customWidth="1"/>
    <col min="8710" max="8710" width="15.42578125" style="121" customWidth="1"/>
    <col min="8711" max="8714" width="6.42578125" style="121" customWidth="1"/>
    <col min="8715" max="8715" width="6" style="121" customWidth="1"/>
    <col min="8716" max="8716" width="6.42578125" style="121" customWidth="1"/>
    <col min="8717" max="8717" width="7.7109375" style="121" customWidth="1"/>
    <col min="8718" max="8718" width="9.5703125" style="121" customWidth="1"/>
    <col min="8719" max="8719" width="6.42578125" style="121" customWidth="1"/>
    <col min="8720" max="8720" width="8.42578125" style="121" customWidth="1"/>
    <col min="8721" max="8721" width="6.42578125" style="121" customWidth="1"/>
    <col min="8722" max="8722" width="12.42578125" style="121" customWidth="1"/>
    <col min="8723" max="8724" width="3.28515625" style="121" customWidth="1"/>
    <col min="8725" max="8725" width="7.5703125" style="121" customWidth="1"/>
    <col min="8726" max="8726" width="3.28515625" style="121" customWidth="1"/>
    <col min="8727" max="8727" width="5.28515625" style="121" customWidth="1"/>
    <col min="8728" max="8728" width="23.42578125" style="121" customWidth="1"/>
    <col min="8729" max="8743" width="8.28515625" style="121"/>
    <col min="8744" max="8745" width="16.28515625" style="121" customWidth="1"/>
    <col min="8746" max="8746" width="18.7109375" style="121" customWidth="1"/>
    <col min="8747" max="8954" width="8.28515625" style="121"/>
    <col min="8955" max="8955" width="1.28515625" style="121" customWidth="1"/>
    <col min="8956" max="8963" width="7.7109375" style="121" customWidth="1"/>
    <col min="8964" max="8964" width="6.42578125" style="121" customWidth="1"/>
    <col min="8965" max="8965" width="9.28515625" style="121" customWidth="1"/>
    <col min="8966" max="8966" width="15.42578125" style="121" customWidth="1"/>
    <col min="8967" max="8970" width="6.42578125" style="121" customWidth="1"/>
    <col min="8971" max="8971" width="6" style="121" customWidth="1"/>
    <col min="8972" max="8972" width="6.42578125" style="121" customWidth="1"/>
    <col min="8973" max="8973" width="7.7109375" style="121" customWidth="1"/>
    <col min="8974" max="8974" width="9.5703125" style="121" customWidth="1"/>
    <col min="8975" max="8975" width="6.42578125" style="121" customWidth="1"/>
    <col min="8976" max="8976" width="8.42578125" style="121" customWidth="1"/>
    <col min="8977" max="8977" width="6.42578125" style="121" customWidth="1"/>
    <col min="8978" max="8978" width="12.42578125" style="121" customWidth="1"/>
    <col min="8979" max="8980" width="3.28515625" style="121" customWidth="1"/>
    <col min="8981" max="8981" width="7.5703125" style="121" customWidth="1"/>
    <col min="8982" max="8982" width="3.28515625" style="121" customWidth="1"/>
    <col min="8983" max="8983" width="5.28515625" style="121" customWidth="1"/>
    <col min="8984" max="8984" width="23.42578125" style="121" customWidth="1"/>
    <col min="8985" max="8999" width="8.28515625" style="121"/>
    <col min="9000" max="9001" width="16.28515625" style="121" customWidth="1"/>
    <col min="9002" max="9002" width="18.7109375" style="121" customWidth="1"/>
    <col min="9003" max="9210" width="8.28515625" style="121"/>
    <col min="9211" max="9211" width="1.28515625" style="121" customWidth="1"/>
    <col min="9212" max="9219" width="7.7109375" style="121" customWidth="1"/>
    <col min="9220" max="9220" width="6.42578125" style="121" customWidth="1"/>
    <col min="9221" max="9221" width="9.28515625" style="121" customWidth="1"/>
    <col min="9222" max="9222" width="15.42578125" style="121" customWidth="1"/>
    <col min="9223" max="9226" width="6.42578125" style="121" customWidth="1"/>
    <col min="9227" max="9227" width="6" style="121" customWidth="1"/>
    <col min="9228" max="9228" width="6.42578125" style="121" customWidth="1"/>
    <col min="9229" max="9229" width="7.7109375" style="121" customWidth="1"/>
    <col min="9230" max="9230" width="9.5703125" style="121" customWidth="1"/>
    <col min="9231" max="9231" width="6.42578125" style="121" customWidth="1"/>
    <col min="9232" max="9232" width="8.42578125" style="121" customWidth="1"/>
    <col min="9233" max="9233" width="6.42578125" style="121" customWidth="1"/>
    <col min="9234" max="9234" width="12.42578125" style="121" customWidth="1"/>
    <col min="9235" max="9236" width="3.28515625" style="121" customWidth="1"/>
    <col min="9237" max="9237" width="7.5703125" style="121" customWidth="1"/>
    <col min="9238" max="9238" width="3.28515625" style="121" customWidth="1"/>
    <col min="9239" max="9239" width="5.28515625" style="121" customWidth="1"/>
    <col min="9240" max="9240" width="23.42578125" style="121" customWidth="1"/>
    <col min="9241" max="9255" width="8.28515625" style="121"/>
    <col min="9256" max="9257" width="16.28515625" style="121" customWidth="1"/>
    <col min="9258" max="9258" width="18.7109375" style="121" customWidth="1"/>
    <col min="9259" max="9466" width="8.28515625" style="121"/>
    <col min="9467" max="9467" width="1.28515625" style="121" customWidth="1"/>
    <col min="9468" max="9475" width="7.7109375" style="121" customWidth="1"/>
    <col min="9476" max="9476" width="6.42578125" style="121" customWidth="1"/>
    <col min="9477" max="9477" width="9.28515625" style="121" customWidth="1"/>
    <col min="9478" max="9478" width="15.42578125" style="121" customWidth="1"/>
    <col min="9479" max="9482" width="6.42578125" style="121" customWidth="1"/>
    <col min="9483" max="9483" width="6" style="121" customWidth="1"/>
    <col min="9484" max="9484" width="6.42578125" style="121" customWidth="1"/>
    <col min="9485" max="9485" width="7.7109375" style="121" customWidth="1"/>
    <col min="9486" max="9486" width="9.5703125" style="121" customWidth="1"/>
    <col min="9487" max="9487" width="6.42578125" style="121" customWidth="1"/>
    <col min="9488" max="9488" width="8.42578125" style="121" customWidth="1"/>
    <col min="9489" max="9489" width="6.42578125" style="121" customWidth="1"/>
    <col min="9490" max="9490" width="12.42578125" style="121" customWidth="1"/>
    <col min="9491" max="9492" width="3.28515625" style="121" customWidth="1"/>
    <col min="9493" max="9493" width="7.5703125" style="121" customWidth="1"/>
    <col min="9494" max="9494" width="3.28515625" style="121" customWidth="1"/>
    <col min="9495" max="9495" width="5.28515625" style="121" customWidth="1"/>
    <col min="9496" max="9496" width="23.42578125" style="121" customWidth="1"/>
    <col min="9497" max="9511" width="8.28515625" style="121"/>
    <col min="9512" max="9513" width="16.28515625" style="121" customWidth="1"/>
    <col min="9514" max="9514" width="18.7109375" style="121" customWidth="1"/>
    <col min="9515" max="9722" width="8.28515625" style="121"/>
    <col min="9723" max="9723" width="1.28515625" style="121" customWidth="1"/>
    <col min="9724" max="9731" width="7.7109375" style="121" customWidth="1"/>
    <col min="9732" max="9732" width="6.42578125" style="121" customWidth="1"/>
    <col min="9733" max="9733" width="9.28515625" style="121" customWidth="1"/>
    <col min="9734" max="9734" width="15.42578125" style="121" customWidth="1"/>
    <col min="9735" max="9738" width="6.42578125" style="121" customWidth="1"/>
    <col min="9739" max="9739" width="6" style="121" customWidth="1"/>
    <col min="9740" max="9740" width="6.42578125" style="121" customWidth="1"/>
    <col min="9741" max="9741" width="7.7109375" style="121" customWidth="1"/>
    <col min="9742" max="9742" width="9.5703125" style="121" customWidth="1"/>
    <col min="9743" max="9743" width="6.42578125" style="121" customWidth="1"/>
    <col min="9744" max="9744" width="8.42578125" style="121" customWidth="1"/>
    <col min="9745" max="9745" width="6.42578125" style="121" customWidth="1"/>
    <col min="9746" max="9746" width="12.42578125" style="121" customWidth="1"/>
    <col min="9747" max="9748" width="3.28515625" style="121" customWidth="1"/>
    <col min="9749" max="9749" width="7.5703125" style="121" customWidth="1"/>
    <col min="9750" max="9750" width="3.28515625" style="121" customWidth="1"/>
    <col min="9751" max="9751" width="5.28515625" style="121" customWidth="1"/>
    <col min="9752" max="9752" width="23.42578125" style="121" customWidth="1"/>
    <col min="9753" max="9767" width="8.28515625" style="121"/>
    <col min="9768" max="9769" width="16.28515625" style="121" customWidth="1"/>
    <col min="9770" max="9770" width="18.7109375" style="121" customWidth="1"/>
    <col min="9771" max="9978" width="8.28515625" style="121"/>
    <col min="9979" max="9979" width="1.28515625" style="121" customWidth="1"/>
    <col min="9980" max="9987" width="7.7109375" style="121" customWidth="1"/>
    <col min="9988" max="9988" width="6.42578125" style="121" customWidth="1"/>
    <col min="9989" max="9989" width="9.28515625" style="121" customWidth="1"/>
    <col min="9990" max="9990" width="15.42578125" style="121" customWidth="1"/>
    <col min="9991" max="9994" width="6.42578125" style="121" customWidth="1"/>
    <col min="9995" max="9995" width="6" style="121" customWidth="1"/>
    <col min="9996" max="9996" width="6.42578125" style="121" customWidth="1"/>
    <col min="9997" max="9997" width="7.7109375" style="121" customWidth="1"/>
    <col min="9998" max="9998" width="9.5703125" style="121" customWidth="1"/>
    <col min="9999" max="9999" width="6.42578125" style="121" customWidth="1"/>
    <col min="10000" max="10000" width="8.42578125" style="121" customWidth="1"/>
    <col min="10001" max="10001" width="6.42578125" style="121" customWidth="1"/>
    <col min="10002" max="10002" width="12.42578125" style="121" customWidth="1"/>
    <col min="10003" max="10004" width="3.28515625" style="121" customWidth="1"/>
    <col min="10005" max="10005" width="7.5703125" style="121" customWidth="1"/>
    <col min="10006" max="10006" width="3.28515625" style="121" customWidth="1"/>
    <col min="10007" max="10007" width="5.28515625" style="121" customWidth="1"/>
    <col min="10008" max="10008" width="23.42578125" style="121" customWidth="1"/>
    <col min="10009" max="10023" width="8.28515625" style="121"/>
    <col min="10024" max="10025" width="16.28515625" style="121" customWidth="1"/>
    <col min="10026" max="10026" width="18.7109375" style="121" customWidth="1"/>
    <col min="10027" max="10234" width="8.28515625" style="121"/>
    <col min="10235" max="10235" width="1.28515625" style="121" customWidth="1"/>
    <col min="10236" max="10243" width="7.7109375" style="121" customWidth="1"/>
    <col min="10244" max="10244" width="6.42578125" style="121" customWidth="1"/>
    <col min="10245" max="10245" width="9.28515625" style="121" customWidth="1"/>
    <col min="10246" max="10246" width="15.42578125" style="121" customWidth="1"/>
    <col min="10247" max="10250" width="6.42578125" style="121" customWidth="1"/>
    <col min="10251" max="10251" width="6" style="121" customWidth="1"/>
    <col min="10252" max="10252" width="6.42578125" style="121" customWidth="1"/>
    <col min="10253" max="10253" width="7.7109375" style="121" customWidth="1"/>
    <col min="10254" max="10254" width="9.5703125" style="121" customWidth="1"/>
    <col min="10255" max="10255" width="6.42578125" style="121" customWidth="1"/>
    <col min="10256" max="10256" width="8.42578125" style="121" customWidth="1"/>
    <col min="10257" max="10257" width="6.42578125" style="121" customWidth="1"/>
    <col min="10258" max="10258" width="12.42578125" style="121" customWidth="1"/>
    <col min="10259" max="10260" width="3.28515625" style="121" customWidth="1"/>
    <col min="10261" max="10261" width="7.5703125" style="121" customWidth="1"/>
    <col min="10262" max="10262" width="3.28515625" style="121" customWidth="1"/>
    <col min="10263" max="10263" width="5.28515625" style="121" customWidth="1"/>
    <col min="10264" max="10264" width="23.42578125" style="121" customWidth="1"/>
    <col min="10265" max="10279" width="8.28515625" style="121"/>
    <col min="10280" max="10281" width="16.28515625" style="121" customWidth="1"/>
    <col min="10282" max="10282" width="18.7109375" style="121" customWidth="1"/>
    <col min="10283" max="10490" width="8.28515625" style="121"/>
    <col min="10491" max="10491" width="1.28515625" style="121" customWidth="1"/>
    <col min="10492" max="10499" width="7.7109375" style="121" customWidth="1"/>
    <col min="10500" max="10500" width="6.42578125" style="121" customWidth="1"/>
    <col min="10501" max="10501" width="9.28515625" style="121" customWidth="1"/>
    <col min="10502" max="10502" width="15.42578125" style="121" customWidth="1"/>
    <col min="10503" max="10506" width="6.42578125" style="121" customWidth="1"/>
    <col min="10507" max="10507" width="6" style="121" customWidth="1"/>
    <col min="10508" max="10508" width="6.42578125" style="121" customWidth="1"/>
    <col min="10509" max="10509" width="7.7109375" style="121" customWidth="1"/>
    <col min="10510" max="10510" width="9.5703125" style="121" customWidth="1"/>
    <col min="10511" max="10511" width="6.42578125" style="121" customWidth="1"/>
    <col min="10512" max="10512" width="8.42578125" style="121" customWidth="1"/>
    <col min="10513" max="10513" width="6.42578125" style="121" customWidth="1"/>
    <col min="10514" max="10514" width="12.42578125" style="121" customWidth="1"/>
    <col min="10515" max="10516" width="3.28515625" style="121" customWidth="1"/>
    <col min="10517" max="10517" width="7.5703125" style="121" customWidth="1"/>
    <col min="10518" max="10518" width="3.28515625" style="121" customWidth="1"/>
    <col min="10519" max="10519" width="5.28515625" style="121" customWidth="1"/>
    <col min="10520" max="10520" width="23.42578125" style="121" customWidth="1"/>
    <col min="10521" max="10535" width="8.28515625" style="121"/>
    <col min="10536" max="10537" width="16.28515625" style="121" customWidth="1"/>
    <col min="10538" max="10538" width="18.7109375" style="121" customWidth="1"/>
    <col min="10539" max="10746" width="8.28515625" style="121"/>
    <col min="10747" max="10747" width="1.28515625" style="121" customWidth="1"/>
    <col min="10748" max="10755" width="7.7109375" style="121" customWidth="1"/>
    <col min="10756" max="10756" width="6.42578125" style="121" customWidth="1"/>
    <col min="10757" max="10757" width="9.28515625" style="121" customWidth="1"/>
    <col min="10758" max="10758" width="15.42578125" style="121" customWidth="1"/>
    <col min="10759" max="10762" width="6.42578125" style="121" customWidth="1"/>
    <col min="10763" max="10763" width="6" style="121" customWidth="1"/>
    <col min="10764" max="10764" width="6.42578125" style="121" customWidth="1"/>
    <col min="10765" max="10765" width="7.7109375" style="121" customWidth="1"/>
    <col min="10766" max="10766" width="9.5703125" style="121" customWidth="1"/>
    <col min="10767" max="10767" width="6.42578125" style="121" customWidth="1"/>
    <col min="10768" max="10768" width="8.42578125" style="121" customWidth="1"/>
    <col min="10769" max="10769" width="6.42578125" style="121" customWidth="1"/>
    <col min="10770" max="10770" width="12.42578125" style="121" customWidth="1"/>
    <col min="10771" max="10772" width="3.28515625" style="121" customWidth="1"/>
    <col min="10773" max="10773" width="7.5703125" style="121" customWidth="1"/>
    <col min="10774" max="10774" width="3.28515625" style="121" customWidth="1"/>
    <col min="10775" max="10775" width="5.28515625" style="121" customWidth="1"/>
    <col min="10776" max="10776" width="23.42578125" style="121" customWidth="1"/>
    <col min="10777" max="10791" width="8.28515625" style="121"/>
    <col min="10792" max="10793" width="16.28515625" style="121" customWidth="1"/>
    <col min="10794" max="10794" width="18.7109375" style="121" customWidth="1"/>
    <col min="10795" max="11002" width="8.28515625" style="121"/>
    <col min="11003" max="11003" width="1.28515625" style="121" customWidth="1"/>
    <col min="11004" max="11011" width="7.7109375" style="121" customWidth="1"/>
    <col min="11012" max="11012" width="6.42578125" style="121" customWidth="1"/>
    <col min="11013" max="11013" width="9.28515625" style="121" customWidth="1"/>
    <col min="11014" max="11014" width="15.42578125" style="121" customWidth="1"/>
    <col min="11015" max="11018" width="6.42578125" style="121" customWidth="1"/>
    <col min="11019" max="11019" width="6" style="121" customWidth="1"/>
    <col min="11020" max="11020" width="6.42578125" style="121" customWidth="1"/>
    <col min="11021" max="11021" width="7.7109375" style="121" customWidth="1"/>
    <col min="11022" max="11022" width="9.5703125" style="121" customWidth="1"/>
    <col min="11023" max="11023" width="6.42578125" style="121" customWidth="1"/>
    <col min="11024" max="11024" width="8.42578125" style="121" customWidth="1"/>
    <col min="11025" max="11025" width="6.42578125" style="121" customWidth="1"/>
    <col min="11026" max="11026" width="12.42578125" style="121" customWidth="1"/>
    <col min="11027" max="11028" width="3.28515625" style="121" customWidth="1"/>
    <col min="11029" max="11029" width="7.5703125" style="121" customWidth="1"/>
    <col min="11030" max="11030" width="3.28515625" style="121" customWidth="1"/>
    <col min="11031" max="11031" width="5.28515625" style="121" customWidth="1"/>
    <col min="11032" max="11032" width="23.42578125" style="121" customWidth="1"/>
    <col min="11033" max="11047" width="8.28515625" style="121"/>
    <col min="11048" max="11049" width="16.28515625" style="121" customWidth="1"/>
    <col min="11050" max="11050" width="18.7109375" style="121" customWidth="1"/>
    <col min="11051" max="11258" width="8.28515625" style="121"/>
    <col min="11259" max="11259" width="1.28515625" style="121" customWidth="1"/>
    <col min="11260" max="11267" width="7.7109375" style="121" customWidth="1"/>
    <col min="11268" max="11268" width="6.42578125" style="121" customWidth="1"/>
    <col min="11269" max="11269" width="9.28515625" style="121" customWidth="1"/>
    <col min="11270" max="11270" width="15.42578125" style="121" customWidth="1"/>
    <col min="11271" max="11274" width="6.42578125" style="121" customWidth="1"/>
    <col min="11275" max="11275" width="6" style="121" customWidth="1"/>
    <col min="11276" max="11276" width="6.42578125" style="121" customWidth="1"/>
    <col min="11277" max="11277" width="7.7109375" style="121" customWidth="1"/>
    <col min="11278" max="11278" width="9.5703125" style="121" customWidth="1"/>
    <col min="11279" max="11279" width="6.42578125" style="121" customWidth="1"/>
    <col min="11280" max="11280" width="8.42578125" style="121" customWidth="1"/>
    <col min="11281" max="11281" width="6.42578125" style="121" customWidth="1"/>
    <col min="11282" max="11282" width="12.42578125" style="121" customWidth="1"/>
    <col min="11283" max="11284" width="3.28515625" style="121" customWidth="1"/>
    <col min="11285" max="11285" width="7.5703125" style="121" customWidth="1"/>
    <col min="11286" max="11286" width="3.28515625" style="121" customWidth="1"/>
    <col min="11287" max="11287" width="5.28515625" style="121" customWidth="1"/>
    <col min="11288" max="11288" width="23.42578125" style="121" customWidth="1"/>
    <col min="11289" max="11303" width="8.28515625" style="121"/>
    <col min="11304" max="11305" width="16.28515625" style="121" customWidth="1"/>
    <col min="11306" max="11306" width="18.7109375" style="121" customWidth="1"/>
    <col min="11307" max="11514" width="8.28515625" style="121"/>
    <col min="11515" max="11515" width="1.28515625" style="121" customWidth="1"/>
    <col min="11516" max="11523" width="7.7109375" style="121" customWidth="1"/>
    <col min="11524" max="11524" width="6.42578125" style="121" customWidth="1"/>
    <col min="11525" max="11525" width="9.28515625" style="121" customWidth="1"/>
    <col min="11526" max="11526" width="15.42578125" style="121" customWidth="1"/>
    <col min="11527" max="11530" width="6.42578125" style="121" customWidth="1"/>
    <col min="11531" max="11531" width="6" style="121" customWidth="1"/>
    <col min="11532" max="11532" width="6.42578125" style="121" customWidth="1"/>
    <col min="11533" max="11533" width="7.7109375" style="121" customWidth="1"/>
    <col min="11534" max="11534" width="9.5703125" style="121" customWidth="1"/>
    <col min="11535" max="11535" width="6.42578125" style="121" customWidth="1"/>
    <col min="11536" max="11536" width="8.42578125" style="121" customWidth="1"/>
    <col min="11537" max="11537" width="6.42578125" style="121" customWidth="1"/>
    <col min="11538" max="11538" width="12.42578125" style="121" customWidth="1"/>
    <col min="11539" max="11540" width="3.28515625" style="121" customWidth="1"/>
    <col min="11541" max="11541" width="7.5703125" style="121" customWidth="1"/>
    <col min="11542" max="11542" width="3.28515625" style="121" customWidth="1"/>
    <col min="11543" max="11543" width="5.28515625" style="121" customWidth="1"/>
    <col min="11544" max="11544" width="23.42578125" style="121" customWidth="1"/>
    <col min="11545" max="11559" width="8.28515625" style="121"/>
    <col min="11560" max="11561" width="16.28515625" style="121" customWidth="1"/>
    <col min="11562" max="11562" width="18.7109375" style="121" customWidth="1"/>
    <col min="11563" max="11770" width="8.28515625" style="121"/>
    <col min="11771" max="11771" width="1.28515625" style="121" customWidth="1"/>
    <col min="11772" max="11779" width="7.7109375" style="121" customWidth="1"/>
    <col min="11780" max="11780" width="6.42578125" style="121" customWidth="1"/>
    <col min="11781" max="11781" width="9.28515625" style="121" customWidth="1"/>
    <col min="11782" max="11782" width="15.42578125" style="121" customWidth="1"/>
    <col min="11783" max="11786" width="6.42578125" style="121" customWidth="1"/>
    <col min="11787" max="11787" width="6" style="121" customWidth="1"/>
    <col min="11788" max="11788" width="6.42578125" style="121" customWidth="1"/>
    <col min="11789" max="11789" width="7.7109375" style="121" customWidth="1"/>
    <col min="11790" max="11790" width="9.5703125" style="121" customWidth="1"/>
    <col min="11791" max="11791" width="6.42578125" style="121" customWidth="1"/>
    <col min="11792" max="11792" width="8.42578125" style="121" customWidth="1"/>
    <col min="11793" max="11793" width="6.42578125" style="121" customWidth="1"/>
    <col min="11794" max="11794" width="12.42578125" style="121" customWidth="1"/>
    <col min="11795" max="11796" width="3.28515625" style="121" customWidth="1"/>
    <col min="11797" max="11797" width="7.5703125" style="121" customWidth="1"/>
    <col min="11798" max="11798" width="3.28515625" style="121" customWidth="1"/>
    <col min="11799" max="11799" width="5.28515625" style="121" customWidth="1"/>
    <col min="11800" max="11800" width="23.42578125" style="121" customWidth="1"/>
    <col min="11801" max="11815" width="8.28515625" style="121"/>
    <col min="11816" max="11817" width="16.28515625" style="121" customWidth="1"/>
    <col min="11818" max="11818" width="18.7109375" style="121" customWidth="1"/>
    <col min="11819" max="12026" width="8.28515625" style="121"/>
    <col min="12027" max="12027" width="1.28515625" style="121" customWidth="1"/>
    <col min="12028" max="12035" width="7.7109375" style="121" customWidth="1"/>
    <col min="12036" max="12036" width="6.42578125" style="121" customWidth="1"/>
    <col min="12037" max="12037" width="9.28515625" style="121" customWidth="1"/>
    <col min="12038" max="12038" width="15.42578125" style="121" customWidth="1"/>
    <col min="12039" max="12042" width="6.42578125" style="121" customWidth="1"/>
    <col min="12043" max="12043" width="6" style="121" customWidth="1"/>
    <col min="12044" max="12044" width="6.42578125" style="121" customWidth="1"/>
    <col min="12045" max="12045" width="7.7109375" style="121" customWidth="1"/>
    <col min="12046" max="12046" width="9.5703125" style="121" customWidth="1"/>
    <col min="12047" max="12047" width="6.42578125" style="121" customWidth="1"/>
    <col min="12048" max="12048" width="8.42578125" style="121" customWidth="1"/>
    <col min="12049" max="12049" width="6.42578125" style="121" customWidth="1"/>
    <col min="12050" max="12050" width="12.42578125" style="121" customWidth="1"/>
    <col min="12051" max="12052" width="3.28515625" style="121" customWidth="1"/>
    <col min="12053" max="12053" width="7.5703125" style="121" customWidth="1"/>
    <col min="12054" max="12054" width="3.28515625" style="121" customWidth="1"/>
    <col min="12055" max="12055" width="5.28515625" style="121" customWidth="1"/>
    <col min="12056" max="12056" width="23.42578125" style="121" customWidth="1"/>
    <col min="12057" max="12071" width="8.28515625" style="121"/>
    <col min="12072" max="12073" width="16.28515625" style="121" customWidth="1"/>
    <col min="12074" max="12074" width="18.7109375" style="121" customWidth="1"/>
    <col min="12075" max="12282" width="8.28515625" style="121"/>
    <col min="12283" max="12283" width="1.28515625" style="121" customWidth="1"/>
    <col min="12284" max="12291" width="7.7109375" style="121" customWidth="1"/>
    <col min="12292" max="12292" width="6.42578125" style="121" customWidth="1"/>
    <col min="12293" max="12293" width="9.28515625" style="121" customWidth="1"/>
    <col min="12294" max="12294" width="15.42578125" style="121" customWidth="1"/>
    <col min="12295" max="12298" width="6.42578125" style="121" customWidth="1"/>
    <col min="12299" max="12299" width="6" style="121" customWidth="1"/>
    <col min="12300" max="12300" width="6.42578125" style="121" customWidth="1"/>
    <col min="12301" max="12301" width="7.7109375" style="121" customWidth="1"/>
    <col min="12302" max="12302" width="9.5703125" style="121" customWidth="1"/>
    <col min="12303" max="12303" width="6.42578125" style="121" customWidth="1"/>
    <col min="12304" max="12304" width="8.42578125" style="121" customWidth="1"/>
    <col min="12305" max="12305" width="6.42578125" style="121" customWidth="1"/>
    <col min="12306" max="12306" width="12.42578125" style="121" customWidth="1"/>
    <col min="12307" max="12308" width="3.28515625" style="121" customWidth="1"/>
    <col min="12309" max="12309" width="7.5703125" style="121" customWidth="1"/>
    <col min="12310" max="12310" width="3.28515625" style="121" customWidth="1"/>
    <col min="12311" max="12311" width="5.28515625" style="121" customWidth="1"/>
    <col min="12312" max="12312" width="23.42578125" style="121" customWidth="1"/>
    <col min="12313" max="12327" width="8.28515625" style="121"/>
    <col min="12328" max="12329" width="16.28515625" style="121" customWidth="1"/>
    <col min="12330" max="12330" width="18.7109375" style="121" customWidth="1"/>
    <col min="12331" max="12538" width="8.28515625" style="121"/>
    <col min="12539" max="12539" width="1.28515625" style="121" customWidth="1"/>
    <col min="12540" max="12547" width="7.7109375" style="121" customWidth="1"/>
    <col min="12548" max="12548" width="6.42578125" style="121" customWidth="1"/>
    <col min="12549" max="12549" width="9.28515625" style="121" customWidth="1"/>
    <col min="12550" max="12550" width="15.42578125" style="121" customWidth="1"/>
    <col min="12551" max="12554" width="6.42578125" style="121" customWidth="1"/>
    <col min="12555" max="12555" width="6" style="121" customWidth="1"/>
    <col min="12556" max="12556" width="6.42578125" style="121" customWidth="1"/>
    <col min="12557" max="12557" width="7.7109375" style="121" customWidth="1"/>
    <col min="12558" max="12558" width="9.5703125" style="121" customWidth="1"/>
    <col min="12559" max="12559" width="6.42578125" style="121" customWidth="1"/>
    <col min="12560" max="12560" width="8.42578125" style="121" customWidth="1"/>
    <col min="12561" max="12561" width="6.42578125" style="121" customWidth="1"/>
    <col min="12562" max="12562" width="12.42578125" style="121" customWidth="1"/>
    <col min="12563" max="12564" width="3.28515625" style="121" customWidth="1"/>
    <col min="12565" max="12565" width="7.5703125" style="121" customWidth="1"/>
    <col min="12566" max="12566" width="3.28515625" style="121" customWidth="1"/>
    <col min="12567" max="12567" width="5.28515625" style="121" customWidth="1"/>
    <col min="12568" max="12568" width="23.42578125" style="121" customWidth="1"/>
    <col min="12569" max="12583" width="8.28515625" style="121"/>
    <col min="12584" max="12585" width="16.28515625" style="121" customWidth="1"/>
    <col min="12586" max="12586" width="18.7109375" style="121" customWidth="1"/>
    <col min="12587" max="12794" width="8.28515625" style="121"/>
    <col min="12795" max="12795" width="1.28515625" style="121" customWidth="1"/>
    <col min="12796" max="12803" width="7.7109375" style="121" customWidth="1"/>
    <col min="12804" max="12804" width="6.42578125" style="121" customWidth="1"/>
    <col min="12805" max="12805" width="9.28515625" style="121" customWidth="1"/>
    <col min="12806" max="12806" width="15.42578125" style="121" customWidth="1"/>
    <col min="12807" max="12810" width="6.42578125" style="121" customWidth="1"/>
    <col min="12811" max="12811" width="6" style="121" customWidth="1"/>
    <col min="12812" max="12812" width="6.42578125" style="121" customWidth="1"/>
    <col min="12813" max="12813" width="7.7109375" style="121" customWidth="1"/>
    <col min="12814" max="12814" width="9.5703125" style="121" customWidth="1"/>
    <col min="12815" max="12815" width="6.42578125" style="121" customWidth="1"/>
    <col min="12816" max="12816" width="8.42578125" style="121" customWidth="1"/>
    <col min="12817" max="12817" width="6.42578125" style="121" customWidth="1"/>
    <col min="12818" max="12818" width="12.42578125" style="121" customWidth="1"/>
    <col min="12819" max="12820" width="3.28515625" style="121" customWidth="1"/>
    <col min="12821" max="12821" width="7.5703125" style="121" customWidth="1"/>
    <col min="12822" max="12822" width="3.28515625" style="121" customWidth="1"/>
    <col min="12823" max="12823" width="5.28515625" style="121" customWidth="1"/>
    <col min="12824" max="12824" width="23.42578125" style="121" customWidth="1"/>
    <col min="12825" max="12839" width="8.28515625" style="121"/>
    <col min="12840" max="12841" width="16.28515625" style="121" customWidth="1"/>
    <col min="12842" max="12842" width="18.7109375" style="121" customWidth="1"/>
    <col min="12843" max="13050" width="8.28515625" style="121"/>
    <col min="13051" max="13051" width="1.28515625" style="121" customWidth="1"/>
    <col min="13052" max="13059" width="7.7109375" style="121" customWidth="1"/>
    <col min="13060" max="13060" width="6.42578125" style="121" customWidth="1"/>
    <col min="13061" max="13061" width="9.28515625" style="121" customWidth="1"/>
    <col min="13062" max="13062" width="15.42578125" style="121" customWidth="1"/>
    <col min="13063" max="13066" width="6.42578125" style="121" customWidth="1"/>
    <col min="13067" max="13067" width="6" style="121" customWidth="1"/>
    <col min="13068" max="13068" width="6.42578125" style="121" customWidth="1"/>
    <col min="13069" max="13069" width="7.7109375" style="121" customWidth="1"/>
    <col min="13070" max="13070" width="9.5703125" style="121" customWidth="1"/>
    <col min="13071" max="13071" width="6.42578125" style="121" customWidth="1"/>
    <col min="13072" max="13072" width="8.42578125" style="121" customWidth="1"/>
    <col min="13073" max="13073" width="6.42578125" style="121" customWidth="1"/>
    <col min="13074" max="13074" width="12.42578125" style="121" customWidth="1"/>
    <col min="13075" max="13076" width="3.28515625" style="121" customWidth="1"/>
    <col min="13077" max="13077" width="7.5703125" style="121" customWidth="1"/>
    <col min="13078" max="13078" width="3.28515625" style="121" customWidth="1"/>
    <col min="13079" max="13079" width="5.28515625" style="121" customWidth="1"/>
    <col min="13080" max="13080" width="23.42578125" style="121" customWidth="1"/>
    <col min="13081" max="13095" width="8.28515625" style="121"/>
    <col min="13096" max="13097" width="16.28515625" style="121" customWidth="1"/>
    <col min="13098" max="13098" width="18.7109375" style="121" customWidth="1"/>
    <col min="13099" max="13306" width="8.28515625" style="121"/>
    <col min="13307" max="13307" width="1.28515625" style="121" customWidth="1"/>
    <col min="13308" max="13315" width="7.7109375" style="121" customWidth="1"/>
    <col min="13316" max="13316" width="6.42578125" style="121" customWidth="1"/>
    <col min="13317" max="13317" width="9.28515625" style="121" customWidth="1"/>
    <col min="13318" max="13318" width="15.42578125" style="121" customWidth="1"/>
    <col min="13319" max="13322" width="6.42578125" style="121" customWidth="1"/>
    <col min="13323" max="13323" width="6" style="121" customWidth="1"/>
    <col min="13324" max="13324" width="6.42578125" style="121" customWidth="1"/>
    <col min="13325" max="13325" width="7.7109375" style="121" customWidth="1"/>
    <col min="13326" max="13326" width="9.5703125" style="121" customWidth="1"/>
    <col min="13327" max="13327" width="6.42578125" style="121" customWidth="1"/>
    <col min="13328" max="13328" width="8.42578125" style="121" customWidth="1"/>
    <col min="13329" max="13329" width="6.42578125" style="121" customWidth="1"/>
    <col min="13330" max="13330" width="12.42578125" style="121" customWidth="1"/>
    <col min="13331" max="13332" width="3.28515625" style="121" customWidth="1"/>
    <col min="13333" max="13333" width="7.5703125" style="121" customWidth="1"/>
    <col min="13334" max="13334" width="3.28515625" style="121" customWidth="1"/>
    <col min="13335" max="13335" width="5.28515625" style="121" customWidth="1"/>
    <col min="13336" max="13336" width="23.42578125" style="121" customWidth="1"/>
    <col min="13337" max="13351" width="8.28515625" style="121"/>
    <col min="13352" max="13353" width="16.28515625" style="121" customWidth="1"/>
    <col min="13354" max="13354" width="18.7109375" style="121" customWidth="1"/>
    <col min="13355" max="13562" width="8.28515625" style="121"/>
    <col min="13563" max="13563" width="1.28515625" style="121" customWidth="1"/>
    <col min="13564" max="13571" width="7.7109375" style="121" customWidth="1"/>
    <col min="13572" max="13572" width="6.42578125" style="121" customWidth="1"/>
    <col min="13573" max="13573" width="9.28515625" style="121" customWidth="1"/>
    <col min="13574" max="13574" width="15.42578125" style="121" customWidth="1"/>
    <col min="13575" max="13578" width="6.42578125" style="121" customWidth="1"/>
    <col min="13579" max="13579" width="6" style="121" customWidth="1"/>
    <col min="13580" max="13580" width="6.42578125" style="121" customWidth="1"/>
    <col min="13581" max="13581" width="7.7109375" style="121" customWidth="1"/>
    <col min="13582" max="13582" width="9.5703125" style="121" customWidth="1"/>
    <col min="13583" max="13583" width="6.42578125" style="121" customWidth="1"/>
    <col min="13584" max="13584" width="8.42578125" style="121" customWidth="1"/>
    <col min="13585" max="13585" width="6.42578125" style="121" customWidth="1"/>
    <col min="13586" max="13586" width="12.42578125" style="121" customWidth="1"/>
    <col min="13587" max="13588" width="3.28515625" style="121" customWidth="1"/>
    <col min="13589" max="13589" width="7.5703125" style="121" customWidth="1"/>
    <col min="13590" max="13590" width="3.28515625" style="121" customWidth="1"/>
    <col min="13591" max="13591" width="5.28515625" style="121" customWidth="1"/>
    <col min="13592" max="13592" width="23.42578125" style="121" customWidth="1"/>
    <col min="13593" max="13607" width="8.28515625" style="121"/>
    <col min="13608" max="13609" width="16.28515625" style="121" customWidth="1"/>
    <col min="13610" max="13610" width="18.7109375" style="121" customWidth="1"/>
    <col min="13611" max="13818" width="8.28515625" style="121"/>
    <col min="13819" max="13819" width="1.28515625" style="121" customWidth="1"/>
    <col min="13820" max="13827" width="7.7109375" style="121" customWidth="1"/>
    <col min="13828" max="13828" width="6.42578125" style="121" customWidth="1"/>
    <col min="13829" max="13829" width="9.28515625" style="121" customWidth="1"/>
    <col min="13830" max="13830" width="15.42578125" style="121" customWidth="1"/>
    <col min="13831" max="13834" width="6.42578125" style="121" customWidth="1"/>
    <col min="13835" max="13835" width="6" style="121" customWidth="1"/>
    <col min="13836" max="13836" width="6.42578125" style="121" customWidth="1"/>
    <col min="13837" max="13837" width="7.7109375" style="121" customWidth="1"/>
    <col min="13838" max="13838" width="9.5703125" style="121" customWidth="1"/>
    <col min="13839" max="13839" width="6.42578125" style="121" customWidth="1"/>
    <col min="13840" max="13840" width="8.42578125" style="121" customWidth="1"/>
    <col min="13841" max="13841" width="6.42578125" style="121" customWidth="1"/>
    <col min="13842" max="13842" width="12.42578125" style="121" customWidth="1"/>
    <col min="13843" max="13844" width="3.28515625" style="121" customWidth="1"/>
    <col min="13845" max="13845" width="7.5703125" style="121" customWidth="1"/>
    <col min="13846" max="13846" width="3.28515625" style="121" customWidth="1"/>
    <col min="13847" max="13847" width="5.28515625" style="121" customWidth="1"/>
    <col min="13848" max="13848" width="23.42578125" style="121" customWidth="1"/>
    <col min="13849" max="13863" width="8.28515625" style="121"/>
    <col min="13864" max="13865" width="16.28515625" style="121" customWidth="1"/>
    <col min="13866" max="13866" width="18.7109375" style="121" customWidth="1"/>
    <col min="13867" max="14074" width="8.28515625" style="121"/>
    <col min="14075" max="14075" width="1.28515625" style="121" customWidth="1"/>
    <col min="14076" max="14083" width="7.7109375" style="121" customWidth="1"/>
    <col min="14084" max="14084" width="6.42578125" style="121" customWidth="1"/>
    <col min="14085" max="14085" width="9.28515625" style="121" customWidth="1"/>
    <col min="14086" max="14086" width="15.42578125" style="121" customWidth="1"/>
    <col min="14087" max="14090" width="6.42578125" style="121" customWidth="1"/>
    <col min="14091" max="14091" width="6" style="121" customWidth="1"/>
    <col min="14092" max="14092" width="6.42578125" style="121" customWidth="1"/>
    <col min="14093" max="14093" width="7.7109375" style="121" customWidth="1"/>
    <col min="14094" max="14094" width="9.5703125" style="121" customWidth="1"/>
    <col min="14095" max="14095" width="6.42578125" style="121" customWidth="1"/>
    <col min="14096" max="14096" width="8.42578125" style="121" customWidth="1"/>
    <col min="14097" max="14097" width="6.42578125" style="121" customWidth="1"/>
    <col min="14098" max="14098" width="12.42578125" style="121" customWidth="1"/>
    <col min="14099" max="14100" width="3.28515625" style="121" customWidth="1"/>
    <col min="14101" max="14101" width="7.5703125" style="121" customWidth="1"/>
    <col min="14102" max="14102" width="3.28515625" style="121" customWidth="1"/>
    <col min="14103" max="14103" width="5.28515625" style="121" customWidth="1"/>
    <col min="14104" max="14104" width="23.42578125" style="121" customWidth="1"/>
    <col min="14105" max="14119" width="8.28515625" style="121"/>
    <col min="14120" max="14121" width="16.28515625" style="121" customWidth="1"/>
    <col min="14122" max="14122" width="18.7109375" style="121" customWidth="1"/>
    <col min="14123" max="14330" width="8.28515625" style="121"/>
    <col min="14331" max="14331" width="1.28515625" style="121" customWidth="1"/>
    <col min="14332" max="14339" width="7.7109375" style="121" customWidth="1"/>
    <col min="14340" max="14340" width="6.42578125" style="121" customWidth="1"/>
    <col min="14341" max="14341" width="9.28515625" style="121" customWidth="1"/>
    <col min="14342" max="14342" width="15.42578125" style="121" customWidth="1"/>
    <col min="14343" max="14346" width="6.42578125" style="121" customWidth="1"/>
    <col min="14347" max="14347" width="6" style="121" customWidth="1"/>
    <col min="14348" max="14348" width="6.42578125" style="121" customWidth="1"/>
    <col min="14349" max="14349" width="7.7109375" style="121" customWidth="1"/>
    <col min="14350" max="14350" width="9.5703125" style="121" customWidth="1"/>
    <col min="14351" max="14351" width="6.42578125" style="121" customWidth="1"/>
    <col min="14352" max="14352" width="8.42578125" style="121" customWidth="1"/>
    <col min="14353" max="14353" width="6.42578125" style="121" customWidth="1"/>
    <col min="14354" max="14354" width="12.42578125" style="121" customWidth="1"/>
    <col min="14355" max="14356" width="3.28515625" style="121" customWidth="1"/>
    <col min="14357" max="14357" width="7.5703125" style="121" customWidth="1"/>
    <col min="14358" max="14358" width="3.28515625" style="121" customWidth="1"/>
    <col min="14359" max="14359" width="5.28515625" style="121" customWidth="1"/>
    <col min="14360" max="14360" width="23.42578125" style="121" customWidth="1"/>
    <col min="14361" max="14375" width="8.28515625" style="121"/>
    <col min="14376" max="14377" width="16.28515625" style="121" customWidth="1"/>
    <col min="14378" max="14378" width="18.7109375" style="121" customWidth="1"/>
    <col min="14379" max="14586" width="8.28515625" style="121"/>
    <col min="14587" max="14587" width="1.28515625" style="121" customWidth="1"/>
    <col min="14588" max="14595" width="7.7109375" style="121" customWidth="1"/>
    <col min="14596" max="14596" width="6.42578125" style="121" customWidth="1"/>
    <col min="14597" max="14597" width="9.28515625" style="121" customWidth="1"/>
    <col min="14598" max="14598" width="15.42578125" style="121" customWidth="1"/>
    <col min="14599" max="14602" width="6.42578125" style="121" customWidth="1"/>
    <col min="14603" max="14603" width="6" style="121" customWidth="1"/>
    <col min="14604" max="14604" width="6.42578125" style="121" customWidth="1"/>
    <col min="14605" max="14605" width="7.7109375" style="121" customWidth="1"/>
    <col min="14606" max="14606" width="9.5703125" style="121" customWidth="1"/>
    <col min="14607" max="14607" width="6.42578125" style="121" customWidth="1"/>
    <col min="14608" max="14608" width="8.42578125" style="121" customWidth="1"/>
    <col min="14609" max="14609" width="6.42578125" style="121" customWidth="1"/>
    <col min="14610" max="14610" width="12.42578125" style="121" customWidth="1"/>
    <col min="14611" max="14612" width="3.28515625" style="121" customWidth="1"/>
    <col min="14613" max="14613" width="7.5703125" style="121" customWidth="1"/>
    <col min="14614" max="14614" width="3.28515625" style="121" customWidth="1"/>
    <col min="14615" max="14615" width="5.28515625" style="121" customWidth="1"/>
    <col min="14616" max="14616" width="23.42578125" style="121" customWidth="1"/>
    <col min="14617" max="14631" width="8.28515625" style="121"/>
    <col min="14632" max="14633" width="16.28515625" style="121" customWidth="1"/>
    <col min="14634" max="14634" width="18.7109375" style="121" customWidth="1"/>
    <col min="14635" max="14842" width="8.28515625" style="121"/>
    <col min="14843" max="14843" width="1.28515625" style="121" customWidth="1"/>
    <col min="14844" max="14851" width="7.7109375" style="121" customWidth="1"/>
    <col min="14852" max="14852" width="6.42578125" style="121" customWidth="1"/>
    <col min="14853" max="14853" width="9.28515625" style="121" customWidth="1"/>
    <col min="14854" max="14854" width="15.42578125" style="121" customWidth="1"/>
    <col min="14855" max="14858" width="6.42578125" style="121" customWidth="1"/>
    <col min="14859" max="14859" width="6" style="121" customWidth="1"/>
    <col min="14860" max="14860" width="6.42578125" style="121" customWidth="1"/>
    <col min="14861" max="14861" width="7.7109375" style="121" customWidth="1"/>
    <col min="14862" max="14862" width="9.5703125" style="121" customWidth="1"/>
    <col min="14863" max="14863" width="6.42578125" style="121" customWidth="1"/>
    <col min="14864" max="14864" width="8.42578125" style="121" customWidth="1"/>
    <col min="14865" max="14865" width="6.42578125" style="121" customWidth="1"/>
    <col min="14866" max="14866" width="12.42578125" style="121" customWidth="1"/>
    <col min="14867" max="14868" width="3.28515625" style="121" customWidth="1"/>
    <col min="14869" max="14869" width="7.5703125" style="121" customWidth="1"/>
    <col min="14870" max="14870" width="3.28515625" style="121" customWidth="1"/>
    <col min="14871" max="14871" width="5.28515625" style="121" customWidth="1"/>
    <col min="14872" max="14872" width="23.42578125" style="121" customWidth="1"/>
    <col min="14873" max="14887" width="8.28515625" style="121"/>
    <col min="14888" max="14889" width="16.28515625" style="121" customWidth="1"/>
    <col min="14890" max="14890" width="18.7109375" style="121" customWidth="1"/>
    <col min="14891" max="15098" width="8.28515625" style="121"/>
    <col min="15099" max="15099" width="1.28515625" style="121" customWidth="1"/>
    <col min="15100" max="15107" width="7.7109375" style="121" customWidth="1"/>
    <col min="15108" max="15108" width="6.42578125" style="121" customWidth="1"/>
    <col min="15109" max="15109" width="9.28515625" style="121" customWidth="1"/>
    <col min="15110" max="15110" width="15.42578125" style="121" customWidth="1"/>
    <col min="15111" max="15114" width="6.42578125" style="121" customWidth="1"/>
    <col min="15115" max="15115" width="6" style="121" customWidth="1"/>
    <col min="15116" max="15116" width="6.42578125" style="121" customWidth="1"/>
    <col min="15117" max="15117" width="7.7109375" style="121" customWidth="1"/>
    <col min="15118" max="15118" width="9.5703125" style="121" customWidth="1"/>
    <col min="15119" max="15119" width="6.42578125" style="121" customWidth="1"/>
    <col min="15120" max="15120" width="8.42578125" style="121" customWidth="1"/>
    <col min="15121" max="15121" width="6.42578125" style="121" customWidth="1"/>
    <col min="15122" max="15122" width="12.42578125" style="121" customWidth="1"/>
    <col min="15123" max="15124" width="3.28515625" style="121" customWidth="1"/>
    <col min="15125" max="15125" width="7.5703125" style="121" customWidth="1"/>
    <col min="15126" max="15126" width="3.28515625" style="121" customWidth="1"/>
    <col min="15127" max="15127" width="5.28515625" style="121" customWidth="1"/>
    <col min="15128" max="15128" width="23.42578125" style="121" customWidth="1"/>
    <col min="15129" max="15143" width="8.28515625" style="121"/>
    <col min="15144" max="15145" width="16.28515625" style="121" customWidth="1"/>
    <col min="15146" max="15146" width="18.7109375" style="121" customWidth="1"/>
    <col min="15147" max="15354" width="8.28515625" style="121"/>
    <col min="15355" max="15355" width="1.28515625" style="121" customWidth="1"/>
    <col min="15356" max="15363" width="7.7109375" style="121" customWidth="1"/>
    <col min="15364" max="15364" width="6.42578125" style="121" customWidth="1"/>
    <col min="15365" max="15365" width="9.28515625" style="121" customWidth="1"/>
    <col min="15366" max="15366" width="15.42578125" style="121" customWidth="1"/>
    <col min="15367" max="15370" width="6.42578125" style="121" customWidth="1"/>
    <col min="15371" max="15371" width="6" style="121" customWidth="1"/>
    <col min="15372" max="15372" width="6.42578125" style="121" customWidth="1"/>
    <col min="15373" max="15373" width="7.7109375" style="121" customWidth="1"/>
    <col min="15374" max="15374" width="9.5703125" style="121" customWidth="1"/>
    <col min="15375" max="15375" width="6.42578125" style="121" customWidth="1"/>
    <col min="15376" max="15376" width="8.42578125" style="121" customWidth="1"/>
    <col min="15377" max="15377" width="6.42578125" style="121" customWidth="1"/>
    <col min="15378" max="15378" width="12.42578125" style="121" customWidth="1"/>
    <col min="15379" max="15380" width="3.28515625" style="121" customWidth="1"/>
    <col min="15381" max="15381" width="7.5703125" style="121" customWidth="1"/>
    <col min="15382" max="15382" width="3.28515625" style="121" customWidth="1"/>
    <col min="15383" max="15383" width="5.28515625" style="121" customWidth="1"/>
    <col min="15384" max="15384" width="23.42578125" style="121" customWidth="1"/>
    <col min="15385" max="15399" width="8.28515625" style="121"/>
    <col min="15400" max="15401" width="16.28515625" style="121" customWidth="1"/>
    <col min="15402" max="15402" width="18.7109375" style="121" customWidth="1"/>
    <col min="15403" max="15610" width="8.28515625" style="121"/>
    <col min="15611" max="15611" width="1.28515625" style="121" customWidth="1"/>
    <col min="15612" max="15619" width="7.7109375" style="121" customWidth="1"/>
    <col min="15620" max="15620" width="6.42578125" style="121" customWidth="1"/>
    <col min="15621" max="15621" width="9.28515625" style="121" customWidth="1"/>
    <col min="15622" max="15622" width="15.42578125" style="121" customWidth="1"/>
    <col min="15623" max="15626" width="6.42578125" style="121" customWidth="1"/>
    <col min="15627" max="15627" width="6" style="121" customWidth="1"/>
    <col min="15628" max="15628" width="6.42578125" style="121" customWidth="1"/>
    <col min="15629" max="15629" width="7.7109375" style="121" customWidth="1"/>
    <col min="15630" max="15630" width="9.5703125" style="121" customWidth="1"/>
    <col min="15631" max="15631" width="6.42578125" style="121" customWidth="1"/>
    <col min="15632" max="15632" width="8.42578125" style="121" customWidth="1"/>
    <col min="15633" max="15633" width="6.42578125" style="121" customWidth="1"/>
    <col min="15634" max="15634" width="12.42578125" style="121" customWidth="1"/>
    <col min="15635" max="15636" width="3.28515625" style="121" customWidth="1"/>
    <col min="15637" max="15637" width="7.5703125" style="121" customWidth="1"/>
    <col min="15638" max="15638" width="3.28515625" style="121" customWidth="1"/>
    <col min="15639" max="15639" width="5.28515625" style="121" customWidth="1"/>
    <col min="15640" max="15640" width="23.42578125" style="121" customWidth="1"/>
    <col min="15641" max="15655" width="8.28515625" style="121"/>
    <col min="15656" max="15657" width="16.28515625" style="121" customWidth="1"/>
    <col min="15658" max="15658" width="18.7109375" style="121" customWidth="1"/>
    <col min="15659" max="15866" width="8.28515625" style="121"/>
    <col min="15867" max="15867" width="1.28515625" style="121" customWidth="1"/>
    <col min="15868" max="15875" width="7.7109375" style="121" customWidth="1"/>
    <col min="15876" max="15876" width="6.42578125" style="121" customWidth="1"/>
    <col min="15877" max="15877" width="9.28515625" style="121" customWidth="1"/>
    <col min="15878" max="15878" width="15.42578125" style="121" customWidth="1"/>
    <col min="15879" max="15882" width="6.42578125" style="121" customWidth="1"/>
    <col min="15883" max="15883" width="6" style="121" customWidth="1"/>
    <col min="15884" max="15884" width="6.42578125" style="121" customWidth="1"/>
    <col min="15885" max="15885" width="7.7109375" style="121" customWidth="1"/>
    <col min="15886" max="15886" width="9.5703125" style="121" customWidth="1"/>
    <col min="15887" max="15887" width="6.42578125" style="121" customWidth="1"/>
    <col min="15888" max="15888" width="8.42578125" style="121" customWidth="1"/>
    <col min="15889" max="15889" width="6.42578125" style="121" customWidth="1"/>
    <col min="15890" max="15890" width="12.42578125" style="121" customWidth="1"/>
    <col min="15891" max="15892" width="3.28515625" style="121" customWidth="1"/>
    <col min="15893" max="15893" width="7.5703125" style="121" customWidth="1"/>
    <col min="15894" max="15894" width="3.28515625" style="121" customWidth="1"/>
    <col min="15895" max="15895" width="5.28515625" style="121" customWidth="1"/>
    <col min="15896" max="15896" width="23.42578125" style="121" customWidth="1"/>
    <col min="15897" max="15911" width="8.28515625" style="121"/>
    <col min="15912" max="15913" width="16.28515625" style="121" customWidth="1"/>
    <col min="15914" max="15914" width="18.7109375" style="121" customWidth="1"/>
    <col min="15915" max="16122" width="8.28515625" style="121"/>
    <col min="16123" max="16123" width="1.28515625" style="121" customWidth="1"/>
    <col min="16124" max="16131" width="7.7109375" style="121" customWidth="1"/>
    <col min="16132" max="16132" width="6.42578125" style="121" customWidth="1"/>
    <col min="16133" max="16133" width="9.28515625" style="121" customWidth="1"/>
    <col min="16134" max="16134" width="15.42578125" style="121" customWidth="1"/>
    <col min="16135" max="16138" width="6.42578125" style="121" customWidth="1"/>
    <col min="16139" max="16139" width="6" style="121" customWidth="1"/>
    <col min="16140" max="16140" width="6.42578125" style="121" customWidth="1"/>
    <col min="16141" max="16141" width="7.7109375" style="121" customWidth="1"/>
    <col min="16142" max="16142" width="9.5703125" style="121" customWidth="1"/>
    <col min="16143" max="16143" width="6.42578125" style="121" customWidth="1"/>
    <col min="16144" max="16144" width="8.42578125" style="121" customWidth="1"/>
    <col min="16145" max="16145" width="6.42578125" style="121" customWidth="1"/>
    <col min="16146" max="16146" width="12.42578125" style="121" customWidth="1"/>
    <col min="16147" max="16148" width="3.28515625" style="121" customWidth="1"/>
    <col min="16149" max="16149" width="7.5703125" style="121" customWidth="1"/>
    <col min="16150" max="16150" width="3.28515625" style="121" customWidth="1"/>
    <col min="16151" max="16151" width="5.28515625" style="121" customWidth="1"/>
    <col min="16152" max="16152" width="23.42578125" style="121" customWidth="1"/>
    <col min="16153" max="16167" width="8.28515625" style="121"/>
    <col min="16168" max="16169" width="16.28515625" style="121" customWidth="1"/>
    <col min="16170" max="16170" width="18.7109375" style="121" customWidth="1"/>
    <col min="16171" max="16384" width="8.28515625" style="121"/>
  </cols>
  <sheetData>
    <row r="1" spans="1:48" ht="4.5" customHeight="1" thickBot="1" x14ac:dyDescent="0.25">
      <c r="L1" s="137"/>
      <c r="X1" s="108"/>
      <c r="Y1" s="108"/>
      <c r="Z1" s="108"/>
      <c r="AA1" s="108"/>
      <c r="AB1" s="108"/>
      <c r="AC1" s="108"/>
      <c r="AD1" s="108"/>
      <c r="AE1" s="108"/>
      <c r="AF1" s="108"/>
      <c r="AG1" s="108"/>
      <c r="AH1" s="108"/>
      <c r="AI1" s="108"/>
      <c r="AJ1" s="108"/>
      <c r="AK1" s="108"/>
      <c r="AL1" s="137"/>
      <c r="AM1" s="137"/>
      <c r="AN1" s="137"/>
      <c r="AO1" s="137"/>
      <c r="AP1" s="1121"/>
      <c r="AQ1" s="1121"/>
      <c r="AR1" s="1121"/>
      <c r="AS1" s="1121"/>
      <c r="AT1" s="1121"/>
      <c r="AU1" s="1121"/>
      <c r="AV1" s="1121"/>
    </row>
    <row r="2" spans="1:48" s="36" customFormat="1" ht="19.5" customHeight="1" thickBot="1" x14ac:dyDescent="0.25">
      <c r="A2" s="108"/>
      <c r="B2" s="1048" t="s">
        <v>4</v>
      </c>
      <c r="C2" s="1048"/>
      <c r="D2" s="1048"/>
      <c r="E2" s="886"/>
      <c r="F2" s="886"/>
      <c r="G2" s="886"/>
      <c r="H2" s="886"/>
      <c r="I2" s="886"/>
      <c r="J2" s="886"/>
      <c r="K2" s="886"/>
      <c r="L2" s="886"/>
      <c r="M2" s="108"/>
      <c r="N2" s="108"/>
      <c r="O2" s="108"/>
      <c r="P2" s="108"/>
      <c r="Q2" s="108"/>
      <c r="R2" s="108"/>
      <c r="S2" s="117">
        <v>3</v>
      </c>
      <c r="T2" s="108"/>
      <c r="U2" s="108"/>
      <c r="V2" s="108"/>
      <c r="W2" s="108"/>
      <c r="X2" s="108"/>
      <c r="Y2" s="108"/>
      <c r="Z2" s="108"/>
      <c r="AA2" s="108"/>
      <c r="AB2" s="108"/>
      <c r="AC2" s="108"/>
      <c r="AD2" s="108"/>
      <c r="AE2" s="108"/>
      <c r="AF2" s="108"/>
      <c r="AG2" s="108"/>
      <c r="AH2" s="108"/>
      <c r="AI2" s="108"/>
      <c r="AJ2" s="108"/>
      <c r="AK2" s="729" t="str">
        <f>ListAVS!$B$153</f>
        <v>Przejdź do</v>
      </c>
      <c r="AL2" s="108"/>
      <c r="AM2" s="108"/>
      <c r="AN2" s="108"/>
      <c r="AO2" s="108"/>
      <c r="AP2" s="108"/>
      <c r="AQ2" s="108"/>
      <c r="AR2" s="108"/>
      <c r="AS2" s="108"/>
      <c r="AT2" s="108"/>
      <c r="AU2" s="108"/>
      <c r="AV2" s="108"/>
    </row>
    <row r="3" spans="1:48" ht="3.75" customHeight="1" x14ac:dyDescent="0.2">
      <c r="B3" s="125"/>
      <c r="C3" s="126"/>
      <c r="D3" s="126"/>
      <c r="E3" s="126"/>
      <c r="F3" s="126"/>
      <c r="G3" s="126"/>
      <c r="H3" s="126"/>
      <c r="I3" s="126"/>
      <c r="J3" s="126"/>
      <c r="K3" s="126"/>
      <c r="L3" s="137"/>
      <c r="X3" s="137"/>
      <c r="Y3" s="137"/>
      <c r="Z3" s="137"/>
      <c r="AA3" s="137"/>
      <c r="AB3" s="137"/>
      <c r="AC3" s="137"/>
      <c r="AD3" s="137"/>
      <c r="AE3" s="137"/>
      <c r="AF3" s="137"/>
      <c r="AG3" s="137"/>
      <c r="AH3" s="137"/>
      <c r="AI3" s="137"/>
      <c r="AJ3" s="108"/>
      <c r="AK3" s="835"/>
      <c r="AL3" s="137"/>
      <c r="AM3" s="137"/>
      <c r="AN3" s="137"/>
      <c r="AO3" s="137"/>
      <c r="AP3" s="137"/>
      <c r="AQ3" s="137"/>
      <c r="AR3" s="137"/>
      <c r="AS3" s="137"/>
      <c r="AT3" s="137"/>
      <c r="AU3" s="137"/>
      <c r="AV3" s="137"/>
    </row>
    <row r="4" spans="1:48" ht="16.149999999999999" customHeight="1" thickBot="1" x14ac:dyDescent="0.25">
      <c r="B4" s="313" t="str">
        <f>ListAVS!$B$23&amp;" ***"</f>
        <v>Cienkie materiały ***</v>
      </c>
      <c r="C4" s="192"/>
      <c r="D4" s="266"/>
      <c r="E4" s="192"/>
      <c r="F4" s="269" t="str">
        <f>ListAVS!$B$26&amp;":  "</f>
        <v xml:space="preserve">Materiał :  </v>
      </c>
      <c r="G4" s="255"/>
      <c r="H4" s="255"/>
      <c r="I4" s="255"/>
      <c r="J4" s="260"/>
      <c r="K4" s="1047" t="str">
        <f>IF($Z$63=8,IF(J4=0,$Y$59," "),IF(J4&gt;0,$Y$60," "))</f>
        <v xml:space="preserve"> </v>
      </c>
      <c r="L4" s="1047"/>
      <c r="S4" s="37" t="str">
        <f>" "&amp;ListAVS!$B$41&amp;" A "</f>
        <v xml:space="preserve"> Cena za korpus A </v>
      </c>
      <c r="X4" s="137"/>
      <c r="Y4" s="137"/>
      <c r="Z4" s="137"/>
      <c r="AA4" s="137"/>
      <c r="AB4" s="137"/>
      <c r="AC4" s="137"/>
      <c r="AD4" s="137"/>
      <c r="AE4" s="137"/>
      <c r="AF4" s="137"/>
      <c r="AG4" s="137"/>
      <c r="AH4" s="137"/>
      <c r="AI4" s="137"/>
      <c r="AJ4" s="108"/>
      <c r="AK4" s="383" t="s">
        <v>77</v>
      </c>
      <c r="AL4" s="137"/>
      <c r="AM4" s="137"/>
      <c r="AN4" s="137"/>
      <c r="AO4" s="137"/>
      <c r="AP4" s="137"/>
      <c r="AQ4" s="137"/>
      <c r="AR4" s="137"/>
      <c r="AS4" s="137"/>
      <c r="AT4" s="137"/>
      <c r="AU4" s="137"/>
      <c r="AV4" s="137"/>
    </row>
    <row r="5" spans="1:48" ht="16.149999999999999" customHeight="1" x14ac:dyDescent="0.2">
      <c r="B5" s="266"/>
      <c r="C5" s="192"/>
      <c r="D5" s="192"/>
      <c r="E5" s="192"/>
      <c r="F5" s="1027" t="str">
        <f>IF($Z$64&lt;&gt;3,$Y$58," ")&amp;"      "</f>
        <v xml:space="preserve"> Możesz zmienić wartości we Wstępie do planowania      </v>
      </c>
      <c r="G5" s="1027"/>
      <c r="H5" s="1027"/>
      <c r="I5" s="1027"/>
      <c r="J5" s="1027"/>
      <c r="K5" s="1047"/>
      <c r="L5" s="1047"/>
      <c r="S5" s="37" t="str">
        <f>" "&amp;ListAVS!$B$41&amp;" B "</f>
        <v xml:space="preserve"> Cena za korpus B </v>
      </c>
      <c r="X5" s="137"/>
      <c r="Y5" s="137"/>
      <c r="Z5" s="137"/>
      <c r="AA5" s="137"/>
      <c r="AB5" s="137"/>
      <c r="AC5" s="137"/>
      <c r="AD5" s="137"/>
      <c r="AE5" s="137"/>
      <c r="AF5" s="137"/>
      <c r="AG5" s="137"/>
      <c r="AH5" s="137"/>
      <c r="AI5" s="137"/>
      <c r="AJ5" s="108"/>
      <c r="AK5" s="634" t="str">
        <f>" "&amp;ListAVS!$B$155</f>
        <v xml:space="preserve"> Pomoc</v>
      </c>
      <c r="AL5" s="137"/>
      <c r="AM5" s="137"/>
      <c r="AN5" s="137"/>
      <c r="AO5" s="137"/>
      <c r="AP5" s="137"/>
      <c r="AQ5" s="137"/>
      <c r="AR5" s="137"/>
      <c r="AS5" s="137"/>
      <c r="AT5" s="137"/>
      <c r="AU5" s="137"/>
      <c r="AV5" s="137"/>
    </row>
    <row r="6" spans="1:48" ht="25.15" customHeight="1" x14ac:dyDescent="0.2">
      <c r="B6" s="273"/>
      <c r="C6" s="192"/>
      <c r="D6" s="192"/>
      <c r="E6" s="192"/>
      <c r="F6" s="266"/>
      <c r="G6" s="266"/>
      <c r="H6" s="266"/>
      <c r="I6" s="192"/>
      <c r="J6" s="192"/>
      <c r="K6" s="192"/>
      <c r="L6" s="266"/>
      <c r="S6" s="37" t="str">
        <f>" "&amp;ListAVS!$B$61</f>
        <v xml:space="preserve"> Cena całkowita bez VAT</v>
      </c>
      <c r="X6" s="137"/>
      <c r="Y6" s="137"/>
      <c r="Z6" s="137"/>
      <c r="AA6" s="137"/>
      <c r="AB6" s="137"/>
      <c r="AC6" s="137"/>
      <c r="AD6" s="137"/>
      <c r="AE6" s="137"/>
      <c r="AF6" s="137"/>
      <c r="AG6" s="137"/>
      <c r="AH6" s="137"/>
      <c r="AI6" s="137"/>
      <c r="AJ6" s="108"/>
      <c r="AK6" s="730"/>
      <c r="AL6" s="137"/>
      <c r="AM6" s="137"/>
      <c r="AN6" s="137"/>
      <c r="AO6" s="137"/>
      <c r="AP6" s="137"/>
      <c r="AQ6" s="137"/>
      <c r="AR6" s="137"/>
      <c r="AS6" s="137"/>
      <c r="AT6" s="137"/>
      <c r="AU6" s="137"/>
      <c r="AV6" s="137"/>
    </row>
    <row r="7" spans="1:48" ht="16.149999999999999" customHeight="1" x14ac:dyDescent="0.2">
      <c r="B7" s="1059" t="str">
        <f>ListAVS!$B$51&amp;":   "</f>
        <v xml:space="preserve">Cena okucia:   </v>
      </c>
      <c r="C7" s="1060"/>
      <c r="D7" s="227"/>
      <c r="E7" s="404"/>
      <c r="F7" s="404"/>
      <c r="G7" s="1061">
        <f>IF(S2=1,$AF$46,IF($S$2=2,$AH$46,IF($S$2=3,$AD$46,0)))</f>
        <v>0</v>
      </c>
      <c r="H7" s="1062"/>
      <c r="I7" s="255"/>
      <c r="J7" s="255"/>
      <c r="K7" s="255"/>
      <c r="L7" s="255"/>
      <c r="X7" s="108"/>
      <c r="Y7" s="156" t="str">
        <f>$B$2</f>
        <v>AVENTOS HK-S</v>
      </c>
      <c r="Z7" s="157">
        <f>B5</f>
        <v>0</v>
      </c>
      <c r="AA7" s="157"/>
      <c r="AB7" s="157"/>
      <c r="AC7" s="157"/>
      <c r="AD7" s="158"/>
      <c r="AE7" s="37"/>
      <c r="AF7" s="37"/>
      <c r="AG7" s="118"/>
      <c r="AH7" s="37"/>
      <c r="AI7" s="108"/>
      <c r="AJ7" s="108"/>
      <c r="AK7" s="675" t="str">
        <f>" "&amp;ListAVS!$B$160</f>
        <v xml:space="preserve"> Dodatki</v>
      </c>
      <c r="AL7" s="137"/>
      <c r="AM7" s="137"/>
      <c r="AN7" s="137"/>
      <c r="AO7" s="137"/>
      <c r="AP7" s="137"/>
      <c r="AQ7" s="137"/>
      <c r="AR7" s="137"/>
      <c r="AS7" s="137"/>
      <c r="AT7" s="137"/>
      <c r="AU7" s="137"/>
      <c r="AV7" s="137"/>
    </row>
    <row r="8" spans="1:48" ht="22.5" customHeight="1" thickBot="1" x14ac:dyDescent="0.25">
      <c r="B8" s="227"/>
      <c r="C8" s="227"/>
      <c r="D8" s="227"/>
      <c r="E8" s="227"/>
      <c r="F8" s="227"/>
      <c r="G8" s="227"/>
      <c r="H8" s="227"/>
      <c r="I8" s="255"/>
      <c r="J8" s="255"/>
      <c r="K8" s="255"/>
      <c r="L8" s="255"/>
      <c r="X8" s="108"/>
      <c r="Y8" s="159" t="str">
        <f>ListAVS!B52</f>
        <v>Nazwa</v>
      </c>
      <c r="Z8" s="160" t="str">
        <f>ListAVS!$B$53</f>
        <v>Kod asortymentu</v>
      </c>
      <c r="AA8" s="161" t="str">
        <f>ListAVS!B54</f>
        <v>Kolor</v>
      </c>
      <c r="AB8" s="161" t="str">
        <f>ListAVS!B56</f>
        <v>Sztuka</v>
      </c>
      <c r="AC8" s="162" t="str">
        <f>ListAVS!B58</f>
        <v>Cena za sztukę</v>
      </c>
      <c r="AD8" s="161" t="str">
        <f>ListAVS!B59</f>
        <v>W sumie</v>
      </c>
      <c r="AE8" s="204" t="s">
        <v>29</v>
      </c>
      <c r="AF8" s="163" t="s">
        <v>30</v>
      </c>
      <c r="AG8" s="163" t="s">
        <v>31</v>
      </c>
      <c r="AH8" s="163" t="s">
        <v>30</v>
      </c>
      <c r="AI8" s="108"/>
      <c r="AJ8" s="108"/>
      <c r="AK8" s="671"/>
      <c r="AL8" s="137"/>
      <c r="AM8" s="137"/>
      <c r="AN8" s="137"/>
      <c r="AO8" s="137"/>
      <c r="AP8" s="1198" t="str">
        <f>"  "&amp;ListAVS!$B$86&amp;" LF "</f>
        <v xml:space="preserve">  Współczynnik mocy LF </v>
      </c>
      <c r="AQ8" s="1199"/>
      <c r="AR8" s="1193" t="str">
        <f>ListAVS!$B$84</f>
        <v>Mechanizm podnoszący</v>
      </c>
      <c r="AS8" s="404"/>
      <c r="AT8" s="404"/>
      <c r="AU8" s="137"/>
      <c r="AV8" s="137"/>
    </row>
    <row r="9" spans="1:48" ht="16.149999999999999" customHeight="1" thickBot="1" x14ac:dyDescent="0.25">
      <c r="B9" s="1051" t="str">
        <f>"▼ "&amp;ListAVS!$B$318</f>
        <v>▼ Sposób otwierania</v>
      </c>
      <c r="C9" s="1052"/>
      <c r="D9" s="406" t="str">
        <f>IF($M$17&gt;0, ListAVS!$B$37&amp;": ", " ")</f>
        <v xml:space="preserve"> </v>
      </c>
      <c r="E9" s="688" t="str">
        <f>IF(SUM(AE9:$AE$11)&gt;0, "B", IF(SUM(AE$12:AE$14)&gt;0, "C", IF(SUM(AE$15:AE$17)&gt;0, "E", IF(SUM(AE$19:AE$21)&gt;0, "B T", IF(SUM(AE$22:AE$24)&gt;0, "C T", IF(SUM(AE$25:AE$27)&gt;0, "E T",  " "))))))</f>
        <v xml:space="preserve"> </v>
      </c>
      <c r="F9" s="1056" t="str">
        <f>ListAVS!$B$64&amp;" A"</f>
        <v>Korpus A</v>
      </c>
      <c r="G9" s="1057"/>
      <c r="H9" s="1058"/>
      <c r="I9" s="273"/>
      <c r="J9" s="255"/>
      <c r="K9" s="255"/>
      <c r="L9" s="255"/>
      <c r="N9" s="119"/>
      <c r="O9" s="132"/>
      <c r="P9" s="119"/>
      <c r="Q9" s="132"/>
      <c r="R9" s="1194" t="s">
        <v>89</v>
      </c>
      <c r="S9" s="1195"/>
      <c r="T9" s="739"/>
      <c r="U9" s="740"/>
      <c r="V9" s="1195" t="s">
        <v>90</v>
      </c>
      <c r="W9" s="1196"/>
      <c r="X9" s="108"/>
      <c r="Y9" s="164" t="str">
        <f>CenAVS!A83</f>
        <v xml:space="preserve">Aventos HK-S słaby jasnoszary, zaślepka      </v>
      </c>
      <c r="Z9" s="164" t="str">
        <f>CenAVS!B83</f>
        <v>20K2B00.06</v>
      </c>
      <c r="AA9" s="301" t="str">
        <f>CenAVS!C83</f>
        <v>HGIG</v>
      </c>
      <c r="AB9" s="165">
        <f>SUM(AE9,AG9)</f>
        <v>0</v>
      </c>
      <c r="AC9" s="395">
        <f>CenAVS!F83</f>
        <v>76.927710000000005</v>
      </c>
      <c r="AD9" s="167">
        <f>AB9*AC9</f>
        <v>0</v>
      </c>
      <c r="AE9" s="407">
        <f>IF(AND($U$16=1,$T$44=1),ROUNDUP(SUM($O$11:$P$11)*$M$17,0),0)</f>
        <v>0</v>
      </c>
      <c r="AF9" s="168">
        <f t="shared" ref="AF9:AF27" si="0">$AC9*AE9</f>
        <v>0</v>
      </c>
      <c r="AG9" s="407">
        <f>IF(AND($U$27=1,$T$44=1),ROUNDUP(SUM($O$22:$P$22)*$M$28,0),0)</f>
        <v>0</v>
      </c>
      <c r="AH9" s="168">
        <f t="shared" ref="AH9:AH35" si="1">$AC9*AG9</f>
        <v>0</v>
      </c>
      <c r="AI9" s="108"/>
      <c r="AJ9" s="108"/>
      <c r="AK9" s="383" t="str">
        <f>" "&amp;ListAVS!$B$157</f>
        <v xml:space="preserve"> Rodzaje korpusów</v>
      </c>
      <c r="AL9" s="137"/>
      <c r="AM9" s="137"/>
      <c r="AN9" s="137"/>
      <c r="AO9" s="137"/>
      <c r="AP9" s="1200"/>
      <c r="AQ9" s="1201"/>
      <c r="AR9" s="1193"/>
      <c r="AS9" s="404"/>
      <c r="AT9" s="404"/>
      <c r="AU9" s="137"/>
      <c r="AV9" s="137"/>
    </row>
    <row r="10" spans="1:48" s="122" customFormat="1" ht="16.149999999999999" customHeight="1" thickBot="1" x14ac:dyDescent="0.25">
      <c r="A10" s="37"/>
      <c r="B10" s="1011" t="str">
        <f>ListAVS!$B$74&amp;" KB [mm] "</f>
        <v xml:space="preserve">Szerokość korpusu KB [mm] </v>
      </c>
      <c r="C10" s="1012"/>
      <c r="D10" s="1012"/>
      <c r="E10" s="1012"/>
      <c r="F10" s="1012"/>
      <c r="G10" s="1013"/>
      <c r="H10" s="257"/>
      <c r="I10" s="273" t="str">
        <f>IF($H10=0," ",IF($H10&lt;220," min. 220mm",IF($H10&gt;1800," max. 1 800mm"," ")))&amp;IF(H17&gt;0,IF(H10=0,"● "&amp;ListAVS!$B$129," ")," ")</f>
        <v xml:space="preserve">  </v>
      </c>
      <c r="J10" s="255"/>
      <c r="K10" s="255"/>
      <c r="L10" s="255"/>
      <c r="M10" s="37"/>
      <c r="N10" s="198" t="s">
        <v>32</v>
      </c>
      <c r="O10" s="199" t="s">
        <v>91</v>
      </c>
      <c r="P10" s="200" t="s">
        <v>92</v>
      </c>
      <c r="Q10" s="119"/>
      <c r="R10" s="741" t="s">
        <v>93</v>
      </c>
      <c r="S10" s="741" t="s">
        <v>76</v>
      </c>
      <c r="T10" s="742" t="s">
        <v>94</v>
      </c>
      <c r="U10" s="742" t="s">
        <v>95</v>
      </c>
      <c r="V10" s="1189" t="b">
        <v>0</v>
      </c>
      <c r="W10" s="1190"/>
      <c r="X10" s="108"/>
      <c r="Y10" s="164" t="str">
        <f>CenAVS!A84</f>
        <v xml:space="preserve">Aventos HK-S słaby, szary, nowa zaślepka     </v>
      </c>
      <c r="Z10" s="164" t="str">
        <f>CenAVS!B84</f>
        <v>20K2B00.06</v>
      </c>
      <c r="AA10" s="301" t="str">
        <f>CenAVS!C84</f>
        <v>TGIG</v>
      </c>
      <c r="AB10" s="165">
        <f t="shared" ref="AB10:AB35" si="2">SUM(AE10,AG10)</f>
        <v>0</v>
      </c>
      <c r="AC10" s="395">
        <f>CenAVS!F84</f>
        <v>79.448830000000001</v>
      </c>
      <c r="AD10" s="167">
        <f t="shared" ref="AD10:AD35" si="3">AB10*AC10</f>
        <v>0</v>
      </c>
      <c r="AE10" s="407">
        <f>IF(AND($U$16=1,$T$44=2),ROUNDUP(SUM($O$11:$P$11)*$M$17,0),0)</f>
        <v>0</v>
      </c>
      <c r="AF10" s="168">
        <f t="shared" si="0"/>
        <v>0</v>
      </c>
      <c r="AG10" s="407">
        <f>IF(AND($U$27=1,$T$44=2),ROUNDUP(SUM($O$22:$P$22)*$M$28,0),0)</f>
        <v>0</v>
      </c>
      <c r="AH10" s="168">
        <f t="shared" si="1"/>
        <v>0</v>
      </c>
      <c r="AI10" s="108"/>
      <c r="AJ10" s="108"/>
      <c r="AK10" s="383" t="str">
        <f>" "&amp;ListAVS!$B$158</f>
        <v xml:space="preserve"> Zamówienie</v>
      </c>
      <c r="AL10" s="137"/>
      <c r="AM10" s="137"/>
      <c r="AN10" s="137"/>
      <c r="AO10" s="137"/>
      <c r="AP10" s="1051" t="s">
        <v>109</v>
      </c>
      <c r="AQ10" s="1202"/>
      <c r="AR10" s="753" t="s">
        <v>110</v>
      </c>
      <c r="AS10" s="227"/>
      <c r="AT10" s="227"/>
      <c r="AU10" s="37"/>
      <c r="AV10" s="37"/>
    </row>
    <row r="11" spans="1:48" s="122" customFormat="1" ht="16.149999999999999" customHeight="1" x14ac:dyDescent="0.2">
      <c r="A11" s="37"/>
      <c r="B11" s="1011" t="str">
        <f>ListAVS!$B$75&amp;" KH [mm]  "</f>
        <v xml:space="preserve">Wysokość korpusu KH [mm]  </v>
      </c>
      <c r="C11" s="1012"/>
      <c r="D11" s="1012"/>
      <c r="E11" s="1012"/>
      <c r="F11" s="1012"/>
      <c r="G11" s="1013"/>
      <c r="H11" s="257"/>
      <c r="I11" s="273" t="str">
        <f>IF($H11=0," ",IF($H11&lt;190," min. 190mm",IF($H11&gt;600," max. 600 mm"," ")))&amp;IF(H17&gt;0,IF(H11=0,"● "&amp;ListAVS!$B$129," ")," ")</f>
        <v xml:space="preserve">  </v>
      </c>
      <c r="J11" s="255"/>
      <c r="K11" s="255"/>
      <c r="L11" s="255"/>
      <c r="M11" s="37"/>
      <c r="N11" s="119" t="s">
        <v>111</v>
      </c>
      <c r="O11" s="132">
        <f>IF($V$10=FALSE,IF($H$16&gt;R11,IF($H$16&lt;S11,1,0),0),0)</f>
        <v>0</v>
      </c>
      <c r="P11" s="206">
        <f>IF($V$10=TRUE,IF($H$16&gt;V11,IF($H$16&lt;W11,2,0),0),0)</f>
        <v>0</v>
      </c>
      <c r="Q11" s="119"/>
      <c r="R11" s="725">
        <v>219.99</v>
      </c>
      <c r="S11" s="725">
        <v>450</v>
      </c>
      <c r="T11" s="744"/>
      <c r="U11" s="119"/>
      <c r="V11" s="725">
        <v>329.99</v>
      </c>
      <c r="W11" s="725">
        <v>670</v>
      </c>
      <c r="X11" s="108"/>
      <c r="Y11" s="164" t="str">
        <f>CenAVS!A85</f>
        <v xml:space="preserve">Aventos HK-S słaby jedwabiście biały, zaślepka     </v>
      </c>
      <c r="Z11" s="164" t="str">
        <f>CenAVS!B85</f>
        <v>20K2B00.06</v>
      </c>
      <c r="AA11" s="301" t="str">
        <f>CenAVS!C85</f>
        <v>SWIG</v>
      </c>
      <c r="AB11" s="165">
        <f t="shared" si="2"/>
        <v>0</v>
      </c>
      <c r="AC11" s="395">
        <f>CenAVS!F85</f>
        <v>79.448830000000001</v>
      </c>
      <c r="AD11" s="167">
        <f t="shared" si="3"/>
        <v>0</v>
      </c>
      <c r="AE11" s="407">
        <f>IF(AND($U$16=1,$T$44=3),ROUNDUP(SUM($O$11:$P$11)*$M$17,0),0)</f>
        <v>0</v>
      </c>
      <c r="AF11" s="168">
        <f t="shared" si="0"/>
        <v>0</v>
      </c>
      <c r="AG11" s="407">
        <f>IF(AND($U$27=1,$T$44=3),ROUNDUP(SUM($O$22:$P$22)*$M$28,0),0)</f>
        <v>0</v>
      </c>
      <c r="AH11" s="168">
        <f t="shared" si="1"/>
        <v>0</v>
      </c>
      <c r="AI11" s="108"/>
      <c r="AJ11" s="108"/>
      <c r="AK11" s="255"/>
      <c r="AL11" s="137"/>
      <c r="AM11" s="137"/>
      <c r="AN11" s="137"/>
      <c r="AO11" s="137"/>
      <c r="AP11" s="1051" t="s">
        <v>112</v>
      </c>
      <c r="AQ11" s="1202"/>
      <c r="AR11" s="753" t="s">
        <v>113</v>
      </c>
      <c r="AS11" s="227"/>
      <c r="AT11" s="227"/>
      <c r="AU11" s="37"/>
      <c r="AV11" s="37"/>
    </row>
    <row r="12" spans="1:48" s="122" customFormat="1" ht="16.149999999999999" customHeight="1" x14ac:dyDescent="0.2">
      <c r="A12" s="37"/>
      <c r="B12" s="1011" t="str">
        <f>ListAVS!$B$78&amp;" [kg] ** "</f>
        <v xml:space="preserve">Waga frontu wraz z 2 uchwytami [kg] ** </v>
      </c>
      <c r="C12" s="1012"/>
      <c r="D12" s="1012"/>
      <c r="E12" s="1012"/>
      <c r="F12" s="1012"/>
      <c r="G12" s="1013"/>
      <c r="H12" s="258"/>
      <c r="I12" s="227" t="str">
        <f>IF($H17=0," ",IF(SUM($H12,$H15)=0,$N$36," "))&amp;IF($M17&gt;0,IF($H12&gt;0,$N$37," ")," ")</f>
        <v xml:space="preserve">  </v>
      </c>
      <c r="J12" s="255"/>
      <c r="K12" s="255"/>
      <c r="L12" s="255"/>
      <c r="M12" s="37"/>
      <c r="N12" s="119" t="s">
        <v>114</v>
      </c>
      <c r="O12" s="132">
        <f>IF($V$10=FALSE,IF($H$16&gt;R12,IF($H$16&lt;S12,1,0),0),0)</f>
        <v>0</v>
      </c>
      <c r="P12" s="132">
        <f>IF($V$10=TRUE,IF($H$16&gt;V12,IF($H$16&lt;W12,1.5,0),0),0)</f>
        <v>0</v>
      </c>
      <c r="Q12" s="119"/>
      <c r="R12" s="725">
        <v>449.99</v>
      </c>
      <c r="S12" s="725">
        <v>980</v>
      </c>
      <c r="T12" s="744"/>
      <c r="U12" s="119"/>
      <c r="V12" s="725">
        <v>669.99</v>
      </c>
      <c r="W12" s="725">
        <v>1470</v>
      </c>
      <c r="X12" s="108"/>
      <c r="Y12" s="164" t="str">
        <f>CenAVS!A86</f>
        <v xml:space="preserve">Aventos HK-S średni jasnoszary, zaślepka      </v>
      </c>
      <c r="Z12" s="164" t="str">
        <f>CenAVS!B86</f>
        <v>20K2C00.06</v>
      </c>
      <c r="AA12" s="301" t="str">
        <f>CenAVS!C86</f>
        <v>HGIG</v>
      </c>
      <c r="AB12" s="165">
        <f t="shared" si="2"/>
        <v>0</v>
      </c>
      <c r="AC12" s="395">
        <f>CenAVS!F86</f>
        <v>82.860640000000004</v>
      </c>
      <c r="AD12" s="167">
        <f t="shared" si="3"/>
        <v>0</v>
      </c>
      <c r="AE12" s="407">
        <f>IF(AND($U$16=1,$T$44=1),ROUNDUP(SUM($O$12:$P$12)*$M$17,0),0)</f>
        <v>0</v>
      </c>
      <c r="AF12" s="168">
        <f t="shared" si="0"/>
        <v>0</v>
      </c>
      <c r="AG12" s="407">
        <f>IF(AND($U$27=1,$T$44=1),ROUNDUP(SUM($O$23:$P$23)*$M$28,0),0)</f>
        <v>0</v>
      </c>
      <c r="AH12" s="168">
        <f t="shared" si="1"/>
        <v>0</v>
      </c>
      <c r="AI12" s="108"/>
      <c r="AJ12" s="108"/>
      <c r="AK12" s="720"/>
      <c r="AL12" s="137"/>
      <c r="AM12" s="137"/>
      <c r="AN12" s="137"/>
      <c r="AO12" s="137"/>
      <c r="AP12" s="1197" t="s">
        <v>115</v>
      </c>
      <c r="AQ12" s="1197"/>
      <c r="AR12" s="753" t="s">
        <v>116</v>
      </c>
      <c r="AS12" s="227"/>
      <c r="AT12" s="227"/>
      <c r="AU12" s="37"/>
      <c r="AV12" s="37"/>
    </row>
    <row r="13" spans="1:48" s="122" customFormat="1" ht="16.149999999999999" customHeight="1" x14ac:dyDescent="0.2">
      <c r="A13" s="37"/>
      <c r="B13" s="1055" t="str">
        <f>ListAVS!$B$293</f>
        <v>Obliczenie wagi</v>
      </c>
      <c r="C13" s="1055"/>
      <c r="D13" s="1053" t="str">
        <f>ListAVS!$B$80&amp;" TS [mm] "</f>
        <v xml:space="preserve">Grubość frontu TS [mm] </v>
      </c>
      <c r="E13" s="1053"/>
      <c r="F13" s="1053"/>
      <c r="G13" s="1054"/>
      <c r="H13" s="258"/>
      <c r="I13" s="256" t="str">
        <f>IF(H17=0," ",IF(AND(H12=0, H13=0)," ● "&amp;ListAVS!$B$129," "))&amp;IF(H17=0," ",IF(AND(H12=0, H13&lt;8), " min. 8 mm", " "))</f>
        <v xml:space="preserve">  </v>
      </c>
      <c r="J13" s="255"/>
      <c r="K13" s="255"/>
      <c r="L13" s="255"/>
      <c r="M13" s="37"/>
      <c r="N13" s="119" t="s">
        <v>117</v>
      </c>
      <c r="O13" s="132">
        <f>IF($V$10=FALSE,IF($H$16&gt;R13,IF($H$16&lt;S13,1,0),0),0)</f>
        <v>0</v>
      </c>
      <c r="P13" s="132">
        <f>IF($V$10=TRUE,IF($H$16&gt;V13,IF($H$16&lt;W13,1.5,0),0),0)</f>
        <v>0</v>
      </c>
      <c r="Q13" s="119"/>
      <c r="R13" s="725">
        <v>979.99</v>
      </c>
      <c r="S13" s="725">
        <v>2216</v>
      </c>
      <c r="T13" s="37"/>
      <c r="U13" s="37"/>
      <c r="V13" s="725">
        <v>1469.99</v>
      </c>
      <c r="W13" s="725">
        <v>3323</v>
      </c>
      <c r="X13" s="108"/>
      <c r="Y13" s="164" t="str">
        <f>CenAVS!A87</f>
        <v xml:space="preserve">Aventos HK-S średni, szary, zaślepka      </v>
      </c>
      <c r="Z13" s="164" t="str">
        <f>CenAVS!B87</f>
        <v>20K2C00.06</v>
      </c>
      <c r="AA13" s="301" t="str">
        <f>CenAVS!C87</f>
        <v>TGIG</v>
      </c>
      <c r="AB13" s="165">
        <f t="shared" si="2"/>
        <v>0</v>
      </c>
      <c r="AC13" s="395">
        <f>CenAVS!F87</f>
        <v>85.38176</v>
      </c>
      <c r="AD13" s="167">
        <f t="shared" si="3"/>
        <v>0</v>
      </c>
      <c r="AE13" s="407">
        <f>IF(AND($U$16=1,$T$44=2),ROUNDUP(SUM($O$12:$P$12)*$M$17,0),0)</f>
        <v>0</v>
      </c>
      <c r="AF13" s="168">
        <f t="shared" si="0"/>
        <v>0</v>
      </c>
      <c r="AG13" s="407">
        <f>IF(AND($U$27=1,$T$44=2),ROUNDUP(SUM($O$23:$P$23)*$M$28,0),0)</f>
        <v>0</v>
      </c>
      <c r="AH13" s="168">
        <f t="shared" si="1"/>
        <v>0</v>
      </c>
      <c r="AI13" s="108"/>
      <c r="AJ13" s="108"/>
      <c r="AK13" s="720"/>
      <c r="AL13" s="137"/>
      <c r="AM13" s="137"/>
      <c r="AN13" s="137"/>
      <c r="AO13" s="137"/>
      <c r="AP13" s="1203"/>
      <c r="AQ13" s="1203"/>
      <c r="AR13" s="268"/>
      <c r="AS13" s="227"/>
      <c r="AT13" s="227"/>
      <c r="AU13" s="37"/>
      <c r="AV13" s="37"/>
    </row>
    <row r="14" spans="1:48" s="122" customFormat="1" ht="16.149999999999999" customHeight="1" x14ac:dyDescent="0.2">
      <c r="A14" s="37"/>
      <c r="B14" s="1055"/>
      <c r="C14" s="1055"/>
      <c r="D14" s="1053" t="str">
        <f>ListAVS!$B$83&amp;" [kg] "</f>
        <v xml:space="preserve">Waga uchwytu [kg] </v>
      </c>
      <c r="E14" s="1053"/>
      <c r="F14" s="1053"/>
      <c r="G14" s="1054"/>
      <c r="H14" s="258"/>
      <c r="I14" s="256" t="str">
        <f>IF(H17=0, " ", IF(AND(H12=0, U16=1, H14=0), " ● "&amp;ListAVS!$B$130," "))</f>
        <v xml:space="preserve"> </v>
      </c>
      <c r="J14" s="255"/>
      <c r="K14" s="255"/>
      <c r="L14" s="255"/>
      <c r="M14" s="37"/>
      <c r="N14" s="119"/>
      <c r="O14" s="132"/>
      <c r="P14" s="132"/>
      <c r="Q14" s="119"/>
      <c r="R14" s="725"/>
      <c r="S14" s="725"/>
      <c r="T14" s="37"/>
      <c r="U14" s="37"/>
      <c r="V14" s="725"/>
      <c r="W14" s="725"/>
      <c r="X14" s="108"/>
      <c r="Y14" s="164" t="str">
        <f>CenAVS!A88</f>
        <v xml:space="preserve">Aventos HK-S średni jedwabiście biały, zaślepka     </v>
      </c>
      <c r="Z14" s="164" t="str">
        <f>CenAVS!B88</f>
        <v>20K2C00.06</v>
      </c>
      <c r="AA14" s="301" t="str">
        <f>CenAVS!C88</f>
        <v>SWIG</v>
      </c>
      <c r="AB14" s="165">
        <f t="shared" si="2"/>
        <v>0</v>
      </c>
      <c r="AC14" s="395">
        <f>CenAVS!F88</f>
        <v>85.38176</v>
      </c>
      <c r="AD14" s="167">
        <f t="shared" si="3"/>
        <v>0</v>
      </c>
      <c r="AE14" s="407">
        <f>IF(AND($U$16=1,$T$44=3),ROUNDUP(SUM($O$12:$P$12)*$M$17,0),0)</f>
        <v>0</v>
      </c>
      <c r="AF14" s="168">
        <f t="shared" si="0"/>
        <v>0</v>
      </c>
      <c r="AG14" s="407">
        <f>IF(AND($U$27=1,$T$44=3),ROUNDUP(SUM($O$23:$P$23)*$M$28,0),0)</f>
        <v>0</v>
      </c>
      <c r="AH14" s="168">
        <f t="shared" si="1"/>
        <v>0</v>
      </c>
      <c r="AI14" s="108"/>
      <c r="AJ14" s="108"/>
      <c r="AK14" s="720"/>
      <c r="AL14" s="137"/>
      <c r="AM14" s="137"/>
      <c r="AN14" s="137"/>
      <c r="AO14" s="137"/>
      <c r="AP14" s="1101" t="str">
        <f>ListAVS!$B$86&amp;" LF = "&amp;ListAVS!$B$75&amp;" KH [mm] x "&amp;ListAVS!$B$78&amp;" [kg]"</f>
        <v>Współczynnik mocy LF = Wysokość korpusu KH [mm] x Waga frontu wraz z 2 uchwytami [kg]</v>
      </c>
      <c r="AQ14" s="1101"/>
      <c r="AR14" s="1101"/>
      <c r="AS14" s="1101"/>
      <c r="AT14" s="1101"/>
      <c r="AU14" s="37"/>
      <c r="AV14" s="37"/>
    </row>
    <row r="15" spans="1:48" s="122" customFormat="1" ht="16.149999999999999" customHeight="1" x14ac:dyDescent="0.2">
      <c r="A15" s="37"/>
      <c r="B15" s="1055"/>
      <c r="C15" s="1055"/>
      <c r="D15" s="1053" t="str">
        <f>ListAVS!$B$79&amp;" [kg] "</f>
        <v xml:space="preserve">Obliczona waga frontu [kg] </v>
      </c>
      <c r="E15" s="1053"/>
      <c r="F15" s="1053"/>
      <c r="G15" s="1054"/>
      <c r="H15" s="259">
        <f>$T$71</f>
        <v>0</v>
      </c>
      <c r="I15" s="227" t="str">
        <f>IF(AND($H17&gt;0,$H15&gt;0,$H12=0,$M17&gt;0), $N$37," ")&amp;IF(AND(H17&gt;0, H12=0, Z63=8, $J$4=0), $N$35, " ")</f>
        <v xml:space="preserve">  </v>
      </c>
      <c r="J15" s="255"/>
      <c r="K15" s="255"/>
      <c r="L15" s="255"/>
      <c r="M15" s="37"/>
      <c r="N15" s="37"/>
      <c r="O15" s="37"/>
      <c r="P15" s="37"/>
      <c r="Q15" s="37"/>
      <c r="R15" s="37"/>
      <c r="S15" s="37"/>
      <c r="T15" s="754"/>
      <c r="U15" s="755" t="str">
        <f>IF(U16=1,$V$46,IF(U16=2,$V$47,$V$48))</f>
        <v>Standard</v>
      </c>
      <c r="V15" s="37"/>
      <c r="W15" s="37"/>
      <c r="X15" s="108"/>
      <c r="Y15" s="164" t="str">
        <f>CenAVS!A89</f>
        <v xml:space="preserve">Aventos HK-S mocny jasnoszary, zaślepka      </v>
      </c>
      <c r="Z15" s="164" t="str">
        <f>CenAVS!B89</f>
        <v>20K2E00.06</v>
      </c>
      <c r="AA15" s="301" t="str">
        <f>CenAVS!C89</f>
        <v>HGIG</v>
      </c>
      <c r="AB15" s="165">
        <f t="shared" si="2"/>
        <v>0</v>
      </c>
      <c r="AC15" s="395">
        <f>CenAVS!F89</f>
        <v>82.860640000000004</v>
      </c>
      <c r="AD15" s="167">
        <f t="shared" si="3"/>
        <v>0</v>
      </c>
      <c r="AE15" s="407">
        <f>IF(AND($U$16=1,$T$44=1),ROUNDUP(SUM($O$13:$P$13)*$M$17,0),0)</f>
        <v>0</v>
      </c>
      <c r="AF15" s="168">
        <f t="shared" si="0"/>
        <v>0</v>
      </c>
      <c r="AG15" s="407">
        <f>IF(AND($U$27=1,$T$44=1),ROUNDUP(SUM($O$24:$P$24)*$M$28,0),0)</f>
        <v>0</v>
      </c>
      <c r="AH15" s="168">
        <f t="shared" si="1"/>
        <v>0</v>
      </c>
      <c r="AI15" s="108"/>
      <c r="AJ15" s="108"/>
      <c r="AK15" s="255"/>
      <c r="AL15" s="137"/>
      <c r="AM15" s="137"/>
      <c r="AN15" s="137"/>
      <c r="AO15" s="137"/>
      <c r="AP15" s="1101"/>
      <c r="AQ15" s="1101"/>
      <c r="AR15" s="1101"/>
      <c r="AS15" s="1101"/>
      <c r="AT15" s="1101"/>
      <c r="AU15" s="37"/>
      <c r="AV15" s="37"/>
    </row>
    <row r="16" spans="1:48" s="122" customFormat="1" ht="16.149999999999999" customHeight="1" thickBot="1" x14ac:dyDescent="0.25">
      <c r="A16" s="37"/>
      <c r="B16" s="1011" t="str">
        <f>ListAVS!$B$87&amp;" *      "</f>
        <v xml:space="preserve">Trzeci podnośnik *      </v>
      </c>
      <c r="C16" s="1012"/>
      <c r="D16" s="1011" t="str">
        <f>ListAVS!$B$86&amp;" LF "</f>
        <v xml:space="preserve">Współczynnik mocy LF </v>
      </c>
      <c r="E16" s="1012"/>
      <c r="F16" s="1012"/>
      <c r="G16" s="1013"/>
      <c r="H16" s="400">
        <f>IF(H12&gt;0,H11*H12,H11*H15)</f>
        <v>0</v>
      </c>
      <c r="I16" s="256" t="str">
        <f>IF(AND($H16&gt;0, $H16&lt;220), $N$39, IF($H16&gt;3322.5, $N$40, IF($H16&gt;2215.5, IF(V10=FALSE, $N$41, " ")," ")))</f>
        <v xml:space="preserve"> </v>
      </c>
      <c r="J16" s="255"/>
      <c r="K16" s="255"/>
      <c r="L16" s="255"/>
      <c r="M16" s="118"/>
      <c r="N16" s="119"/>
      <c r="O16" s="132"/>
      <c r="P16" s="132"/>
      <c r="Q16" s="119"/>
      <c r="R16" s="725"/>
      <c r="S16" s="725"/>
      <c r="T16" s="756"/>
      <c r="U16" s="207">
        <v>1</v>
      </c>
      <c r="V16" s="725"/>
      <c r="W16" s="725"/>
      <c r="X16" s="108"/>
      <c r="Y16" s="164" t="str">
        <f>CenAVS!A90</f>
        <v xml:space="preserve">Aventos HK-S mocny, szary, nowa zaślepka     </v>
      </c>
      <c r="Z16" s="164" t="str">
        <f>CenAVS!B90</f>
        <v>20K2E00.06</v>
      </c>
      <c r="AA16" s="301" t="str">
        <f>CenAVS!C90</f>
        <v>TGIG</v>
      </c>
      <c r="AB16" s="165">
        <f t="shared" si="2"/>
        <v>0</v>
      </c>
      <c r="AC16" s="395">
        <f>CenAVS!F90</f>
        <v>85.38176</v>
      </c>
      <c r="AD16" s="167">
        <f t="shared" si="3"/>
        <v>0</v>
      </c>
      <c r="AE16" s="407">
        <f>IF(AND($U$16=1,$T$44=2),ROUNDUP(SUM($O$13:$P$13)*$M$17,0),0)</f>
        <v>0</v>
      </c>
      <c r="AF16" s="168">
        <f t="shared" si="0"/>
        <v>0</v>
      </c>
      <c r="AG16" s="407">
        <f>IF(AND($U$27=1,$T$44=2),ROUNDUP(SUM($O$24:$P$24)*$M$28,0),0)</f>
        <v>0</v>
      </c>
      <c r="AH16" s="168">
        <f t="shared" si="1"/>
        <v>0</v>
      </c>
      <c r="AI16" s="108"/>
      <c r="AJ16" s="108"/>
      <c r="AK16" s="255"/>
      <c r="AL16" s="137"/>
      <c r="AM16" s="137"/>
      <c r="AN16" s="137"/>
      <c r="AO16" s="137"/>
      <c r="AP16" s="1101" t="str">
        <f>ListAVS!$B$355</f>
        <v>W razie wykorzystania trzeciego siłownika współczynnik mocy oraz waga frontu mogą się zwiększyć o 50 %.</v>
      </c>
      <c r="AQ16" s="1101"/>
      <c r="AR16" s="1101"/>
      <c r="AS16" s="1101"/>
      <c r="AT16" s="1101"/>
      <c r="AU16" s="37"/>
      <c r="AV16" s="37"/>
    </row>
    <row r="17" spans="1:49" s="122" customFormat="1" ht="16.149999999999999" customHeight="1" thickBot="1" x14ac:dyDescent="0.25">
      <c r="A17" s="37"/>
      <c r="B17" s="1011" t="str">
        <f>ListAVS!$B$71&amp;"  "</f>
        <v xml:space="preserve">Ilość szafek  </v>
      </c>
      <c r="C17" s="1012"/>
      <c r="D17" s="1012"/>
      <c r="E17" s="1012"/>
      <c r="F17" s="1012"/>
      <c r="G17" s="1012"/>
      <c r="H17" s="261"/>
      <c r="I17" s="273" t="str">
        <f>IF($H16&gt;3322.5," ",IF($H16&gt;2215.5,IF(V10=FALSE,$N$42," ")," "))</f>
        <v xml:space="preserve"> </v>
      </c>
      <c r="J17" s="255"/>
      <c r="K17" s="255"/>
      <c r="L17" s="255"/>
      <c r="M17" s="315">
        <f>IF($H10*$H11*$T17=0,0,IF($H11&lt;190,0,IF(H16&lt;220,0,IF($H16&gt;3322,0,IF(AND($H12=0,$H13&lt;8),0,IF(H16&gt;2215,IF(V10=FALSE,0,$H17),$H17))))))</f>
        <v>0</v>
      </c>
      <c r="N17" s="130"/>
      <c r="O17" s="132"/>
      <c r="P17" s="132"/>
      <c r="Q17" s="119"/>
      <c r="R17" s="725"/>
      <c r="S17" s="690" t="s">
        <v>51</v>
      </c>
      <c r="T17" s="757">
        <f>IF(H12&gt;0,H12,H15)</f>
        <v>0</v>
      </c>
      <c r="U17" s="37">
        <f>IF(SUM(H12,H15)=0,0,IF(H12&gt;0,1,2))</f>
        <v>0</v>
      </c>
      <c r="V17" s="571" t="s">
        <v>52</v>
      </c>
      <c r="W17" s="37"/>
      <c r="X17" s="108"/>
      <c r="Y17" s="164" t="str">
        <f>CenAVS!A91</f>
        <v xml:space="preserve">Aventos HK-S mocny jedwabiście biały      </v>
      </c>
      <c r="Z17" s="164" t="str">
        <f>CenAVS!B91</f>
        <v>20K2E00.06</v>
      </c>
      <c r="AA17" s="301" t="str">
        <f>CenAVS!C91</f>
        <v>SWIG</v>
      </c>
      <c r="AB17" s="165">
        <f t="shared" si="2"/>
        <v>0</v>
      </c>
      <c r="AC17" s="395">
        <f>CenAVS!F91</f>
        <v>85.38176</v>
      </c>
      <c r="AD17" s="167">
        <f t="shared" si="3"/>
        <v>0</v>
      </c>
      <c r="AE17" s="407">
        <f>IF(AND($U$16=1,$T$44=3),ROUNDUP(SUM($O$13:$P$13)*$M$17,0),0)</f>
        <v>0</v>
      </c>
      <c r="AF17" s="168">
        <f t="shared" si="0"/>
        <v>0</v>
      </c>
      <c r="AG17" s="407">
        <f>IF(AND($U$27=1,$T$44=3),ROUNDUP(SUM($O$24:$P$24)*$M$28,0),0)</f>
        <v>0</v>
      </c>
      <c r="AH17" s="168">
        <f t="shared" si="1"/>
        <v>0</v>
      </c>
      <c r="AI17" s="108"/>
      <c r="AJ17" s="108"/>
      <c r="AK17" s="719"/>
      <c r="AL17" s="137"/>
      <c r="AM17" s="137"/>
      <c r="AN17" s="137"/>
      <c r="AO17" s="137"/>
      <c r="AP17" s="1101"/>
      <c r="AQ17" s="1101"/>
      <c r="AR17" s="1101"/>
      <c r="AS17" s="1101"/>
      <c r="AT17" s="1101"/>
      <c r="AU17" s="37"/>
      <c r="AV17" s="37"/>
    </row>
    <row r="18" spans="1:49" s="122" customFormat="1" ht="16.149999999999999" customHeight="1" x14ac:dyDescent="0.2">
      <c r="A18" s="37"/>
      <c r="B18" s="227" t="str">
        <f>IF(M17&gt;0,IF(U17=0," ",IF(U17=1,$N$49,$N$50))," ")&amp;IF(M17&gt;0,IF(U17=0," ",IF(U17=1,$N$51,$N$52))," ")</f>
        <v xml:space="preserve">  </v>
      </c>
      <c r="C18" s="227"/>
      <c r="D18" s="227"/>
      <c r="E18" s="227"/>
      <c r="F18" s="262"/>
      <c r="G18" s="262"/>
      <c r="H18" s="227"/>
      <c r="I18" s="255"/>
      <c r="J18" s="255"/>
      <c r="K18" s="255"/>
      <c r="L18" s="255"/>
      <c r="M18" s="118"/>
      <c r="N18" s="119"/>
      <c r="O18" s="132"/>
      <c r="P18" s="132"/>
      <c r="Q18" s="119"/>
      <c r="R18" s="725"/>
      <c r="S18" s="725"/>
      <c r="T18" s="119"/>
      <c r="U18" s="151"/>
      <c r="V18" s="725"/>
      <c r="W18" s="725"/>
      <c r="X18" s="108"/>
      <c r="Y18" s="164" t="str">
        <f>CenAVS!A92</f>
        <v xml:space="preserve">          </v>
      </c>
      <c r="Z18" s="164">
        <f>CenAVS!B92</f>
        <v>0</v>
      </c>
      <c r="AA18" s="301">
        <f>CenAVS!C92</f>
        <v>0</v>
      </c>
      <c r="AB18" s="165">
        <f t="shared" si="2"/>
        <v>0</v>
      </c>
      <c r="AC18" s="395">
        <f>CenAVS!F92</f>
        <v>0</v>
      </c>
      <c r="AD18" s="167">
        <f t="shared" si="3"/>
        <v>0</v>
      </c>
      <c r="AE18" s="407"/>
      <c r="AF18" s="168">
        <f t="shared" si="0"/>
        <v>0</v>
      </c>
      <c r="AG18" s="407"/>
      <c r="AH18" s="168">
        <f t="shared" si="1"/>
        <v>0</v>
      </c>
      <c r="AI18" s="108"/>
      <c r="AJ18" s="108"/>
      <c r="AK18" s="255"/>
      <c r="AL18" s="137"/>
      <c r="AM18" s="137"/>
      <c r="AN18" s="137"/>
      <c r="AO18" s="137"/>
      <c r="AP18" s="227"/>
      <c r="AQ18" s="227"/>
      <c r="AR18" s="227"/>
      <c r="AS18" s="227"/>
      <c r="AT18" s="227"/>
      <c r="AU18" s="37"/>
      <c r="AV18" s="37"/>
    </row>
    <row r="19" spans="1:49" s="122" customFormat="1" ht="25.15" customHeight="1" thickBot="1" x14ac:dyDescent="0.25">
      <c r="A19" s="37"/>
      <c r="B19" s="227"/>
      <c r="C19" s="227"/>
      <c r="D19" s="227"/>
      <c r="E19" s="227"/>
      <c r="F19" s="262"/>
      <c r="G19" s="262"/>
      <c r="H19" s="227"/>
      <c r="I19" s="255"/>
      <c r="J19" s="255"/>
      <c r="K19" s="255"/>
      <c r="L19" s="255"/>
      <c r="M19" s="118"/>
      <c r="N19" s="119"/>
      <c r="O19" s="132"/>
      <c r="P19" s="132"/>
      <c r="Q19" s="119"/>
      <c r="R19" s="725"/>
      <c r="S19" s="725"/>
      <c r="T19" s="119"/>
      <c r="U19" s="151"/>
      <c r="V19" s="725"/>
      <c r="W19" s="725"/>
      <c r="X19" s="108"/>
      <c r="Y19" s="164" t="str">
        <f>CenAVS!A93</f>
        <v xml:space="preserve">Aventos HK-S Tip-on słaby jasnoszary bez Tip-on krytka   </v>
      </c>
      <c r="Z19" s="164" t="str">
        <f>CenAVS!B93</f>
        <v>20K2B00T06</v>
      </c>
      <c r="AA19" s="301" t="str">
        <f>CenAVS!C93</f>
        <v>HGIG</v>
      </c>
      <c r="AB19" s="165">
        <f t="shared" si="2"/>
        <v>0</v>
      </c>
      <c r="AC19" s="395">
        <f>CenAVS!F93</f>
        <v>77.645600000000002</v>
      </c>
      <c r="AD19" s="167">
        <f t="shared" si="3"/>
        <v>0</v>
      </c>
      <c r="AE19" s="407">
        <f>IF(AND($U$16=2,$T$44=1),ROUNDUP(SUM($O$11:$P$11)*$M$17,0),0)</f>
        <v>0</v>
      </c>
      <c r="AF19" s="168">
        <f t="shared" si="0"/>
        <v>0</v>
      </c>
      <c r="AG19" s="407">
        <f>IF(AND($U$27=2,$T$44=1),ROUNDUP(SUM($O$22:$P$22)*$M$28,0),0)</f>
        <v>0</v>
      </c>
      <c r="AH19" s="168">
        <f t="shared" si="1"/>
        <v>0</v>
      </c>
      <c r="AI19" s="108"/>
      <c r="AJ19" s="108"/>
      <c r="AK19" s="255"/>
      <c r="AL19" s="137"/>
      <c r="AM19" s="137"/>
      <c r="AN19" s="137"/>
      <c r="AO19" s="137"/>
      <c r="AP19" s="227"/>
      <c r="AQ19" s="227"/>
      <c r="AR19" s="227"/>
      <c r="AS19" s="227"/>
      <c r="AT19" s="227"/>
      <c r="AU19" s="37"/>
      <c r="AV19" s="37"/>
    </row>
    <row r="20" spans="1:49" s="122" customFormat="1" ht="16.149999999999999" customHeight="1" thickBot="1" x14ac:dyDescent="0.25">
      <c r="A20" s="37"/>
      <c r="B20" s="1051" t="str">
        <f>"▼ "&amp;ListAVS!$B$318</f>
        <v>▼ Sposób otwierania</v>
      </c>
      <c r="C20" s="1052"/>
      <c r="D20" s="406" t="str">
        <f>IF($M$28&gt;0, ListAVS!$B$37&amp;": ", " ")</f>
        <v xml:space="preserve"> </v>
      </c>
      <c r="E20" s="688" t="str">
        <f>IF(SUM(AG$9:AG$11)&gt;0, "B", IF(SUM(AG$12:AG$14)&gt;0, "C", IF(SUM(AG$15:AG$17)&gt;0, "E", IF(SUM(AG$19:AG$21)&gt;0, "B T", IF(SUM(AG$22:AG$24)&gt;0, "C T", IF(SUM(AG$25:AG$27)&gt;0, "E T",  " "))))))</f>
        <v xml:space="preserve"> </v>
      </c>
      <c r="F20" s="1056" t="str">
        <f>ListAVS!$B$64&amp;" B"</f>
        <v>Korpus B</v>
      </c>
      <c r="G20" s="1057"/>
      <c r="H20" s="1058"/>
      <c r="I20" s="273"/>
      <c r="J20" s="255"/>
      <c r="K20" s="255"/>
      <c r="L20" s="255"/>
      <c r="M20" s="37"/>
      <c r="N20" s="119"/>
      <c r="O20" s="132"/>
      <c r="P20" s="119"/>
      <c r="Q20" s="132"/>
      <c r="R20" s="1194" t="s">
        <v>89</v>
      </c>
      <c r="S20" s="1195"/>
      <c r="T20" s="739"/>
      <c r="U20" s="740"/>
      <c r="V20" s="1195" t="s">
        <v>90</v>
      </c>
      <c r="W20" s="1196"/>
      <c r="X20" s="108"/>
      <c r="Y20" s="164" t="str">
        <f>CenAVS!A94</f>
        <v xml:space="preserve">Aventos HK-S Tip-on słaby ciemnoszary bez Tip-on zaślepka   </v>
      </c>
      <c r="Z20" s="164" t="str">
        <f>CenAVS!B94</f>
        <v>20K2B00T06</v>
      </c>
      <c r="AA20" s="301" t="str">
        <f>CenAVS!C94</f>
        <v>TGIG</v>
      </c>
      <c r="AB20" s="165">
        <f t="shared" si="2"/>
        <v>0</v>
      </c>
      <c r="AC20" s="395">
        <f>CenAVS!F94</f>
        <v>80.166719999999998</v>
      </c>
      <c r="AD20" s="167">
        <f t="shared" si="3"/>
        <v>0</v>
      </c>
      <c r="AE20" s="407">
        <f>IF(AND($U$16=2,$T$44=2),ROUNDUP(SUM($O$11:$P$11)*$M$17,0),0)</f>
        <v>0</v>
      </c>
      <c r="AF20" s="168">
        <f t="shared" si="0"/>
        <v>0</v>
      </c>
      <c r="AG20" s="407">
        <f>IF(AND($U$27=2,$T$44=2),ROUNDUP(SUM($O$22:$P$22)*$M$28,0),0)</f>
        <v>0</v>
      </c>
      <c r="AH20" s="168">
        <f t="shared" si="1"/>
        <v>0</v>
      </c>
      <c r="AI20" s="108"/>
      <c r="AJ20" s="108"/>
      <c r="AK20" s="255"/>
      <c r="AL20" s="137"/>
      <c r="AM20" s="137"/>
      <c r="AN20" s="137"/>
      <c r="AO20" s="137"/>
      <c r="AP20" s="227"/>
      <c r="AQ20" s="227"/>
      <c r="AR20" s="227"/>
      <c r="AS20" s="227"/>
      <c r="AT20" s="227"/>
      <c r="AU20" s="37"/>
      <c r="AV20" s="37"/>
    </row>
    <row r="21" spans="1:49" s="122" customFormat="1" ht="16.149999999999999" customHeight="1" x14ac:dyDescent="0.2">
      <c r="A21" s="37"/>
      <c r="B21" s="1011" t="str">
        <f>ListAVS!$B$74&amp;" KB [mm] "</f>
        <v xml:space="preserve">Szerokość korpusu KB [mm] </v>
      </c>
      <c r="C21" s="1012"/>
      <c r="D21" s="1012"/>
      <c r="E21" s="1012"/>
      <c r="F21" s="1012"/>
      <c r="G21" s="1013"/>
      <c r="H21" s="257"/>
      <c r="I21" s="273" t="str">
        <f>IF($H21=0," ",IF($H21&lt;220," min. 220mm",IF($H21&gt;1800," max. 1 800mm"," ")))&amp;IF(H28&gt;0,IF(H21=0,"● "&amp;ListAVS!$B$129," ")," ")</f>
        <v xml:space="preserve">  </v>
      </c>
      <c r="J21" s="255"/>
      <c r="K21" s="255"/>
      <c r="L21" s="255"/>
      <c r="M21" s="37"/>
      <c r="N21" s="198" t="s">
        <v>32</v>
      </c>
      <c r="O21" s="199" t="s">
        <v>91</v>
      </c>
      <c r="P21" s="200" t="s">
        <v>92</v>
      </c>
      <c r="Q21" s="119"/>
      <c r="R21" s="741" t="s">
        <v>93</v>
      </c>
      <c r="S21" s="741" t="s">
        <v>76</v>
      </c>
      <c r="T21" s="742" t="s">
        <v>94</v>
      </c>
      <c r="U21" s="742" t="s">
        <v>95</v>
      </c>
      <c r="V21" s="1189" t="b">
        <v>0</v>
      </c>
      <c r="W21" s="1190"/>
      <c r="X21" s="108"/>
      <c r="Y21" s="164" t="str">
        <f>CenAVS!A95</f>
        <v xml:space="preserve">Aventos HK-S Tip-on słaby jedwabiście biały     </v>
      </c>
      <c r="Z21" s="164" t="str">
        <f>CenAVS!B95</f>
        <v>20K2B00T06</v>
      </c>
      <c r="AA21" s="301" t="str">
        <f>CenAVS!C95</f>
        <v>SWIG</v>
      </c>
      <c r="AB21" s="165">
        <f t="shared" si="2"/>
        <v>0</v>
      </c>
      <c r="AC21" s="395">
        <f>CenAVS!F95</f>
        <v>80.166719999999998</v>
      </c>
      <c r="AD21" s="167">
        <f t="shared" si="3"/>
        <v>0</v>
      </c>
      <c r="AE21" s="407">
        <f>IF(AND($U$16=2,$T$44=3),ROUNDUP(SUM($O$11:$P$11)*$M$17,0),0)</f>
        <v>0</v>
      </c>
      <c r="AF21" s="168">
        <f t="shared" si="0"/>
        <v>0</v>
      </c>
      <c r="AG21" s="407">
        <f>IF(AND($U$27=2,$T$44=3),ROUNDUP(SUM($O$22:$P$22)*$M$28,0),0)</f>
        <v>0</v>
      </c>
      <c r="AH21" s="168">
        <f t="shared" si="1"/>
        <v>0</v>
      </c>
      <c r="AI21" s="108"/>
      <c r="AJ21" s="108"/>
      <c r="AK21" s="255"/>
      <c r="AL21" s="137"/>
      <c r="AM21" s="137"/>
      <c r="AN21" s="137"/>
      <c r="AO21" s="137"/>
      <c r="AP21" s="227"/>
      <c r="AQ21" s="227"/>
      <c r="AR21" s="227"/>
      <c r="AS21" s="227"/>
      <c r="AT21" s="227"/>
      <c r="AU21" s="37"/>
      <c r="AV21" s="37"/>
    </row>
    <row r="22" spans="1:49" s="122" customFormat="1" ht="16.149999999999999" customHeight="1" x14ac:dyDescent="0.2">
      <c r="A22" s="37"/>
      <c r="B22" s="1011" t="str">
        <f>ListAVS!$B$75&amp;" KH [mm] "</f>
        <v xml:space="preserve">Wysokość korpusu KH [mm] </v>
      </c>
      <c r="C22" s="1012"/>
      <c r="D22" s="1012"/>
      <c r="E22" s="1012"/>
      <c r="F22" s="1012"/>
      <c r="G22" s="1013"/>
      <c r="H22" s="257"/>
      <c r="I22" s="273" t="str">
        <f>IF($H22=0," ",IF($H22&lt;190," min. 190mm",IF($H22&gt;600," max. 600 mm"," ")))&amp;IF(H28&gt;0,IF(H22=0,"● "&amp;ListAVS!$B$129," ")," ")</f>
        <v xml:space="preserve">  </v>
      </c>
      <c r="J22" s="255"/>
      <c r="K22" s="255"/>
      <c r="L22" s="255"/>
      <c r="M22" s="37"/>
      <c r="N22" s="119" t="s">
        <v>111</v>
      </c>
      <c r="O22" s="132">
        <f>IF($V$21=FALSE,IF($H$27&gt;R22,IF($H$27&lt;S22,1,0),0),0)</f>
        <v>0</v>
      </c>
      <c r="P22" s="132">
        <f>IF($V$21=TRUE,IF($H$27&gt;V22,IF($H$27&lt;W22,2,0),0),0)</f>
        <v>0</v>
      </c>
      <c r="Q22" s="119"/>
      <c r="R22" s="725">
        <v>219.99</v>
      </c>
      <c r="S22" s="725">
        <v>450</v>
      </c>
      <c r="T22" s="744"/>
      <c r="U22" s="119"/>
      <c r="V22" s="725">
        <v>329.99</v>
      </c>
      <c r="W22" s="725">
        <v>670</v>
      </c>
      <c r="X22" s="108"/>
      <c r="Y22" s="164" t="str">
        <f>CenAVS!A96</f>
        <v xml:space="preserve">Aventos HK-S Tip-on średni jasnoszary bez Tip-on zaślepka   </v>
      </c>
      <c r="Z22" s="164" t="str">
        <f>CenAVS!B96</f>
        <v>20K2C00T06</v>
      </c>
      <c r="AA22" s="301" t="str">
        <f>CenAVS!C96</f>
        <v>HGIG</v>
      </c>
      <c r="AB22" s="165">
        <f t="shared" si="2"/>
        <v>0</v>
      </c>
      <c r="AC22" s="395">
        <f>CenAVS!F96</f>
        <v>84.296419999999998</v>
      </c>
      <c r="AD22" s="167">
        <f t="shared" si="3"/>
        <v>0</v>
      </c>
      <c r="AE22" s="407">
        <f>IF(AND($U$16=2,$T$44=1),ROUNDUP(SUM($O$12:$P$12)*$M$17,0),0)</f>
        <v>0</v>
      </c>
      <c r="AF22" s="168">
        <f t="shared" si="0"/>
        <v>0</v>
      </c>
      <c r="AG22" s="407">
        <f>IF(AND($U$27=2,$T$44=1),ROUNDUP(SUM($O$23:$P$23)*$M$28,0),0)</f>
        <v>0</v>
      </c>
      <c r="AH22" s="168">
        <f t="shared" si="1"/>
        <v>0</v>
      </c>
      <c r="AI22" s="108"/>
      <c r="AJ22" s="108"/>
      <c r="AK22" s="255"/>
      <c r="AL22" s="137"/>
      <c r="AM22" s="137"/>
      <c r="AN22" s="137"/>
      <c r="AO22" s="137"/>
      <c r="AP22" s="227"/>
      <c r="AQ22" s="227"/>
      <c r="AR22" s="227"/>
      <c r="AS22" s="227"/>
      <c r="AT22" s="227"/>
      <c r="AU22" s="37"/>
      <c r="AV22" s="37"/>
    </row>
    <row r="23" spans="1:49" s="122" customFormat="1" ht="16.149999999999999" customHeight="1" x14ac:dyDescent="0.2">
      <c r="A23" s="37"/>
      <c r="B23" s="1011" t="str">
        <f>ListAVS!$B$78&amp;" [kg] ** "</f>
        <v xml:space="preserve">Waga frontu wraz z 2 uchwytami [kg] ** </v>
      </c>
      <c r="C23" s="1012"/>
      <c r="D23" s="1012"/>
      <c r="E23" s="1012"/>
      <c r="F23" s="1012"/>
      <c r="G23" s="1013"/>
      <c r="H23" s="263"/>
      <c r="I23" s="227" t="str">
        <f>IF($H28=0," ",IF(SUM($H23,$H26)=0,$N$36," "))&amp;IF($M28&gt;0,IF($H23&gt;0,$N$37," ")," ")</f>
        <v xml:space="preserve">  </v>
      </c>
      <c r="J23" s="255"/>
      <c r="K23" s="255"/>
      <c r="L23" s="255"/>
      <c r="M23" s="37"/>
      <c r="N23" s="119" t="s">
        <v>114</v>
      </c>
      <c r="O23" s="132">
        <f>IF($V$21=FALSE,IF($H$27&gt;R23,IF($H$27&lt;S23,1,0),0),0)</f>
        <v>0</v>
      </c>
      <c r="P23" s="132">
        <f>IF($V$21=TRUE,IF($H$27&gt;V23,IF($H$27&lt;W23,1.5,0),0),0)</f>
        <v>0</v>
      </c>
      <c r="Q23" s="119"/>
      <c r="R23" s="725">
        <v>449.99</v>
      </c>
      <c r="S23" s="725">
        <v>980</v>
      </c>
      <c r="T23" s="744"/>
      <c r="U23" s="119"/>
      <c r="V23" s="725">
        <v>669.99</v>
      </c>
      <c r="W23" s="725">
        <v>1470</v>
      </c>
      <c r="X23" s="108"/>
      <c r="Y23" s="164" t="str">
        <f>CenAVS!A97</f>
        <v xml:space="preserve">Aventos HK-S Tip-on średni ciemnoszary bez Tip-on zaślepka   </v>
      </c>
      <c r="Z23" s="164" t="str">
        <f>CenAVS!B97</f>
        <v>20K2C00T06</v>
      </c>
      <c r="AA23" s="301" t="str">
        <f>CenAVS!C97</f>
        <v>TGIG</v>
      </c>
      <c r="AB23" s="165">
        <f t="shared" si="2"/>
        <v>0</v>
      </c>
      <c r="AC23" s="395">
        <f>CenAVS!F97</f>
        <v>86.817539999999994</v>
      </c>
      <c r="AD23" s="167">
        <f t="shared" si="3"/>
        <v>0</v>
      </c>
      <c r="AE23" s="407">
        <f>IF(AND($U$16=2,$T$44=2),ROUNDUP(SUM($O$12:$P$12)*$M$17,0),0)</f>
        <v>0</v>
      </c>
      <c r="AF23" s="168">
        <f t="shared" si="0"/>
        <v>0</v>
      </c>
      <c r="AG23" s="407">
        <f>IF(AND($U$27=2,$T$44=2),ROUNDUP(SUM($O$23:$P$23)*$M$28,0),0)</f>
        <v>0</v>
      </c>
      <c r="AH23" s="168">
        <f t="shared" si="1"/>
        <v>0</v>
      </c>
      <c r="AI23" s="108"/>
      <c r="AJ23" s="108"/>
      <c r="AK23" s="255"/>
      <c r="AL23" s="137"/>
      <c r="AM23" s="37"/>
      <c r="AN23" s="37"/>
      <c r="AO23" s="37"/>
      <c r="AP23" s="37"/>
      <c r="AQ23" s="37"/>
      <c r="AR23" s="37"/>
      <c r="AS23" s="37"/>
      <c r="AT23" s="37"/>
      <c r="AU23" s="37"/>
      <c r="AV23" s="37"/>
    </row>
    <row r="24" spans="1:49" s="122" customFormat="1" ht="16.149999999999999" customHeight="1" x14ac:dyDescent="0.2">
      <c r="A24" s="37"/>
      <c r="B24" s="1055" t="str">
        <f>ListAVS!$B$293</f>
        <v>Obliczenie wagi</v>
      </c>
      <c r="C24" s="1055"/>
      <c r="D24" s="1053" t="str">
        <f>ListAVS!$B$80&amp;" TS [mm] "</f>
        <v xml:space="preserve">Grubość frontu TS [mm] </v>
      </c>
      <c r="E24" s="1053"/>
      <c r="F24" s="1053"/>
      <c r="G24" s="1054"/>
      <c r="H24" s="263"/>
      <c r="I24" s="256" t="str">
        <f>IF(H28=0," ",IF(AND(H23=0, H24=0)," ● "&amp;ListAVS!$B$129," "))&amp;IF(H28=0," ",IF(AND(H23=0, H24&lt;8), " min. 8 mm", " "))</f>
        <v xml:space="preserve">  </v>
      </c>
      <c r="J24" s="255"/>
      <c r="K24" s="255"/>
      <c r="L24" s="255"/>
      <c r="M24" s="37"/>
      <c r="N24" s="119" t="s">
        <v>117</v>
      </c>
      <c r="O24" s="132">
        <f>IF($V$21=FALSE,IF($H$27&gt;R24,IF($H$27&lt;S24,1,0),0),0)</f>
        <v>0</v>
      </c>
      <c r="P24" s="132">
        <f>IF($V$21=TRUE,IF($H$27&gt;V24,IF($H$27&lt;W24,1.5,0),0),0)</f>
        <v>0</v>
      </c>
      <c r="Q24" s="119"/>
      <c r="R24" s="725">
        <v>979.99</v>
      </c>
      <c r="S24" s="725">
        <v>2216</v>
      </c>
      <c r="T24" s="37"/>
      <c r="U24" s="37"/>
      <c r="V24" s="725">
        <v>1469.99</v>
      </c>
      <c r="W24" s="725">
        <v>3323</v>
      </c>
      <c r="X24" s="108"/>
      <c r="Y24" s="164" t="str">
        <f>CenAVS!A98</f>
        <v xml:space="preserve">Aventos HK-S Tip-on średni biały bez Tip-On zaślepka   </v>
      </c>
      <c r="Z24" s="164" t="str">
        <f>CenAVS!B98</f>
        <v>20K2C00T06</v>
      </c>
      <c r="AA24" s="301" t="str">
        <f>CenAVS!C98</f>
        <v>SWIG</v>
      </c>
      <c r="AB24" s="165">
        <f t="shared" si="2"/>
        <v>0</v>
      </c>
      <c r="AC24" s="395">
        <f>CenAVS!F98</f>
        <v>86.817539999999994</v>
      </c>
      <c r="AD24" s="167">
        <f t="shared" si="3"/>
        <v>0</v>
      </c>
      <c r="AE24" s="407">
        <f>IF(AND($U$16=2,$T$44=3),ROUNDUP(SUM($O$12:$P$12)*$M$17,0),0)</f>
        <v>0</v>
      </c>
      <c r="AF24" s="168">
        <f t="shared" si="0"/>
        <v>0</v>
      </c>
      <c r="AG24" s="407">
        <f>IF(AND($U$27=2,$T$44=3),ROUNDUP(SUM($O$23:$P$23)*$M$28,0),0)</f>
        <v>0</v>
      </c>
      <c r="AH24" s="168">
        <f t="shared" si="1"/>
        <v>0</v>
      </c>
      <c r="AI24" s="108"/>
      <c r="AJ24" s="108"/>
      <c r="AK24" s="137"/>
      <c r="AL24" s="37"/>
      <c r="AM24" s="137"/>
      <c r="AN24" s="137"/>
      <c r="AO24" s="137"/>
      <c r="AP24" s="137"/>
      <c r="AQ24" s="137"/>
      <c r="AR24" s="137"/>
      <c r="AS24" s="137"/>
      <c r="AT24" s="137"/>
      <c r="AU24" s="137"/>
      <c r="AV24" s="137"/>
    </row>
    <row r="25" spans="1:49" s="122" customFormat="1" ht="16.149999999999999" customHeight="1" x14ac:dyDescent="0.2">
      <c r="A25" s="37"/>
      <c r="B25" s="1055"/>
      <c r="C25" s="1055"/>
      <c r="D25" s="1053" t="str">
        <f>ListAVS!$B$83&amp;" [kg] "</f>
        <v xml:space="preserve">Waga uchwytu [kg] </v>
      </c>
      <c r="E25" s="1053"/>
      <c r="F25" s="1053"/>
      <c r="G25" s="1054"/>
      <c r="H25" s="263"/>
      <c r="I25" s="256" t="str">
        <f>IF(H28=0, " ", IF(AND(H23=0, U27=1, H25=0), " ● "&amp;ListAVS!$B$130," "))</f>
        <v xml:space="preserve"> </v>
      </c>
      <c r="J25" s="255"/>
      <c r="K25" s="255"/>
      <c r="L25" s="255"/>
      <c r="M25" s="118"/>
      <c r="N25" s="119"/>
      <c r="O25" s="132"/>
      <c r="P25" s="132"/>
      <c r="Q25" s="119"/>
      <c r="R25" s="725"/>
      <c r="S25" s="725"/>
      <c r="T25" s="37"/>
      <c r="U25" s="37"/>
      <c r="V25" s="725"/>
      <c r="W25" s="725"/>
      <c r="X25" s="108"/>
      <c r="Y25" s="164" t="str">
        <f>CenAVS!A99</f>
        <v xml:space="preserve">Aventos HK-S Tip-on mocny jasnoszary bez Tip-on zaślepka   </v>
      </c>
      <c r="Z25" s="164" t="str">
        <f>CenAVS!B99</f>
        <v>20K2E00T06</v>
      </c>
      <c r="AA25" s="301" t="str">
        <f>CenAVS!C99</f>
        <v>HGIG</v>
      </c>
      <c r="AB25" s="165">
        <f t="shared" si="2"/>
        <v>0</v>
      </c>
      <c r="AC25" s="395">
        <f>CenAVS!F99</f>
        <v>84.296419999999998</v>
      </c>
      <c r="AD25" s="167">
        <f t="shared" si="3"/>
        <v>0</v>
      </c>
      <c r="AE25" s="407">
        <f>IF(AND($U$16=2,$T$44=1),ROUNDUP(SUM($O$13:$P$13)*$M$17,0),0)</f>
        <v>0</v>
      </c>
      <c r="AF25" s="168">
        <f t="shared" si="0"/>
        <v>0</v>
      </c>
      <c r="AG25" s="407">
        <f>IF(AND($U$27=2,$T$44=1),ROUNDUP(SUM($O$24:$P$24)*$M$28,0),0)</f>
        <v>0</v>
      </c>
      <c r="AH25" s="168">
        <f t="shared" si="1"/>
        <v>0</v>
      </c>
      <c r="AI25" s="108"/>
      <c r="AJ25" s="108"/>
      <c r="AK25" s="137"/>
      <c r="AL25" s="137"/>
      <c r="AM25" s="137"/>
      <c r="AN25" s="137"/>
      <c r="AO25" s="137"/>
      <c r="AP25" s="137"/>
      <c r="AQ25" s="137"/>
      <c r="AR25" s="137"/>
      <c r="AS25" s="137"/>
      <c r="AT25" s="137"/>
      <c r="AU25" s="137"/>
      <c r="AV25" s="137"/>
    </row>
    <row r="26" spans="1:49" s="122" customFormat="1" ht="16.149999999999999" customHeight="1" x14ac:dyDescent="0.2">
      <c r="A26" s="37"/>
      <c r="B26" s="1055"/>
      <c r="C26" s="1055"/>
      <c r="D26" s="1053" t="str">
        <f>ListAVS!$B$79&amp;" [kg] "</f>
        <v xml:space="preserve">Obliczona waga frontu [kg] </v>
      </c>
      <c r="E26" s="1053"/>
      <c r="F26" s="1053"/>
      <c r="G26" s="1054"/>
      <c r="H26" s="259">
        <f>$T$82</f>
        <v>0</v>
      </c>
      <c r="I26" s="227" t="str">
        <f>IF(AND($H28&gt;0,$H26&gt;0,$H23=0,$M28&gt;0), $N$37," ")&amp;IF(AND(H28&gt;0, H23=0, Z74=8, $J$4=0), $N$35, " ")</f>
        <v xml:space="preserve">  </v>
      </c>
      <c r="J26" s="255"/>
      <c r="K26" s="255"/>
      <c r="L26" s="255"/>
      <c r="M26" s="37"/>
      <c r="N26" s="37"/>
      <c r="O26" s="37"/>
      <c r="P26" s="37"/>
      <c r="Q26" s="37"/>
      <c r="R26" s="37"/>
      <c r="S26" s="37"/>
      <c r="T26" s="754"/>
      <c r="U26" s="755" t="str">
        <f>IF(U27=1,$V$46,IF(U27=2,$V$47,$V$48))</f>
        <v>Standard</v>
      </c>
      <c r="V26" s="37"/>
      <c r="W26" s="37"/>
      <c r="X26" s="108"/>
      <c r="Y26" s="164" t="str">
        <f>CenAVS!A100</f>
        <v xml:space="preserve">Aventos HK-S Tip-on mocny ciemnoszary bez Tip-on zaślepka   </v>
      </c>
      <c r="Z26" s="164" t="str">
        <f>CenAVS!B100</f>
        <v>20K2E00T06</v>
      </c>
      <c r="AA26" s="301" t="str">
        <f>CenAVS!C100</f>
        <v>TGIG</v>
      </c>
      <c r="AB26" s="165">
        <f t="shared" si="2"/>
        <v>0</v>
      </c>
      <c r="AC26" s="395">
        <f>CenAVS!F100</f>
        <v>86.817539999999994</v>
      </c>
      <c r="AD26" s="167">
        <f t="shared" si="3"/>
        <v>0</v>
      </c>
      <c r="AE26" s="407">
        <f>IF(AND($U$16=2,$T$44=2),ROUNDUP(SUM($O$13:$P$13)*$M$17,0),0)</f>
        <v>0</v>
      </c>
      <c r="AF26" s="168">
        <f t="shared" si="0"/>
        <v>0</v>
      </c>
      <c r="AG26" s="407">
        <f>IF(AND($U$27=2,$T$44=2),ROUNDUP(SUM($O$24:$P$24)*$M$28,0),0)</f>
        <v>0</v>
      </c>
      <c r="AH26" s="168">
        <f t="shared" si="1"/>
        <v>0</v>
      </c>
      <c r="AI26" s="108"/>
      <c r="AJ26" s="108"/>
      <c r="AK26" s="108"/>
      <c r="AL26" s="137"/>
      <c r="AM26" s="137"/>
      <c r="AN26" s="137"/>
      <c r="AO26" s="137"/>
      <c r="AP26" s="137"/>
      <c r="AQ26" s="137"/>
      <c r="AR26" s="137"/>
      <c r="AS26" s="137"/>
      <c r="AT26" s="137"/>
      <c r="AU26" s="137"/>
      <c r="AV26" s="137"/>
      <c r="AW26" s="121"/>
    </row>
    <row r="27" spans="1:49" s="122" customFormat="1" ht="16.149999999999999" customHeight="1" thickBot="1" x14ac:dyDescent="0.25">
      <c r="A27" s="37"/>
      <c r="B27" s="1011" t="str">
        <f>ListAVS!$B$87&amp;" *      "</f>
        <v xml:space="preserve">Trzeci podnośnik *      </v>
      </c>
      <c r="C27" s="1012"/>
      <c r="D27" s="1011" t="str">
        <f>ListAVS!$B$86&amp;" LF "</f>
        <v xml:space="preserve">Współczynnik mocy LF </v>
      </c>
      <c r="E27" s="1012"/>
      <c r="F27" s="1012"/>
      <c r="G27" s="1013"/>
      <c r="H27" s="400">
        <f>IF(H23&gt;0,H22*H23,H22*H26)</f>
        <v>0</v>
      </c>
      <c r="I27" s="256" t="str">
        <f>IF(AND($H27&gt;0, $H27&lt;220), $N$39, IF($H27&gt;3322.5, $N$40, IF($H27&gt;2215.5, IF(V21=FALSE, $N$41, " ")," ")))</f>
        <v xml:space="preserve"> </v>
      </c>
      <c r="J27" s="255"/>
      <c r="K27" s="248"/>
      <c r="L27" s="255"/>
      <c r="M27" s="37"/>
      <c r="N27" s="137"/>
      <c r="O27" s="137"/>
      <c r="P27" s="137"/>
      <c r="Q27" s="137"/>
      <c r="R27" s="37"/>
      <c r="S27" s="37"/>
      <c r="T27" s="756"/>
      <c r="U27" s="207">
        <v>1</v>
      </c>
      <c r="V27" s="37"/>
      <c r="W27" s="37"/>
      <c r="X27" s="108"/>
      <c r="Y27" s="164" t="str">
        <f>CenAVS!A101</f>
        <v xml:space="preserve">Aventos HK-S Tip-on mocny biały bez Tip-on zaślepka   </v>
      </c>
      <c r="Z27" s="164" t="str">
        <f>CenAVS!B101</f>
        <v>20K2E00T06</v>
      </c>
      <c r="AA27" s="301" t="str">
        <f>CenAVS!C101</f>
        <v>SWIG</v>
      </c>
      <c r="AB27" s="165">
        <f t="shared" si="2"/>
        <v>0</v>
      </c>
      <c r="AC27" s="395">
        <f>CenAVS!F101</f>
        <v>86.817539999999994</v>
      </c>
      <c r="AD27" s="167">
        <f t="shared" si="3"/>
        <v>0</v>
      </c>
      <c r="AE27" s="407">
        <f>IF(AND($U$16=2,$T$44=3),ROUNDUP(SUM($O$13:$P$13)*$M$17,0),0)</f>
        <v>0</v>
      </c>
      <c r="AF27" s="168">
        <f t="shared" si="0"/>
        <v>0</v>
      </c>
      <c r="AG27" s="407">
        <f>IF(AND($U$27=2,$T$44=3),ROUNDUP(SUM($O$24:$P$24)*$M$28,0),0)</f>
        <v>0</v>
      </c>
      <c r="AH27" s="168">
        <f t="shared" si="1"/>
        <v>0</v>
      </c>
      <c r="AI27" s="108"/>
      <c r="AJ27" s="108"/>
      <c r="AK27" s="693"/>
      <c r="AL27" s="137"/>
      <c r="AM27" s="137"/>
      <c r="AN27" s="137"/>
      <c r="AO27" s="137"/>
      <c r="AP27" s="137"/>
      <c r="AQ27" s="137"/>
      <c r="AR27" s="137"/>
      <c r="AS27" s="137"/>
      <c r="AT27" s="137"/>
      <c r="AU27" s="137"/>
      <c r="AV27" s="137"/>
      <c r="AW27" s="121"/>
    </row>
    <row r="28" spans="1:49" ht="16.149999999999999" customHeight="1" thickBot="1" x14ac:dyDescent="0.25">
      <c r="B28" s="1011" t="str">
        <f>ListAVS!$B$71&amp;"  "</f>
        <v xml:space="preserve">Ilość szafek  </v>
      </c>
      <c r="C28" s="1012"/>
      <c r="D28" s="1012"/>
      <c r="E28" s="1012"/>
      <c r="F28" s="1012"/>
      <c r="G28" s="1012"/>
      <c r="H28" s="261"/>
      <c r="I28" s="273" t="str">
        <f>IF($H27&gt;3322.5," ",IF($H27&gt;2215.5,IF(V21=FALSE,$N$42," ")," "))</f>
        <v xml:space="preserve"> </v>
      </c>
      <c r="J28" s="264"/>
      <c r="K28" s="249"/>
      <c r="L28" s="265"/>
      <c r="M28" s="315">
        <f>IF($H21*$H22*$T28=0,0,IF($H22&lt;190,0,IF(H27&lt;220,0,IF($H27&gt;3322,0,IF(AND($H23=0,$H24&lt;8),0,IF(H27&gt;2215,IF(V21=FALSE,0,$H28),$H28))))))</f>
        <v>0</v>
      </c>
      <c r="N28" s="39"/>
      <c r="O28" s="39"/>
      <c r="P28" s="39"/>
      <c r="Q28" s="39"/>
      <c r="R28" s="137"/>
      <c r="S28" s="690" t="s">
        <v>51</v>
      </c>
      <c r="T28" s="691">
        <f>IF(H23&gt;0,H23,H26)</f>
        <v>0</v>
      </c>
      <c r="U28" s="37">
        <f>IF(SUM(H23,H26)=0,0,IF(H23&gt;0,1,2))</f>
        <v>0</v>
      </c>
      <c r="V28" s="571" t="s">
        <v>52</v>
      </c>
      <c r="X28" s="108"/>
      <c r="Y28" s="164" t="str">
        <f>CenAVS!A102</f>
        <v xml:space="preserve">          </v>
      </c>
      <c r="Z28" s="164">
        <f>CenAVS!B102</f>
        <v>0</v>
      </c>
      <c r="AA28" s="301">
        <f>CenAVS!C102</f>
        <v>0</v>
      </c>
      <c r="AB28" s="165">
        <f t="shared" si="2"/>
        <v>0</v>
      </c>
      <c r="AC28" s="395">
        <f>CenAVS!F102</f>
        <v>0</v>
      </c>
      <c r="AD28" s="167">
        <f t="shared" si="3"/>
        <v>0</v>
      </c>
      <c r="AE28" s="407"/>
      <c r="AF28" s="168">
        <f>$AC28*AE28</f>
        <v>0</v>
      </c>
      <c r="AG28" s="407"/>
      <c r="AH28" s="168">
        <f t="shared" si="1"/>
        <v>0</v>
      </c>
      <c r="AI28" s="108"/>
      <c r="AJ28" s="108"/>
      <c r="AK28" s="693"/>
      <c r="AL28" s="137"/>
      <c r="AM28" s="137"/>
      <c r="AN28" s="137"/>
      <c r="AO28" s="137"/>
      <c r="AP28" s="137"/>
      <c r="AQ28" s="137"/>
      <c r="AR28" s="137"/>
      <c r="AS28" s="137"/>
      <c r="AT28" s="137"/>
      <c r="AU28" s="137"/>
      <c r="AV28" s="137"/>
    </row>
    <row r="29" spans="1:49" ht="16.149999999999999" customHeight="1" x14ac:dyDescent="0.2">
      <c r="A29" s="137"/>
      <c r="B29" s="255" t="str">
        <f>IF(M28&gt;0,IF(U28=0," ",IF(U28=1,$N$49,$N$50))," ")&amp;IF(M28&gt;0,IF(U28=0," ",IF(U28=1,$N$51,$N$52))," ")</f>
        <v xml:space="preserve">  </v>
      </c>
      <c r="C29" s="255"/>
      <c r="D29" s="255"/>
      <c r="E29" s="255"/>
      <c r="F29" s="255"/>
      <c r="G29" s="255"/>
      <c r="H29" s="273"/>
      <c r="I29" s="273"/>
      <c r="J29" s="266"/>
      <c r="K29" s="266"/>
      <c r="L29" s="266"/>
      <c r="X29" s="108"/>
      <c r="Y29" s="164" t="str">
        <f>CenAVS!A103</f>
        <v xml:space="preserve">P+L, okucie Aventos HK-S do wąskich ALU ramek   </v>
      </c>
      <c r="Z29" s="164" t="str">
        <f>CenAVS!B103</f>
        <v>20K4A00A02</v>
      </c>
      <c r="AA29" s="301" t="str">
        <f>CenAVS!C103</f>
        <v>NI</v>
      </c>
      <c r="AB29" s="165">
        <f t="shared" si="2"/>
        <v>0</v>
      </c>
      <c r="AC29" s="395">
        <f>CenAVS!F103</f>
        <v>21.740570000000002</v>
      </c>
      <c r="AD29" s="167">
        <f t="shared" si="3"/>
        <v>0</v>
      </c>
      <c r="AE29" s="407"/>
      <c r="AF29" s="168">
        <f>$AC29*AE29</f>
        <v>0</v>
      </c>
      <c r="AG29" s="407"/>
      <c r="AH29" s="168">
        <f t="shared" si="1"/>
        <v>0</v>
      </c>
      <c r="AI29" s="108"/>
      <c r="AJ29" s="108"/>
      <c r="AK29" s="693"/>
      <c r="AL29" s="137"/>
      <c r="AM29" s="137"/>
      <c r="AN29" s="137"/>
      <c r="AO29" s="137"/>
      <c r="AP29" s="137"/>
      <c r="AQ29" s="137"/>
      <c r="AR29" s="137"/>
      <c r="AS29" s="137"/>
      <c r="AT29" s="137"/>
      <c r="AU29" s="137"/>
      <c r="AV29" s="137"/>
    </row>
    <row r="30" spans="1:49" ht="16.149999999999999" customHeight="1" x14ac:dyDescent="0.2">
      <c r="B30" s="249"/>
      <c r="C30" s="248"/>
      <c r="D30" s="249"/>
      <c r="E30" s="249"/>
      <c r="F30" s="274"/>
      <c r="G30" s="274"/>
      <c r="H30" s="249"/>
      <c r="I30" s="264"/>
      <c r="J30" s="264"/>
      <c r="K30" s="249"/>
      <c r="L30" s="265"/>
      <c r="S30" s="138">
        <f>IF($T$30=FALSE,2,1)</f>
        <v>2</v>
      </c>
      <c r="T30" s="1063" t="b">
        <v>0</v>
      </c>
      <c r="U30" s="1064"/>
      <c r="V30" s="139" t="s">
        <v>56</v>
      </c>
      <c r="W30" s="140"/>
      <c r="X30" s="108"/>
      <c r="Y30" s="164" t="str">
        <f>CenAVS!A166</f>
        <v xml:space="preserve">prowadnik prosty wkręt 8 5mm stal     </v>
      </c>
      <c r="Z30" s="164" t="str">
        <f>CenAVS!B166</f>
        <v>175H3100</v>
      </c>
      <c r="AA30" s="301" t="str">
        <f>CenAVS!C166</f>
        <v>NI</v>
      </c>
      <c r="AB30" s="165">
        <f>SUM(AE30,AG30)</f>
        <v>0</v>
      </c>
      <c r="AC30" s="395">
        <f>CenAVS!F166</f>
        <v>1.65564</v>
      </c>
      <c r="AD30" s="167">
        <f>AB30*AC30</f>
        <v>0</v>
      </c>
      <c r="AE30" s="407">
        <f>SUM(AE$9:AE$27)*2</f>
        <v>0</v>
      </c>
      <c r="AF30" s="168">
        <f>$AC30*AE30</f>
        <v>0</v>
      </c>
      <c r="AG30" s="407">
        <f>SUM(AG$9:AG$27)*2</f>
        <v>0</v>
      </c>
      <c r="AH30" s="168">
        <f>$AC30*AG30</f>
        <v>0</v>
      </c>
      <c r="AI30" s="108"/>
      <c r="AJ30" s="108"/>
      <c r="AK30" s="108"/>
      <c r="AL30" s="137"/>
      <c r="AM30" s="137"/>
      <c r="AN30" s="137"/>
      <c r="AO30" s="137"/>
      <c r="AP30" s="137"/>
      <c r="AQ30" s="137"/>
      <c r="AR30" s="137"/>
      <c r="AS30" s="137"/>
      <c r="AT30" s="137"/>
      <c r="AU30" s="137"/>
      <c r="AV30" s="137"/>
    </row>
    <row r="31" spans="1:49" ht="16.149999999999999" customHeight="1" x14ac:dyDescent="0.2">
      <c r="B31" s="255"/>
      <c r="C31" s="255"/>
      <c r="D31" s="266"/>
      <c r="E31" s="266"/>
      <c r="F31" s="266"/>
      <c r="G31" s="266"/>
      <c r="H31" s="266"/>
      <c r="I31" s="255"/>
      <c r="J31" s="266"/>
      <c r="K31" s="266"/>
      <c r="L31" s="271"/>
      <c r="X31" s="108"/>
      <c r="Y31" s="164" t="str">
        <f>CenAVS!A167</f>
        <v xml:space="preserve">prowadnik prosty Expando 8 5mm stal     </v>
      </c>
      <c r="Z31" s="164" t="str">
        <f>CenAVS!B167</f>
        <v>177H3100E </v>
      </c>
      <c r="AA31" s="301" t="str">
        <f>CenAVS!C167</f>
        <v>NI</v>
      </c>
      <c r="AB31" s="165">
        <f>SUM(AE31,AG31)</f>
        <v>0</v>
      </c>
      <c r="AC31" s="395">
        <f>CenAVS!F167</f>
        <v>1.8724499999999999</v>
      </c>
      <c r="AD31" s="167">
        <f>AB31*AC31</f>
        <v>0</v>
      </c>
      <c r="AE31" s="407"/>
      <c r="AF31" s="168">
        <f>$AC31*AE31</f>
        <v>0</v>
      </c>
      <c r="AG31" s="407"/>
      <c r="AH31" s="168">
        <f>$AC31*AG31</f>
        <v>0</v>
      </c>
      <c r="AI31" s="108"/>
      <c r="AJ31" s="108"/>
      <c r="AK31" s="710"/>
      <c r="AL31" s="137"/>
      <c r="AM31" s="137"/>
      <c r="AN31" s="137"/>
      <c r="AO31" s="137"/>
      <c r="AP31" s="137"/>
      <c r="AQ31" s="137"/>
      <c r="AR31" s="137"/>
      <c r="AS31" s="137"/>
      <c r="AT31" s="137"/>
      <c r="AU31" s="137"/>
      <c r="AV31" s="137"/>
    </row>
    <row r="32" spans="1:49" ht="16.149999999999999" customHeight="1" x14ac:dyDescent="0.2">
      <c r="B32" s="272"/>
      <c r="C32" s="273" t="str">
        <f>IF(OR($V$10=TRUE, $V$21=TRUE), ListAVS!$D$183, " ")</f>
        <v xml:space="preserve"> </v>
      </c>
      <c r="D32" s="266"/>
      <c r="E32" s="266"/>
      <c r="F32" s="266"/>
      <c r="G32" s="266"/>
      <c r="H32" s="266"/>
      <c r="I32" s="255"/>
      <c r="J32" s="266"/>
      <c r="K32" s="266"/>
      <c r="L32" s="271"/>
      <c r="X32" s="108"/>
      <c r="Y32" s="164" t="str">
        <f>CenAVS!A158</f>
        <v xml:space="preserve">kołek Expando T        </v>
      </c>
      <c r="Z32" s="164" t="str">
        <f>CenAVS!B158</f>
        <v>70T4532T</v>
      </c>
      <c r="AA32" s="301" t="str">
        <f>CenAVS!C158</f>
        <v>DGR</v>
      </c>
      <c r="AB32" s="165">
        <f>SUM(AE32,AG32)</f>
        <v>0</v>
      </c>
      <c r="AC32" s="395">
        <f>CenAVS!F158</f>
        <v>6.9475599999999993</v>
      </c>
      <c r="AD32" s="167">
        <f>AB32*AC32</f>
        <v>0</v>
      </c>
      <c r="AE32" s="407">
        <f>AE30*2</f>
        <v>0</v>
      </c>
      <c r="AF32" s="168">
        <f>$AC32*AE32</f>
        <v>0</v>
      </c>
      <c r="AG32" s="407">
        <f>AG30*2</f>
        <v>0</v>
      </c>
      <c r="AH32" s="168">
        <f>$AC32*AG32</f>
        <v>0</v>
      </c>
      <c r="AI32" s="108"/>
      <c r="AJ32" s="108"/>
      <c r="AK32" s="108"/>
      <c r="AL32" s="137"/>
      <c r="AM32" s="137"/>
      <c r="AN32" s="137"/>
      <c r="AO32" s="137"/>
      <c r="AP32" s="137"/>
      <c r="AQ32" s="137"/>
      <c r="AR32" s="137"/>
      <c r="AS32" s="137"/>
      <c r="AT32" s="137"/>
      <c r="AU32" s="137"/>
      <c r="AV32" s="137"/>
    </row>
    <row r="33" spans="2:49" ht="16.149999999999999" customHeight="1" x14ac:dyDescent="0.2">
      <c r="B33" s="272"/>
      <c r="C33" s="255"/>
      <c r="D33" s="255"/>
      <c r="E33" s="255"/>
      <c r="F33" s="255"/>
      <c r="G33" s="255"/>
      <c r="H33" s="255"/>
      <c r="I33" s="255"/>
      <c r="J33" s="255"/>
      <c r="K33" s="255"/>
      <c r="L33" s="255"/>
      <c r="X33" s="108"/>
      <c r="Y33" s="164"/>
      <c r="Z33" s="164"/>
      <c r="AA33" s="301"/>
      <c r="AB33" s="165"/>
      <c r="AC33" s="395"/>
      <c r="AD33" s="167"/>
      <c r="AE33" s="407"/>
      <c r="AF33" s="168"/>
      <c r="AG33" s="407"/>
      <c r="AH33" s="168"/>
      <c r="AI33" s="108"/>
      <c r="AJ33" s="108"/>
      <c r="AK33" s="108"/>
      <c r="AL33" s="137"/>
      <c r="AM33" s="137"/>
      <c r="AN33" s="137"/>
      <c r="AO33" s="137"/>
      <c r="AP33" s="137"/>
      <c r="AQ33" s="137"/>
      <c r="AR33" s="137"/>
      <c r="AS33" s="137"/>
      <c r="AT33" s="137"/>
      <c r="AU33" s="137"/>
      <c r="AV33" s="137"/>
    </row>
    <row r="34" spans="2:49" ht="16.149999999999999" customHeight="1" x14ac:dyDescent="0.2">
      <c r="B34" s="274" t="s">
        <v>63</v>
      </c>
      <c r="C34" s="1044" t="str">
        <f>ListAVS!$B$231&amp;" "&amp;ListAVS!$B$232</f>
        <v>Przy szerokich korpusach zalecamy trzeci siłownik. Powodem tego jest wyginanie się frontu w pozycji otwartej. Również współczynnik mocy LF i waga frontów mogą być zwiększone o 50%.</v>
      </c>
      <c r="D34" s="1044"/>
      <c r="E34" s="1044"/>
      <c r="F34" s="1044"/>
      <c r="G34" s="1044"/>
      <c r="H34" s="1044"/>
      <c r="I34" s="1044"/>
      <c r="J34" s="1044"/>
      <c r="K34" s="1044"/>
      <c r="L34" s="255"/>
      <c r="X34" s="108"/>
      <c r="Y34" s="164"/>
      <c r="Z34" s="164"/>
      <c r="AA34" s="301"/>
      <c r="AB34" s="165"/>
      <c r="AC34" s="395"/>
      <c r="AD34" s="167"/>
      <c r="AE34" s="407"/>
      <c r="AF34" s="168"/>
      <c r="AG34" s="407"/>
      <c r="AH34" s="168"/>
      <c r="AI34" s="108"/>
      <c r="AJ34" s="108"/>
      <c r="AK34" s="108"/>
      <c r="AL34" s="137"/>
      <c r="AM34" s="137"/>
      <c r="AN34" s="137"/>
      <c r="AO34" s="137"/>
      <c r="AP34" s="137"/>
      <c r="AQ34" s="137"/>
      <c r="AR34" s="137"/>
      <c r="AS34" s="137"/>
      <c r="AT34" s="137"/>
      <c r="AU34" s="137"/>
      <c r="AV34" s="137"/>
    </row>
    <row r="35" spans="2:49" ht="16.149999999999999" customHeight="1" x14ac:dyDescent="0.2">
      <c r="B35" s="255"/>
      <c r="C35" s="1044"/>
      <c r="D35" s="1044"/>
      <c r="E35" s="1044"/>
      <c r="F35" s="1044"/>
      <c r="G35" s="1044"/>
      <c r="H35" s="1044"/>
      <c r="I35" s="1044"/>
      <c r="J35" s="1044"/>
      <c r="K35" s="1044"/>
      <c r="L35" s="255"/>
      <c r="N35" s="37" t="str">
        <f>" "&amp;ListAVS!$B$118</f>
        <v xml:space="preserve"> Wprowadź na górze masę objętościową </v>
      </c>
      <c r="X35" s="108"/>
      <c r="Y35" s="164" t="str">
        <f>CenAVS!A185</f>
        <v xml:space="preserve">Tip-on do zawiasu 50mm PG, szary     </v>
      </c>
      <c r="Z35" s="164" t="str">
        <f>CenAVS!B185</f>
        <v>956.1004</v>
      </c>
      <c r="AA35" s="301" t="str">
        <f>CenAVS!C185</f>
        <v>R7036</v>
      </c>
      <c r="AB35" s="165">
        <f t="shared" si="2"/>
        <v>0</v>
      </c>
      <c r="AC35" s="395">
        <f>CenAVS!F185</f>
        <v>12.830769999999999</v>
      </c>
      <c r="AD35" s="167">
        <f t="shared" si="3"/>
        <v>0</v>
      </c>
      <c r="AE35" s="407">
        <f>IF(AND($T$44&lt;3,$U$16=2),$M$17,0)</f>
        <v>0</v>
      </c>
      <c r="AF35" s="168">
        <f>$AC35*AE35</f>
        <v>0</v>
      </c>
      <c r="AG35" s="407">
        <f>IF(AND($T$44&lt;3,$U$27=2),$M$28,0)</f>
        <v>0</v>
      </c>
      <c r="AH35" s="168">
        <f t="shared" si="1"/>
        <v>0</v>
      </c>
      <c r="AI35" s="108"/>
      <c r="AJ35" s="108"/>
      <c r="AK35" s="108"/>
      <c r="AL35" s="137"/>
      <c r="AM35" s="137"/>
      <c r="AN35" s="137"/>
      <c r="AO35" s="137"/>
      <c r="AP35" s="137"/>
      <c r="AQ35" s="137"/>
      <c r="AR35" s="137"/>
      <c r="AS35" s="137"/>
      <c r="AT35" s="137"/>
      <c r="AU35" s="137"/>
      <c r="AV35" s="137"/>
    </row>
    <row r="36" spans="2:49" ht="16.149999999999999" customHeight="1" x14ac:dyDescent="0.2">
      <c r="B36" s="255"/>
      <c r="C36" s="1044"/>
      <c r="D36" s="1044"/>
      <c r="E36" s="1044"/>
      <c r="F36" s="1044"/>
      <c r="G36" s="1044"/>
      <c r="H36" s="1044"/>
      <c r="I36" s="1044"/>
      <c r="J36" s="1044"/>
      <c r="K36" s="1044"/>
      <c r="L36" s="255"/>
      <c r="N36" s="37" t="str">
        <f>" "&amp;ListAVS!$B$116</f>
        <v xml:space="preserve"> Wprowadź wagę lub wypełnij wszystkie komórki</v>
      </c>
      <c r="X36" s="108"/>
      <c r="Y36" s="164" t="str">
        <f>CenAVS!A186</f>
        <v xml:space="preserve">Tip-on do zawiasu 50mm SW, biały     </v>
      </c>
      <c r="Z36" s="164" t="str">
        <f>CenAVS!B186</f>
        <v>956.1004</v>
      </c>
      <c r="AA36" s="301" t="str">
        <f>CenAVS!C186</f>
        <v>SW</v>
      </c>
      <c r="AB36" s="165">
        <f>SUM(AE36,AG36)</f>
        <v>0</v>
      </c>
      <c r="AC36" s="395">
        <f>CenAVS!F186</f>
        <v>12.830769999999999</v>
      </c>
      <c r="AD36" s="167">
        <f>AB36*AC36</f>
        <v>0</v>
      </c>
      <c r="AE36" s="407">
        <f>IF(AND($T$44=3,$U$16=2),$M$17,0)</f>
        <v>0</v>
      </c>
      <c r="AF36" s="168">
        <f>$AC36*AE36</f>
        <v>0</v>
      </c>
      <c r="AG36" s="407">
        <f>IF(AND($T$44=3,$U$27=2),$M$28,0)</f>
        <v>0</v>
      </c>
      <c r="AH36" s="168">
        <f>$AC36*AG36</f>
        <v>0</v>
      </c>
      <c r="AI36" s="108"/>
      <c r="AJ36" s="108"/>
      <c r="AK36" s="108"/>
      <c r="AL36" s="137"/>
      <c r="AM36" s="137"/>
      <c r="AN36" s="137"/>
      <c r="AO36" s="137"/>
      <c r="AP36" s="137"/>
      <c r="AQ36" s="137"/>
      <c r="AR36" s="137"/>
      <c r="AS36" s="137"/>
      <c r="AT36" s="137"/>
      <c r="AU36" s="137"/>
      <c r="AV36" s="137"/>
    </row>
    <row r="37" spans="2:49" ht="16.149999999999999" customHeight="1" x14ac:dyDescent="0.2">
      <c r="B37" s="255"/>
      <c r="C37" s="1044"/>
      <c r="D37" s="1044"/>
      <c r="E37" s="1044"/>
      <c r="F37" s="1044"/>
      <c r="G37" s="1044"/>
      <c r="H37" s="1044"/>
      <c r="I37" s="1044"/>
      <c r="J37" s="1044"/>
      <c r="K37" s="1044"/>
      <c r="L37" s="255"/>
      <c r="N37" s="37" t="str">
        <f>"◄ "&amp;ListAVS!$B$112</f>
        <v>◄ wartość będzie wykorzystana do obliczenia LF</v>
      </c>
      <c r="X37" s="108"/>
      <c r="Y37" s="164" t="str">
        <f>CenAVS!A187</f>
        <v xml:space="preserve">Tip-on do zawiasu krótki 50mm z magnesem,komplet, karbon czarny CS </v>
      </c>
      <c r="Z37" s="164" t="str">
        <f>CenAVS!B187</f>
        <v>956.1004</v>
      </c>
      <c r="AA37" s="301" t="str">
        <f>CenAVS!C187</f>
        <v>CS</v>
      </c>
      <c r="AB37" s="165">
        <f>SUM(AE37,AG37)</f>
        <v>0</v>
      </c>
      <c r="AC37" s="395">
        <f>CenAVS!F187</f>
        <v>12.830769999999999</v>
      </c>
      <c r="AD37" s="167">
        <f>AB37*AC37</f>
        <v>0</v>
      </c>
      <c r="AE37" s="407"/>
      <c r="AF37" s="168">
        <f>$AC37*AE37</f>
        <v>0</v>
      </c>
      <c r="AG37" s="407"/>
      <c r="AH37" s="168">
        <f>$AC37*AG37</f>
        <v>0</v>
      </c>
      <c r="AI37" s="108"/>
      <c r="AJ37" s="108"/>
      <c r="AK37" s="108"/>
      <c r="AL37" s="137"/>
      <c r="AM37" s="137"/>
      <c r="AN37" s="137"/>
      <c r="AO37" s="137"/>
      <c r="AP37" s="137"/>
      <c r="AQ37" s="137"/>
      <c r="AR37" s="137"/>
      <c r="AS37" s="137"/>
      <c r="AT37" s="137"/>
      <c r="AU37" s="137"/>
      <c r="AV37" s="137"/>
    </row>
    <row r="38" spans="2:49" ht="16.149999999999999" customHeight="1" x14ac:dyDescent="0.2">
      <c r="B38" s="274" t="s">
        <v>83</v>
      </c>
      <c r="C38" s="255" t="str">
        <f>ListAVS!$B$187</f>
        <v>Jeżeli znasz wagę i nie chcesz skorzystać z "obliczenie wagi"</v>
      </c>
      <c r="D38" s="255"/>
      <c r="E38" s="255"/>
      <c r="F38" s="255"/>
      <c r="G38" s="255"/>
      <c r="H38" s="255"/>
      <c r="I38" s="255"/>
      <c r="J38" s="255"/>
      <c r="K38" s="255"/>
      <c r="L38" s="255"/>
      <c r="N38" s="37" t="str">
        <f>" * "&amp;ListAVS!$B$128</f>
        <v xml:space="preserve"> * Wypełnij wartości</v>
      </c>
      <c r="X38" s="108"/>
      <c r="Y38" s="164"/>
      <c r="Z38" s="164"/>
      <c r="AA38" s="301"/>
      <c r="AB38" s="165"/>
      <c r="AC38" s="395"/>
      <c r="AD38" s="167"/>
      <c r="AE38" s="407"/>
      <c r="AF38" s="168"/>
      <c r="AG38" s="407"/>
      <c r="AH38" s="168"/>
      <c r="AI38" s="108"/>
      <c r="AJ38" s="108"/>
      <c r="AK38" s="108"/>
      <c r="AL38" s="137"/>
      <c r="AM38" s="37"/>
      <c r="AN38" s="37"/>
      <c r="AO38" s="37"/>
      <c r="AP38" s="37"/>
      <c r="AQ38" s="37"/>
      <c r="AR38" s="37"/>
      <c r="AS38" s="37"/>
      <c r="AT38" s="37"/>
      <c r="AU38" s="37"/>
      <c r="AV38" s="37"/>
    </row>
    <row r="39" spans="2:49" ht="16.149999999999999" customHeight="1" x14ac:dyDescent="0.2">
      <c r="B39" s="274" t="s">
        <v>85</v>
      </c>
      <c r="C39" s="255" t="str">
        <f>ListAVS!$B$25</f>
        <v>Materiały o grubości od 8 do 14 mm</v>
      </c>
      <c r="D39" s="255"/>
      <c r="E39" s="255"/>
      <c r="F39" s="255"/>
      <c r="G39" s="255"/>
      <c r="H39" s="255"/>
      <c r="I39" s="255"/>
      <c r="J39" s="255"/>
      <c r="K39" s="255"/>
      <c r="L39" s="255"/>
      <c r="N39" s="37" t="str">
        <f>" min. 220! "&amp;ListAVS!$B$122</f>
        <v xml:space="preserve"> min. 220! Popraw wagę albo wysokość</v>
      </c>
      <c r="X39" s="108"/>
      <c r="Y39" s="164"/>
      <c r="Z39" s="164"/>
      <c r="AA39" s="301"/>
      <c r="AB39" s="165"/>
      <c r="AC39" s="395"/>
      <c r="AD39" s="167"/>
      <c r="AE39" s="407"/>
      <c r="AF39" s="168"/>
      <c r="AG39" s="407"/>
      <c r="AH39" s="168"/>
      <c r="AI39" s="108"/>
      <c r="AJ39" s="108"/>
      <c r="AK39" s="108"/>
      <c r="AL39" s="37"/>
      <c r="AM39" s="37"/>
      <c r="AN39" s="37"/>
      <c r="AO39" s="37"/>
      <c r="AP39" s="37"/>
      <c r="AQ39" s="37"/>
      <c r="AR39" s="37"/>
      <c r="AS39" s="37"/>
      <c r="AT39" s="37"/>
      <c r="AU39" s="37"/>
      <c r="AV39" s="37"/>
    </row>
    <row r="40" spans="2:49" ht="16.149999999999999" customHeight="1" x14ac:dyDescent="0.2">
      <c r="N40" s="37" t="str">
        <f>" max. 3.322! "&amp;ListAVS!$B$122</f>
        <v xml:space="preserve"> max. 3.322! Popraw wagę albo wysokość</v>
      </c>
      <c r="O40" s="37"/>
      <c r="Q40" s="37"/>
      <c r="X40" s="108"/>
      <c r="Y40" s="164"/>
      <c r="Z40" s="164"/>
      <c r="AA40" s="301"/>
      <c r="AB40" s="165"/>
      <c r="AC40" s="395"/>
      <c r="AD40" s="167"/>
      <c r="AE40" s="407"/>
      <c r="AF40" s="168"/>
      <c r="AG40" s="407"/>
      <c r="AH40" s="168"/>
      <c r="AI40" s="108"/>
      <c r="AJ40" s="108"/>
      <c r="AK40" s="108"/>
      <c r="AL40" s="37"/>
      <c r="AM40" s="37"/>
      <c r="AN40" s="37"/>
      <c r="AO40" s="37"/>
      <c r="AP40" s="37"/>
      <c r="AQ40" s="37"/>
      <c r="AR40" s="37"/>
      <c r="AS40" s="37"/>
      <c r="AT40" s="37"/>
      <c r="AU40" s="37"/>
      <c r="AV40" s="37"/>
      <c r="AW40" s="37"/>
    </row>
    <row r="41" spans="2:49" ht="16.149999999999999" customHeight="1" x14ac:dyDescent="0.2">
      <c r="B41" s="1020" t="str">
        <f>ListAVS!$B$420</f>
        <v xml:space="preserve">Należy pamiętać, że istnieje wiele różnych materiałów. Ze względu na różne gęstości  nie ma gwarancji, że wszystkie materiały będą nadawały się do każdego rozmiaru korpusu. Szczególnie w przypadku lżejszych materiałów ciężar frontu może nie osiągnąć wartości minimalnej dla danego wymiaru. Jeśli po prawidłowym wprowadzeniu wszystkich parametrów, na liście zamówienia nie wyświetlą się żadne wartości, prawdopodobnie waga frontu jest poniżej wartości minimalnej. W takim przypadku wyliczenie podnośników nie może być wykonane. </v>
      </c>
      <c r="C41" s="1020"/>
      <c r="D41" s="1020"/>
      <c r="E41" s="1020"/>
      <c r="F41" s="1020"/>
      <c r="G41" s="1020"/>
      <c r="H41" s="1020"/>
      <c r="I41" s="1020"/>
      <c r="J41" s="1020"/>
      <c r="K41" s="1020"/>
      <c r="L41" s="1020"/>
      <c r="N41" s="37" t="str">
        <f>" max. 2.215! "&amp;ListAVS!$B$122</f>
        <v xml:space="preserve"> max. 2.215! Popraw wagę albo wysokość</v>
      </c>
      <c r="X41" s="108"/>
      <c r="Y41" s="164"/>
      <c r="Z41" s="164"/>
      <c r="AA41" s="301"/>
      <c r="AB41" s="165"/>
      <c r="AC41" s="395"/>
      <c r="AD41" s="167"/>
      <c r="AE41" s="407"/>
      <c r="AF41" s="168"/>
      <c r="AG41" s="407"/>
      <c r="AH41" s="168"/>
      <c r="AI41" s="108"/>
      <c r="AJ41" s="108"/>
      <c r="AK41" s="108"/>
      <c r="AL41" s="37"/>
      <c r="AM41" s="137"/>
      <c r="AN41" s="137"/>
      <c r="AO41" s="137"/>
      <c r="AP41" s="137"/>
      <c r="AQ41" s="137"/>
      <c r="AR41" s="137"/>
      <c r="AS41" s="137"/>
      <c r="AT41" s="137"/>
      <c r="AU41" s="137"/>
      <c r="AV41" s="137"/>
      <c r="AW41" s="37"/>
    </row>
    <row r="42" spans="2:49" s="37" customFormat="1" ht="16.149999999999999" customHeight="1" x14ac:dyDescent="0.2">
      <c r="B42" s="1020"/>
      <c r="C42" s="1020"/>
      <c r="D42" s="1020"/>
      <c r="E42" s="1020"/>
      <c r="F42" s="1020"/>
      <c r="G42" s="1020"/>
      <c r="H42" s="1020"/>
      <c r="I42" s="1020"/>
      <c r="J42" s="1020"/>
      <c r="K42" s="1020"/>
      <c r="L42" s="1020"/>
      <c r="N42" s="149" t="str">
        <f>"                       "&amp;ListAVS!$B$123</f>
        <v xml:space="preserve">                       lub dodaj trzeci siłownik</v>
      </c>
      <c r="O42" s="118"/>
      <c r="Q42" s="118"/>
      <c r="X42" s="108"/>
      <c r="Y42" s="164"/>
      <c r="Z42" s="164"/>
      <c r="AA42" s="301"/>
      <c r="AB42" s="165"/>
      <c r="AC42" s="395"/>
      <c r="AD42" s="167"/>
      <c r="AE42" s="407"/>
      <c r="AF42" s="168"/>
      <c r="AG42" s="407"/>
      <c r="AH42" s="168"/>
      <c r="AI42" s="108"/>
      <c r="AJ42" s="108"/>
      <c r="AK42" s="108"/>
      <c r="AL42" s="137"/>
      <c r="AM42" s="137"/>
      <c r="AN42" s="137"/>
      <c r="AO42" s="137"/>
      <c r="AP42" s="137"/>
      <c r="AQ42" s="137"/>
      <c r="AR42" s="137"/>
      <c r="AS42" s="137"/>
      <c r="AT42" s="137"/>
      <c r="AU42" s="137"/>
      <c r="AV42" s="137"/>
    </row>
    <row r="43" spans="2:49" s="37" customFormat="1" ht="16.149999999999999" customHeight="1" x14ac:dyDescent="0.2">
      <c r="B43" s="1020"/>
      <c r="C43" s="1020"/>
      <c r="D43" s="1020"/>
      <c r="E43" s="1020"/>
      <c r="F43" s="1020"/>
      <c r="G43" s="1020"/>
      <c r="H43" s="1020"/>
      <c r="I43" s="1020"/>
      <c r="J43" s="1020"/>
      <c r="K43" s="1020"/>
      <c r="L43" s="1020"/>
      <c r="O43" s="118"/>
      <c r="Q43" s="118"/>
      <c r="X43" s="108"/>
      <c r="Y43" s="164"/>
      <c r="Z43" s="164"/>
      <c r="AA43" s="301"/>
      <c r="AB43" s="165"/>
      <c r="AC43" s="395"/>
      <c r="AD43" s="167"/>
      <c r="AE43" s="407"/>
      <c r="AF43" s="168"/>
      <c r="AG43" s="407"/>
      <c r="AH43" s="168"/>
      <c r="AI43" s="108"/>
      <c r="AJ43" s="108"/>
      <c r="AK43" s="108"/>
      <c r="AL43" s="137"/>
      <c r="AM43" s="137"/>
      <c r="AN43" s="137"/>
      <c r="AO43" s="137"/>
      <c r="AP43" s="137"/>
      <c r="AQ43" s="137"/>
      <c r="AR43" s="137"/>
      <c r="AS43" s="137"/>
      <c r="AT43" s="137"/>
      <c r="AU43" s="137"/>
      <c r="AV43" s="137"/>
      <c r="AW43" s="121"/>
    </row>
    <row r="44" spans="2:49" s="37" customFormat="1" ht="16.149999999999999" customHeight="1" x14ac:dyDescent="0.2">
      <c r="B44" s="1020"/>
      <c r="C44" s="1020"/>
      <c r="D44" s="1020"/>
      <c r="E44" s="1020"/>
      <c r="F44" s="1020"/>
      <c r="G44" s="1020"/>
      <c r="H44" s="1020"/>
      <c r="I44" s="1020"/>
      <c r="J44" s="1020"/>
      <c r="K44" s="1020"/>
      <c r="L44" s="1020"/>
      <c r="N44" s="117">
        <v>1</v>
      </c>
      <c r="O44" s="118"/>
      <c r="P44" s="117">
        <v>1</v>
      </c>
      <c r="Q44" s="118"/>
      <c r="R44" s="117"/>
      <c r="T44" s="117">
        <f>MenuAVS!$U$28</f>
        <v>1</v>
      </c>
      <c r="X44" s="108"/>
      <c r="Y44" s="164"/>
      <c r="Z44" s="164"/>
      <c r="AA44" s="301"/>
      <c r="AB44" s="165"/>
      <c r="AC44" s="395"/>
      <c r="AD44" s="167"/>
      <c r="AE44" s="407"/>
      <c r="AF44" s="168"/>
      <c r="AG44" s="407"/>
      <c r="AH44" s="168"/>
      <c r="AI44" s="108"/>
      <c r="AJ44" s="108"/>
      <c r="AK44" s="108"/>
      <c r="AL44" s="137"/>
      <c r="AM44" s="137"/>
      <c r="AN44" s="137"/>
      <c r="AO44" s="137"/>
      <c r="AP44" s="137"/>
      <c r="AQ44" s="137"/>
      <c r="AR44" s="137"/>
      <c r="AS44" s="137"/>
      <c r="AT44" s="137"/>
      <c r="AU44" s="137"/>
      <c r="AV44" s="137"/>
      <c r="AW44" s="121"/>
    </row>
    <row r="45" spans="2:49" ht="16.149999999999999" customHeight="1" x14ac:dyDescent="0.2">
      <c r="B45" s="1020"/>
      <c r="C45" s="1020"/>
      <c r="D45" s="1020"/>
      <c r="E45" s="1020"/>
      <c r="F45" s="1020"/>
      <c r="G45" s="1020"/>
      <c r="H45" s="1020"/>
      <c r="I45" s="1020"/>
      <c r="J45" s="1020"/>
      <c r="K45" s="1020"/>
      <c r="L45" s="1020"/>
      <c r="N45" s="153" t="s">
        <v>7</v>
      </c>
      <c r="P45" s="153" t="s">
        <v>8</v>
      </c>
      <c r="R45" s="153"/>
      <c r="T45" s="153" t="s">
        <v>6</v>
      </c>
      <c r="V45" s="208" t="s">
        <v>18</v>
      </c>
      <c r="X45" s="108"/>
      <c r="Y45" s="37"/>
      <c r="Z45" s="37"/>
      <c r="AA45" s="37"/>
      <c r="AB45" s="37"/>
      <c r="AC45" s="37"/>
      <c r="AD45" s="37"/>
      <c r="AE45" s="37"/>
      <c r="AF45" s="37"/>
      <c r="AG45" s="118"/>
      <c r="AH45" s="37"/>
      <c r="AI45" s="108"/>
      <c r="AJ45" s="108"/>
      <c r="AK45" s="108"/>
      <c r="AL45" s="137"/>
      <c r="AM45" s="137"/>
      <c r="AN45" s="137"/>
      <c r="AO45" s="137"/>
      <c r="AP45" s="137"/>
      <c r="AQ45" s="137"/>
      <c r="AR45" s="137"/>
      <c r="AS45" s="137"/>
      <c r="AT45" s="137"/>
      <c r="AU45" s="137"/>
      <c r="AV45" s="137"/>
    </row>
    <row r="46" spans="2:49" ht="16.149999999999999" customHeight="1" x14ac:dyDescent="0.2">
      <c r="B46" s="150"/>
      <c r="C46" s="148"/>
      <c r="D46" s="148"/>
      <c r="E46" s="148"/>
      <c r="F46" s="148"/>
      <c r="G46" s="148"/>
      <c r="H46" s="148"/>
      <c r="I46" s="148"/>
      <c r="J46" s="148"/>
      <c r="K46" s="148"/>
      <c r="R46" s="118"/>
      <c r="T46" s="37" t="str">
        <f>ListAVS!$B$146</f>
        <v>Jasnoszary (HGR)</v>
      </c>
      <c r="V46" s="209" t="s">
        <v>58</v>
      </c>
      <c r="X46" s="108"/>
      <c r="Y46" s="37"/>
      <c r="Z46" s="37"/>
      <c r="AA46" s="37"/>
      <c r="AB46" s="37"/>
      <c r="AC46" s="144" t="str">
        <f>ListAVS!$B$61&amp;" "</f>
        <v xml:space="preserve">Cena całkowita bez VAT </v>
      </c>
      <c r="AD46" s="171">
        <f>SUM(AD9:AD43)</f>
        <v>0</v>
      </c>
      <c r="AE46" s="37"/>
      <c r="AF46" s="201">
        <f>SUM(AF9:AF45)</f>
        <v>0</v>
      </c>
      <c r="AG46" s="37"/>
      <c r="AH46" s="201">
        <f>SUM(AH9:AH45)</f>
        <v>0</v>
      </c>
      <c r="AI46" s="108"/>
      <c r="AJ46" s="108"/>
      <c r="AK46" s="108"/>
      <c r="AL46" s="137"/>
      <c r="AM46" s="137"/>
      <c r="AN46" s="137"/>
      <c r="AO46" s="137"/>
      <c r="AP46" s="137"/>
      <c r="AQ46" s="137"/>
      <c r="AR46" s="137"/>
      <c r="AS46" s="137"/>
      <c r="AT46" s="137"/>
      <c r="AU46" s="137"/>
      <c r="AV46" s="137"/>
    </row>
    <row r="47" spans="2:49" ht="16.149999999999999" customHeight="1" x14ac:dyDescent="0.2">
      <c r="B47" s="152"/>
      <c r="C47" s="127"/>
      <c r="D47" s="127"/>
      <c r="E47" s="127"/>
      <c r="F47" s="127"/>
      <c r="G47" s="127"/>
      <c r="I47" s="127"/>
      <c r="J47" s="127"/>
      <c r="R47" s="118"/>
      <c r="T47" s="37" t="str">
        <f>ListAVS!$B$147</f>
        <v>Ciemnoszary (TGR)</v>
      </c>
      <c r="V47" s="209" t="s">
        <v>107</v>
      </c>
      <c r="X47" s="108"/>
      <c r="Y47" s="108"/>
      <c r="Z47" s="108"/>
      <c r="AA47" s="108"/>
      <c r="AB47" s="108"/>
      <c r="AC47" s="108"/>
      <c r="AD47" s="108"/>
      <c r="AE47" s="108"/>
      <c r="AF47" s="108"/>
      <c r="AG47" s="108"/>
      <c r="AH47" s="108"/>
      <c r="AI47" s="108"/>
      <c r="AJ47" s="108"/>
      <c r="AK47" s="108"/>
      <c r="AL47" s="137"/>
      <c r="AM47" s="137"/>
      <c r="AN47" s="137"/>
      <c r="AO47" s="137"/>
      <c r="AP47" s="137"/>
      <c r="AQ47" s="137"/>
      <c r="AR47" s="137"/>
      <c r="AS47" s="137"/>
      <c r="AT47" s="137"/>
      <c r="AU47" s="137"/>
      <c r="AV47" s="137"/>
    </row>
    <row r="48" spans="2:49" ht="16.149999999999999" customHeight="1" x14ac:dyDescent="0.2">
      <c r="B48" s="127"/>
      <c r="C48" s="127"/>
      <c r="D48" s="127"/>
      <c r="E48" s="127"/>
      <c r="F48" s="127"/>
      <c r="G48" s="127"/>
      <c r="I48" s="127"/>
      <c r="J48" s="127"/>
      <c r="T48" s="37" t="str">
        <f>ListAVS!$B$148</f>
        <v>Jedwabiście biały (SW)</v>
      </c>
      <c r="X48" s="108"/>
      <c r="Y48" s="108"/>
      <c r="Z48" s="108"/>
      <c r="AA48" s="108"/>
      <c r="AB48" s="108"/>
      <c r="AC48" s="108"/>
      <c r="AD48" s="108"/>
      <c r="AE48" s="108"/>
      <c r="AF48" s="108"/>
      <c r="AG48" s="108"/>
      <c r="AH48" s="108"/>
      <c r="AI48" s="108"/>
      <c r="AJ48" s="108"/>
      <c r="AK48" s="108"/>
      <c r="AL48" s="137"/>
      <c r="AM48" s="137"/>
      <c r="AN48" s="137"/>
      <c r="AO48" s="137"/>
      <c r="AP48" s="137"/>
      <c r="AQ48" s="137"/>
      <c r="AR48" s="137"/>
      <c r="AS48" s="137"/>
      <c r="AT48" s="137"/>
      <c r="AU48" s="137"/>
      <c r="AV48" s="137"/>
    </row>
    <row r="49" spans="1:49" ht="16.149999999999999" customHeight="1" x14ac:dyDescent="0.2">
      <c r="B49" s="152"/>
      <c r="C49" s="127"/>
      <c r="D49" s="127"/>
      <c r="E49" s="127"/>
      <c r="F49" s="127"/>
      <c r="G49" s="127"/>
      <c r="I49" s="127"/>
      <c r="J49" s="127"/>
      <c r="N49" s="37" t="str">
        <f>ListAVS!B188&amp;". "</f>
        <v xml:space="preserve">W celu określenia rodzaju siłownika będzie wykorzystana podana waga. </v>
      </c>
      <c r="X49" s="108"/>
      <c r="Y49" s="108"/>
      <c r="Z49" s="108"/>
      <c r="AA49" s="108"/>
      <c r="AB49" s="108"/>
      <c r="AC49" s="108"/>
      <c r="AD49" s="108"/>
      <c r="AE49" s="108"/>
      <c r="AF49" s="108"/>
      <c r="AG49" s="108"/>
      <c r="AH49" s="108"/>
      <c r="AI49" s="108"/>
      <c r="AJ49" s="108"/>
      <c r="AK49" s="108"/>
      <c r="AL49" s="137"/>
      <c r="AM49" s="137"/>
      <c r="AN49" s="137"/>
      <c r="AO49" s="137"/>
      <c r="AP49" s="137"/>
      <c r="AQ49" s="137"/>
      <c r="AR49" s="137"/>
      <c r="AS49" s="137"/>
      <c r="AT49" s="137"/>
      <c r="AU49" s="137"/>
      <c r="AV49" s="137"/>
    </row>
    <row r="50" spans="1:49" ht="16.149999999999999" customHeight="1" x14ac:dyDescent="0.2">
      <c r="B50" s="144"/>
      <c r="C50" s="127"/>
      <c r="N50" s="37" t="str">
        <f>ListAVS!B189&amp;". "</f>
        <v xml:space="preserve">W celu określenia rodzaju siłownika będzie wykorzystana obliczona waga. </v>
      </c>
      <c r="X50" s="108"/>
      <c r="Y50" s="108"/>
      <c r="Z50" s="108"/>
      <c r="AA50" s="108"/>
      <c r="AB50" s="108"/>
      <c r="AC50" s="108"/>
      <c r="AD50" s="108"/>
      <c r="AE50" s="108"/>
      <c r="AF50" s="108"/>
      <c r="AG50" s="108"/>
      <c r="AH50" s="108"/>
      <c r="AI50" s="108"/>
      <c r="AJ50" s="108"/>
      <c r="AK50" s="108"/>
      <c r="AL50" s="137"/>
      <c r="AM50" s="137"/>
      <c r="AN50" s="137"/>
      <c r="AO50" s="137"/>
      <c r="AP50" s="137"/>
      <c r="AQ50" s="137"/>
      <c r="AR50" s="137"/>
      <c r="AS50" s="137"/>
      <c r="AT50" s="137"/>
      <c r="AU50" s="137"/>
      <c r="AV50" s="137"/>
    </row>
    <row r="51" spans="1:49" ht="16.149999999999999" customHeight="1" x14ac:dyDescent="0.2">
      <c r="B51" s="144"/>
      <c r="N51" s="37" t="str">
        <f>ListAVS!B190</f>
        <v>Jeżeli chcesz wykorzystać obliczoną wagę, zmaż podaną wartość</v>
      </c>
      <c r="X51" s="108"/>
      <c r="Y51" s="108"/>
      <c r="Z51" s="108"/>
      <c r="AA51" s="108"/>
      <c r="AB51" s="108"/>
      <c r="AC51" s="108"/>
      <c r="AD51" s="108"/>
      <c r="AE51" s="108"/>
      <c r="AF51" s="108"/>
      <c r="AG51" s="108"/>
      <c r="AH51" s="108"/>
      <c r="AI51" s="108"/>
      <c r="AJ51" s="108"/>
      <c r="AK51" s="108"/>
      <c r="AL51" s="137"/>
      <c r="AM51" s="137"/>
      <c r="AN51" s="137"/>
      <c r="AO51" s="137"/>
      <c r="AP51" s="137"/>
      <c r="AQ51" s="137"/>
      <c r="AR51" s="137"/>
      <c r="AS51" s="137"/>
      <c r="AT51" s="137"/>
      <c r="AU51" s="137"/>
      <c r="AV51" s="137"/>
    </row>
    <row r="52" spans="1:49" ht="16.149999999999999" customHeight="1" x14ac:dyDescent="0.2">
      <c r="B52" s="155"/>
      <c r="D52" s="155"/>
      <c r="E52" s="155"/>
      <c r="F52" s="155"/>
      <c r="G52" s="155"/>
      <c r="I52" s="155"/>
      <c r="J52" s="155"/>
      <c r="N52" s="37" t="str">
        <f>ListAVS!B191</f>
        <v>Jeżeli chcesz wykorzystać podaną wagą, wpisz ją w pole</v>
      </c>
      <c r="X52" s="108"/>
      <c r="Y52" s="108"/>
      <c r="Z52" s="108"/>
      <c r="AA52" s="108"/>
      <c r="AB52" s="108"/>
      <c r="AC52" s="108"/>
      <c r="AD52" s="108"/>
      <c r="AE52" s="108"/>
      <c r="AF52" s="108"/>
      <c r="AG52" s="108"/>
      <c r="AH52" s="108"/>
      <c r="AI52" s="108"/>
      <c r="AJ52" s="108"/>
      <c r="AK52" s="108"/>
      <c r="AL52" s="137"/>
      <c r="AM52" s="137"/>
      <c r="AN52" s="137"/>
      <c r="AO52" s="137"/>
      <c r="AP52" s="137"/>
      <c r="AQ52" s="137"/>
      <c r="AR52" s="137"/>
      <c r="AS52" s="137"/>
      <c r="AT52" s="137"/>
      <c r="AU52" s="137"/>
      <c r="AV52" s="137"/>
    </row>
    <row r="53" spans="1:49" ht="16.149999999999999" customHeight="1" x14ac:dyDescent="0.2">
      <c r="X53" s="108"/>
      <c r="Y53" s="108"/>
      <c r="Z53" s="108"/>
      <c r="AA53" s="108"/>
      <c r="AB53" s="108"/>
      <c r="AC53" s="108"/>
      <c r="AD53" s="108"/>
      <c r="AE53" s="108"/>
      <c r="AF53" s="108"/>
      <c r="AG53" s="108"/>
      <c r="AH53" s="108"/>
      <c r="AI53" s="108"/>
      <c r="AJ53" s="108"/>
      <c r="AK53" s="108"/>
      <c r="AL53" s="137"/>
      <c r="AM53" s="137"/>
      <c r="AN53" s="137"/>
      <c r="AO53" s="137"/>
      <c r="AP53" s="137"/>
      <c r="AQ53" s="137"/>
      <c r="AR53" s="137"/>
      <c r="AS53" s="137"/>
      <c r="AT53" s="137"/>
      <c r="AU53" s="137"/>
      <c r="AV53" s="137"/>
    </row>
    <row r="54" spans="1:49" ht="16.149999999999999" customHeight="1" x14ac:dyDescent="0.2">
      <c r="X54" s="108"/>
      <c r="Y54" s="108"/>
      <c r="Z54" s="108"/>
      <c r="AA54" s="108"/>
      <c r="AB54" s="108"/>
      <c r="AC54" s="108"/>
      <c r="AD54" s="108"/>
      <c r="AE54" s="108"/>
      <c r="AF54" s="108"/>
      <c r="AG54" s="108"/>
      <c r="AH54" s="108"/>
      <c r="AI54" s="108"/>
      <c r="AJ54" s="108"/>
      <c r="AK54" s="108"/>
      <c r="AL54" s="137"/>
      <c r="AM54" s="137"/>
      <c r="AN54" s="137"/>
      <c r="AO54" s="137"/>
      <c r="AP54" s="137"/>
      <c r="AQ54" s="137"/>
      <c r="AR54" s="137"/>
      <c r="AS54" s="137"/>
      <c r="AT54" s="137"/>
      <c r="AU54" s="137"/>
      <c r="AV54" s="137"/>
    </row>
    <row r="55" spans="1:49" ht="16.149999999999999" customHeight="1" x14ac:dyDescent="0.2">
      <c r="X55" s="108"/>
      <c r="Y55" s="108"/>
      <c r="Z55" s="108"/>
      <c r="AA55" s="108"/>
      <c r="AB55" s="108"/>
      <c r="AC55" s="108"/>
      <c r="AD55" s="108"/>
      <c r="AE55" s="108"/>
      <c r="AF55" s="108"/>
      <c r="AG55" s="108"/>
      <c r="AH55" s="108"/>
      <c r="AI55" s="108"/>
      <c r="AJ55" s="108"/>
      <c r="AK55" s="108"/>
      <c r="AL55" s="137"/>
      <c r="AM55" s="137"/>
      <c r="AN55" s="137"/>
      <c r="AO55" s="137"/>
      <c r="AP55" s="37"/>
      <c r="AQ55" s="37"/>
      <c r="AR55" s="37"/>
      <c r="AS55" s="37"/>
      <c r="AT55" s="37"/>
      <c r="AU55" s="37"/>
      <c r="AV55" s="37"/>
    </row>
    <row r="56" spans="1:49" ht="16.149999999999999" customHeight="1" x14ac:dyDescent="0.2">
      <c r="X56" s="108"/>
      <c r="Y56" s="108"/>
      <c r="Z56" s="108"/>
      <c r="AA56" s="108"/>
      <c r="AB56" s="108"/>
      <c r="AC56" s="108"/>
      <c r="AD56" s="108"/>
      <c r="AE56" s="108"/>
      <c r="AF56" s="108"/>
      <c r="AG56" s="108"/>
      <c r="AH56" s="108"/>
      <c r="AI56" s="108"/>
      <c r="AJ56" s="108"/>
      <c r="AK56" s="108"/>
      <c r="AL56" s="137"/>
      <c r="AM56" s="137"/>
      <c r="AN56" s="137"/>
      <c r="AO56" s="137"/>
      <c r="AP56" s="37"/>
      <c r="AQ56" s="37"/>
      <c r="AR56" s="37"/>
      <c r="AS56" s="37"/>
      <c r="AT56" s="37"/>
      <c r="AU56" s="37"/>
      <c r="AV56" s="37"/>
    </row>
    <row r="57" spans="1:49" ht="16.149999999999999" customHeight="1" x14ac:dyDescent="0.2">
      <c r="O57" s="37"/>
      <c r="Q57" s="37"/>
      <c r="X57" s="37"/>
      <c r="Y57" s="758" t="str">
        <f>IF($Z$63=1,$Z$64,IF($Z$63=2,$Z$65,IF($Z$63=3,$Z$66,IF($Z$63=4,$Z$67,IF($Z$63=5,$Z$68,IF($Z$63=6,$Z$69,IF($Z$63=7,$Z$70,$Z$71&amp;" "&amp;$Y$71&amp;"kg/m3")))))))&amp;" A~"&amp;$T$69&amp;"/ B~"&amp;$T$80&amp;"mm"</f>
        <v>Płyta kompaktowa (1350 kg/m3) A~0/ B~0mm</v>
      </c>
      <c r="Z57" s="118"/>
      <c r="AA57" s="37"/>
      <c r="AB57" s="118"/>
      <c r="AC57" s="37"/>
      <c r="AD57" s="108"/>
      <c r="AE57" s="108"/>
      <c r="AF57" s="108"/>
      <c r="AG57" s="108"/>
      <c r="AH57" s="108"/>
      <c r="AI57" s="108"/>
      <c r="AJ57" s="108"/>
      <c r="AK57" s="108"/>
      <c r="AL57" s="137"/>
      <c r="AM57" s="137"/>
      <c r="AN57" s="137"/>
      <c r="AO57" s="137"/>
      <c r="AP57" s="137"/>
      <c r="AQ57" s="137"/>
      <c r="AR57" s="137"/>
      <c r="AS57" s="137"/>
      <c r="AT57" s="137"/>
      <c r="AU57" s="137"/>
      <c r="AV57" s="137"/>
      <c r="AW57" s="37"/>
    </row>
    <row r="58" spans="1:49" x14ac:dyDescent="0.2">
      <c r="X58" s="37"/>
      <c r="Y58" s="37" t="str">
        <f>" "&amp;ListAVS!$B$410</f>
        <v xml:space="preserve"> Możesz zmienić wartości we Wstępie do planowania</v>
      </c>
      <c r="Z58" s="118"/>
      <c r="AA58" s="37"/>
      <c r="AB58" s="118"/>
      <c r="AC58" s="37"/>
      <c r="AD58" s="37"/>
      <c r="AE58" s="37"/>
      <c r="AF58" s="37"/>
      <c r="AG58" s="37"/>
      <c r="AH58" s="37"/>
      <c r="AI58" s="37"/>
      <c r="AJ58" s="37"/>
      <c r="AK58" s="37"/>
      <c r="AL58" s="137"/>
      <c r="AM58" s="137"/>
      <c r="AN58" s="137"/>
      <c r="AO58" s="137"/>
      <c r="AP58" s="137"/>
      <c r="AQ58" s="137"/>
      <c r="AR58" s="137"/>
      <c r="AS58" s="137"/>
      <c r="AT58" s="137"/>
      <c r="AU58" s="137"/>
      <c r="AV58" s="137"/>
    </row>
    <row r="59" spans="1:49" ht="12.75" x14ac:dyDescent="0.2">
      <c r="A59" s="255"/>
      <c r="N59" s="255"/>
      <c r="O59" s="255"/>
      <c r="P59" s="255"/>
      <c r="Q59" s="255"/>
      <c r="R59" s="255"/>
      <c r="S59" s="255"/>
      <c r="T59" s="255"/>
      <c r="U59" s="255"/>
      <c r="V59" s="255"/>
      <c r="W59" s="255"/>
      <c r="X59" s="37"/>
      <c r="Y59" s="37" t="str">
        <f>" "&amp;ListAVS!$B$245&amp;" [kg/m3]"</f>
        <v xml:space="preserve"> Podaj masę objętościową [kg/m3]</v>
      </c>
      <c r="Z59" s="118"/>
      <c r="AA59" s="37"/>
      <c r="AB59" s="118"/>
      <c r="AC59" s="37"/>
      <c r="AD59" s="108"/>
      <c r="AE59" s="37"/>
      <c r="AF59" s="37"/>
      <c r="AG59" s="37"/>
      <c r="AH59" s="37"/>
      <c r="AI59" s="37"/>
      <c r="AJ59" s="37"/>
      <c r="AK59" s="37"/>
      <c r="AL59" s="137"/>
      <c r="AM59" s="137"/>
      <c r="AN59" s="137"/>
      <c r="AO59" s="137"/>
      <c r="AP59" s="137"/>
      <c r="AQ59" s="137"/>
      <c r="AR59" s="137"/>
      <c r="AS59" s="137"/>
      <c r="AT59" s="137"/>
      <c r="AU59" s="137"/>
      <c r="AV59" s="137"/>
    </row>
    <row r="60" spans="1:49" ht="12.75" x14ac:dyDescent="0.2">
      <c r="A60" s="255"/>
      <c r="N60" s="517" t="str">
        <f>ListAVS!$B$73</f>
        <v>Obliczanie wagi frontów</v>
      </c>
      <c r="O60" s="518"/>
      <c r="P60" s="518"/>
      <c r="Q60" s="518"/>
      <c r="R60" s="518"/>
      <c r="S60" s="255"/>
      <c r="T60" s="255"/>
      <c r="U60" s="255"/>
      <c r="V60" s="255"/>
      <c r="W60" s="255"/>
      <c r="X60" s="37"/>
      <c r="Y60" s="37" t="str">
        <f>" "&amp;ListAVS!$B$241&amp;" '"&amp;ListAVS!$B$92&amp;"'"</f>
        <v xml:space="preserve"> Wartość obowiązuje tylko dla opcji 'Inne – wybrana gęstość materiału'</v>
      </c>
      <c r="Z60" s="118"/>
      <c r="AA60" s="37"/>
      <c r="AB60" s="118"/>
      <c r="AC60" s="37"/>
      <c r="AD60" s="108"/>
      <c r="AE60" s="37"/>
      <c r="AF60" s="37"/>
      <c r="AG60" s="37"/>
      <c r="AH60" s="37"/>
      <c r="AI60" s="37"/>
      <c r="AJ60" s="37"/>
      <c r="AK60" s="37"/>
      <c r="AL60" s="137"/>
      <c r="AM60" s="137"/>
      <c r="AN60" s="137"/>
      <c r="AO60" s="137"/>
      <c r="AP60" s="137"/>
      <c r="AQ60" s="137"/>
      <c r="AR60" s="137"/>
      <c r="AS60" s="137"/>
      <c r="AT60" s="137"/>
      <c r="AU60" s="137"/>
      <c r="AV60" s="137"/>
    </row>
    <row r="61" spans="1:49" ht="15.75" customHeight="1" x14ac:dyDescent="0.2">
      <c r="A61" s="255"/>
      <c r="N61" s="255"/>
      <c r="O61" s="269"/>
      <c r="P61" s="269" t="str">
        <f>ListAVS!$B$26&amp;"           "</f>
        <v xml:space="preserve">Materiał            </v>
      </c>
      <c r="Q61" s="255"/>
      <c r="R61" s="255"/>
      <c r="S61" s="255"/>
      <c r="T61" s="833">
        <f>J4</f>
        <v>0</v>
      </c>
      <c r="U61" s="262" t="str">
        <f>IF(Z64=3,IF(T61=0,Y59," "),IF(T61&gt;0,Y60," "))</f>
        <v xml:space="preserve"> </v>
      </c>
      <c r="V61" s="255"/>
      <c r="W61" s="255"/>
      <c r="X61" s="37"/>
      <c r="Y61" s="37"/>
      <c r="Z61" s="118"/>
      <c r="AA61" s="37"/>
      <c r="AB61" s="118"/>
      <c r="AC61" s="37"/>
      <c r="AD61" s="108"/>
      <c r="AE61" s="37"/>
      <c r="AF61" s="37"/>
      <c r="AG61" s="37"/>
      <c r="AH61" s="37"/>
      <c r="AI61" s="37"/>
      <c r="AJ61" s="37"/>
      <c r="AK61" s="37"/>
      <c r="AL61" s="137"/>
      <c r="AM61" s="137"/>
      <c r="AN61" s="137"/>
      <c r="AO61" s="137"/>
      <c r="AP61" s="137"/>
      <c r="AQ61" s="137"/>
      <c r="AR61" s="137"/>
      <c r="AS61" s="137"/>
      <c r="AT61" s="137"/>
      <c r="AU61" s="137"/>
      <c r="AV61" s="137"/>
    </row>
    <row r="62" spans="1:49" ht="13.5" customHeight="1" x14ac:dyDescent="0.2">
      <c r="A62" s="255"/>
      <c r="N62" s="255"/>
      <c r="O62" s="255"/>
      <c r="P62" s="1151" t="str">
        <f>IF($Z$64&lt;&gt;3,$Y$58," ")&amp;"      "</f>
        <v xml:space="preserve"> Możesz zmienić wartości we Wstępie do planowania      </v>
      </c>
      <c r="Q62" s="1151"/>
      <c r="R62" s="1151"/>
      <c r="S62" s="1151"/>
      <c r="T62" s="1151"/>
      <c r="U62" s="255"/>
      <c r="V62" s="255"/>
      <c r="W62" s="255"/>
      <c r="X62" s="37"/>
      <c r="Y62" s="37"/>
      <c r="Z62" s="37"/>
      <c r="AA62" s="176">
        <f>IF(OR(T69&lt;8, T69&gt;14), 0, 1)</f>
        <v>0</v>
      </c>
      <c r="AB62" s="176"/>
      <c r="AC62" s="177"/>
      <c r="AD62" s="108"/>
      <c r="AE62" s="37"/>
      <c r="AF62" s="37"/>
      <c r="AG62" s="37"/>
      <c r="AH62" s="37"/>
      <c r="AI62" s="37"/>
      <c r="AJ62" s="37"/>
      <c r="AK62" s="37"/>
      <c r="AL62" s="137"/>
      <c r="AM62" s="137"/>
      <c r="AN62" s="137"/>
      <c r="AO62" s="137"/>
      <c r="AP62" s="137"/>
      <c r="AQ62" s="137"/>
      <c r="AR62" s="137"/>
      <c r="AS62" s="137"/>
      <c r="AT62" s="137"/>
      <c r="AU62" s="137"/>
      <c r="AV62" s="137"/>
    </row>
    <row r="63" spans="1:49" ht="15" customHeight="1" x14ac:dyDescent="0.2">
      <c r="A63" s="255"/>
      <c r="N63" s="266"/>
      <c r="O63" s="255"/>
      <c r="P63" s="255"/>
      <c r="Q63" s="255"/>
      <c r="R63" s="255"/>
      <c r="S63" s="255"/>
      <c r="T63" s="255"/>
      <c r="U63" s="255"/>
      <c r="V63" s="255"/>
      <c r="W63" s="255"/>
      <c r="X63" s="37"/>
      <c r="Y63" s="37">
        <f>IF(AA$62=1, T67*T68*T69/1000000000, 0)</f>
        <v>0</v>
      </c>
      <c r="Z63" s="117">
        <v>3</v>
      </c>
      <c r="AA63" s="180" t="s">
        <v>88</v>
      </c>
      <c r="AB63" s="176"/>
      <c r="AC63" s="177"/>
      <c r="AD63" s="108"/>
      <c r="AE63" s="37"/>
      <c r="AF63" s="37"/>
      <c r="AG63" s="37"/>
      <c r="AH63" s="37"/>
      <c r="AI63" s="37"/>
      <c r="AJ63" s="37"/>
      <c r="AK63" s="37"/>
      <c r="AL63" s="137"/>
      <c r="AM63" s="137"/>
      <c r="AN63" s="137"/>
      <c r="AO63" s="137"/>
      <c r="AP63" s="118"/>
      <c r="AQ63" s="118"/>
      <c r="AR63" s="118"/>
      <c r="AS63" s="118"/>
      <c r="AT63" s="118"/>
      <c r="AU63" s="118"/>
      <c r="AV63" s="118"/>
    </row>
    <row r="64" spans="1:49" ht="15" customHeight="1" x14ac:dyDescent="0.2">
      <c r="A64" s="255"/>
      <c r="N64" s="266"/>
      <c r="O64" s="255"/>
      <c r="P64" s="255"/>
      <c r="Q64" s="255"/>
      <c r="R64" s="255"/>
      <c r="S64" s="255"/>
      <c r="T64" s="255"/>
      <c r="U64" s="255"/>
      <c r="V64" s="255"/>
      <c r="W64" s="255"/>
      <c r="X64" s="37"/>
      <c r="Y64" s="183">
        <f>MenuAVS!$C31</f>
        <v>760</v>
      </c>
      <c r="Z64" s="175" t="str">
        <f>ListAVS!$B$90&amp;" ("&amp;Y64&amp;" kg/m3)"</f>
        <v>MDF (760 kg/m3)</v>
      </c>
      <c r="AA64" s="149"/>
      <c r="AB64" s="118"/>
      <c r="AC64" s="37"/>
      <c r="AD64" s="108"/>
      <c r="AE64" s="178"/>
      <c r="AF64" s="179"/>
      <c r="AG64" s="108"/>
      <c r="AH64" s="108"/>
      <c r="AI64" s="108"/>
      <c r="AJ64" s="108"/>
      <c r="AK64" s="108"/>
      <c r="AL64" s="137"/>
      <c r="AM64" s="137"/>
      <c r="AN64" s="137"/>
      <c r="AO64" s="137"/>
      <c r="AP64" s="118"/>
      <c r="AQ64" s="118"/>
      <c r="AR64" s="118"/>
      <c r="AS64" s="118"/>
      <c r="AT64" s="118"/>
      <c r="AU64" s="118"/>
      <c r="AV64" s="118"/>
    </row>
    <row r="65" spans="1:49" ht="15" customHeight="1" x14ac:dyDescent="0.2">
      <c r="A65" s="255"/>
      <c r="N65" s="255"/>
      <c r="O65" s="255"/>
      <c r="P65" s="255"/>
      <c r="Q65" s="255"/>
      <c r="R65" s="255"/>
      <c r="S65" s="255"/>
      <c r="T65" s="255"/>
      <c r="U65" s="255"/>
      <c r="V65" s="255"/>
      <c r="W65" s="255"/>
      <c r="X65" s="37"/>
      <c r="Y65" s="183">
        <f>MenuAVS!$C32</f>
        <v>680</v>
      </c>
      <c r="Z65" s="175" t="str">
        <f>ListAVS!$B$91&amp;" ("&amp;Y65&amp;" kg/m3)"</f>
        <v>Płyta wiórowa (680 kg/m3)</v>
      </c>
      <c r="AA65" s="149"/>
      <c r="AB65" s="118"/>
      <c r="AC65" s="37"/>
      <c r="AD65" s="108"/>
      <c r="AE65" s="181"/>
      <c r="AF65" s="178"/>
      <c r="AG65" s="108"/>
      <c r="AH65" s="108"/>
      <c r="AI65" s="108"/>
      <c r="AJ65" s="108"/>
      <c r="AK65" s="108"/>
      <c r="AL65" s="137"/>
      <c r="AM65" s="137"/>
      <c r="AN65" s="137"/>
      <c r="AO65" s="137"/>
      <c r="AP65" s="118"/>
      <c r="AQ65" s="118"/>
      <c r="AR65" s="118"/>
      <c r="AS65" s="118"/>
      <c r="AT65" s="118"/>
      <c r="AU65" s="118"/>
      <c r="AV65" s="118"/>
      <c r="AW65" s="118"/>
    </row>
    <row r="66" spans="1:49" ht="15" customHeight="1" x14ac:dyDescent="0.2">
      <c r="A66" s="255"/>
      <c r="N66" s="266"/>
      <c r="O66" s="266"/>
      <c r="P66" s="266"/>
      <c r="Q66" s="255"/>
      <c r="R66" s="1148" t="str">
        <f>D9</f>
        <v xml:space="preserve"> </v>
      </c>
      <c r="S66" s="1149"/>
      <c r="T66" s="1150"/>
      <c r="U66" s="255"/>
      <c r="V66" s="255"/>
      <c r="W66" s="255"/>
      <c r="X66" s="37"/>
      <c r="Y66" s="183">
        <f>MenuAVS!$F31</f>
        <v>1350</v>
      </c>
      <c r="Z66" s="175" t="str">
        <f>ListAVS!$B$96&amp;" ("&amp;Y66&amp;" kg/m3)"</f>
        <v>Płyta kompaktowa (1350 kg/m3)</v>
      </c>
      <c r="AA66" s="184"/>
      <c r="AB66" s="184"/>
      <c r="AC66" s="178"/>
      <c r="AD66" s="108"/>
      <c r="AE66" s="181"/>
      <c r="AF66" s="178"/>
      <c r="AG66" s="108"/>
      <c r="AH66" s="108"/>
      <c r="AI66" s="108"/>
      <c r="AJ66" s="108"/>
      <c r="AK66" s="108"/>
      <c r="AL66" s="137"/>
      <c r="AM66" s="137"/>
      <c r="AN66" s="137"/>
      <c r="AO66" s="137"/>
      <c r="AP66" s="118"/>
      <c r="AQ66" s="118"/>
      <c r="AR66" s="118"/>
      <c r="AS66" s="118"/>
      <c r="AT66" s="118"/>
      <c r="AU66" s="118"/>
      <c r="AV66" s="118"/>
      <c r="AW66" s="118"/>
    </row>
    <row r="67" spans="1:49" s="118" customFormat="1" ht="15" customHeight="1" x14ac:dyDescent="0.2">
      <c r="A67" s="255"/>
      <c r="N67" s="1138" t="str">
        <f>ListAVS!$B$74&amp;" KB [mm]       "</f>
        <v xml:space="preserve">Szerokość korpusu KB [mm]       </v>
      </c>
      <c r="O67" s="1139"/>
      <c r="P67" s="1139"/>
      <c r="Q67" s="1139"/>
      <c r="R67" s="1139"/>
      <c r="S67" s="1140"/>
      <c r="T67" s="829">
        <f>H10</f>
        <v>0</v>
      </c>
      <c r="U67" s="670"/>
      <c r="V67" s="248"/>
      <c r="W67" s="255"/>
      <c r="X67" s="37"/>
      <c r="Y67" s="183">
        <f>MenuAVS!$F32</f>
        <v>1700</v>
      </c>
      <c r="Z67" s="175" t="str">
        <f>ListAVS!$B$97&amp;" ("&amp;Y67&amp;" kg/m3)"</f>
        <v>Płyta kompozytowa (1700 kg/m3)</v>
      </c>
      <c r="AA67" s="184"/>
      <c r="AB67" s="184"/>
      <c r="AC67" s="178"/>
      <c r="AE67" s="181"/>
      <c r="AF67" s="178"/>
      <c r="AL67" s="137"/>
      <c r="AM67" s="137"/>
      <c r="AN67" s="137"/>
      <c r="AO67" s="137"/>
    </row>
    <row r="68" spans="1:49" s="118" customFormat="1" ht="15" customHeight="1" x14ac:dyDescent="0.2">
      <c r="A68" s="255"/>
      <c r="N68" s="1138" t="str">
        <f>ListAVS!$B$75&amp;" KH [mm]       "</f>
        <v xml:space="preserve">Wysokość korpusu KH [mm]       </v>
      </c>
      <c r="O68" s="1139"/>
      <c r="P68" s="1139"/>
      <c r="Q68" s="1139"/>
      <c r="R68" s="1139"/>
      <c r="S68" s="1140"/>
      <c r="T68" s="829">
        <f>H11</f>
        <v>0</v>
      </c>
      <c r="U68" s="670"/>
      <c r="V68" s="248"/>
      <c r="W68" s="255"/>
      <c r="X68" s="37"/>
      <c r="Y68" s="183">
        <f>MenuAVS!$F33</f>
        <v>2600</v>
      </c>
      <c r="Z68" s="175" t="str">
        <f>ListAVS!$B$98&amp;" ("&amp;Y68&amp;" kg/m3)"</f>
        <v>Kamień (2600 kg/m3)</v>
      </c>
      <c r="AA68" s="184"/>
      <c r="AB68" s="184"/>
      <c r="AC68" s="178"/>
      <c r="AE68" s="178"/>
      <c r="AF68" s="178"/>
      <c r="AL68" s="137"/>
      <c r="AM68" s="137"/>
      <c r="AN68" s="137"/>
      <c r="AO68" s="137"/>
      <c r="AP68" s="137"/>
      <c r="AQ68" s="137"/>
      <c r="AR68" s="137"/>
      <c r="AS68" s="137"/>
      <c r="AT68" s="137"/>
      <c r="AU68" s="137"/>
      <c r="AV68" s="137"/>
    </row>
    <row r="69" spans="1:49" s="118" customFormat="1" ht="15" customHeight="1" x14ac:dyDescent="0.2">
      <c r="A69" s="255"/>
      <c r="N69" s="1143" t="str">
        <f>ListAVS!$B$80&amp;" TS [mm] "</f>
        <v xml:space="preserve">Grubość frontu TS [mm] </v>
      </c>
      <c r="O69" s="1144"/>
      <c r="P69" s="1144"/>
      <c r="Q69" s="1144"/>
      <c r="R69" s="1144"/>
      <c r="S69" s="1145"/>
      <c r="T69" s="831">
        <f>H13</f>
        <v>0</v>
      </c>
      <c r="U69" s="256" t="str">
        <f>IF(SUM(T67,T68)=0," ",IF(T69=0," ● "&amp;ListAVS!$B$129, IF(T69&lt;8," min 8 mm!",IF(T69&gt;14," max. 14 mm!"," "))))</f>
        <v xml:space="preserve"> </v>
      </c>
      <c r="V69" s="248"/>
      <c r="W69" s="255"/>
      <c r="X69" s="37"/>
      <c r="Y69" s="183">
        <f>MenuAVS!$I31</f>
        <v>2400</v>
      </c>
      <c r="Z69" s="175" t="str">
        <f>ListAVS!$B$99&amp;" ("&amp;Y69&amp;" kg/m3)"</f>
        <v>Ceramika (2400 kg/m3)</v>
      </c>
      <c r="AA69" s="184"/>
      <c r="AB69" s="184"/>
      <c r="AC69" s="178"/>
      <c r="AE69" s="178"/>
      <c r="AF69" s="178"/>
      <c r="AL69" s="137"/>
      <c r="AM69" s="137"/>
      <c r="AN69" s="137"/>
      <c r="AO69" s="137"/>
      <c r="AP69" s="137"/>
      <c r="AQ69" s="137"/>
      <c r="AR69" s="137"/>
      <c r="AS69" s="137"/>
      <c r="AT69" s="137"/>
      <c r="AU69" s="137"/>
      <c r="AV69" s="137"/>
    </row>
    <row r="70" spans="1:49" s="118" customFormat="1" ht="15" customHeight="1" x14ac:dyDescent="0.2">
      <c r="A70" s="255"/>
      <c r="N70" s="1143" t="str">
        <f>ListAVS!$B$83&amp;" [kg] "</f>
        <v xml:space="preserve">Waga uchwytu [kg] </v>
      </c>
      <c r="O70" s="1144"/>
      <c r="P70" s="1144"/>
      <c r="Q70" s="1144"/>
      <c r="R70" s="1144"/>
      <c r="S70" s="1145"/>
      <c r="T70" s="831">
        <f>H14</f>
        <v>0</v>
      </c>
      <c r="U70" s="256" t="str">
        <f>IF($U$16=2," ",IF(SUM(T67,T68)=0," ",IF(T70=0," ● "&amp;ListAVS!$B$130," ")))</f>
        <v xml:space="preserve"> </v>
      </c>
      <c r="V70" s="248"/>
      <c r="W70" s="255"/>
      <c r="X70" s="37"/>
      <c r="Y70" s="183">
        <f>MenuAVS!$I32</f>
        <v>2300</v>
      </c>
      <c r="Z70" s="175" t="str">
        <f>ListAVS!$B$100&amp;" ("&amp;Y70&amp;" kg/m3)"</f>
        <v>Beton (2300 kg/m3)</v>
      </c>
      <c r="AA70" s="184"/>
      <c r="AB70" s="184"/>
      <c r="AC70" s="178"/>
      <c r="AE70" s="178"/>
      <c r="AF70" s="178"/>
      <c r="AL70" s="137"/>
      <c r="AM70" s="137"/>
      <c r="AN70" s="137"/>
      <c r="AO70" s="137"/>
      <c r="AW70" s="121"/>
    </row>
    <row r="71" spans="1:49" s="118" customFormat="1" ht="15" customHeight="1" x14ac:dyDescent="0.2">
      <c r="A71" s="255"/>
      <c r="N71" s="1143" t="str">
        <f>ListAVS!$B$79&amp;" [kg] "</f>
        <v xml:space="preserve">Obliczona waga frontu [kg] </v>
      </c>
      <c r="O71" s="1144"/>
      <c r="P71" s="1144"/>
      <c r="Q71" s="1144"/>
      <c r="R71" s="1144"/>
      <c r="S71" s="1145"/>
      <c r="T71" s="533">
        <f>IF(X71=0,0,X71+2*T70)</f>
        <v>0</v>
      </c>
      <c r="U71" s="227"/>
      <c r="V71" s="248"/>
      <c r="W71" s="255"/>
      <c r="X71" s="186">
        <f>IF(T67*T68*T69=0,0,IF(Z63=1,Y63*Y64,IF(Z63=2,Y63*Y65, IF(Z63=3,Y63*Y66, IF(Z63=4, Y63*Y67, IF(Z63=5, Y63*Y68, IF(Z63=6, Y63*Y69, IF(Z63=7, Y63*Y70, Y63*Y71))))))))</f>
        <v>0</v>
      </c>
      <c r="Y71" s="118">
        <f>$T$61</f>
        <v>0</v>
      </c>
      <c r="Z71" s="175" t="str">
        <f>ListAVS!$B$92</f>
        <v>Inne – wybrana gęstość materiału</v>
      </c>
      <c r="AC71" s="37"/>
      <c r="AE71" s="178"/>
      <c r="AF71" s="178"/>
      <c r="AL71" s="137"/>
      <c r="AM71" s="137"/>
      <c r="AN71" s="137"/>
      <c r="AO71" s="137"/>
      <c r="AW71" s="121"/>
    </row>
    <row r="72" spans="1:49" ht="15" customHeight="1" x14ac:dyDescent="0.2">
      <c r="A72" s="255"/>
      <c r="N72" s="255"/>
      <c r="O72" s="273" t="str">
        <f>IF((U16=2)*AND(T71&gt;0)*AND(T70&gt;0),$Z$87&amp;" "&amp;$Z$88,IF((U16&lt;&gt;2)*AND(T71&gt;0),IF(T70=0,$Z$86," ")," "))</f>
        <v xml:space="preserve"> </v>
      </c>
      <c r="P72" s="255"/>
      <c r="Q72" s="255"/>
      <c r="R72" s="255"/>
      <c r="S72" s="255"/>
      <c r="T72" s="255"/>
      <c r="U72" s="255"/>
      <c r="V72" s="255"/>
      <c r="W72" s="255"/>
      <c r="X72" s="37"/>
      <c r="Y72" s="108"/>
      <c r="Z72" s="108"/>
      <c r="AA72" s="108"/>
      <c r="AB72" s="108"/>
      <c r="AC72" s="108"/>
      <c r="AD72" s="108"/>
      <c r="AE72" s="178"/>
      <c r="AF72" s="178"/>
      <c r="AG72" s="108"/>
      <c r="AH72" s="108"/>
      <c r="AI72" s="108"/>
      <c r="AJ72" s="108"/>
      <c r="AK72" s="108"/>
      <c r="AL72" s="137"/>
      <c r="AM72" s="137"/>
      <c r="AN72" s="137"/>
      <c r="AO72" s="137"/>
      <c r="AP72" s="118"/>
      <c r="AQ72" s="118"/>
      <c r="AR72" s="118"/>
      <c r="AS72" s="118"/>
      <c r="AT72" s="118"/>
      <c r="AU72" s="118"/>
      <c r="AV72" s="118"/>
      <c r="AW72" s="118"/>
    </row>
    <row r="73" spans="1:49" ht="15" customHeight="1" x14ac:dyDescent="0.2">
      <c r="A73" s="255"/>
      <c r="N73" s="255"/>
      <c r="O73" s="255"/>
      <c r="P73" s="255"/>
      <c r="Q73" s="255"/>
      <c r="R73" s="255"/>
      <c r="S73" s="255"/>
      <c r="T73" s="255"/>
      <c r="U73" s="255"/>
      <c r="V73" s="255"/>
      <c r="W73" s="255"/>
      <c r="X73" s="37"/>
      <c r="Y73" s="37"/>
      <c r="Z73" s="37"/>
      <c r="AA73" s="176">
        <f>IF(OR(T80&lt;8, T80&gt;14), 0, 1)</f>
        <v>0</v>
      </c>
      <c r="AB73" s="176"/>
      <c r="AC73" s="176"/>
      <c r="AD73" s="108"/>
      <c r="AE73" s="187"/>
      <c r="AF73" s="178"/>
      <c r="AG73" s="108"/>
      <c r="AH73" s="108"/>
      <c r="AI73" s="108"/>
      <c r="AJ73" s="108"/>
      <c r="AK73" s="108"/>
      <c r="AL73" s="137"/>
      <c r="AM73" s="137"/>
      <c r="AN73" s="137"/>
      <c r="AO73" s="137"/>
      <c r="AP73" s="118"/>
      <c r="AQ73" s="118"/>
      <c r="AR73" s="118"/>
      <c r="AS73" s="118"/>
      <c r="AT73" s="118"/>
      <c r="AU73" s="118"/>
      <c r="AV73" s="118"/>
      <c r="AW73" s="118"/>
    </row>
    <row r="74" spans="1:49" s="118" customFormat="1" ht="15" customHeight="1" x14ac:dyDescent="0.2">
      <c r="A74" s="255"/>
      <c r="M74" s="37"/>
      <c r="N74" s="255"/>
      <c r="O74" s="255"/>
      <c r="P74" s="255"/>
      <c r="Q74" s="255"/>
      <c r="R74" s="255"/>
      <c r="S74" s="255"/>
      <c r="T74" s="255"/>
      <c r="U74" s="255"/>
      <c r="V74" s="255"/>
      <c r="W74" s="255"/>
      <c r="X74" s="37"/>
      <c r="Y74" s="37">
        <f>IF(AA$73=1, T78*T79*T80/1000000000, 0)</f>
        <v>0</v>
      </c>
      <c r="Z74" s="182">
        <f>Z63</f>
        <v>3</v>
      </c>
      <c r="AA74" s="180" t="s">
        <v>88</v>
      </c>
      <c r="AB74" s="180"/>
      <c r="AC74" s="180"/>
      <c r="AD74" s="37"/>
      <c r="AE74" s="187"/>
      <c r="AF74" s="178"/>
      <c r="AG74" s="37"/>
      <c r="AH74" s="37"/>
      <c r="AJ74" s="37"/>
      <c r="AK74" s="37"/>
      <c r="AL74" s="137"/>
      <c r="AM74" s="137"/>
      <c r="AN74" s="137"/>
      <c r="AO74" s="137"/>
    </row>
    <row r="75" spans="1:49" s="118" customFormat="1" ht="15" customHeight="1" x14ac:dyDescent="0.2">
      <c r="A75" s="255"/>
      <c r="M75" s="37"/>
      <c r="N75" s="255"/>
      <c r="O75" s="255"/>
      <c r="P75" s="255"/>
      <c r="Q75" s="255"/>
      <c r="R75" s="255"/>
      <c r="S75" s="255"/>
      <c r="T75" s="255"/>
      <c r="U75" s="255"/>
      <c r="V75" s="255"/>
      <c r="W75" s="255"/>
      <c r="X75" s="37"/>
      <c r="Y75" s="183">
        <f>$Y$64</f>
        <v>760</v>
      </c>
      <c r="Z75" s="37" t="str">
        <f>$Z$64</f>
        <v>MDF (760 kg/m3)</v>
      </c>
      <c r="AB75" s="178"/>
      <c r="AD75" s="37"/>
      <c r="AE75" s="187"/>
      <c r="AF75" s="178"/>
      <c r="AG75" s="178"/>
      <c r="AH75" s="178"/>
      <c r="AI75" s="178"/>
      <c r="AJ75" s="37"/>
      <c r="AK75" s="37"/>
      <c r="AL75" s="137"/>
      <c r="AM75" s="137"/>
      <c r="AN75" s="137"/>
      <c r="AO75" s="137"/>
    </row>
    <row r="76" spans="1:49" s="118" customFormat="1" ht="15" customHeight="1" x14ac:dyDescent="0.2">
      <c r="A76" s="255"/>
      <c r="N76" s="255"/>
      <c r="O76" s="255"/>
      <c r="P76" s="255"/>
      <c r="Q76" s="255"/>
      <c r="R76" s="255"/>
      <c r="S76" s="255"/>
      <c r="T76" s="255"/>
      <c r="U76" s="255"/>
      <c r="V76" s="255"/>
      <c r="W76" s="255"/>
      <c r="X76" s="37"/>
      <c r="Y76" s="183">
        <f>$Y$65</f>
        <v>680</v>
      </c>
      <c r="Z76" s="37" t="str">
        <f>$Z$65</f>
        <v>Płyta wiórowa (680 kg/m3)</v>
      </c>
      <c r="AB76" s="178"/>
      <c r="AG76" s="178"/>
      <c r="AH76" s="178"/>
      <c r="AI76" s="178"/>
      <c r="AJ76" s="37"/>
      <c r="AK76" s="37"/>
      <c r="AL76" s="137"/>
      <c r="AM76" s="137"/>
      <c r="AN76" s="137"/>
      <c r="AO76" s="137"/>
    </row>
    <row r="77" spans="1:49" s="118" customFormat="1" ht="15" customHeight="1" x14ac:dyDescent="0.2">
      <c r="A77" s="255"/>
      <c r="N77" s="248"/>
      <c r="O77" s="248"/>
      <c r="P77" s="248"/>
      <c r="Q77" s="255"/>
      <c r="R77" s="1148" t="str">
        <f>D20</f>
        <v xml:space="preserve"> </v>
      </c>
      <c r="S77" s="1149"/>
      <c r="T77" s="1150"/>
      <c r="U77" s="255"/>
      <c r="V77" s="255"/>
      <c r="W77" s="255"/>
      <c r="X77" s="37"/>
      <c r="Y77" s="183">
        <f>$Y$66</f>
        <v>1350</v>
      </c>
      <c r="Z77" s="37" t="str">
        <f>$Z$66</f>
        <v>Płyta kompaktowa (1350 kg/m3)</v>
      </c>
      <c r="AA77" s="184"/>
      <c r="AB77" s="178"/>
      <c r="AG77" s="188"/>
      <c r="AH77" s="178"/>
      <c r="AI77" s="178"/>
      <c r="AJ77" s="37"/>
      <c r="AK77" s="108"/>
      <c r="AL77" s="137"/>
      <c r="AM77" s="137"/>
      <c r="AN77" s="137"/>
      <c r="AO77" s="137"/>
    </row>
    <row r="78" spans="1:49" s="118" customFormat="1" ht="15" customHeight="1" x14ac:dyDescent="0.2">
      <c r="A78" s="255"/>
      <c r="N78" s="1138" t="str">
        <f>ListAVS!$B$74&amp;" KB [mm]       "</f>
        <v xml:space="preserve">Szerokość korpusu KB [mm]       </v>
      </c>
      <c r="O78" s="1139"/>
      <c r="P78" s="1139"/>
      <c r="Q78" s="1139"/>
      <c r="R78" s="1139"/>
      <c r="S78" s="1140"/>
      <c r="T78" s="829">
        <f>H21</f>
        <v>0</v>
      </c>
      <c r="U78" s="670"/>
      <c r="V78" s="255"/>
      <c r="W78" s="255"/>
      <c r="X78" s="37"/>
      <c r="Y78" s="183">
        <f>$Y$67</f>
        <v>1700</v>
      </c>
      <c r="Z78" s="37" t="str">
        <f>$Z$67</f>
        <v>Płyta kompozytowa (1700 kg/m3)</v>
      </c>
      <c r="AA78" s="184"/>
      <c r="AB78" s="178"/>
      <c r="AG78" s="179"/>
      <c r="AH78" s="178"/>
      <c r="AI78" s="178"/>
      <c r="AJ78" s="37"/>
      <c r="AK78" s="108"/>
      <c r="AL78" s="137"/>
      <c r="AM78" s="137"/>
      <c r="AN78" s="137"/>
      <c r="AO78" s="137"/>
    </row>
    <row r="79" spans="1:49" s="118" customFormat="1" ht="15" customHeight="1" x14ac:dyDescent="0.2">
      <c r="A79" s="255"/>
      <c r="N79" s="1138" t="str">
        <f>ListAVS!$B$75&amp;" KH [mm]       "</f>
        <v xml:space="preserve">Wysokość korpusu KH [mm]       </v>
      </c>
      <c r="O79" s="1139"/>
      <c r="P79" s="1139"/>
      <c r="Q79" s="1139"/>
      <c r="R79" s="1139"/>
      <c r="S79" s="1140"/>
      <c r="T79" s="829">
        <f>H22</f>
        <v>0</v>
      </c>
      <c r="U79" s="670"/>
      <c r="V79" s="255"/>
      <c r="W79" s="255"/>
      <c r="X79" s="37"/>
      <c r="Y79" s="183">
        <f>$Y$68</f>
        <v>2600</v>
      </c>
      <c r="Z79" s="37" t="str">
        <f>$Z$68</f>
        <v>Kamień (2600 kg/m3)</v>
      </c>
      <c r="AA79" s="184"/>
      <c r="AB79" s="178"/>
      <c r="AD79" s="37"/>
      <c r="AE79" s="193"/>
      <c r="AF79" s="37"/>
      <c r="AG79" s="37"/>
      <c r="AH79" s="37"/>
      <c r="AI79" s="37"/>
      <c r="AJ79" s="108"/>
      <c r="AK79" s="108"/>
      <c r="AL79" s="137"/>
      <c r="AM79" s="137"/>
      <c r="AN79" s="137"/>
      <c r="AO79" s="137"/>
    </row>
    <row r="80" spans="1:49" s="118" customFormat="1" ht="15" customHeight="1" x14ac:dyDescent="0.2">
      <c r="A80" s="255"/>
      <c r="N80" s="1143" t="str">
        <f>ListAVS!$B$80&amp;" TS [mm] "</f>
        <v xml:space="preserve">Grubość frontu TS [mm] </v>
      </c>
      <c r="O80" s="1144"/>
      <c r="P80" s="1144"/>
      <c r="Q80" s="1144"/>
      <c r="R80" s="1144"/>
      <c r="S80" s="1145"/>
      <c r="T80" s="834">
        <f>H24</f>
        <v>0</v>
      </c>
      <c r="U80" s="256" t="str">
        <f>IF(SUM(T78,T79)=0," ",IF(T80=0," ● "&amp;ListAVS!$B$129, IF(T80&lt;8," min 8 mm!",IF(T80&gt;14," max. 14 mm!"," "))))</f>
        <v xml:space="preserve"> </v>
      </c>
      <c r="V80" s="248"/>
      <c r="W80" s="248"/>
      <c r="X80" s="37"/>
      <c r="Y80" s="183">
        <f>$Y$69</f>
        <v>2400</v>
      </c>
      <c r="Z80" s="37" t="str">
        <f>$Z$69</f>
        <v>Ceramika (2400 kg/m3)</v>
      </c>
      <c r="AA80" s="184"/>
      <c r="AB80" s="37"/>
      <c r="AD80" s="37"/>
      <c r="AE80" s="37"/>
      <c r="AF80" s="37"/>
      <c r="AG80" s="37"/>
      <c r="AH80" s="37"/>
      <c r="AI80" s="37"/>
      <c r="AJ80" s="108"/>
      <c r="AK80" s="108"/>
      <c r="AL80" s="137"/>
      <c r="AM80" s="137"/>
      <c r="AN80" s="137"/>
      <c r="AO80" s="137"/>
    </row>
    <row r="81" spans="1:49" s="118" customFormat="1" ht="15" customHeight="1" x14ac:dyDescent="0.2">
      <c r="A81" s="255"/>
      <c r="N81" s="1143" t="str">
        <f>ListAVS!$B$83&amp;" [kg] "</f>
        <v xml:space="preserve">Waga uchwytu [kg] </v>
      </c>
      <c r="O81" s="1144"/>
      <c r="P81" s="1144"/>
      <c r="Q81" s="1144"/>
      <c r="R81" s="1144"/>
      <c r="S81" s="1145"/>
      <c r="T81" s="834">
        <f>H25</f>
        <v>0</v>
      </c>
      <c r="U81" s="256" t="str">
        <f>IF($U$27=2," ",IF(SUM(T78,T79)=0," ",IF(T81=0," ● "&amp;ListAVS!$B$130," ")))</f>
        <v xml:space="preserve"> </v>
      </c>
      <c r="V81" s="248"/>
      <c r="W81" s="248"/>
      <c r="X81" s="37"/>
      <c r="Y81" s="183">
        <f>$Y$70</f>
        <v>2300</v>
      </c>
      <c r="Z81" s="37" t="str">
        <f>$Z$70</f>
        <v>Beton (2300 kg/m3)</v>
      </c>
      <c r="AA81" s="184"/>
      <c r="AB81" s="37"/>
      <c r="AD81" s="37"/>
      <c r="AE81" s="37"/>
      <c r="AF81" s="37"/>
      <c r="AG81" s="37"/>
      <c r="AH81" s="37"/>
      <c r="AI81" s="37"/>
      <c r="AJ81" s="108"/>
      <c r="AK81" s="108"/>
      <c r="AL81" s="137"/>
      <c r="AM81" s="137"/>
      <c r="AN81" s="137"/>
      <c r="AO81" s="137"/>
    </row>
    <row r="82" spans="1:49" s="118" customFormat="1" ht="15" customHeight="1" x14ac:dyDescent="0.2">
      <c r="A82" s="255"/>
      <c r="N82" s="1143" t="str">
        <f>ListAVS!$B$79&amp;" [kg] "</f>
        <v xml:space="preserve">Obliczona waga frontu [kg] </v>
      </c>
      <c r="O82" s="1144"/>
      <c r="P82" s="1144"/>
      <c r="Q82" s="1144"/>
      <c r="R82" s="1144"/>
      <c r="S82" s="1145"/>
      <c r="T82" s="533">
        <f>IF(X82=0,0,X82+2*T81)</f>
        <v>0</v>
      </c>
      <c r="U82" s="227"/>
      <c r="V82" s="248"/>
      <c r="W82" s="248"/>
      <c r="X82" s="186">
        <f>IF(T78*T79*T80=0,0,IF(Z74=1,Y74*Y75,IF(Z74=2,Y74*Y76, IF(Z74=3,Y74*Y77, IF(Z74=4, Y74*Y78, IF(Z74=5, Y74*Y79, IF(Z74=6, Y74*Y80, IF(Z74=7, Y74*Y81, Y74*Y82))))))))</f>
        <v>0</v>
      </c>
      <c r="Y82" s="118">
        <f>$Y$71</f>
        <v>0</v>
      </c>
      <c r="Z82" s="37" t="str">
        <f>$Z$71</f>
        <v>Inne – wybrana gęstość materiału</v>
      </c>
      <c r="AB82" s="37"/>
      <c r="AD82" s="37"/>
      <c r="AE82" s="37"/>
      <c r="AF82" s="37"/>
      <c r="AG82" s="37"/>
      <c r="AH82" s="37"/>
      <c r="AI82" s="37"/>
      <c r="AJ82" s="108"/>
      <c r="AK82" s="108"/>
      <c r="AL82" s="137"/>
      <c r="AM82" s="137"/>
      <c r="AN82" s="137"/>
      <c r="AO82" s="137"/>
    </row>
    <row r="83" spans="1:49" s="118" customFormat="1" ht="15" customHeight="1" x14ac:dyDescent="0.2">
      <c r="A83" s="255"/>
      <c r="N83" s="255"/>
      <c r="O83" s="273" t="str">
        <f>IF((U27=2)*AND(T82&gt;0)*AND(T81&gt;0),$Z$87&amp;" "&amp;$Z$88,IF((U27&lt;&gt;2)*AND(T82&gt;0),IF(T81=0,$Z$86," ")," "))</f>
        <v xml:space="preserve"> </v>
      </c>
      <c r="P83" s="255"/>
      <c r="Q83" s="255"/>
      <c r="R83" s="255"/>
      <c r="S83" s="255"/>
      <c r="T83" s="255"/>
      <c r="U83" s="255"/>
      <c r="V83" s="255"/>
      <c r="W83" s="255"/>
      <c r="X83" s="37"/>
      <c r="Y83" s="37"/>
      <c r="Z83" s="37"/>
      <c r="AB83" s="37"/>
      <c r="AD83" s="37"/>
      <c r="AE83" s="37"/>
      <c r="AF83" s="37"/>
      <c r="AG83" s="37"/>
      <c r="AH83" s="37"/>
      <c r="AI83" s="37"/>
      <c r="AJ83" s="108"/>
      <c r="AK83" s="108"/>
      <c r="AL83" s="137"/>
      <c r="AM83" s="137"/>
      <c r="AN83" s="137"/>
      <c r="AO83" s="137"/>
    </row>
    <row r="84" spans="1:49" s="118" customFormat="1" ht="15" customHeight="1" x14ac:dyDescent="0.2">
      <c r="A84" s="255"/>
      <c r="N84" s="255"/>
      <c r="O84" s="255"/>
      <c r="P84" s="255"/>
      <c r="Q84" s="255"/>
      <c r="R84" s="255"/>
      <c r="S84" s="255"/>
      <c r="T84" s="255"/>
      <c r="U84" s="255"/>
      <c r="V84" s="255"/>
      <c r="W84" s="255"/>
      <c r="X84" s="37"/>
      <c r="Y84" s="37"/>
      <c r="Z84" s="37"/>
      <c r="AB84" s="37"/>
      <c r="AD84" s="37"/>
      <c r="AE84" s="37"/>
      <c r="AF84" s="37"/>
      <c r="AG84" s="37"/>
      <c r="AH84" s="37"/>
      <c r="AI84" s="37"/>
      <c r="AJ84" s="108"/>
      <c r="AK84" s="108"/>
      <c r="AL84" s="137"/>
      <c r="AM84" s="137"/>
      <c r="AN84" s="137"/>
      <c r="AO84" s="137"/>
    </row>
    <row r="85" spans="1:49" s="118" customFormat="1" ht="15" customHeight="1" x14ac:dyDescent="0.2">
      <c r="A85" s="255"/>
      <c r="N85" s="255"/>
      <c r="O85" s="255"/>
      <c r="P85" s="255"/>
      <c r="Q85" s="255"/>
      <c r="R85" s="255"/>
      <c r="S85" s="255"/>
      <c r="T85" s="255"/>
      <c r="U85" s="255"/>
      <c r="V85" s="255"/>
      <c r="W85" s="255"/>
      <c r="X85" s="37"/>
      <c r="Y85" s="37"/>
      <c r="Z85" s="37"/>
      <c r="AB85" s="37"/>
      <c r="AD85" s="37"/>
      <c r="AE85" s="37"/>
      <c r="AF85" s="37"/>
      <c r="AG85" s="37"/>
      <c r="AH85" s="37"/>
      <c r="AI85" s="37"/>
      <c r="AJ85" s="108"/>
      <c r="AK85" s="108"/>
      <c r="AL85" s="137"/>
      <c r="AM85" s="137"/>
      <c r="AN85" s="137"/>
      <c r="AO85" s="137"/>
    </row>
    <row r="86" spans="1:49" s="118" customFormat="1" ht="15" customHeight="1" x14ac:dyDescent="0.2">
      <c r="A86" s="255"/>
      <c r="N86" s="255"/>
      <c r="O86" s="255"/>
      <c r="P86" s="255"/>
      <c r="Q86" s="255"/>
      <c r="R86" s="255"/>
      <c r="S86" s="255"/>
      <c r="T86" s="255"/>
      <c r="U86" s="255"/>
      <c r="V86" s="255"/>
      <c r="W86" s="255"/>
      <c r="X86" s="37"/>
      <c r="Y86" s="37"/>
      <c r="Z86" s="37" t="str">
        <f>ListAVS!$B$103&amp;"!"</f>
        <v>Bez wagi uchwytu!</v>
      </c>
      <c r="AB86" s="37"/>
      <c r="AD86" s="37"/>
      <c r="AE86" s="37"/>
      <c r="AF86" s="37"/>
      <c r="AG86" s="37"/>
      <c r="AH86" s="37"/>
      <c r="AI86" s="37"/>
      <c r="AJ86" s="108"/>
      <c r="AK86" s="108"/>
      <c r="AL86" s="137"/>
      <c r="AM86" s="137"/>
      <c r="AN86" s="137"/>
      <c r="AO86" s="137"/>
      <c r="AP86" s="37"/>
      <c r="AQ86" s="37"/>
      <c r="AR86" s="37"/>
      <c r="AS86" s="37"/>
      <c r="AT86" s="37"/>
      <c r="AU86" s="37"/>
      <c r="AV86" s="37"/>
    </row>
    <row r="87" spans="1:49" s="118" customFormat="1" ht="15" customHeight="1" x14ac:dyDescent="0.2">
      <c r="A87" s="255"/>
      <c r="N87" s="255"/>
      <c r="O87" s="255"/>
      <c r="P87" s="255"/>
      <c r="Q87" s="255"/>
      <c r="R87" s="255"/>
      <c r="S87" s="1204"/>
      <c r="T87" s="1204"/>
      <c r="U87" s="255"/>
      <c r="V87" s="255"/>
      <c r="W87" s="255"/>
      <c r="X87" s="37"/>
      <c r="Y87" s="37"/>
      <c r="Z87" s="37" t="str">
        <f>ListAVS!B104</f>
        <v>Na pewno masz uchwyt do wersji TIP-ON?</v>
      </c>
      <c r="AB87" s="37"/>
      <c r="AD87" s="37"/>
      <c r="AE87" s="37"/>
      <c r="AF87" s="37"/>
      <c r="AG87" s="37"/>
      <c r="AH87" s="37"/>
      <c r="AI87" s="37"/>
      <c r="AJ87" s="108"/>
      <c r="AK87" s="108"/>
      <c r="AL87" s="137"/>
      <c r="AM87" s="137"/>
      <c r="AN87" s="137"/>
      <c r="AO87" s="137"/>
      <c r="AP87" s="37"/>
      <c r="AQ87" s="37"/>
      <c r="AR87" s="37"/>
      <c r="AS87" s="37"/>
      <c r="AT87" s="37"/>
      <c r="AU87" s="37"/>
      <c r="AV87" s="37"/>
    </row>
    <row r="88" spans="1:49" s="118" customFormat="1" ht="15" customHeight="1" x14ac:dyDescent="0.2">
      <c r="A88" s="255"/>
      <c r="N88" s="255"/>
      <c r="O88" s="255"/>
      <c r="P88" s="255"/>
      <c r="Q88" s="255"/>
      <c r="R88" s="255"/>
      <c r="S88" s="255"/>
      <c r="T88" s="255"/>
      <c r="U88" s="255"/>
      <c r="V88" s="255"/>
      <c r="W88" s="255"/>
      <c r="X88" s="37"/>
      <c r="Y88" s="37"/>
      <c r="Z88" s="37" t="str">
        <f>ListAVS!B105&amp;"!"</f>
        <v>Jeśli nie wymaż wagę uchwytu!</v>
      </c>
      <c r="AB88" s="37"/>
      <c r="AD88" s="37"/>
      <c r="AE88" s="37"/>
      <c r="AF88" s="37"/>
      <c r="AG88" s="37"/>
      <c r="AH88" s="37"/>
      <c r="AI88" s="37"/>
      <c r="AJ88" s="108"/>
      <c r="AK88" s="108"/>
      <c r="AL88" s="137"/>
      <c r="AM88" s="137"/>
      <c r="AN88" s="137"/>
      <c r="AO88" s="137"/>
      <c r="AP88" s="37"/>
      <c r="AQ88" s="37"/>
      <c r="AR88" s="37"/>
      <c r="AS88" s="37"/>
      <c r="AT88" s="37"/>
      <c r="AU88" s="37"/>
      <c r="AV88" s="37"/>
      <c r="AW88" s="37"/>
    </row>
    <row r="89" spans="1:49" s="118" customFormat="1" ht="15" customHeight="1" x14ac:dyDescent="0.2">
      <c r="A89" s="255"/>
      <c r="N89" s="255"/>
      <c r="O89" s="255"/>
      <c r="P89" s="255"/>
      <c r="Q89" s="255"/>
      <c r="R89" s="255"/>
      <c r="S89" s="248"/>
      <c r="T89" s="248"/>
      <c r="U89" s="255"/>
      <c r="V89" s="255"/>
      <c r="W89" s="255"/>
      <c r="X89" s="37"/>
      <c r="Y89" s="37"/>
      <c r="Z89" s="37"/>
      <c r="AB89" s="37"/>
      <c r="AD89" s="37"/>
      <c r="AE89" s="37"/>
      <c r="AF89" s="37"/>
      <c r="AG89" s="37"/>
      <c r="AH89" s="37"/>
      <c r="AI89" s="37"/>
      <c r="AJ89" s="108"/>
      <c r="AK89" s="108"/>
      <c r="AL89" s="137"/>
      <c r="AM89" s="137"/>
      <c r="AN89" s="137"/>
      <c r="AO89" s="137"/>
      <c r="AP89" s="37"/>
      <c r="AQ89" s="37"/>
      <c r="AR89" s="37"/>
      <c r="AS89" s="37"/>
      <c r="AT89" s="37"/>
      <c r="AU89" s="37"/>
      <c r="AV89" s="37"/>
      <c r="AW89" s="37"/>
    </row>
    <row r="90" spans="1:49" s="37" customFormat="1" ht="15" customHeight="1" x14ac:dyDescent="0.2">
      <c r="A90" s="255"/>
      <c r="M90" s="118"/>
      <c r="N90" s="255"/>
      <c r="O90" s="442"/>
      <c r="P90" s="442"/>
      <c r="Q90" s="442"/>
      <c r="R90" s="442"/>
      <c r="S90" s="442"/>
      <c r="T90" s="442"/>
      <c r="U90" s="442"/>
      <c r="V90" s="442"/>
      <c r="W90" s="442"/>
      <c r="AA90" s="118"/>
      <c r="AC90" s="118"/>
      <c r="AJ90" s="108"/>
      <c r="AK90" s="108"/>
      <c r="AL90" s="137"/>
      <c r="AM90" s="137"/>
      <c r="AN90" s="137"/>
      <c r="AO90" s="137"/>
    </row>
    <row r="91" spans="1:49" s="37" customFormat="1" ht="15" customHeight="1" x14ac:dyDescent="0.2">
      <c r="A91" s="255"/>
      <c r="B91" s="255"/>
      <c r="C91" s="255"/>
      <c r="D91" s="255"/>
      <c r="E91" s="255"/>
      <c r="F91" s="255"/>
      <c r="G91" s="255"/>
      <c r="H91" s="255"/>
      <c r="I91" s="255"/>
      <c r="J91" s="255"/>
      <c r="K91" s="255"/>
      <c r="M91" s="118"/>
      <c r="N91" s="255"/>
      <c r="O91" s="442"/>
      <c r="P91" s="442"/>
      <c r="Q91" s="442"/>
      <c r="R91" s="442"/>
      <c r="S91" s="442"/>
      <c r="T91" s="442"/>
      <c r="U91" s="442"/>
      <c r="V91" s="442"/>
      <c r="W91" s="442"/>
      <c r="X91" s="108"/>
      <c r="Y91" s="108"/>
      <c r="Z91" s="108"/>
      <c r="AA91" s="108"/>
      <c r="AB91" s="108"/>
      <c r="AC91" s="108"/>
      <c r="AD91" s="108"/>
      <c r="AE91" s="108"/>
      <c r="AF91" s="108"/>
      <c r="AG91" s="108"/>
      <c r="AH91" s="108"/>
      <c r="AI91" s="108"/>
      <c r="AJ91" s="108"/>
      <c r="AK91" s="108"/>
      <c r="AL91" s="137"/>
      <c r="AM91" s="137"/>
      <c r="AN91" s="137"/>
      <c r="AO91" s="137"/>
    </row>
    <row r="92" spans="1:49" s="37" customFormat="1" ht="15" customHeight="1" x14ac:dyDescent="0.2">
      <c r="A92" s="255"/>
      <c r="B92" s="255"/>
      <c r="C92" s="255"/>
      <c r="D92" s="255"/>
      <c r="E92" s="255"/>
      <c r="F92" s="255"/>
      <c r="G92" s="255"/>
      <c r="H92" s="255"/>
      <c r="I92" s="255"/>
      <c r="J92" s="255"/>
      <c r="K92" s="255"/>
      <c r="N92" s="255"/>
      <c r="O92" s="442"/>
      <c r="P92" s="442"/>
      <c r="Q92" s="442"/>
      <c r="R92" s="442"/>
      <c r="S92" s="442"/>
      <c r="T92" s="442"/>
      <c r="U92" s="442"/>
      <c r="V92" s="442"/>
      <c r="W92" s="442"/>
      <c r="X92" s="108"/>
      <c r="Y92" s="108"/>
      <c r="Z92" s="108"/>
      <c r="AA92" s="108"/>
      <c r="AB92" s="108"/>
      <c r="AC92" s="108"/>
      <c r="AD92" s="108"/>
      <c r="AE92" s="108"/>
      <c r="AF92" s="108"/>
      <c r="AG92" s="108"/>
      <c r="AH92" s="108"/>
      <c r="AI92" s="108"/>
      <c r="AJ92" s="108"/>
      <c r="AK92" s="108"/>
      <c r="AL92" s="137"/>
      <c r="AM92" s="137"/>
      <c r="AN92" s="137"/>
      <c r="AO92" s="137"/>
    </row>
    <row r="93" spans="1:49" s="37" customFormat="1" ht="15" customHeight="1" x14ac:dyDescent="0.2">
      <c r="A93" s="255"/>
      <c r="B93" s="255"/>
      <c r="C93" s="255"/>
      <c r="D93" s="255"/>
      <c r="E93" s="255"/>
      <c r="F93" s="255"/>
      <c r="G93" s="255"/>
      <c r="H93" s="255"/>
      <c r="I93" s="255"/>
      <c r="J93" s="255"/>
      <c r="K93" s="255"/>
      <c r="O93" s="118"/>
      <c r="Q93" s="118"/>
      <c r="X93" s="108"/>
      <c r="Y93" s="108"/>
      <c r="Z93" s="108"/>
      <c r="AA93" s="108"/>
      <c r="AB93" s="108"/>
      <c r="AC93" s="108"/>
      <c r="AD93" s="108"/>
      <c r="AE93" s="108"/>
      <c r="AF93" s="108"/>
      <c r="AG93" s="108"/>
      <c r="AH93" s="108"/>
      <c r="AI93" s="108"/>
      <c r="AJ93" s="108"/>
      <c r="AK93" s="108"/>
      <c r="AL93" s="137"/>
      <c r="AM93" s="137"/>
      <c r="AN93" s="137"/>
      <c r="AO93" s="137"/>
    </row>
    <row r="94" spans="1:49" s="37" customFormat="1" ht="15" customHeight="1" x14ac:dyDescent="0.2">
      <c r="A94" s="255"/>
      <c r="B94" s="255"/>
      <c r="C94" s="255"/>
      <c r="D94" s="255"/>
      <c r="E94" s="255"/>
      <c r="F94" s="255"/>
      <c r="G94" s="255"/>
      <c r="H94" s="255"/>
      <c r="I94" s="255"/>
      <c r="J94" s="255"/>
      <c r="K94" s="255"/>
      <c r="O94" s="118"/>
      <c r="Q94" s="118"/>
      <c r="X94" s="108"/>
      <c r="Y94" s="108"/>
      <c r="Z94" s="108"/>
      <c r="AA94" s="108"/>
      <c r="AB94" s="108"/>
      <c r="AC94" s="108"/>
      <c r="AD94" s="108"/>
      <c r="AE94" s="108"/>
      <c r="AF94" s="108"/>
      <c r="AG94" s="108"/>
      <c r="AH94" s="108"/>
      <c r="AI94" s="108"/>
      <c r="AJ94" s="108"/>
      <c r="AK94" s="108"/>
      <c r="AL94" s="137"/>
      <c r="AM94" s="137"/>
      <c r="AN94" s="137"/>
      <c r="AO94" s="137"/>
    </row>
    <row r="95" spans="1:49" s="37" customFormat="1" ht="15" customHeight="1" x14ac:dyDescent="0.2">
      <c r="A95" s="255"/>
      <c r="B95" s="255"/>
      <c r="C95" s="255"/>
      <c r="D95" s="255"/>
      <c r="E95" s="255"/>
      <c r="F95" s="255"/>
      <c r="G95" s="255"/>
      <c r="H95" s="255"/>
      <c r="I95" s="255"/>
      <c r="J95" s="255"/>
      <c r="K95" s="255"/>
      <c r="O95" s="118"/>
      <c r="Q95" s="118"/>
      <c r="X95" s="108"/>
      <c r="Y95" s="108"/>
      <c r="Z95" s="108"/>
      <c r="AA95" s="108"/>
      <c r="AB95" s="108"/>
      <c r="AC95" s="108"/>
      <c r="AD95" s="108"/>
      <c r="AE95" s="108"/>
      <c r="AF95" s="108"/>
      <c r="AG95" s="108"/>
      <c r="AH95" s="108"/>
      <c r="AI95" s="108"/>
      <c r="AJ95" s="108"/>
      <c r="AK95" s="108"/>
      <c r="AL95" s="137"/>
      <c r="AM95" s="137"/>
      <c r="AN95" s="137"/>
      <c r="AO95" s="137"/>
    </row>
    <row r="96" spans="1:49" s="37" customFormat="1" ht="15" customHeight="1" x14ac:dyDescent="0.2">
      <c r="A96" s="255"/>
      <c r="B96" s="255"/>
      <c r="C96" s="255"/>
      <c r="D96" s="255"/>
      <c r="E96" s="255"/>
      <c r="F96" s="255"/>
      <c r="G96" s="255"/>
      <c r="H96" s="255"/>
      <c r="I96" s="255"/>
      <c r="J96" s="255"/>
      <c r="K96" s="255"/>
      <c r="O96" s="118"/>
      <c r="Q96" s="118"/>
      <c r="X96" s="108"/>
      <c r="Y96" s="108"/>
      <c r="Z96" s="108"/>
      <c r="AA96" s="108"/>
      <c r="AB96" s="108"/>
      <c r="AC96" s="108"/>
      <c r="AD96" s="108"/>
      <c r="AE96" s="108"/>
      <c r="AF96" s="108"/>
      <c r="AG96" s="108"/>
      <c r="AH96" s="108"/>
      <c r="AI96" s="108"/>
      <c r="AJ96" s="108"/>
      <c r="AK96" s="108"/>
      <c r="AL96" s="137"/>
      <c r="AM96" s="137"/>
      <c r="AN96" s="137"/>
      <c r="AO96" s="137"/>
    </row>
    <row r="97" spans="1:48" s="37" customFormat="1" ht="15" customHeight="1" x14ac:dyDescent="0.2">
      <c r="A97" s="255"/>
      <c r="B97" s="255"/>
      <c r="C97" s="255"/>
      <c r="D97" s="255"/>
      <c r="E97" s="255"/>
      <c r="F97" s="255"/>
      <c r="G97" s="255"/>
      <c r="H97" s="255"/>
      <c r="I97" s="255"/>
      <c r="J97" s="255"/>
      <c r="K97" s="255"/>
      <c r="O97" s="118"/>
      <c r="Q97" s="118"/>
      <c r="X97" s="108"/>
      <c r="Y97" s="108"/>
      <c r="Z97" s="108"/>
      <c r="AA97" s="108"/>
      <c r="AB97" s="108"/>
      <c r="AC97" s="108"/>
      <c r="AD97" s="108"/>
      <c r="AE97" s="108"/>
      <c r="AF97" s="108"/>
      <c r="AG97" s="108"/>
      <c r="AH97" s="108"/>
      <c r="AI97" s="108"/>
      <c r="AJ97" s="108"/>
      <c r="AK97" s="108"/>
      <c r="AL97" s="137"/>
      <c r="AM97" s="137"/>
      <c r="AN97" s="137"/>
      <c r="AO97" s="137"/>
    </row>
    <row r="98" spans="1:48" s="37" customFormat="1" ht="15" customHeight="1" x14ac:dyDescent="0.2">
      <c r="A98" s="255"/>
      <c r="B98" s="255"/>
      <c r="C98" s="255"/>
      <c r="D98" s="255"/>
      <c r="E98" s="255"/>
      <c r="F98" s="255"/>
      <c r="G98" s="255"/>
      <c r="H98" s="255"/>
      <c r="I98" s="255"/>
      <c r="J98" s="255"/>
      <c r="K98" s="255"/>
      <c r="O98" s="118"/>
      <c r="Q98" s="118"/>
      <c r="X98" s="108"/>
      <c r="Y98" s="108"/>
      <c r="Z98" s="108"/>
      <c r="AA98" s="108"/>
      <c r="AB98" s="108"/>
      <c r="AC98" s="108"/>
      <c r="AD98" s="108"/>
      <c r="AE98" s="108"/>
      <c r="AF98" s="108"/>
      <c r="AG98" s="108"/>
      <c r="AH98" s="108"/>
      <c r="AI98" s="108"/>
      <c r="AJ98" s="108"/>
      <c r="AK98" s="108"/>
      <c r="AL98" s="137"/>
      <c r="AM98" s="137"/>
      <c r="AN98" s="137"/>
      <c r="AO98" s="137"/>
    </row>
    <row r="99" spans="1:48" x14ac:dyDescent="0.2">
      <c r="A99" s="1045"/>
      <c r="X99" s="108"/>
      <c r="Y99" s="108"/>
      <c r="Z99" s="108"/>
      <c r="AA99" s="108"/>
      <c r="AB99" s="108"/>
      <c r="AC99" s="108"/>
      <c r="AD99" s="108"/>
      <c r="AE99" s="108"/>
      <c r="AF99" s="108"/>
      <c r="AG99" s="108"/>
      <c r="AH99" s="108"/>
      <c r="AI99" s="108"/>
      <c r="AJ99" s="108"/>
      <c r="AK99" s="108"/>
      <c r="AL99" s="137"/>
      <c r="AM99" s="137"/>
      <c r="AN99" s="137"/>
      <c r="AO99" s="137"/>
      <c r="AP99" s="137"/>
      <c r="AQ99" s="137"/>
      <c r="AR99" s="137"/>
      <c r="AS99" s="137"/>
      <c r="AT99" s="137"/>
      <c r="AU99" s="137"/>
      <c r="AV99" s="137"/>
    </row>
    <row r="100" spans="1:48" ht="15" customHeight="1" x14ac:dyDescent="0.2">
      <c r="A100" s="1045"/>
      <c r="B100" s="190" t="s">
        <v>22</v>
      </c>
      <c r="C100" s="191"/>
      <c r="D100" s="190"/>
      <c r="E100" s="190"/>
      <c r="F100" s="190"/>
      <c r="G100" s="190"/>
      <c r="H100" s="190"/>
      <c r="I100" s="190"/>
      <c r="J100" s="190"/>
      <c r="K100" s="190"/>
      <c r="L100" s="190"/>
      <c r="X100" s="108"/>
      <c r="Y100" s="108"/>
      <c r="Z100" s="108"/>
      <c r="AA100" s="108"/>
      <c r="AB100" s="108"/>
      <c r="AC100" s="108"/>
      <c r="AD100" s="108"/>
      <c r="AE100" s="108"/>
      <c r="AF100" s="108"/>
      <c r="AG100" s="108"/>
      <c r="AH100" s="108"/>
      <c r="AI100" s="108"/>
      <c r="AJ100" s="108"/>
      <c r="AK100" s="108"/>
      <c r="AL100" s="137"/>
      <c r="AM100" s="137"/>
      <c r="AN100" s="137"/>
      <c r="AO100" s="137"/>
      <c r="AP100" s="137"/>
      <c r="AQ100" s="137"/>
      <c r="AR100" s="137"/>
      <c r="AS100" s="137"/>
      <c r="AT100" s="137"/>
      <c r="AU100" s="137"/>
      <c r="AV100" s="137"/>
    </row>
    <row r="101" spans="1:48" x14ac:dyDescent="0.2">
      <c r="A101" s="1045"/>
      <c r="X101" s="108"/>
      <c r="Y101" s="108"/>
      <c r="Z101" s="108"/>
      <c r="AA101" s="108"/>
      <c r="AB101" s="108"/>
      <c r="AC101" s="108"/>
      <c r="AD101" s="108"/>
      <c r="AE101" s="108"/>
      <c r="AF101" s="108"/>
      <c r="AG101" s="108"/>
      <c r="AH101" s="108"/>
      <c r="AI101" s="108"/>
      <c r="AJ101" s="108"/>
      <c r="AK101" s="108"/>
      <c r="AL101" s="137"/>
      <c r="AM101" s="137"/>
      <c r="AN101" s="137"/>
      <c r="AO101" s="137"/>
      <c r="AP101" s="137"/>
      <c r="AQ101" s="137"/>
      <c r="AR101" s="137"/>
      <c r="AS101" s="137"/>
      <c r="AT101" s="137"/>
      <c r="AU101" s="137"/>
      <c r="AV101" s="137"/>
    </row>
    <row r="102" spans="1:48" ht="12.75" x14ac:dyDescent="0.2">
      <c r="A102" s="1045"/>
      <c r="B102" s="255" t="str">
        <f>ListAVS!$B$303</f>
        <v>Odpowiedni siłownik będzie określony za pomocą współczynnika mocy</v>
      </c>
      <c r="C102" s="255"/>
      <c r="D102" s="255"/>
      <c r="E102" s="255"/>
      <c r="F102" s="255"/>
      <c r="G102" s="255"/>
      <c r="H102" s="255"/>
      <c r="I102" s="255"/>
      <c r="J102" s="255"/>
      <c r="K102" s="255"/>
      <c r="L102" s="255"/>
      <c r="X102" s="108"/>
      <c r="Y102" s="108"/>
      <c r="Z102" s="108"/>
      <c r="AA102" s="108"/>
      <c r="AB102" s="108"/>
      <c r="AC102" s="108"/>
      <c r="AD102" s="108"/>
      <c r="AE102" s="108"/>
      <c r="AF102" s="108"/>
      <c r="AG102" s="108"/>
      <c r="AH102" s="108"/>
      <c r="AI102" s="108"/>
      <c r="AJ102" s="108"/>
      <c r="AK102" s="108"/>
      <c r="AL102" s="137"/>
      <c r="AM102" s="137"/>
      <c r="AN102" s="137"/>
      <c r="AO102" s="137"/>
      <c r="AP102" s="137"/>
      <c r="AQ102" s="137"/>
      <c r="AR102" s="137"/>
      <c r="AS102" s="137"/>
      <c r="AT102" s="137"/>
      <c r="AU102" s="137"/>
      <c r="AV102" s="137"/>
    </row>
    <row r="103" spans="1:48" ht="12.75" x14ac:dyDescent="0.2">
      <c r="A103" s="1045"/>
      <c r="B103" s="255" t="str">
        <f>ListAVS!$B$341</f>
        <v>Współczynnik mocy zależy od wagi frontu (wraz z podwójną wagą uchwytu) i od wysokości korpusu.</v>
      </c>
      <c r="C103" s="255"/>
      <c r="D103" s="255"/>
      <c r="E103" s="255"/>
      <c r="F103" s="255"/>
      <c r="G103" s="255"/>
      <c r="H103" s="255"/>
      <c r="I103" s="255"/>
      <c r="J103" s="255"/>
      <c r="K103" s="255"/>
      <c r="L103" s="255"/>
      <c r="X103" s="108"/>
      <c r="Y103" s="108"/>
      <c r="Z103" s="108"/>
      <c r="AA103" s="108"/>
      <c r="AB103" s="108"/>
      <c r="AC103" s="108"/>
      <c r="AD103" s="108"/>
      <c r="AE103" s="108"/>
      <c r="AF103" s="108"/>
      <c r="AG103" s="108"/>
      <c r="AH103" s="108"/>
      <c r="AI103" s="108"/>
      <c r="AJ103" s="108"/>
      <c r="AK103" s="108"/>
      <c r="AL103" s="137"/>
      <c r="AM103" s="137"/>
      <c r="AN103" s="137"/>
      <c r="AO103" s="137"/>
      <c r="AP103" s="137"/>
      <c r="AQ103" s="137"/>
      <c r="AR103" s="137"/>
      <c r="AS103" s="137"/>
      <c r="AT103" s="137"/>
      <c r="AU103" s="137"/>
      <c r="AV103" s="137"/>
    </row>
    <row r="104" spans="1:48" ht="12.75" x14ac:dyDescent="0.2">
      <c r="A104" s="1045"/>
      <c r="B104" s="255"/>
      <c r="C104" s="695"/>
      <c r="D104" s="695"/>
      <c r="E104" s="695"/>
      <c r="F104" s="695"/>
      <c r="G104" s="695"/>
      <c r="H104" s="695"/>
      <c r="I104" s="695"/>
      <c r="J104" s="695"/>
      <c r="K104" s="695"/>
      <c r="L104" s="695"/>
      <c r="X104" s="108"/>
      <c r="Y104" s="108"/>
      <c r="Z104" s="108"/>
      <c r="AA104" s="108"/>
      <c r="AB104" s="108"/>
      <c r="AC104" s="108"/>
      <c r="AD104" s="108"/>
      <c r="AE104" s="108"/>
      <c r="AF104" s="108"/>
      <c r="AG104" s="108"/>
      <c r="AH104" s="108"/>
      <c r="AI104" s="108"/>
      <c r="AJ104" s="108"/>
      <c r="AK104" s="108"/>
      <c r="AL104" s="137"/>
      <c r="AM104" s="137"/>
      <c r="AN104" s="137"/>
      <c r="AO104" s="137"/>
      <c r="AP104" s="137"/>
      <c r="AQ104" s="137"/>
      <c r="AR104" s="137"/>
      <c r="AS104" s="137"/>
      <c r="AT104" s="137"/>
      <c r="AU104" s="137"/>
      <c r="AV104" s="137"/>
    </row>
    <row r="105" spans="1:48" ht="15" customHeight="1" x14ac:dyDescent="0.2">
      <c r="A105" s="1045"/>
      <c r="B105" s="696"/>
      <c r="C105" s="696"/>
      <c r="D105" s="696"/>
      <c r="E105" s="696"/>
      <c r="F105" s="696"/>
      <c r="G105" s="696"/>
      <c r="H105" s="696"/>
      <c r="I105" s="696"/>
      <c r="J105" s="696"/>
      <c r="K105" s="696"/>
      <c r="L105" s="696"/>
      <c r="X105" s="108"/>
      <c r="Y105" s="108"/>
      <c r="Z105" s="108"/>
      <c r="AA105" s="108"/>
      <c r="AB105" s="108"/>
      <c r="AC105" s="108"/>
      <c r="AD105" s="108"/>
      <c r="AE105" s="108"/>
      <c r="AF105" s="108"/>
      <c r="AG105" s="108"/>
      <c r="AH105" s="108"/>
      <c r="AI105" s="108"/>
      <c r="AJ105" s="108"/>
      <c r="AK105" s="108"/>
      <c r="AL105" s="137"/>
      <c r="AM105" s="137"/>
      <c r="AN105" s="137"/>
      <c r="AO105" s="137"/>
      <c r="AP105" s="137"/>
      <c r="AQ105" s="137"/>
      <c r="AR105" s="137"/>
      <c r="AS105" s="137"/>
      <c r="AT105" s="137"/>
      <c r="AU105" s="137"/>
      <c r="AV105" s="137"/>
    </row>
    <row r="106" spans="1:48" ht="30" customHeight="1" x14ac:dyDescent="0.2">
      <c r="A106" s="1045"/>
      <c r="B106" s="746"/>
      <c r="C106" s="746"/>
      <c r="D106" s="698" t="str">
        <f>ListAVS!$B$86&amp;" = "</f>
        <v xml:space="preserve">Współczynnik mocy = </v>
      </c>
      <c r="E106" s="1068" t="str">
        <f>ListAVS!$B$342&amp;" [kg]"</f>
        <v>wysokość korpusu (KH) [mm] x waga frontu wraz z podwójną wagą uchwytu [kg]</v>
      </c>
      <c r="F106" s="1068"/>
      <c r="G106" s="1068"/>
      <c r="H106" s="1068"/>
      <c r="I106" s="1068"/>
      <c r="J106" s="1068"/>
      <c r="K106" s="1068"/>
      <c r="L106" s="1068"/>
      <c r="X106" s="108"/>
      <c r="Y106" s="108"/>
      <c r="Z106" s="108"/>
      <c r="AA106" s="108"/>
      <c r="AB106" s="108"/>
      <c r="AC106" s="108"/>
      <c r="AD106" s="108"/>
      <c r="AE106" s="108"/>
      <c r="AF106" s="108"/>
      <c r="AG106" s="108"/>
      <c r="AH106" s="108"/>
      <c r="AI106" s="108"/>
      <c r="AJ106" s="108"/>
      <c r="AK106" s="108"/>
      <c r="AL106" s="137"/>
      <c r="AM106" s="137"/>
      <c r="AN106" s="137"/>
      <c r="AO106" s="137"/>
      <c r="AP106" s="137"/>
      <c r="AQ106" s="137"/>
      <c r="AR106" s="137"/>
      <c r="AS106" s="137"/>
      <c r="AT106" s="137"/>
      <c r="AU106" s="137"/>
      <c r="AV106" s="137"/>
    </row>
    <row r="107" spans="1:48" ht="12" customHeight="1" x14ac:dyDescent="0.2">
      <c r="A107" s="1045"/>
      <c r="B107" s="255"/>
      <c r="C107" s="255"/>
      <c r="D107" s="255"/>
      <c r="E107" s="255"/>
      <c r="F107" s="255"/>
      <c r="G107" s="255"/>
      <c r="H107" s="255"/>
      <c r="I107" s="255"/>
      <c r="J107" s="255"/>
      <c r="K107" s="255"/>
      <c r="L107" s="255"/>
      <c r="X107" s="108"/>
      <c r="Y107" s="108"/>
      <c r="Z107" s="108"/>
      <c r="AA107" s="108"/>
      <c r="AB107" s="108"/>
      <c r="AC107" s="108"/>
      <c r="AD107" s="108"/>
      <c r="AE107" s="108"/>
      <c r="AF107" s="108"/>
      <c r="AG107" s="108"/>
      <c r="AH107" s="108"/>
      <c r="AI107" s="108"/>
      <c r="AJ107" s="108"/>
      <c r="AK107" s="108"/>
      <c r="AL107" s="137"/>
      <c r="AM107" s="137"/>
      <c r="AN107" s="137"/>
      <c r="AO107" s="137"/>
      <c r="AP107" s="137"/>
      <c r="AQ107" s="137"/>
      <c r="AR107" s="137"/>
      <c r="AS107" s="137"/>
      <c r="AT107" s="137"/>
      <c r="AU107" s="137"/>
      <c r="AV107" s="137"/>
    </row>
    <row r="108" spans="1:48" ht="12.75" x14ac:dyDescent="0.2">
      <c r="A108" s="1045"/>
      <c r="B108" s="255" t="str">
        <f>ListAVS!$B$355</f>
        <v>W razie wykorzystania trzeciego siłownika współczynnik mocy oraz waga frontu mogą się zwiększyć o 50 %.</v>
      </c>
      <c r="C108" s="255"/>
      <c r="D108" s="255"/>
      <c r="E108" s="255"/>
      <c r="F108" s="255"/>
      <c r="G108" s="255"/>
      <c r="H108" s="255"/>
      <c r="I108" s="255"/>
      <c r="J108" s="255"/>
      <c r="K108" s="255"/>
      <c r="L108" s="255"/>
      <c r="N108" s="108"/>
      <c r="X108" s="108"/>
      <c r="Y108" s="108"/>
      <c r="Z108" s="108"/>
      <c r="AA108" s="108"/>
      <c r="AB108" s="108"/>
      <c r="AC108" s="108"/>
      <c r="AD108" s="108"/>
      <c r="AE108" s="108"/>
      <c r="AF108" s="108"/>
      <c r="AG108" s="108"/>
      <c r="AH108" s="108"/>
      <c r="AI108" s="108"/>
      <c r="AJ108" s="108"/>
      <c r="AK108" s="108"/>
      <c r="AL108" s="137"/>
      <c r="AM108" s="137"/>
      <c r="AN108" s="137"/>
      <c r="AO108" s="137"/>
      <c r="AP108" s="137"/>
      <c r="AQ108" s="137"/>
      <c r="AR108" s="137"/>
      <c r="AS108" s="137"/>
      <c r="AT108" s="137"/>
      <c r="AU108" s="137"/>
      <c r="AV108" s="137"/>
    </row>
    <row r="109" spans="1:48" ht="12.75" x14ac:dyDescent="0.2">
      <c r="A109" s="1045"/>
      <c r="B109" s="255" t="str">
        <f>"("&amp;ListAVS!$B$356&amp;")"</f>
        <v>(Dotyczy tylko siłownika 20K2E00)</v>
      </c>
      <c r="C109" s="255"/>
      <c r="D109" s="255"/>
      <c r="E109" s="255"/>
      <c r="F109" s="255"/>
      <c r="G109" s="255"/>
      <c r="H109" s="255"/>
      <c r="I109" s="255"/>
      <c r="J109" s="255"/>
      <c r="K109" s="255"/>
      <c r="L109" s="255"/>
      <c r="X109" s="108"/>
      <c r="Y109" s="108"/>
      <c r="Z109" s="108"/>
      <c r="AA109" s="108"/>
      <c r="AB109" s="108"/>
      <c r="AC109" s="108"/>
      <c r="AD109" s="108"/>
      <c r="AE109" s="108"/>
      <c r="AF109" s="108"/>
      <c r="AG109" s="108"/>
      <c r="AH109" s="108"/>
      <c r="AI109" s="108"/>
      <c r="AJ109" s="108"/>
      <c r="AK109" s="108"/>
      <c r="AL109" s="137"/>
      <c r="AM109" s="137"/>
      <c r="AN109" s="137"/>
      <c r="AO109" s="137"/>
      <c r="AP109" s="137"/>
      <c r="AQ109" s="137"/>
      <c r="AR109" s="137"/>
      <c r="AS109" s="137"/>
      <c r="AT109" s="137"/>
      <c r="AU109" s="137"/>
      <c r="AV109" s="137"/>
    </row>
    <row r="110" spans="1:48" ht="12.75" x14ac:dyDescent="0.2">
      <c r="A110" s="1045"/>
      <c r="B110" s="273" t="str">
        <f>ListAVS!$B$183</f>
        <v>Dodatkowy trzeci siłownik można zastosować jedynie z pełnym frontem!</v>
      </c>
      <c r="C110" s="255"/>
      <c r="D110" s="255"/>
      <c r="E110" s="255"/>
      <c r="F110" s="255"/>
      <c r="G110" s="255"/>
      <c r="H110" s="255"/>
      <c r="I110" s="255"/>
      <c r="J110" s="255"/>
      <c r="K110" s="255"/>
      <c r="L110" s="255"/>
      <c r="X110" s="108"/>
      <c r="Y110" s="108"/>
      <c r="Z110" s="108"/>
      <c r="AA110" s="108"/>
      <c r="AB110" s="108"/>
      <c r="AC110" s="108"/>
      <c r="AD110" s="108"/>
      <c r="AE110" s="108"/>
      <c r="AF110" s="108"/>
      <c r="AG110" s="108"/>
      <c r="AH110" s="108"/>
      <c r="AI110" s="108"/>
      <c r="AJ110" s="108"/>
      <c r="AK110" s="108"/>
      <c r="AL110" s="137"/>
      <c r="AM110" s="137"/>
      <c r="AN110" s="137"/>
      <c r="AO110" s="137"/>
      <c r="AP110" s="137"/>
      <c r="AQ110" s="137"/>
      <c r="AR110" s="137"/>
      <c r="AS110" s="137"/>
      <c r="AT110" s="137"/>
      <c r="AU110" s="137"/>
      <c r="AV110" s="137"/>
    </row>
    <row r="111" spans="1:48" ht="12.75" x14ac:dyDescent="0.2">
      <c r="A111" s="1045"/>
      <c r="B111" s="255"/>
      <c r="C111" s="255"/>
      <c r="D111" s="255"/>
      <c r="E111" s="255"/>
      <c r="F111" s="255"/>
      <c r="G111" s="255"/>
      <c r="H111" s="255"/>
      <c r="I111" s="255"/>
      <c r="J111" s="255"/>
      <c r="K111" s="255"/>
      <c r="L111" s="255"/>
      <c r="X111" s="108"/>
      <c r="Y111" s="108"/>
      <c r="Z111" s="108"/>
      <c r="AA111" s="108"/>
      <c r="AB111" s="108"/>
      <c r="AC111" s="108"/>
      <c r="AD111" s="108"/>
      <c r="AE111" s="108"/>
      <c r="AF111" s="108"/>
      <c r="AG111" s="108"/>
      <c r="AH111" s="108"/>
      <c r="AI111" s="108"/>
      <c r="AJ111" s="108"/>
      <c r="AK111" s="108"/>
      <c r="AL111" s="137"/>
      <c r="AM111" s="137"/>
      <c r="AN111" s="137"/>
      <c r="AO111" s="137"/>
      <c r="AP111" s="137"/>
      <c r="AQ111" s="137"/>
      <c r="AR111" s="137"/>
      <c r="AS111" s="137"/>
      <c r="AT111" s="137"/>
      <c r="AU111" s="137"/>
      <c r="AV111" s="137"/>
    </row>
    <row r="112" spans="1:48" ht="12.75" x14ac:dyDescent="0.2">
      <c r="A112" s="1045"/>
      <c r="B112" s="255" t="str">
        <f>ListAVS!$B$312</f>
        <v>Jeśli znasz wagę frontu, możesz ją wprowadzić, w przeciwnym razie skorzystaj z „Obliczenia wagi”.</v>
      </c>
      <c r="C112" s="255"/>
      <c r="D112" s="255"/>
      <c r="E112" s="255"/>
      <c r="F112" s="255"/>
      <c r="G112" s="255"/>
      <c r="H112" s="255"/>
      <c r="I112" s="255"/>
      <c r="J112" s="255"/>
      <c r="K112" s="255"/>
      <c r="L112" s="255"/>
      <c r="X112" s="108"/>
      <c r="Y112" s="108"/>
      <c r="Z112" s="108"/>
      <c r="AA112" s="108"/>
      <c r="AB112" s="108"/>
      <c r="AC112" s="108"/>
      <c r="AD112" s="108"/>
      <c r="AE112" s="108"/>
      <c r="AF112" s="108"/>
      <c r="AG112" s="108"/>
      <c r="AH112" s="108"/>
      <c r="AI112" s="108"/>
      <c r="AJ112" s="108"/>
      <c r="AK112" s="108"/>
      <c r="AL112" s="137"/>
      <c r="AM112" s="137"/>
      <c r="AN112" s="137"/>
      <c r="AO112" s="137"/>
      <c r="AP112" s="137"/>
      <c r="AQ112" s="137"/>
      <c r="AR112" s="137"/>
      <c r="AS112" s="137"/>
      <c r="AT112" s="137"/>
      <c r="AU112" s="137"/>
      <c r="AV112" s="137"/>
    </row>
    <row r="113" spans="1:48" ht="12.75" x14ac:dyDescent="0.2">
      <c r="A113" s="1045"/>
      <c r="B113" s="255" t="str">
        <f>ListAVS!$B$313</f>
        <v>W tabeli wprowadzona wartość ma pierwszeństwo aby skorzystać z wagi obliczeniowej, należy usunąć wprowadzoną wartość.</v>
      </c>
      <c r="C113" s="255"/>
      <c r="D113" s="255"/>
      <c r="E113" s="255"/>
      <c r="F113" s="255"/>
      <c r="G113" s="255"/>
      <c r="H113" s="255"/>
      <c r="I113" s="255"/>
      <c r="J113" s="255"/>
      <c r="K113" s="255"/>
      <c r="L113" s="255"/>
      <c r="X113" s="108"/>
      <c r="Y113" s="108"/>
      <c r="Z113" s="108"/>
      <c r="AA113" s="108"/>
      <c r="AB113" s="108"/>
      <c r="AC113" s="108"/>
      <c r="AD113" s="108"/>
      <c r="AE113" s="108"/>
      <c r="AF113" s="108"/>
      <c r="AG113" s="108"/>
      <c r="AH113" s="108"/>
      <c r="AI113" s="108"/>
      <c r="AJ113" s="108"/>
      <c r="AK113" s="108"/>
      <c r="AL113" s="137"/>
      <c r="AM113" s="137"/>
      <c r="AN113" s="137"/>
      <c r="AO113" s="137"/>
      <c r="AP113" s="137"/>
      <c r="AQ113" s="137"/>
      <c r="AR113" s="137"/>
      <c r="AS113" s="137"/>
      <c r="AT113" s="137"/>
      <c r="AU113" s="137"/>
      <c r="AV113" s="137"/>
    </row>
    <row r="114" spans="1:48" ht="12.75" x14ac:dyDescent="0.2">
      <c r="A114" s="1045"/>
      <c r="B114" s="255"/>
      <c r="C114" s="255"/>
      <c r="D114" s="255"/>
      <c r="E114" s="255"/>
      <c r="F114" s="255"/>
      <c r="G114" s="255"/>
      <c r="H114" s="255"/>
      <c r="I114" s="255"/>
      <c r="J114" s="255"/>
      <c r="K114" s="255"/>
      <c r="L114" s="255"/>
      <c r="X114" s="108"/>
      <c r="Y114" s="108"/>
      <c r="Z114" s="108"/>
      <c r="AA114" s="108"/>
      <c r="AB114" s="108"/>
      <c r="AC114" s="108"/>
      <c r="AD114" s="108"/>
      <c r="AE114" s="108"/>
      <c r="AF114" s="108"/>
      <c r="AG114" s="108"/>
      <c r="AH114" s="108"/>
      <c r="AI114" s="108"/>
      <c r="AJ114" s="108"/>
      <c r="AK114" s="108"/>
      <c r="AL114" s="137"/>
      <c r="AM114" s="137"/>
      <c r="AN114" s="137"/>
      <c r="AO114" s="137"/>
      <c r="AP114" s="137"/>
      <c r="AQ114" s="137"/>
      <c r="AR114" s="137"/>
      <c r="AS114" s="137"/>
      <c r="AT114" s="137"/>
      <c r="AU114" s="137"/>
      <c r="AV114" s="137"/>
    </row>
    <row r="115" spans="1:48" ht="12.75" x14ac:dyDescent="0.2">
      <c r="A115" s="1045"/>
      <c r="B115" s="255"/>
      <c r="C115" s="255"/>
      <c r="D115" s="255"/>
      <c r="E115" s="255"/>
      <c r="F115" s="255"/>
      <c r="G115" s="255"/>
      <c r="H115" s="255"/>
      <c r="I115" s="255"/>
      <c r="J115" s="255"/>
      <c r="K115" s="255"/>
      <c r="L115" s="255"/>
      <c r="X115" s="108"/>
      <c r="Y115" s="108"/>
      <c r="Z115" s="108"/>
      <c r="AA115" s="108"/>
      <c r="AB115" s="108"/>
      <c r="AC115" s="108"/>
      <c r="AD115" s="108"/>
      <c r="AE115" s="108"/>
      <c r="AF115" s="108"/>
      <c r="AG115" s="108"/>
      <c r="AH115" s="108"/>
      <c r="AI115" s="108"/>
      <c r="AJ115" s="108"/>
      <c r="AK115" s="108"/>
      <c r="AL115" s="137"/>
      <c r="AM115" s="137"/>
      <c r="AN115" s="137"/>
      <c r="AO115" s="137"/>
      <c r="AP115" s="137"/>
      <c r="AQ115" s="137"/>
      <c r="AR115" s="137"/>
      <c r="AS115" s="137"/>
      <c r="AT115" s="137"/>
      <c r="AU115" s="137"/>
      <c r="AV115" s="137"/>
    </row>
    <row r="116" spans="1:48" ht="12.75" x14ac:dyDescent="0.2">
      <c r="A116" s="1045"/>
      <c r="B116" s="255" t="str">
        <f>ListAVS!$B$306</f>
        <v>Aby zmienić kolor zaślepek przejdź do „Wprowadzenie do planowania”</v>
      </c>
      <c r="C116" s="255"/>
      <c r="D116" s="255"/>
      <c r="E116" s="255"/>
      <c r="F116" s="255"/>
      <c r="G116" s="255"/>
      <c r="H116" s="255"/>
      <c r="I116" s="255"/>
      <c r="J116" s="255"/>
      <c r="K116" s="255"/>
      <c r="L116" s="255"/>
      <c r="X116" s="108"/>
      <c r="Y116" s="108"/>
      <c r="Z116" s="108"/>
      <c r="AA116" s="108"/>
      <c r="AB116" s="108"/>
      <c r="AC116" s="108"/>
      <c r="AD116" s="108"/>
      <c r="AE116" s="108"/>
      <c r="AF116" s="108"/>
      <c r="AG116" s="108"/>
      <c r="AH116" s="108"/>
      <c r="AI116" s="108"/>
      <c r="AJ116" s="108"/>
      <c r="AK116" s="108"/>
      <c r="AL116" s="137"/>
      <c r="AM116" s="137"/>
      <c r="AN116" s="137"/>
      <c r="AO116" s="137"/>
      <c r="AP116" s="137"/>
      <c r="AQ116" s="137"/>
      <c r="AR116" s="137"/>
      <c r="AS116" s="137"/>
      <c r="AT116" s="137"/>
      <c r="AU116" s="137"/>
      <c r="AV116" s="137"/>
    </row>
    <row r="117" spans="1:48" ht="12.75" x14ac:dyDescent="0.2">
      <c r="A117" s="1045"/>
      <c r="B117" s="255"/>
      <c r="C117" s="255"/>
      <c r="D117" s="255"/>
      <c r="E117" s="255"/>
      <c r="F117" s="255"/>
      <c r="G117" s="255"/>
      <c r="H117" s="255"/>
      <c r="I117" s="255"/>
      <c r="J117" s="255"/>
      <c r="K117" s="255"/>
      <c r="L117" s="255"/>
      <c r="X117" s="108"/>
      <c r="Y117" s="108"/>
      <c r="Z117" s="108"/>
      <c r="AA117" s="108"/>
      <c r="AB117" s="108"/>
      <c r="AC117" s="108"/>
      <c r="AD117" s="108"/>
      <c r="AE117" s="108"/>
      <c r="AF117" s="108"/>
      <c r="AG117" s="108"/>
      <c r="AH117" s="108"/>
      <c r="AI117" s="108"/>
      <c r="AJ117" s="108"/>
      <c r="AK117" s="108"/>
      <c r="AL117" s="137"/>
      <c r="AM117" s="137"/>
      <c r="AN117" s="137"/>
      <c r="AO117" s="137"/>
      <c r="AP117" s="137"/>
      <c r="AQ117" s="137"/>
      <c r="AR117" s="137"/>
      <c r="AS117" s="137"/>
      <c r="AT117" s="137"/>
      <c r="AU117" s="137"/>
      <c r="AV117" s="137"/>
    </row>
    <row r="118" spans="1:48" ht="12.75" x14ac:dyDescent="0.2">
      <c r="A118" s="1045"/>
      <c r="B118" s="255"/>
      <c r="C118" s="255"/>
      <c r="D118" s="255"/>
      <c r="E118" s="255"/>
      <c r="F118" s="255"/>
      <c r="G118" s="255"/>
      <c r="H118" s="255"/>
      <c r="I118" s="255"/>
      <c r="J118" s="255"/>
      <c r="K118" s="255"/>
      <c r="L118" s="255"/>
      <c r="X118" s="108"/>
      <c r="Y118" s="108"/>
      <c r="Z118" s="108"/>
      <c r="AA118" s="108"/>
      <c r="AB118" s="108"/>
      <c r="AC118" s="108"/>
      <c r="AD118" s="108"/>
      <c r="AE118" s="108"/>
      <c r="AF118" s="108"/>
      <c r="AG118" s="108"/>
      <c r="AH118" s="108"/>
      <c r="AI118" s="108"/>
      <c r="AJ118" s="108"/>
      <c r="AK118" s="108"/>
      <c r="AL118" s="137"/>
      <c r="AM118" s="137"/>
      <c r="AN118" s="137"/>
      <c r="AO118" s="137"/>
      <c r="AP118" s="137"/>
      <c r="AQ118" s="137"/>
      <c r="AR118" s="137"/>
      <c r="AS118" s="137"/>
      <c r="AT118" s="137"/>
      <c r="AU118" s="137"/>
      <c r="AV118" s="137"/>
    </row>
    <row r="119" spans="1:48" ht="12.75" x14ac:dyDescent="0.2">
      <c r="A119" s="1045"/>
      <c r="B119" s="255"/>
      <c r="C119" s="255"/>
      <c r="D119" s="255"/>
      <c r="E119" s="255"/>
      <c r="F119" s="255"/>
      <c r="G119" s="255"/>
      <c r="H119" s="255"/>
      <c r="I119" s="255"/>
      <c r="J119" s="255"/>
      <c r="K119" s="255"/>
      <c r="L119" s="255"/>
      <c r="X119" s="108"/>
      <c r="Y119" s="108"/>
      <c r="Z119" s="108"/>
      <c r="AA119" s="108"/>
      <c r="AB119" s="108"/>
      <c r="AC119" s="108"/>
      <c r="AD119" s="108"/>
      <c r="AE119" s="108"/>
      <c r="AF119" s="108"/>
      <c r="AG119" s="108"/>
      <c r="AH119" s="108"/>
      <c r="AI119" s="108"/>
      <c r="AJ119" s="108"/>
      <c r="AK119" s="108"/>
      <c r="AL119" s="137"/>
      <c r="AM119" s="137"/>
      <c r="AN119" s="137"/>
      <c r="AO119" s="137"/>
      <c r="AP119" s="137"/>
      <c r="AQ119" s="137"/>
      <c r="AR119" s="137"/>
      <c r="AS119" s="137"/>
      <c r="AT119" s="137"/>
      <c r="AU119" s="137"/>
      <c r="AV119" s="137"/>
    </row>
    <row r="120" spans="1:48" ht="12.75" x14ac:dyDescent="0.2">
      <c r="A120" s="1045"/>
      <c r="B120" s="255"/>
      <c r="C120" s="255"/>
      <c r="D120" s="255"/>
      <c r="E120" s="255"/>
      <c r="F120" s="255"/>
      <c r="G120" s="255"/>
      <c r="H120" s="255"/>
      <c r="I120" s="255"/>
      <c r="J120" s="255"/>
      <c r="K120" s="255"/>
      <c r="L120" s="255"/>
      <c r="X120" s="108"/>
      <c r="Y120" s="108"/>
      <c r="Z120" s="108"/>
      <c r="AA120" s="108"/>
      <c r="AB120" s="108"/>
      <c r="AC120" s="108"/>
      <c r="AD120" s="108"/>
      <c r="AE120" s="108"/>
      <c r="AF120" s="108"/>
      <c r="AG120" s="108"/>
      <c r="AH120" s="108"/>
      <c r="AI120" s="108"/>
      <c r="AJ120" s="108"/>
      <c r="AK120" s="108"/>
      <c r="AL120" s="137"/>
      <c r="AM120" s="137"/>
      <c r="AN120" s="137"/>
      <c r="AO120" s="137"/>
      <c r="AP120" s="137"/>
      <c r="AQ120" s="137"/>
      <c r="AR120" s="137"/>
      <c r="AS120" s="137"/>
      <c r="AT120" s="137"/>
      <c r="AU120" s="137"/>
      <c r="AV120" s="137"/>
    </row>
    <row r="121" spans="1:48" ht="12.75" x14ac:dyDescent="0.2">
      <c r="A121" s="1045"/>
      <c r="B121" s="255"/>
      <c r="C121" s="255"/>
      <c r="D121" s="255"/>
      <c r="E121" s="255"/>
      <c r="F121" s="255"/>
      <c r="G121" s="255"/>
      <c r="H121" s="255"/>
      <c r="I121" s="255"/>
      <c r="J121" s="255"/>
      <c r="K121" s="255"/>
      <c r="L121" s="255"/>
      <c r="X121" s="108"/>
      <c r="Y121" s="108"/>
      <c r="Z121" s="108"/>
      <c r="AA121" s="108"/>
      <c r="AB121" s="108"/>
      <c r="AC121" s="108"/>
      <c r="AD121" s="108"/>
      <c r="AE121" s="108"/>
      <c r="AF121" s="108"/>
      <c r="AG121" s="108"/>
      <c r="AH121" s="108"/>
      <c r="AI121" s="108"/>
      <c r="AJ121" s="108"/>
      <c r="AK121" s="108"/>
      <c r="AL121" s="137"/>
      <c r="AM121" s="137"/>
      <c r="AN121" s="137"/>
      <c r="AO121" s="137"/>
      <c r="AP121" s="137"/>
      <c r="AQ121" s="137"/>
      <c r="AR121" s="137"/>
      <c r="AS121" s="137"/>
      <c r="AT121" s="137"/>
      <c r="AU121" s="137"/>
      <c r="AV121" s="137"/>
    </row>
    <row r="122" spans="1:48" ht="12.75" x14ac:dyDescent="0.2">
      <c r="A122" s="1045"/>
      <c r="B122" s="255"/>
      <c r="C122" s="255"/>
      <c r="D122" s="255"/>
      <c r="E122" s="255"/>
      <c r="F122" s="255"/>
      <c r="G122" s="255"/>
      <c r="H122" s="255"/>
      <c r="I122" s="255"/>
      <c r="J122" s="255"/>
      <c r="K122" s="255"/>
      <c r="L122" s="255"/>
      <c r="X122" s="108"/>
      <c r="Y122" s="108"/>
      <c r="Z122" s="108"/>
      <c r="AA122" s="108"/>
      <c r="AB122" s="108"/>
      <c r="AC122" s="108"/>
      <c r="AD122" s="108"/>
      <c r="AE122" s="108"/>
      <c r="AF122" s="108"/>
      <c r="AG122" s="108"/>
      <c r="AH122" s="108"/>
      <c r="AI122" s="108"/>
      <c r="AJ122" s="108"/>
      <c r="AK122" s="108"/>
      <c r="AL122" s="137"/>
      <c r="AM122" s="137"/>
      <c r="AN122" s="137"/>
      <c r="AO122" s="137"/>
      <c r="AP122" s="137"/>
      <c r="AQ122" s="137"/>
      <c r="AR122" s="137"/>
      <c r="AS122" s="137"/>
      <c r="AT122" s="137"/>
      <c r="AU122" s="137"/>
      <c r="AV122" s="137"/>
    </row>
    <row r="123" spans="1:48" ht="12.75" x14ac:dyDescent="0.2">
      <c r="A123" s="1045"/>
      <c r="B123" s="255"/>
      <c r="C123" s="255"/>
      <c r="D123" s="255"/>
      <c r="E123" s="255"/>
      <c r="F123" s="255"/>
      <c r="G123" s="255"/>
      <c r="H123" s="255"/>
      <c r="I123" s="255"/>
      <c r="J123" s="255"/>
      <c r="K123" s="255"/>
      <c r="L123" s="255"/>
      <c r="X123" s="108"/>
      <c r="Y123" s="108"/>
      <c r="Z123" s="108"/>
      <c r="AA123" s="108"/>
      <c r="AB123" s="108"/>
      <c r="AC123" s="108"/>
      <c r="AD123" s="108"/>
      <c r="AE123" s="108"/>
      <c r="AF123" s="108"/>
      <c r="AG123" s="108"/>
      <c r="AH123" s="108"/>
      <c r="AI123" s="108"/>
      <c r="AJ123" s="108"/>
      <c r="AK123" s="108"/>
      <c r="AL123" s="137"/>
      <c r="AM123" s="137"/>
      <c r="AN123" s="137"/>
      <c r="AO123" s="137"/>
      <c r="AP123" s="137"/>
      <c r="AQ123" s="137"/>
      <c r="AR123" s="137"/>
      <c r="AS123" s="137"/>
      <c r="AT123" s="137"/>
      <c r="AU123" s="137"/>
      <c r="AV123" s="137"/>
    </row>
    <row r="124" spans="1:48" ht="12.75" x14ac:dyDescent="0.2">
      <c r="A124" s="1045"/>
      <c r="B124" s="255"/>
      <c r="C124" s="255"/>
      <c r="D124" s="255"/>
      <c r="E124" s="255"/>
      <c r="F124" s="255"/>
      <c r="G124" s="255"/>
      <c r="H124" s="255"/>
      <c r="I124" s="255"/>
      <c r="J124" s="255"/>
      <c r="K124" s="255"/>
      <c r="L124" s="255"/>
      <c r="X124" s="108"/>
      <c r="Y124" s="108"/>
      <c r="Z124" s="108"/>
      <c r="AA124" s="108"/>
      <c r="AB124" s="108"/>
      <c r="AC124" s="108"/>
      <c r="AD124" s="108"/>
      <c r="AE124" s="108"/>
      <c r="AF124" s="108"/>
      <c r="AG124" s="108"/>
      <c r="AH124" s="108"/>
      <c r="AI124" s="108"/>
      <c r="AJ124" s="108"/>
      <c r="AK124" s="108"/>
      <c r="AL124" s="137"/>
      <c r="AM124" s="137"/>
      <c r="AN124" s="137"/>
      <c r="AO124" s="137"/>
      <c r="AP124" s="137"/>
      <c r="AQ124" s="137"/>
      <c r="AR124" s="137"/>
      <c r="AS124" s="137"/>
      <c r="AT124" s="137"/>
      <c r="AU124" s="137"/>
      <c r="AV124" s="137"/>
    </row>
    <row r="125" spans="1:48" ht="12.75" x14ac:dyDescent="0.2">
      <c r="A125" s="1045"/>
      <c r="B125" s="255"/>
      <c r="C125" s="255"/>
      <c r="D125" s="255"/>
      <c r="E125" s="255"/>
      <c r="F125" s="255"/>
      <c r="G125" s="255"/>
      <c r="H125" s="255"/>
      <c r="I125" s="255"/>
      <c r="J125" s="255"/>
      <c r="K125" s="255"/>
      <c r="L125" s="728" t="str">
        <f>ListAVS!$B$168</f>
        <v>Z powrotem</v>
      </c>
      <c r="X125" s="108"/>
      <c r="Y125" s="108"/>
      <c r="Z125" s="108"/>
      <c r="AA125" s="108"/>
      <c r="AB125" s="108"/>
      <c r="AC125" s="108"/>
      <c r="AD125" s="108"/>
      <c r="AE125" s="108"/>
      <c r="AF125" s="108"/>
      <c r="AG125" s="108"/>
      <c r="AH125" s="108"/>
      <c r="AI125" s="108"/>
      <c r="AJ125" s="108"/>
      <c r="AK125" s="108"/>
      <c r="AL125" s="137"/>
      <c r="AM125" s="137"/>
      <c r="AN125" s="137"/>
      <c r="AO125" s="137"/>
      <c r="AP125" s="137"/>
      <c r="AQ125" s="137"/>
      <c r="AR125" s="137"/>
      <c r="AS125" s="137"/>
      <c r="AT125" s="137"/>
      <c r="AU125" s="137"/>
      <c r="AV125" s="137"/>
    </row>
    <row r="126" spans="1:48" ht="12.75" x14ac:dyDescent="0.2">
      <c r="A126" s="1045"/>
      <c r="B126" s="255"/>
      <c r="C126" s="255"/>
      <c r="D126" s="255"/>
      <c r="E126" s="255"/>
      <c r="F126" s="255"/>
      <c r="G126" s="255"/>
      <c r="H126" s="255"/>
      <c r="I126" s="255"/>
      <c r="J126" s="255"/>
      <c r="K126" s="255"/>
      <c r="L126" s="255"/>
      <c r="X126" s="108"/>
      <c r="Y126" s="108"/>
      <c r="Z126" s="108"/>
      <c r="AA126" s="108"/>
      <c r="AB126" s="108"/>
      <c r="AC126" s="108"/>
      <c r="AD126" s="108"/>
      <c r="AE126" s="108"/>
      <c r="AF126" s="108"/>
      <c r="AG126" s="108"/>
      <c r="AH126" s="108"/>
      <c r="AI126" s="108"/>
      <c r="AJ126" s="108"/>
      <c r="AK126" s="108"/>
      <c r="AL126" s="137"/>
      <c r="AM126" s="137"/>
      <c r="AN126" s="137"/>
      <c r="AO126" s="137"/>
      <c r="AP126" s="137"/>
      <c r="AQ126" s="137"/>
      <c r="AR126" s="137"/>
      <c r="AS126" s="137"/>
      <c r="AT126" s="137"/>
      <c r="AU126" s="137"/>
      <c r="AV126" s="137"/>
    </row>
    <row r="127" spans="1:48" x14ac:dyDescent="0.2">
      <c r="A127" s="1045"/>
      <c r="X127" s="108"/>
      <c r="Y127" s="108"/>
      <c r="Z127" s="108"/>
      <c r="AA127" s="108"/>
      <c r="AB127" s="108"/>
      <c r="AC127" s="108"/>
      <c r="AD127" s="108"/>
      <c r="AE127" s="108"/>
      <c r="AF127" s="108"/>
      <c r="AG127" s="108"/>
      <c r="AH127" s="108"/>
      <c r="AI127" s="108"/>
      <c r="AJ127" s="108"/>
      <c r="AK127" s="108"/>
      <c r="AL127" s="137"/>
      <c r="AM127" s="137"/>
      <c r="AN127" s="137"/>
      <c r="AO127" s="137"/>
      <c r="AP127" s="137"/>
      <c r="AQ127" s="137"/>
      <c r="AR127" s="137"/>
      <c r="AS127" s="137"/>
      <c r="AT127" s="137"/>
      <c r="AU127" s="137"/>
      <c r="AV127" s="137"/>
    </row>
    <row r="128" spans="1:48" x14ac:dyDescent="0.2">
      <c r="A128" s="1045"/>
      <c r="X128" s="108"/>
      <c r="Y128" s="108"/>
      <c r="Z128" s="108"/>
      <c r="AA128" s="108"/>
      <c r="AB128" s="108"/>
      <c r="AC128" s="108"/>
      <c r="AD128" s="108"/>
      <c r="AE128" s="108"/>
      <c r="AF128" s="108"/>
      <c r="AG128" s="108"/>
      <c r="AH128" s="108"/>
      <c r="AI128" s="108"/>
      <c r="AJ128" s="108"/>
      <c r="AK128" s="108"/>
      <c r="AL128" s="137"/>
      <c r="AM128" s="137"/>
      <c r="AN128" s="137"/>
      <c r="AO128" s="137"/>
      <c r="AP128" s="137"/>
      <c r="AQ128" s="137"/>
      <c r="AR128" s="137"/>
      <c r="AS128" s="137"/>
      <c r="AT128" s="137"/>
      <c r="AU128" s="137"/>
      <c r="AV128" s="137"/>
    </row>
    <row r="129" spans="1:48" x14ac:dyDescent="0.2">
      <c r="A129" s="1045"/>
      <c r="X129" s="108"/>
      <c r="Y129" s="108"/>
      <c r="Z129" s="108"/>
      <c r="AA129" s="108"/>
      <c r="AB129" s="108"/>
      <c r="AC129" s="108"/>
      <c r="AD129" s="108"/>
      <c r="AE129" s="108"/>
      <c r="AF129" s="108"/>
      <c r="AG129" s="108"/>
      <c r="AH129" s="108"/>
      <c r="AI129" s="108"/>
      <c r="AJ129" s="108"/>
      <c r="AK129" s="108"/>
      <c r="AL129" s="137"/>
      <c r="AM129" s="137"/>
      <c r="AN129" s="137"/>
      <c r="AO129" s="137"/>
      <c r="AP129" s="137"/>
      <c r="AQ129" s="137"/>
      <c r="AR129" s="137"/>
      <c r="AS129" s="137"/>
      <c r="AT129" s="137"/>
      <c r="AU129" s="137"/>
      <c r="AV129" s="137"/>
    </row>
    <row r="130" spans="1:48" x14ac:dyDescent="0.2">
      <c r="A130" s="1045"/>
      <c r="X130" s="108"/>
      <c r="Y130" s="108"/>
      <c r="Z130" s="108"/>
      <c r="AA130" s="108"/>
      <c r="AB130" s="108"/>
      <c r="AC130" s="108"/>
      <c r="AD130" s="108"/>
      <c r="AE130" s="108"/>
      <c r="AF130" s="108"/>
      <c r="AG130" s="108"/>
      <c r="AH130" s="108"/>
      <c r="AI130" s="108"/>
      <c r="AJ130" s="108"/>
      <c r="AK130" s="108"/>
      <c r="AL130" s="137"/>
      <c r="AM130" s="137"/>
      <c r="AN130" s="137"/>
      <c r="AO130" s="137"/>
      <c r="AP130" s="137"/>
      <c r="AQ130" s="137"/>
      <c r="AR130" s="137"/>
      <c r="AS130" s="137"/>
      <c r="AT130" s="137"/>
      <c r="AU130" s="137"/>
      <c r="AV130" s="137"/>
    </row>
    <row r="131" spans="1:48" x14ac:dyDescent="0.2">
      <c r="A131" s="1045"/>
      <c r="X131" s="108"/>
      <c r="Y131" s="108"/>
      <c r="Z131" s="108"/>
      <c r="AA131" s="108"/>
      <c r="AB131" s="108"/>
      <c r="AC131" s="108"/>
      <c r="AD131" s="108"/>
      <c r="AE131" s="108"/>
      <c r="AF131" s="108"/>
      <c r="AG131" s="108"/>
      <c r="AH131" s="108"/>
      <c r="AI131" s="108"/>
      <c r="AJ131" s="108"/>
      <c r="AK131" s="108"/>
      <c r="AL131" s="137"/>
      <c r="AM131" s="137"/>
      <c r="AN131" s="137"/>
      <c r="AO131" s="137"/>
      <c r="AP131" s="137"/>
      <c r="AQ131" s="137"/>
      <c r="AR131" s="137"/>
      <c r="AS131" s="137"/>
      <c r="AT131" s="137"/>
      <c r="AU131" s="137"/>
      <c r="AV131" s="137"/>
    </row>
    <row r="132" spans="1:48" x14ac:dyDescent="0.2">
      <c r="A132" s="1045"/>
      <c r="X132" s="108"/>
      <c r="Y132" s="108"/>
      <c r="Z132" s="108"/>
      <c r="AA132" s="108"/>
      <c r="AB132" s="108"/>
      <c r="AC132" s="108"/>
      <c r="AD132" s="108"/>
      <c r="AE132" s="108"/>
      <c r="AF132" s="108"/>
      <c r="AG132" s="108"/>
      <c r="AH132" s="108"/>
      <c r="AI132" s="108"/>
      <c r="AJ132" s="108"/>
      <c r="AK132" s="108"/>
      <c r="AL132" s="137"/>
      <c r="AM132" s="137"/>
      <c r="AN132" s="137"/>
      <c r="AO132" s="137"/>
      <c r="AP132" s="137"/>
      <c r="AQ132" s="137"/>
      <c r="AR132" s="137"/>
      <c r="AS132" s="137"/>
      <c r="AT132" s="137"/>
      <c r="AU132" s="137"/>
      <c r="AV132" s="137"/>
    </row>
    <row r="133" spans="1:48" x14ac:dyDescent="0.2">
      <c r="A133" s="1045"/>
      <c r="X133" s="108"/>
      <c r="Y133" s="108"/>
      <c r="Z133" s="108"/>
      <c r="AA133" s="108"/>
      <c r="AB133" s="108"/>
      <c r="AC133" s="108"/>
      <c r="AD133" s="108"/>
      <c r="AE133" s="108"/>
      <c r="AF133" s="108"/>
      <c r="AG133" s="108"/>
      <c r="AH133" s="108"/>
      <c r="AI133" s="108"/>
      <c r="AJ133" s="108"/>
      <c r="AK133" s="108"/>
      <c r="AL133" s="137"/>
      <c r="AM133" s="137"/>
      <c r="AN133" s="137"/>
      <c r="AO133" s="137"/>
      <c r="AP133" s="137"/>
      <c r="AQ133" s="137"/>
      <c r="AR133" s="137"/>
      <c r="AS133" s="137"/>
      <c r="AT133" s="137"/>
      <c r="AU133" s="137"/>
      <c r="AV133" s="137"/>
    </row>
    <row r="134" spans="1:48" x14ac:dyDescent="0.2">
      <c r="A134" s="1045"/>
      <c r="X134" s="108"/>
      <c r="Y134" s="108"/>
      <c r="Z134" s="108"/>
      <c r="AA134" s="108"/>
      <c r="AB134" s="108"/>
      <c r="AC134" s="108"/>
      <c r="AD134" s="108"/>
      <c r="AE134" s="108"/>
      <c r="AF134" s="108"/>
      <c r="AG134" s="108"/>
      <c r="AH134" s="108"/>
      <c r="AI134" s="108"/>
      <c r="AJ134" s="108"/>
      <c r="AK134" s="108"/>
      <c r="AL134" s="137"/>
      <c r="AM134" s="137"/>
      <c r="AN134" s="137"/>
      <c r="AO134" s="137"/>
      <c r="AP134" s="137"/>
      <c r="AQ134" s="137"/>
      <c r="AR134" s="137"/>
      <c r="AS134" s="137"/>
      <c r="AT134" s="137"/>
      <c r="AU134" s="137"/>
      <c r="AV134" s="137"/>
    </row>
    <row r="135" spans="1:48" x14ac:dyDescent="0.2">
      <c r="A135" s="1045"/>
      <c r="X135" s="108"/>
      <c r="Y135" s="108"/>
      <c r="Z135" s="108"/>
      <c r="AA135" s="108"/>
      <c r="AB135" s="108"/>
      <c r="AC135" s="108"/>
      <c r="AD135" s="108"/>
      <c r="AE135" s="108"/>
      <c r="AF135" s="108"/>
      <c r="AG135" s="108"/>
      <c r="AH135" s="108"/>
      <c r="AI135" s="108"/>
      <c r="AJ135" s="108"/>
      <c r="AK135" s="108"/>
      <c r="AL135" s="137"/>
      <c r="AM135" s="137"/>
      <c r="AN135" s="137"/>
      <c r="AO135" s="137"/>
      <c r="AP135" s="137"/>
      <c r="AQ135" s="137"/>
      <c r="AR135" s="137"/>
      <c r="AS135" s="137"/>
      <c r="AT135" s="137"/>
      <c r="AU135" s="137"/>
      <c r="AV135" s="137"/>
    </row>
    <row r="136" spans="1:48" x14ac:dyDescent="0.2">
      <c r="A136" s="1045"/>
      <c r="X136" s="108"/>
      <c r="Y136" s="108"/>
      <c r="Z136" s="108"/>
      <c r="AA136" s="108"/>
      <c r="AB136" s="108"/>
      <c r="AC136" s="108"/>
      <c r="AD136" s="108"/>
      <c r="AE136" s="108"/>
      <c r="AF136" s="108"/>
      <c r="AG136" s="108"/>
      <c r="AH136" s="108"/>
      <c r="AI136" s="108"/>
      <c r="AJ136" s="108"/>
      <c r="AK136" s="108"/>
      <c r="AL136" s="137"/>
      <c r="AM136" s="137"/>
      <c r="AN136" s="137"/>
      <c r="AO136" s="137"/>
      <c r="AP136" s="137"/>
      <c r="AQ136" s="137"/>
      <c r="AR136" s="137"/>
      <c r="AS136" s="137"/>
      <c r="AT136" s="137"/>
      <c r="AU136" s="137"/>
      <c r="AV136" s="137"/>
    </row>
    <row r="137" spans="1:48" x14ac:dyDescent="0.2">
      <c r="A137" s="1045"/>
      <c r="X137" s="108"/>
      <c r="Y137" s="108"/>
      <c r="Z137" s="108"/>
      <c r="AA137" s="108"/>
      <c r="AB137" s="108"/>
      <c r="AC137" s="108"/>
      <c r="AD137" s="108"/>
      <c r="AE137" s="108"/>
      <c r="AF137" s="108"/>
      <c r="AG137" s="108"/>
      <c r="AH137" s="108"/>
      <c r="AI137" s="108"/>
      <c r="AJ137" s="108"/>
      <c r="AK137" s="108"/>
      <c r="AL137" s="137"/>
      <c r="AM137" s="137"/>
      <c r="AN137" s="137"/>
      <c r="AO137" s="137"/>
      <c r="AP137" s="137"/>
      <c r="AQ137" s="137"/>
      <c r="AR137" s="137"/>
      <c r="AS137" s="137"/>
      <c r="AT137" s="137"/>
      <c r="AU137" s="137"/>
      <c r="AV137" s="137"/>
    </row>
    <row r="138" spans="1:48" x14ac:dyDescent="0.2">
      <c r="A138" s="1045"/>
      <c r="X138" s="108"/>
      <c r="Y138" s="108"/>
      <c r="Z138" s="108"/>
      <c r="AA138" s="108"/>
      <c r="AB138" s="108"/>
      <c r="AC138" s="108"/>
      <c r="AD138" s="108"/>
      <c r="AE138" s="108"/>
      <c r="AF138" s="108"/>
      <c r="AG138" s="108"/>
      <c r="AH138" s="108"/>
      <c r="AI138" s="108"/>
      <c r="AJ138" s="108"/>
      <c r="AK138" s="108"/>
      <c r="AL138" s="137"/>
      <c r="AM138" s="137"/>
      <c r="AN138" s="137"/>
      <c r="AO138" s="137"/>
      <c r="AP138" s="137"/>
      <c r="AQ138" s="137"/>
      <c r="AR138" s="137"/>
      <c r="AS138" s="137"/>
      <c r="AT138" s="137"/>
      <c r="AU138" s="137"/>
      <c r="AV138" s="137"/>
    </row>
    <row r="139" spans="1:48" x14ac:dyDescent="0.2">
      <c r="A139" s="1045"/>
      <c r="X139" s="108"/>
      <c r="Y139" s="108"/>
      <c r="Z139" s="108"/>
      <c r="AA139" s="108"/>
      <c r="AB139" s="108"/>
      <c r="AC139" s="108"/>
      <c r="AD139" s="108"/>
      <c r="AE139" s="108"/>
      <c r="AF139" s="108"/>
      <c r="AG139" s="108"/>
      <c r="AH139" s="108"/>
      <c r="AI139" s="108"/>
      <c r="AJ139" s="108"/>
      <c r="AK139" s="108"/>
      <c r="AL139" s="137"/>
      <c r="AM139" s="137"/>
      <c r="AN139" s="137"/>
      <c r="AO139" s="137"/>
      <c r="AP139" s="137"/>
      <c r="AQ139" s="137"/>
      <c r="AR139" s="137"/>
      <c r="AS139" s="137"/>
      <c r="AT139" s="137"/>
      <c r="AU139" s="137"/>
      <c r="AV139" s="137"/>
    </row>
    <row r="140" spans="1:48" x14ac:dyDescent="0.2">
      <c r="A140" s="1045"/>
      <c r="X140" s="108"/>
      <c r="Y140" s="108"/>
      <c r="Z140" s="108"/>
      <c r="AA140" s="108"/>
      <c r="AB140" s="108"/>
      <c r="AC140" s="108"/>
      <c r="AD140" s="108"/>
      <c r="AE140" s="108"/>
      <c r="AF140" s="108"/>
      <c r="AG140" s="108"/>
      <c r="AH140" s="108"/>
      <c r="AI140" s="108"/>
      <c r="AJ140" s="108"/>
      <c r="AK140" s="108"/>
      <c r="AL140" s="137"/>
      <c r="AM140" s="137"/>
      <c r="AN140" s="137"/>
      <c r="AO140" s="137"/>
      <c r="AP140" s="137"/>
      <c r="AQ140" s="137"/>
      <c r="AR140" s="137"/>
      <c r="AS140" s="137"/>
      <c r="AT140" s="137"/>
      <c r="AU140" s="137"/>
      <c r="AV140" s="137"/>
    </row>
    <row r="141" spans="1:48" x14ac:dyDescent="0.2">
      <c r="X141" s="108"/>
      <c r="Y141" s="108"/>
      <c r="Z141" s="108"/>
      <c r="AA141" s="108"/>
      <c r="AB141" s="108"/>
      <c r="AC141" s="108"/>
      <c r="AD141" s="108"/>
      <c r="AE141" s="108"/>
      <c r="AF141" s="108"/>
      <c r="AG141" s="108"/>
      <c r="AH141" s="108"/>
      <c r="AI141" s="108"/>
      <c r="AJ141" s="108"/>
      <c r="AK141" s="108"/>
      <c r="AL141" s="137"/>
      <c r="AM141" s="137"/>
      <c r="AN141" s="137"/>
      <c r="AO141" s="137"/>
      <c r="AP141" s="137"/>
      <c r="AQ141" s="137"/>
      <c r="AR141" s="137"/>
      <c r="AS141" s="137"/>
      <c r="AT141" s="137"/>
      <c r="AU141" s="137"/>
      <c r="AV141" s="137"/>
    </row>
    <row r="142" spans="1:48" x14ac:dyDescent="0.2">
      <c r="X142" s="108"/>
      <c r="Y142" s="108"/>
      <c r="Z142" s="108"/>
      <c r="AA142" s="108"/>
      <c r="AB142" s="108"/>
      <c r="AC142" s="108"/>
      <c r="AD142" s="108"/>
      <c r="AE142" s="108"/>
      <c r="AF142" s="108"/>
      <c r="AG142" s="108"/>
      <c r="AH142" s="108"/>
      <c r="AI142" s="108"/>
      <c r="AJ142" s="108"/>
      <c r="AK142" s="108"/>
      <c r="AL142" s="137"/>
      <c r="AM142" s="137"/>
      <c r="AN142" s="137"/>
      <c r="AO142" s="137"/>
      <c r="AP142" s="137"/>
      <c r="AQ142" s="137"/>
      <c r="AR142" s="137"/>
      <c r="AS142" s="137"/>
      <c r="AT142" s="137"/>
      <c r="AU142" s="137"/>
      <c r="AV142" s="137"/>
    </row>
    <row r="143" spans="1:48" x14ac:dyDescent="0.2">
      <c r="X143" s="108"/>
      <c r="Y143" s="108"/>
      <c r="Z143" s="108"/>
      <c r="AA143" s="108"/>
      <c r="AB143" s="108"/>
      <c r="AC143" s="108"/>
      <c r="AD143" s="108"/>
      <c r="AE143" s="108"/>
      <c r="AF143" s="108"/>
      <c r="AG143" s="108"/>
      <c r="AH143" s="108"/>
      <c r="AI143" s="108"/>
      <c r="AJ143" s="108"/>
      <c r="AK143" s="108"/>
      <c r="AL143" s="137"/>
      <c r="AM143" s="137"/>
      <c r="AN143" s="137"/>
      <c r="AO143" s="137"/>
      <c r="AP143" s="137"/>
      <c r="AQ143" s="137"/>
      <c r="AR143" s="137"/>
      <c r="AS143" s="137"/>
      <c r="AT143" s="137"/>
      <c r="AU143" s="137"/>
      <c r="AV143" s="137"/>
    </row>
    <row r="144" spans="1:48" x14ac:dyDescent="0.2">
      <c r="X144" s="108"/>
      <c r="Y144" s="108"/>
      <c r="Z144" s="108"/>
      <c r="AA144" s="108"/>
      <c r="AB144" s="108"/>
      <c r="AC144" s="108"/>
      <c r="AD144" s="108"/>
      <c r="AE144" s="108"/>
      <c r="AF144" s="108"/>
      <c r="AG144" s="108"/>
      <c r="AH144" s="108"/>
      <c r="AI144" s="108"/>
      <c r="AJ144" s="108"/>
      <c r="AK144" s="108"/>
      <c r="AL144" s="137"/>
      <c r="AM144" s="137"/>
      <c r="AN144" s="137"/>
      <c r="AO144" s="137"/>
      <c r="AP144" s="137"/>
      <c r="AQ144" s="137"/>
      <c r="AR144" s="137"/>
      <c r="AS144" s="137"/>
      <c r="AT144" s="137"/>
      <c r="AU144" s="137"/>
      <c r="AV144" s="137"/>
    </row>
    <row r="145" spans="24:48" x14ac:dyDescent="0.2">
      <c r="X145" s="108"/>
      <c r="Y145" s="108"/>
      <c r="Z145" s="108"/>
      <c r="AA145" s="108"/>
      <c r="AB145" s="108"/>
      <c r="AC145" s="108"/>
      <c r="AD145" s="108"/>
      <c r="AE145" s="108"/>
      <c r="AF145" s="108"/>
      <c r="AG145" s="108"/>
      <c r="AH145" s="108"/>
      <c r="AI145" s="108"/>
      <c r="AJ145" s="108"/>
      <c r="AK145" s="108"/>
      <c r="AL145" s="137"/>
      <c r="AM145" s="137"/>
      <c r="AN145" s="137"/>
      <c r="AO145" s="137"/>
      <c r="AP145" s="137"/>
      <c r="AQ145" s="137"/>
      <c r="AR145" s="137"/>
      <c r="AS145" s="137"/>
      <c r="AT145" s="137"/>
      <c r="AU145" s="137"/>
      <c r="AV145" s="137"/>
    </row>
    <row r="146" spans="24:48" x14ac:dyDescent="0.2">
      <c r="X146" s="108"/>
      <c r="Y146" s="108"/>
      <c r="Z146" s="108"/>
      <c r="AA146" s="108"/>
      <c r="AB146" s="108"/>
      <c r="AC146" s="108"/>
      <c r="AD146" s="108"/>
      <c r="AE146" s="108"/>
      <c r="AF146" s="108"/>
      <c r="AG146" s="108"/>
      <c r="AH146" s="108"/>
      <c r="AI146" s="108"/>
      <c r="AJ146" s="108"/>
      <c r="AK146" s="108"/>
      <c r="AL146" s="137"/>
      <c r="AM146" s="137"/>
      <c r="AN146" s="137"/>
      <c r="AO146" s="137"/>
      <c r="AP146" s="137"/>
      <c r="AQ146" s="137"/>
      <c r="AR146" s="137"/>
      <c r="AS146" s="137"/>
      <c r="AT146" s="137"/>
      <c r="AU146" s="137"/>
      <c r="AV146" s="137"/>
    </row>
    <row r="147" spans="24:48" x14ac:dyDescent="0.2">
      <c r="X147" s="108"/>
      <c r="Y147" s="108"/>
      <c r="Z147" s="108"/>
      <c r="AA147" s="108"/>
      <c r="AB147" s="108"/>
      <c r="AC147" s="108"/>
      <c r="AD147" s="108"/>
      <c r="AE147" s="108"/>
      <c r="AF147" s="108"/>
      <c r="AG147" s="108"/>
      <c r="AH147" s="108"/>
      <c r="AI147" s="108"/>
      <c r="AJ147" s="108"/>
      <c r="AK147" s="108"/>
      <c r="AL147" s="137"/>
      <c r="AM147" s="137"/>
      <c r="AN147" s="137"/>
      <c r="AO147" s="137"/>
      <c r="AP147" s="137"/>
      <c r="AQ147" s="137"/>
      <c r="AR147" s="137"/>
      <c r="AS147" s="137"/>
      <c r="AT147" s="137"/>
      <c r="AU147" s="137"/>
      <c r="AV147" s="137"/>
    </row>
    <row r="148" spans="24:48" x14ac:dyDescent="0.2">
      <c r="X148" s="108"/>
      <c r="Y148" s="108"/>
      <c r="Z148" s="108"/>
      <c r="AA148" s="108"/>
      <c r="AB148" s="108"/>
      <c r="AC148" s="108"/>
      <c r="AD148" s="108"/>
      <c r="AE148" s="108"/>
      <c r="AF148" s="108"/>
      <c r="AG148" s="108"/>
      <c r="AH148" s="108"/>
      <c r="AI148" s="108"/>
      <c r="AJ148" s="108"/>
      <c r="AK148" s="108"/>
      <c r="AL148" s="137"/>
      <c r="AM148" s="137"/>
      <c r="AN148" s="137"/>
      <c r="AO148" s="137"/>
      <c r="AP148" s="137"/>
      <c r="AQ148" s="137"/>
      <c r="AR148" s="137"/>
      <c r="AS148" s="137"/>
      <c r="AT148" s="137"/>
      <c r="AU148" s="137"/>
      <c r="AV148" s="137"/>
    </row>
    <row r="149" spans="24:48" x14ac:dyDescent="0.2">
      <c r="X149" s="108"/>
      <c r="Y149" s="108"/>
      <c r="Z149" s="108"/>
      <c r="AA149" s="108"/>
      <c r="AB149" s="108"/>
      <c r="AC149" s="108"/>
      <c r="AD149" s="108"/>
      <c r="AE149" s="108"/>
      <c r="AF149" s="108"/>
      <c r="AG149" s="108"/>
      <c r="AH149" s="108"/>
      <c r="AI149" s="108"/>
      <c r="AJ149" s="108"/>
      <c r="AK149" s="108"/>
      <c r="AL149" s="137"/>
      <c r="AM149" s="137"/>
      <c r="AN149" s="137"/>
      <c r="AO149" s="137"/>
      <c r="AP149" s="137"/>
      <c r="AQ149" s="137"/>
      <c r="AR149" s="137"/>
      <c r="AS149" s="137"/>
      <c r="AT149" s="137"/>
      <c r="AU149" s="137"/>
      <c r="AV149" s="137"/>
    </row>
    <row r="150" spans="24:48" x14ac:dyDescent="0.2">
      <c r="X150" s="108"/>
      <c r="Y150" s="108"/>
      <c r="Z150" s="108"/>
      <c r="AA150" s="108"/>
      <c r="AB150" s="108"/>
      <c r="AC150" s="108"/>
      <c r="AD150" s="108"/>
      <c r="AE150" s="108"/>
      <c r="AF150" s="108"/>
      <c r="AG150" s="108"/>
      <c r="AH150" s="108"/>
      <c r="AI150" s="108"/>
      <c r="AJ150" s="108"/>
      <c r="AK150" s="108"/>
      <c r="AL150" s="137"/>
      <c r="AM150" s="137"/>
      <c r="AN150" s="137"/>
      <c r="AO150" s="137"/>
      <c r="AP150" s="137"/>
      <c r="AQ150" s="137"/>
      <c r="AR150" s="137"/>
      <c r="AS150" s="137"/>
      <c r="AT150" s="137"/>
      <c r="AU150" s="137"/>
      <c r="AV150" s="137"/>
    </row>
    <row r="151" spans="24:48" x14ac:dyDescent="0.2">
      <c r="X151" s="108"/>
      <c r="Y151" s="108"/>
      <c r="Z151" s="108"/>
      <c r="AA151" s="108"/>
      <c r="AB151" s="108"/>
      <c r="AC151" s="108"/>
      <c r="AD151" s="108"/>
      <c r="AE151" s="108"/>
      <c r="AF151" s="108"/>
      <c r="AG151" s="108"/>
      <c r="AH151" s="108"/>
      <c r="AI151" s="108"/>
      <c r="AJ151" s="108"/>
      <c r="AK151" s="108"/>
      <c r="AL151" s="137"/>
      <c r="AM151" s="137"/>
      <c r="AN151" s="137"/>
      <c r="AO151" s="137"/>
      <c r="AP151" s="137"/>
      <c r="AQ151" s="137"/>
      <c r="AR151" s="137"/>
      <c r="AS151" s="137"/>
      <c r="AT151" s="137"/>
      <c r="AU151" s="137"/>
      <c r="AV151" s="137"/>
    </row>
    <row r="152" spans="24:48" x14ac:dyDescent="0.2">
      <c r="X152" s="108"/>
      <c r="Y152" s="108"/>
      <c r="Z152" s="108"/>
      <c r="AA152" s="108"/>
      <c r="AB152" s="108"/>
      <c r="AC152" s="108"/>
      <c r="AD152" s="108"/>
      <c r="AE152" s="108"/>
      <c r="AF152" s="108"/>
      <c r="AG152" s="108"/>
      <c r="AH152" s="108"/>
      <c r="AI152" s="108"/>
      <c r="AJ152" s="108"/>
      <c r="AK152" s="108"/>
      <c r="AL152" s="137"/>
      <c r="AM152" s="137"/>
      <c r="AN152" s="137"/>
      <c r="AO152" s="137"/>
      <c r="AP152" s="137"/>
      <c r="AQ152" s="137"/>
      <c r="AR152" s="137"/>
      <c r="AS152" s="137"/>
      <c r="AT152" s="137"/>
      <c r="AU152" s="137"/>
      <c r="AV152" s="137"/>
    </row>
    <row r="153" spans="24:48" x14ac:dyDescent="0.2">
      <c r="X153" s="108"/>
      <c r="Y153" s="108"/>
      <c r="Z153" s="108"/>
      <c r="AA153" s="108"/>
      <c r="AB153" s="108"/>
      <c r="AC153" s="108"/>
      <c r="AD153" s="108"/>
      <c r="AE153" s="108"/>
      <c r="AF153" s="108"/>
      <c r="AG153" s="108"/>
      <c r="AH153" s="108"/>
      <c r="AI153" s="108"/>
      <c r="AJ153" s="108"/>
      <c r="AK153" s="108"/>
      <c r="AL153" s="137"/>
      <c r="AM153" s="137"/>
      <c r="AN153" s="137"/>
      <c r="AO153" s="137"/>
      <c r="AP153" s="137"/>
      <c r="AQ153" s="137"/>
      <c r="AR153" s="137"/>
      <c r="AS153" s="137"/>
      <c r="AT153" s="137"/>
      <c r="AU153" s="137"/>
      <c r="AV153" s="137"/>
    </row>
    <row r="154" spans="24:48" x14ac:dyDescent="0.2">
      <c r="X154" s="108"/>
      <c r="Y154" s="108"/>
      <c r="Z154" s="108"/>
      <c r="AA154" s="108"/>
      <c r="AB154" s="108"/>
      <c r="AC154" s="108"/>
      <c r="AD154" s="108"/>
      <c r="AE154" s="108"/>
      <c r="AF154" s="108"/>
      <c r="AG154" s="108"/>
      <c r="AH154" s="108"/>
      <c r="AI154" s="108"/>
      <c r="AJ154" s="108"/>
      <c r="AK154" s="108"/>
      <c r="AL154" s="137"/>
      <c r="AM154" s="137"/>
      <c r="AN154" s="137"/>
      <c r="AO154" s="137"/>
      <c r="AP154" s="137"/>
      <c r="AQ154" s="137"/>
      <c r="AR154" s="137"/>
      <c r="AS154" s="137"/>
      <c r="AT154" s="137"/>
      <c r="AU154" s="137"/>
      <c r="AV154" s="137"/>
    </row>
    <row r="155" spans="24:48" x14ac:dyDescent="0.2">
      <c r="X155" s="108"/>
      <c r="Y155" s="108"/>
      <c r="Z155" s="108"/>
      <c r="AA155" s="108"/>
      <c r="AB155" s="108"/>
      <c r="AC155" s="108"/>
      <c r="AD155" s="108"/>
      <c r="AE155" s="108"/>
      <c r="AF155" s="108"/>
      <c r="AG155" s="108"/>
      <c r="AH155" s="108"/>
      <c r="AI155" s="108"/>
      <c r="AJ155" s="108"/>
      <c r="AK155" s="108"/>
      <c r="AL155" s="137"/>
      <c r="AM155" s="137"/>
      <c r="AN155" s="137"/>
      <c r="AO155" s="137"/>
      <c r="AP155" s="137"/>
      <c r="AQ155" s="137"/>
      <c r="AR155" s="137"/>
      <c r="AS155" s="137"/>
      <c r="AT155" s="137"/>
      <c r="AU155" s="137"/>
      <c r="AV155" s="137"/>
    </row>
    <row r="156" spans="24:48" x14ac:dyDescent="0.2">
      <c r="X156" s="108"/>
      <c r="Y156" s="108"/>
      <c r="Z156" s="108"/>
      <c r="AA156" s="108"/>
      <c r="AB156" s="108"/>
      <c r="AC156" s="108"/>
      <c r="AD156" s="108"/>
      <c r="AE156" s="108"/>
      <c r="AF156" s="108"/>
      <c r="AG156" s="108"/>
      <c r="AH156" s="108"/>
      <c r="AI156" s="108"/>
      <c r="AJ156" s="108"/>
      <c r="AK156" s="108"/>
      <c r="AL156" s="137"/>
      <c r="AM156" s="137"/>
      <c r="AN156" s="137"/>
      <c r="AO156" s="137"/>
      <c r="AP156" s="137"/>
      <c r="AQ156" s="137"/>
      <c r="AR156" s="137"/>
      <c r="AS156" s="137"/>
      <c r="AT156" s="137"/>
      <c r="AU156" s="137"/>
      <c r="AV156" s="137"/>
    </row>
    <row r="157" spans="24:48" x14ac:dyDescent="0.2">
      <c r="X157" s="108"/>
      <c r="Y157" s="108"/>
      <c r="Z157" s="108"/>
      <c r="AA157" s="108"/>
      <c r="AB157" s="108"/>
      <c r="AC157" s="108"/>
      <c r="AD157" s="108"/>
      <c r="AE157" s="108"/>
      <c r="AF157" s="108"/>
      <c r="AG157" s="108"/>
      <c r="AH157" s="108"/>
      <c r="AI157" s="108"/>
      <c r="AJ157" s="108"/>
      <c r="AK157" s="108"/>
      <c r="AL157" s="137"/>
      <c r="AM157" s="137"/>
      <c r="AN157" s="137"/>
      <c r="AO157" s="137"/>
      <c r="AP157" s="137"/>
      <c r="AQ157" s="137"/>
      <c r="AR157" s="137"/>
      <c r="AS157" s="137"/>
      <c r="AT157" s="137"/>
      <c r="AU157" s="137"/>
      <c r="AV157" s="137"/>
    </row>
    <row r="158" spans="24:48" x14ac:dyDescent="0.2">
      <c r="X158" s="108"/>
      <c r="Y158" s="108"/>
      <c r="Z158" s="108"/>
      <c r="AA158" s="108"/>
      <c r="AB158" s="108"/>
      <c r="AC158" s="108"/>
      <c r="AD158" s="108"/>
      <c r="AE158" s="108"/>
      <c r="AF158" s="108"/>
      <c r="AG158" s="108"/>
      <c r="AH158" s="108"/>
      <c r="AI158" s="108"/>
      <c r="AJ158" s="108"/>
      <c r="AK158" s="108"/>
      <c r="AL158" s="137"/>
      <c r="AM158" s="137"/>
      <c r="AN158" s="137"/>
      <c r="AO158" s="137"/>
      <c r="AP158" s="137"/>
      <c r="AQ158" s="137"/>
      <c r="AR158" s="137"/>
      <c r="AS158" s="137"/>
      <c r="AT158" s="137"/>
      <c r="AU158" s="137"/>
      <c r="AV158" s="137"/>
    </row>
    <row r="159" spans="24:48" x14ac:dyDescent="0.2">
      <c r="X159" s="108"/>
      <c r="Y159" s="108"/>
      <c r="Z159" s="108"/>
      <c r="AA159" s="108"/>
      <c r="AB159" s="108"/>
      <c r="AC159" s="108"/>
      <c r="AD159" s="108"/>
      <c r="AE159" s="108"/>
      <c r="AF159" s="108"/>
      <c r="AG159" s="108"/>
      <c r="AH159" s="108"/>
      <c r="AI159" s="108"/>
      <c r="AJ159" s="108"/>
      <c r="AK159" s="108"/>
      <c r="AL159" s="137"/>
      <c r="AM159" s="137"/>
      <c r="AN159" s="137"/>
      <c r="AO159" s="137"/>
      <c r="AP159" s="137"/>
      <c r="AQ159" s="137"/>
      <c r="AR159" s="137"/>
      <c r="AS159" s="137"/>
      <c r="AT159" s="137"/>
      <c r="AU159" s="137"/>
      <c r="AV159" s="137"/>
    </row>
    <row r="160" spans="24:48" x14ac:dyDescent="0.2">
      <c r="X160" s="108"/>
      <c r="Y160" s="108"/>
      <c r="Z160" s="108"/>
      <c r="AA160" s="108"/>
      <c r="AB160" s="108"/>
      <c r="AC160" s="108"/>
      <c r="AD160" s="108"/>
      <c r="AE160" s="108"/>
      <c r="AF160" s="108"/>
      <c r="AG160" s="108"/>
      <c r="AH160" s="108"/>
      <c r="AI160" s="108"/>
      <c r="AJ160" s="108"/>
      <c r="AK160" s="108"/>
      <c r="AL160" s="137"/>
      <c r="AM160" s="137"/>
      <c r="AN160" s="137"/>
      <c r="AO160" s="137"/>
      <c r="AP160" s="137"/>
      <c r="AQ160" s="137"/>
      <c r="AR160" s="137"/>
      <c r="AS160" s="137"/>
      <c r="AT160" s="137"/>
      <c r="AU160" s="137"/>
      <c r="AV160" s="137"/>
    </row>
    <row r="161" spans="24:48" x14ac:dyDescent="0.2">
      <c r="X161" s="108"/>
      <c r="Y161" s="108"/>
      <c r="Z161" s="108"/>
      <c r="AA161" s="108"/>
      <c r="AB161" s="108"/>
      <c r="AC161" s="108"/>
      <c r="AD161" s="108"/>
      <c r="AE161" s="108"/>
      <c r="AF161" s="108"/>
      <c r="AG161" s="108"/>
      <c r="AH161" s="108"/>
      <c r="AI161" s="108"/>
      <c r="AJ161" s="108"/>
      <c r="AK161" s="108"/>
      <c r="AL161" s="137"/>
      <c r="AM161" s="137"/>
      <c r="AN161" s="137"/>
      <c r="AO161" s="137"/>
      <c r="AP161" s="137"/>
      <c r="AQ161" s="137"/>
      <c r="AR161" s="137"/>
      <c r="AS161" s="137"/>
      <c r="AT161" s="137"/>
      <c r="AU161" s="137"/>
      <c r="AV161" s="137"/>
    </row>
    <row r="162" spans="24:48" x14ac:dyDescent="0.2">
      <c r="X162" s="108"/>
      <c r="Y162" s="108"/>
      <c r="Z162" s="108"/>
      <c r="AA162" s="108"/>
      <c r="AB162" s="108"/>
      <c r="AC162" s="108"/>
      <c r="AD162" s="108"/>
      <c r="AE162" s="108"/>
      <c r="AF162" s="108"/>
      <c r="AG162" s="108"/>
      <c r="AH162" s="108"/>
      <c r="AI162" s="108"/>
      <c r="AJ162" s="108"/>
      <c r="AK162" s="108"/>
      <c r="AL162" s="137"/>
      <c r="AM162" s="137"/>
      <c r="AN162" s="137"/>
      <c r="AO162" s="137"/>
      <c r="AP162" s="137"/>
      <c r="AQ162" s="137"/>
      <c r="AR162" s="137"/>
      <c r="AS162" s="137"/>
      <c r="AT162" s="137"/>
      <c r="AU162" s="137"/>
      <c r="AV162" s="137"/>
    </row>
    <row r="163" spans="24:48" x14ac:dyDescent="0.2">
      <c r="X163" s="108"/>
      <c r="Y163" s="108"/>
      <c r="Z163" s="108"/>
      <c r="AA163" s="108"/>
      <c r="AB163" s="108"/>
      <c r="AC163" s="108"/>
      <c r="AD163" s="108"/>
      <c r="AE163" s="108"/>
      <c r="AF163" s="108"/>
      <c r="AG163" s="108"/>
      <c r="AH163" s="108"/>
      <c r="AI163" s="108"/>
      <c r="AJ163" s="108"/>
      <c r="AK163" s="108"/>
      <c r="AL163" s="137"/>
      <c r="AM163" s="137"/>
      <c r="AN163" s="137"/>
      <c r="AO163" s="137"/>
      <c r="AP163" s="137"/>
      <c r="AQ163" s="137"/>
      <c r="AR163" s="137"/>
      <c r="AS163" s="137"/>
      <c r="AT163" s="137"/>
      <c r="AU163" s="137"/>
      <c r="AV163" s="137"/>
    </row>
    <row r="164" spans="24:48" x14ac:dyDescent="0.2">
      <c r="X164" s="108"/>
      <c r="Y164" s="108"/>
      <c r="Z164" s="108"/>
      <c r="AA164" s="108"/>
      <c r="AB164" s="108"/>
      <c r="AC164" s="108"/>
      <c r="AD164" s="108"/>
      <c r="AE164" s="108"/>
      <c r="AF164" s="108"/>
      <c r="AG164" s="108"/>
      <c r="AH164" s="108"/>
      <c r="AI164" s="108"/>
      <c r="AJ164" s="108"/>
      <c r="AK164" s="108"/>
      <c r="AL164" s="137"/>
      <c r="AM164" s="137"/>
      <c r="AN164" s="137"/>
      <c r="AO164" s="137"/>
      <c r="AP164" s="137"/>
      <c r="AQ164" s="137"/>
      <c r="AR164" s="137"/>
      <c r="AS164" s="137"/>
      <c r="AT164" s="137"/>
      <c r="AU164" s="137"/>
      <c r="AV164" s="137"/>
    </row>
    <row r="165" spans="24:48" x14ac:dyDescent="0.2">
      <c r="X165" s="108"/>
      <c r="Y165" s="108"/>
      <c r="Z165" s="108"/>
      <c r="AA165" s="108"/>
      <c r="AB165" s="108"/>
      <c r="AC165" s="108"/>
      <c r="AD165" s="108"/>
      <c r="AE165" s="108"/>
      <c r="AF165" s="108"/>
      <c r="AG165" s="108"/>
      <c r="AH165" s="108"/>
      <c r="AI165" s="108"/>
      <c r="AJ165" s="108"/>
      <c r="AK165" s="108"/>
      <c r="AL165" s="137"/>
      <c r="AM165" s="137"/>
      <c r="AN165" s="137"/>
      <c r="AO165" s="137"/>
      <c r="AP165" s="137"/>
      <c r="AQ165" s="137"/>
      <c r="AR165" s="137"/>
      <c r="AS165" s="137"/>
      <c r="AT165" s="137"/>
      <c r="AU165" s="137"/>
      <c r="AV165" s="137"/>
    </row>
    <row r="166" spans="24:48" x14ac:dyDescent="0.2">
      <c r="X166" s="108"/>
      <c r="Y166" s="108"/>
      <c r="Z166" s="108"/>
      <c r="AA166" s="108"/>
      <c r="AB166" s="108"/>
      <c r="AC166" s="108"/>
      <c r="AD166" s="108"/>
      <c r="AE166" s="108"/>
      <c r="AF166" s="108"/>
      <c r="AG166" s="108"/>
      <c r="AH166" s="108"/>
      <c r="AI166" s="108"/>
      <c r="AJ166" s="108"/>
      <c r="AK166" s="108"/>
      <c r="AL166" s="137"/>
      <c r="AM166" s="137"/>
      <c r="AN166" s="137"/>
      <c r="AO166" s="137"/>
      <c r="AP166" s="137"/>
      <c r="AQ166" s="137"/>
      <c r="AR166" s="137"/>
      <c r="AS166" s="137"/>
      <c r="AT166" s="137"/>
      <c r="AU166" s="137"/>
      <c r="AV166" s="137"/>
    </row>
    <row r="167" spans="24:48" x14ac:dyDescent="0.2">
      <c r="X167" s="108"/>
      <c r="Y167" s="108"/>
      <c r="Z167" s="108"/>
      <c r="AA167" s="108"/>
      <c r="AB167" s="108"/>
      <c r="AC167" s="108"/>
      <c r="AD167" s="108"/>
      <c r="AE167" s="108"/>
      <c r="AF167" s="108"/>
      <c r="AG167" s="108"/>
      <c r="AH167" s="108"/>
      <c r="AI167" s="108"/>
      <c r="AJ167" s="108"/>
      <c r="AK167" s="108"/>
      <c r="AL167" s="137"/>
      <c r="AM167" s="137"/>
      <c r="AN167" s="137"/>
      <c r="AO167" s="137"/>
      <c r="AP167" s="137"/>
      <c r="AQ167" s="137"/>
      <c r="AR167" s="137"/>
      <c r="AS167" s="137"/>
      <c r="AT167" s="137"/>
      <c r="AU167" s="137"/>
      <c r="AV167" s="137"/>
    </row>
    <row r="168" spans="24:48" x14ac:dyDescent="0.2">
      <c r="X168" s="108"/>
      <c r="Y168" s="108"/>
      <c r="Z168" s="108"/>
      <c r="AA168" s="108"/>
      <c r="AB168" s="108"/>
      <c r="AC168" s="108"/>
      <c r="AD168" s="108"/>
      <c r="AE168" s="108"/>
      <c r="AF168" s="108"/>
      <c r="AG168" s="108"/>
      <c r="AH168" s="108"/>
      <c r="AI168" s="108"/>
      <c r="AJ168" s="108"/>
      <c r="AK168" s="108"/>
      <c r="AL168" s="137"/>
      <c r="AM168" s="137"/>
      <c r="AN168" s="137"/>
      <c r="AO168" s="137"/>
      <c r="AP168" s="137"/>
      <c r="AQ168" s="137"/>
      <c r="AR168" s="137"/>
      <c r="AS168" s="137"/>
      <c r="AT168" s="137"/>
      <c r="AU168" s="137"/>
      <c r="AV168" s="137"/>
    </row>
    <row r="169" spans="24:48" x14ac:dyDescent="0.2">
      <c r="X169" s="108"/>
      <c r="Y169" s="108"/>
      <c r="Z169" s="108"/>
      <c r="AA169" s="108"/>
      <c r="AB169" s="108"/>
      <c r="AC169" s="108"/>
      <c r="AD169" s="108"/>
      <c r="AE169" s="108"/>
      <c r="AF169" s="108"/>
      <c r="AG169" s="108"/>
      <c r="AH169" s="108"/>
      <c r="AI169" s="108"/>
      <c r="AJ169" s="108"/>
      <c r="AK169" s="108"/>
      <c r="AL169" s="137"/>
      <c r="AM169" s="137"/>
      <c r="AN169" s="137"/>
      <c r="AO169" s="137"/>
      <c r="AP169" s="137"/>
      <c r="AQ169" s="137"/>
      <c r="AR169" s="137"/>
      <c r="AS169" s="137"/>
      <c r="AT169" s="137"/>
      <c r="AU169" s="137"/>
      <c r="AV169" s="137"/>
    </row>
    <row r="170" spans="24:48" x14ac:dyDescent="0.2">
      <c r="X170" s="108"/>
      <c r="Y170" s="108"/>
      <c r="Z170" s="108"/>
      <c r="AA170" s="108"/>
      <c r="AB170" s="108"/>
      <c r="AC170" s="108"/>
      <c r="AD170" s="108"/>
      <c r="AE170" s="108"/>
      <c r="AF170" s="108"/>
      <c r="AG170" s="108"/>
      <c r="AH170" s="108"/>
      <c r="AI170" s="108"/>
      <c r="AJ170" s="108"/>
      <c r="AK170" s="108"/>
      <c r="AL170" s="137"/>
      <c r="AM170" s="137"/>
      <c r="AN170" s="137"/>
      <c r="AO170" s="137"/>
      <c r="AP170" s="137"/>
      <c r="AQ170" s="137"/>
      <c r="AR170" s="137"/>
      <c r="AS170" s="137"/>
      <c r="AT170" s="137"/>
      <c r="AU170" s="137"/>
      <c r="AV170" s="137"/>
    </row>
    <row r="171" spans="24:48" x14ac:dyDescent="0.2">
      <c r="X171" s="108"/>
      <c r="Y171" s="108"/>
      <c r="Z171" s="108"/>
      <c r="AA171" s="108"/>
      <c r="AB171" s="108"/>
      <c r="AC171" s="108"/>
      <c r="AD171" s="108"/>
      <c r="AE171" s="108"/>
      <c r="AF171" s="108"/>
      <c r="AG171" s="108"/>
      <c r="AH171" s="108"/>
      <c r="AI171" s="108"/>
      <c r="AJ171" s="108"/>
      <c r="AK171" s="108"/>
      <c r="AL171" s="137"/>
      <c r="AM171" s="137"/>
      <c r="AN171" s="137"/>
      <c r="AO171" s="137"/>
      <c r="AP171" s="137"/>
      <c r="AQ171" s="137"/>
      <c r="AR171" s="137"/>
      <c r="AS171" s="137"/>
      <c r="AT171" s="137"/>
      <c r="AU171" s="137"/>
      <c r="AV171" s="137"/>
    </row>
    <row r="172" spans="24:48" x14ac:dyDescent="0.2">
      <c r="X172" s="108"/>
      <c r="Y172" s="108"/>
      <c r="Z172" s="108"/>
      <c r="AA172" s="108"/>
      <c r="AB172" s="108"/>
      <c r="AC172" s="108"/>
      <c r="AD172" s="108"/>
      <c r="AE172" s="108"/>
      <c r="AF172" s="108"/>
      <c r="AG172" s="108"/>
      <c r="AH172" s="108"/>
      <c r="AI172" s="108"/>
      <c r="AJ172" s="108"/>
      <c r="AK172" s="108"/>
      <c r="AL172" s="137"/>
      <c r="AM172" s="137"/>
      <c r="AN172" s="137"/>
      <c r="AO172" s="137"/>
      <c r="AP172" s="137"/>
      <c r="AQ172" s="137"/>
      <c r="AR172" s="137"/>
      <c r="AS172" s="137"/>
      <c r="AT172" s="137"/>
      <c r="AU172" s="137"/>
      <c r="AV172" s="137"/>
    </row>
    <row r="173" spans="24:48" x14ac:dyDescent="0.2">
      <c r="X173" s="108"/>
      <c r="Y173" s="108"/>
      <c r="Z173" s="108"/>
      <c r="AA173" s="108"/>
      <c r="AB173" s="108"/>
      <c r="AC173" s="108"/>
      <c r="AD173" s="108"/>
      <c r="AE173" s="108"/>
      <c r="AF173" s="108"/>
      <c r="AG173" s="108"/>
      <c r="AH173" s="108"/>
      <c r="AI173" s="108"/>
      <c r="AJ173" s="108"/>
      <c r="AK173" s="108"/>
      <c r="AL173" s="137"/>
      <c r="AM173" s="137"/>
      <c r="AN173" s="137"/>
      <c r="AO173" s="137"/>
      <c r="AP173" s="137"/>
      <c r="AQ173" s="137"/>
      <c r="AR173" s="137"/>
      <c r="AS173" s="137"/>
      <c r="AT173" s="137"/>
      <c r="AU173" s="137"/>
      <c r="AV173" s="137"/>
    </row>
    <row r="174" spans="24:48" x14ac:dyDescent="0.2">
      <c r="X174" s="108"/>
      <c r="Y174" s="108"/>
      <c r="Z174" s="108"/>
      <c r="AA174" s="108"/>
      <c r="AB174" s="108"/>
      <c r="AC174" s="108"/>
      <c r="AD174" s="108"/>
      <c r="AE174" s="108"/>
      <c r="AF174" s="108"/>
      <c r="AG174" s="108"/>
      <c r="AH174" s="108"/>
      <c r="AI174" s="108"/>
      <c r="AJ174" s="108"/>
      <c r="AK174" s="108"/>
      <c r="AL174" s="137"/>
      <c r="AM174" s="137"/>
      <c r="AN174" s="137"/>
      <c r="AO174" s="137"/>
      <c r="AP174" s="137"/>
      <c r="AQ174" s="137"/>
      <c r="AR174" s="137"/>
      <c r="AS174" s="137"/>
      <c r="AT174" s="137"/>
      <c r="AU174" s="137"/>
      <c r="AV174" s="137"/>
    </row>
    <row r="175" spans="24:48" x14ac:dyDescent="0.2">
      <c r="X175" s="108"/>
      <c r="Y175" s="108"/>
      <c r="Z175" s="108"/>
      <c r="AA175" s="108"/>
      <c r="AB175" s="108"/>
      <c r="AC175" s="108"/>
      <c r="AD175" s="108"/>
      <c r="AE175" s="108"/>
      <c r="AF175" s="108"/>
      <c r="AG175" s="108"/>
      <c r="AH175" s="108"/>
      <c r="AI175" s="108"/>
      <c r="AJ175" s="108"/>
      <c r="AK175" s="108"/>
      <c r="AL175" s="137"/>
      <c r="AM175" s="137"/>
      <c r="AN175" s="137"/>
      <c r="AO175" s="137"/>
      <c r="AP175" s="137"/>
      <c r="AQ175" s="137"/>
      <c r="AR175" s="137"/>
      <c r="AS175" s="137"/>
      <c r="AT175" s="137"/>
      <c r="AU175" s="137"/>
      <c r="AV175" s="137"/>
    </row>
    <row r="176" spans="24:48" x14ac:dyDescent="0.2">
      <c r="X176" s="108"/>
      <c r="Y176" s="108"/>
      <c r="Z176" s="108"/>
      <c r="AA176" s="108"/>
      <c r="AB176" s="108"/>
      <c r="AC176" s="108"/>
      <c r="AD176" s="108"/>
      <c r="AE176" s="108"/>
      <c r="AF176" s="108"/>
      <c r="AG176" s="108"/>
      <c r="AH176" s="108"/>
      <c r="AI176" s="108"/>
      <c r="AJ176" s="108"/>
      <c r="AK176" s="108"/>
      <c r="AL176" s="137"/>
      <c r="AM176" s="137"/>
      <c r="AN176" s="137"/>
      <c r="AO176" s="137"/>
      <c r="AP176" s="137"/>
      <c r="AQ176" s="137"/>
      <c r="AR176" s="137"/>
      <c r="AS176" s="137"/>
      <c r="AT176" s="137"/>
      <c r="AU176" s="137"/>
      <c r="AV176" s="137"/>
    </row>
    <row r="177" spans="24:48" x14ac:dyDescent="0.2">
      <c r="X177" s="108"/>
      <c r="Y177" s="108"/>
      <c r="Z177" s="108"/>
      <c r="AA177" s="108"/>
      <c r="AB177" s="108"/>
      <c r="AC177" s="108"/>
      <c r="AD177" s="108"/>
      <c r="AE177" s="108"/>
      <c r="AF177" s="108"/>
      <c r="AG177" s="108"/>
      <c r="AH177" s="108"/>
      <c r="AI177" s="108"/>
      <c r="AJ177" s="108"/>
      <c r="AK177" s="108"/>
      <c r="AL177" s="137"/>
      <c r="AM177" s="137"/>
      <c r="AN177" s="137"/>
      <c r="AO177" s="137"/>
      <c r="AP177" s="137"/>
      <c r="AQ177" s="137"/>
      <c r="AR177" s="137"/>
      <c r="AS177" s="137"/>
      <c r="AT177" s="137"/>
      <c r="AU177" s="137"/>
      <c r="AV177" s="137"/>
    </row>
    <row r="178" spans="24:48" x14ac:dyDescent="0.2">
      <c r="X178" s="108"/>
      <c r="Y178" s="108"/>
      <c r="Z178" s="108"/>
      <c r="AA178" s="108"/>
      <c r="AB178" s="108"/>
      <c r="AC178" s="108"/>
      <c r="AD178" s="108"/>
      <c r="AE178" s="108"/>
      <c r="AF178" s="108"/>
      <c r="AG178" s="108"/>
      <c r="AH178" s="108"/>
      <c r="AI178" s="108"/>
      <c r="AJ178" s="108"/>
      <c r="AK178" s="108"/>
      <c r="AL178" s="137"/>
      <c r="AM178" s="137"/>
      <c r="AN178" s="137"/>
      <c r="AO178" s="137"/>
      <c r="AP178" s="137"/>
      <c r="AQ178" s="137"/>
      <c r="AR178" s="137"/>
      <c r="AS178" s="137"/>
      <c r="AT178" s="137"/>
      <c r="AU178" s="137"/>
      <c r="AV178" s="137"/>
    </row>
    <row r="179" spans="24:48" x14ac:dyDescent="0.2">
      <c r="X179" s="108"/>
      <c r="Y179" s="108"/>
      <c r="Z179" s="108"/>
      <c r="AA179" s="108"/>
      <c r="AB179" s="108"/>
      <c r="AC179" s="108"/>
      <c r="AD179" s="108"/>
      <c r="AE179" s="108"/>
      <c r="AF179" s="108"/>
      <c r="AG179" s="108"/>
      <c r="AH179" s="108"/>
      <c r="AI179" s="108"/>
      <c r="AJ179" s="108"/>
      <c r="AK179" s="108"/>
      <c r="AL179" s="137"/>
      <c r="AM179" s="137"/>
      <c r="AN179" s="137"/>
      <c r="AO179" s="137"/>
      <c r="AP179" s="137"/>
      <c r="AQ179" s="137"/>
      <c r="AR179" s="137"/>
      <c r="AS179" s="137"/>
      <c r="AT179" s="137"/>
      <c r="AU179" s="137"/>
      <c r="AV179" s="137"/>
    </row>
    <row r="180" spans="24:48" x14ac:dyDescent="0.2">
      <c r="X180" s="108"/>
      <c r="Y180" s="108"/>
      <c r="Z180" s="108"/>
      <c r="AA180" s="108"/>
      <c r="AB180" s="108"/>
      <c r="AC180" s="108"/>
      <c r="AD180" s="108"/>
      <c r="AE180" s="108"/>
      <c r="AF180" s="108"/>
      <c r="AG180" s="108"/>
      <c r="AH180" s="108"/>
      <c r="AI180" s="108"/>
      <c r="AJ180" s="108"/>
      <c r="AK180" s="108"/>
      <c r="AL180" s="137"/>
      <c r="AM180" s="137"/>
      <c r="AN180" s="137"/>
      <c r="AO180" s="137"/>
      <c r="AP180" s="137"/>
      <c r="AQ180" s="137"/>
      <c r="AR180" s="137"/>
      <c r="AS180" s="137"/>
      <c r="AT180" s="137"/>
      <c r="AU180" s="137"/>
      <c r="AV180" s="137"/>
    </row>
    <row r="181" spans="24:48" x14ac:dyDescent="0.2">
      <c r="X181" s="108"/>
      <c r="Y181" s="108"/>
      <c r="Z181" s="108"/>
      <c r="AA181" s="108"/>
      <c r="AB181" s="108"/>
      <c r="AC181" s="108"/>
      <c r="AD181" s="108"/>
      <c r="AE181" s="108"/>
      <c r="AF181" s="108"/>
      <c r="AG181" s="108"/>
      <c r="AH181" s="108"/>
      <c r="AI181" s="108"/>
      <c r="AJ181" s="108"/>
      <c r="AK181" s="108"/>
      <c r="AL181" s="137"/>
      <c r="AM181" s="137"/>
      <c r="AN181" s="137"/>
      <c r="AO181" s="137"/>
      <c r="AP181" s="137"/>
      <c r="AQ181" s="137"/>
      <c r="AR181" s="137"/>
      <c r="AS181" s="137"/>
      <c r="AT181" s="137"/>
      <c r="AU181" s="137"/>
      <c r="AV181" s="137"/>
    </row>
    <row r="182" spans="24:48" x14ac:dyDescent="0.2">
      <c r="X182" s="108"/>
      <c r="Y182" s="108"/>
      <c r="Z182" s="108"/>
      <c r="AA182" s="108"/>
      <c r="AB182" s="108"/>
      <c r="AC182" s="108"/>
      <c r="AD182" s="108"/>
      <c r="AE182" s="108"/>
      <c r="AF182" s="108"/>
      <c r="AG182" s="108"/>
      <c r="AH182" s="108"/>
      <c r="AI182" s="108"/>
      <c r="AJ182" s="108"/>
      <c r="AK182" s="108"/>
      <c r="AL182" s="137"/>
      <c r="AM182" s="137"/>
      <c r="AN182" s="137"/>
      <c r="AO182" s="137"/>
      <c r="AP182" s="137"/>
      <c r="AQ182" s="137"/>
      <c r="AR182" s="137"/>
      <c r="AS182" s="137"/>
      <c r="AT182" s="137"/>
      <c r="AU182" s="137"/>
      <c r="AV182" s="137"/>
    </row>
    <row r="183" spans="24:48" x14ac:dyDescent="0.2">
      <c r="X183" s="108"/>
      <c r="Y183" s="108"/>
      <c r="Z183" s="108"/>
      <c r="AA183" s="108"/>
      <c r="AB183" s="108"/>
      <c r="AC183" s="108"/>
      <c r="AD183" s="108"/>
      <c r="AE183" s="108"/>
      <c r="AF183" s="108"/>
      <c r="AG183" s="108"/>
      <c r="AH183" s="108"/>
      <c r="AI183" s="108"/>
      <c r="AJ183" s="108"/>
      <c r="AK183" s="108"/>
      <c r="AL183" s="137"/>
      <c r="AM183" s="137"/>
      <c r="AN183" s="137"/>
      <c r="AO183" s="137"/>
      <c r="AP183" s="137"/>
      <c r="AQ183" s="137"/>
      <c r="AR183" s="137"/>
      <c r="AS183" s="137"/>
      <c r="AT183" s="137"/>
      <c r="AU183" s="137"/>
      <c r="AV183" s="137"/>
    </row>
    <row r="184" spans="24:48" x14ac:dyDescent="0.2">
      <c r="X184" s="108"/>
      <c r="Y184" s="108"/>
      <c r="Z184" s="108"/>
      <c r="AA184" s="108"/>
      <c r="AB184" s="108"/>
      <c r="AC184" s="108"/>
      <c r="AD184" s="108"/>
      <c r="AE184" s="108"/>
      <c r="AF184" s="108"/>
      <c r="AG184" s="108"/>
      <c r="AH184" s="108"/>
      <c r="AI184" s="108"/>
      <c r="AJ184" s="108"/>
      <c r="AK184" s="108"/>
      <c r="AL184" s="137"/>
      <c r="AM184" s="137"/>
      <c r="AN184" s="137"/>
      <c r="AO184" s="137"/>
      <c r="AP184" s="137"/>
      <c r="AQ184" s="137"/>
      <c r="AR184" s="137"/>
      <c r="AS184" s="137"/>
      <c r="AT184" s="137"/>
      <c r="AU184" s="137"/>
      <c r="AV184" s="137"/>
    </row>
    <row r="185" spans="24:48" x14ac:dyDescent="0.2">
      <c r="X185" s="108"/>
      <c r="Y185" s="108"/>
      <c r="Z185" s="108"/>
      <c r="AA185" s="108"/>
      <c r="AB185" s="108"/>
      <c r="AC185" s="108"/>
      <c r="AD185" s="108"/>
      <c r="AE185" s="108"/>
      <c r="AF185" s="108"/>
      <c r="AG185" s="108"/>
      <c r="AH185" s="108"/>
      <c r="AI185" s="108"/>
      <c r="AJ185" s="108"/>
      <c r="AK185" s="108"/>
      <c r="AL185" s="137"/>
      <c r="AM185" s="137"/>
      <c r="AN185" s="137"/>
      <c r="AO185" s="137"/>
      <c r="AP185" s="137"/>
      <c r="AQ185" s="137"/>
      <c r="AR185" s="137"/>
      <c r="AS185" s="137"/>
      <c r="AT185" s="137"/>
      <c r="AU185" s="137"/>
      <c r="AV185" s="137"/>
    </row>
    <row r="186" spans="24:48" x14ac:dyDescent="0.2">
      <c r="X186" s="108"/>
      <c r="Y186" s="108"/>
      <c r="Z186" s="108"/>
      <c r="AA186" s="108"/>
      <c r="AB186" s="108"/>
      <c r="AC186" s="108"/>
      <c r="AD186" s="108"/>
      <c r="AE186" s="108"/>
      <c r="AF186" s="108"/>
      <c r="AG186" s="108"/>
      <c r="AH186" s="108"/>
      <c r="AI186" s="108"/>
      <c r="AJ186" s="108"/>
      <c r="AK186" s="108"/>
      <c r="AL186" s="137"/>
      <c r="AM186" s="137"/>
      <c r="AN186" s="137"/>
      <c r="AO186" s="137"/>
      <c r="AP186" s="137"/>
      <c r="AQ186" s="137"/>
      <c r="AR186" s="137"/>
      <c r="AS186" s="137"/>
      <c r="AT186" s="137"/>
      <c r="AU186" s="137"/>
      <c r="AV186" s="137"/>
    </row>
    <row r="187" spans="24:48" x14ac:dyDescent="0.2">
      <c r="X187" s="108"/>
      <c r="Y187" s="108"/>
      <c r="Z187" s="108"/>
      <c r="AA187" s="108"/>
      <c r="AB187" s="108"/>
      <c r="AC187" s="108"/>
      <c r="AD187" s="108"/>
      <c r="AE187" s="108"/>
      <c r="AF187" s="108"/>
      <c r="AG187" s="108"/>
      <c r="AH187" s="108"/>
      <c r="AI187" s="108"/>
      <c r="AJ187" s="108"/>
      <c r="AK187" s="108"/>
      <c r="AL187" s="137"/>
      <c r="AM187" s="137"/>
      <c r="AN187" s="137"/>
      <c r="AO187" s="137"/>
      <c r="AP187" s="137"/>
      <c r="AQ187" s="137"/>
      <c r="AR187" s="137"/>
      <c r="AS187" s="137"/>
      <c r="AT187" s="137"/>
      <c r="AU187" s="137"/>
      <c r="AV187" s="137"/>
    </row>
    <row r="188" spans="24:48" x14ac:dyDescent="0.2">
      <c r="X188" s="108"/>
      <c r="Y188" s="108"/>
      <c r="Z188" s="108"/>
      <c r="AA188" s="108"/>
      <c r="AB188" s="108"/>
      <c r="AC188" s="108"/>
      <c r="AD188" s="108"/>
      <c r="AE188" s="108"/>
      <c r="AF188" s="108"/>
      <c r="AG188" s="108"/>
      <c r="AH188" s="108"/>
      <c r="AI188" s="108"/>
      <c r="AJ188" s="108"/>
      <c r="AK188" s="108"/>
      <c r="AL188" s="137"/>
      <c r="AM188" s="137"/>
      <c r="AN188" s="137"/>
      <c r="AO188" s="137"/>
      <c r="AP188" s="137"/>
      <c r="AQ188" s="137"/>
      <c r="AR188" s="137"/>
      <c r="AS188" s="137"/>
      <c r="AT188" s="137"/>
      <c r="AU188" s="137"/>
      <c r="AV188" s="137"/>
    </row>
    <row r="189" spans="24:48" x14ac:dyDescent="0.2">
      <c r="X189" s="108"/>
      <c r="Y189" s="108"/>
      <c r="Z189" s="108"/>
      <c r="AA189" s="108"/>
      <c r="AB189" s="108"/>
      <c r="AC189" s="108"/>
      <c r="AD189" s="108"/>
      <c r="AE189" s="108"/>
      <c r="AF189" s="108"/>
      <c r="AG189" s="108"/>
      <c r="AH189" s="108"/>
      <c r="AI189" s="108"/>
      <c r="AJ189" s="108"/>
      <c r="AK189" s="108"/>
      <c r="AL189" s="137"/>
      <c r="AM189" s="137"/>
      <c r="AN189" s="137"/>
      <c r="AO189" s="137"/>
      <c r="AP189" s="137"/>
      <c r="AQ189" s="137"/>
      <c r="AR189" s="137"/>
      <c r="AS189" s="137"/>
      <c r="AT189" s="137"/>
      <c r="AU189" s="137"/>
      <c r="AV189" s="137"/>
    </row>
    <row r="190" spans="24:48" x14ac:dyDescent="0.2">
      <c r="X190" s="108"/>
      <c r="Y190" s="108"/>
      <c r="Z190" s="108"/>
      <c r="AA190" s="108"/>
      <c r="AB190" s="108"/>
      <c r="AC190" s="108"/>
      <c r="AD190" s="108"/>
      <c r="AE190" s="108"/>
      <c r="AF190" s="108"/>
      <c r="AG190" s="108"/>
      <c r="AH190" s="108"/>
      <c r="AI190" s="108"/>
      <c r="AJ190" s="108"/>
      <c r="AK190" s="108"/>
      <c r="AL190" s="137"/>
      <c r="AM190" s="137"/>
      <c r="AN190" s="137"/>
      <c r="AO190" s="137"/>
      <c r="AP190" s="137"/>
      <c r="AQ190" s="137"/>
      <c r="AR190" s="137"/>
      <c r="AS190" s="137"/>
      <c r="AT190" s="137"/>
      <c r="AU190" s="137"/>
      <c r="AV190" s="137"/>
    </row>
    <row r="191" spans="24:48" x14ac:dyDescent="0.2">
      <c r="X191" s="108"/>
      <c r="Y191" s="108"/>
      <c r="Z191" s="108"/>
      <c r="AA191" s="108"/>
      <c r="AB191" s="108"/>
      <c r="AC191" s="108"/>
      <c r="AD191" s="108"/>
      <c r="AE191" s="108"/>
      <c r="AF191" s="108"/>
      <c r="AG191" s="108"/>
      <c r="AH191" s="108"/>
      <c r="AI191" s="108"/>
      <c r="AJ191" s="108"/>
      <c r="AK191" s="108"/>
      <c r="AL191" s="137"/>
      <c r="AM191" s="137"/>
      <c r="AN191" s="137"/>
      <c r="AO191" s="137"/>
      <c r="AP191" s="137"/>
      <c r="AQ191" s="137"/>
      <c r="AR191" s="137"/>
      <c r="AS191" s="137"/>
      <c r="AT191" s="137"/>
      <c r="AU191" s="137"/>
      <c r="AV191" s="137"/>
    </row>
    <row r="192" spans="24:48" x14ac:dyDescent="0.2">
      <c r="X192" s="108"/>
      <c r="Y192" s="108"/>
      <c r="Z192" s="108"/>
      <c r="AA192" s="108"/>
      <c r="AB192" s="108"/>
      <c r="AC192" s="108"/>
      <c r="AD192" s="108"/>
      <c r="AE192" s="108"/>
      <c r="AF192" s="108"/>
      <c r="AG192" s="108"/>
      <c r="AH192" s="108"/>
      <c r="AI192" s="108"/>
      <c r="AJ192" s="108"/>
      <c r="AK192" s="108"/>
      <c r="AL192" s="137"/>
      <c r="AM192" s="137"/>
      <c r="AN192" s="137"/>
      <c r="AO192" s="137"/>
      <c r="AP192" s="137"/>
      <c r="AQ192" s="137"/>
      <c r="AR192" s="137"/>
      <c r="AS192" s="137"/>
      <c r="AT192" s="137"/>
      <c r="AU192" s="137"/>
      <c r="AV192" s="137"/>
    </row>
    <row r="193" spans="24:48" x14ac:dyDescent="0.2">
      <c r="X193" s="108"/>
      <c r="Y193" s="108"/>
      <c r="Z193" s="108"/>
      <c r="AA193" s="108"/>
      <c r="AB193" s="108"/>
      <c r="AC193" s="108"/>
      <c r="AD193" s="108"/>
      <c r="AE193" s="108"/>
      <c r="AF193" s="108"/>
      <c r="AG193" s="108"/>
      <c r="AH193" s="108"/>
      <c r="AI193" s="108"/>
      <c r="AJ193" s="108"/>
      <c r="AK193" s="108"/>
      <c r="AL193" s="137"/>
      <c r="AM193" s="137"/>
      <c r="AN193" s="137"/>
      <c r="AO193" s="137"/>
      <c r="AP193" s="137"/>
      <c r="AQ193" s="137"/>
      <c r="AR193" s="137"/>
      <c r="AS193" s="137"/>
      <c r="AT193" s="137"/>
      <c r="AU193" s="137"/>
      <c r="AV193" s="137"/>
    </row>
    <row r="194" spans="24:48" x14ac:dyDescent="0.2">
      <c r="X194" s="108"/>
      <c r="Y194" s="108"/>
      <c r="Z194" s="108"/>
      <c r="AA194" s="108"/>
      <c r="AB194" s="108"/>
      <c r="AC194" s="108"/>
      <c r="AD194" s="108"/>
      <c r="AE194" s="108"/>
      <c r="AF194" s="108"/>
      <c r="AG194" s="108"/>
      <c r="AH194" s="108"/>
      <c r="AI194" s="108"/>
      <c r="AJ194" s="108"/>
      <c r="AK194" s="108"/>
      <c r="AL194" s="137"/>
      <c r="AM194" s="137"/>
      <c r="AN194" s="137"/>
      <c r="AO194" s="137"/>
      <c r="AP194" s="137"/>
      <c r="AQ194" s="137"/>
      <c r="AR194" s="137"/>
      <c r="AS194" s="137"/>
      <c r="AT194" s="137"/>
      <c r="AU194" s="137"/>
      <c r="AV194" s="137"/>
    </row>
    <row r="195" spans="24:48" x14ac:dyDescent="0.2">
      <c r="X195" s="108"/>
      <c r="Y195" s="108"/>
      <c r="Z195" s="108"/>
      <c r="AA195" s="108"/>
      <c r="AB195" s="108"/>
      <c r="AC195" s="108"/>
      <c r="AD195" s="108"/>
      <c r="AE195" s="108"/>
      <c r="AF195" s="108"/>
      <c r="AG195" s="108"/>
      <c r="AH195" s="108"/>
      <c r="AI195" s="108"/>
      <c r="AJ195" s="108"/>
      <c r="AK195" s="108"/>
      <c r="AL195" s="137"/>
      <c r="AM195" s="137"/>
      <c r="AN195" s="137"/>
      <c r="AO195" s="137"/>
      <c r="AP195" s="137"/>
      <c r="AQ195" s="137"/>
      <c r="AR195" s="137"/>
      <c r="AS195" s="137"/>
      <c r="AT195" s="137"/>
      <c r="AU195" s="137"/>
      <c r="AV195" s="137"/>
    </row>
    <row r="196" spans="24:48" x14ac:dyDescent="0.2">
      <c r="X196" s="108"/>
      <c r="Y196" s="108"/>
      <c r="Z196" s="108"/>
      <c r="AA196" s="108"/>
      <c r="AB196" s="108"/>
      <c r="AC196" s="108"/>
      <c r="AD196" s="108"/>
      <c r="AE196" s="108"/>
      <c r="AF196" s="108"/>
      <c r="AG196" s="108"/>
      <c r="AH196" s="108"/>
      <c r="AI196" s="108"/>
      <c r="AJ196" s="108"/>
      <c r="AK196" s="108"/>
      <c r="AL196" s="137"/>
      <c r="AM196" s="137"/>
      <c r="AN196" s="137"/>
      <c r="AO196" s="137"/>
      <c r="AP196" s="137"/>
      <c r="AQ196" s="137"/>
      <c r="AR196" s="137"/>
      <c r="AS196" s="137"/>
      <c r="AT196" s="137"/>
      <c r="AU196" s="137"/>
      <c r="AV196" s="137"/>
    </row>
    <row r="197" spans="24:48" x14ac:dyDescent="0.2">
      <c r="X197" s="108"/>
      <c r="Y197" s="108"/>
      <c r="Z197" s="108"/>
      <c r="AA197" s="108"/>
      <c r="AB197" s="108"/>
      <c r="AC197" s="108"/>
      <c r="AD197" s="108"/>
      <c r="AE197" s="108"/>
      <c r="AF197" s="108"/>
      <c r="AG197" s="108"/>
      <c r="AH197" s="108"/>
      <c r="AI197" s="108"/>
      <c r="AJ197" s="108"/>
      <c r="AK197" s="108"/>
      <c r="AL197" s="137"/>
      <c r="AM197" s="137"/>
      <c r="AN197" s="137"/>
      <c r="AO197" s="137"/>
      <c r="AP197" s="137"/>
      <c r="AQ197" s="137"/>
      <c r="AR197" s="137"/>
      <c r="AS197" s="137"/>
      <c r="AT197" s="137"/>
      <c r="AU197" s="137"/>
      <c r="AV197" s="137"/>
    </row>
    <row r="198" spans="24:48" x14ac:dyDescent="0.2">
      <c r="X198" s="108"/>
      <c r="Y198" s="108"/>
      <c r="Z198" s="108"/>
      <c r="AA198" s="108"/>
      <c r="AB198" s="108"/>
      <c r="AC198" s="108"/>
      <c r="AD198" s="108"/>
      <c r="AE198" s="108"/>
      <c r="AF198" s="108"/>
      <c r="AG198" s="108"/>
      <c r="AH198" s="108"/>
      <c r="AI198" s="108"/>
      <c r="AJ198" s="108"/>
      <c r="AK198" s="108"/>
      <c r="AL198" s="137"/>
      <c r="AM198" s="137"/>
      <c r="AN198" s="137"/>
      <c r="AO198" s="137"/>
      <c r="AP198" s="137"/>
      <c r="AQ198" s="137"/>
      <c r="AR198" s="137"/>
      <c r="AS198" s="137"/>
      <c r="AT198" s="137"/>
      <c r="AU198" s="137"/>
      <c r="AV198" s="137"/>
    </row>
    <row r="199" spans="24:48" x14ac:dyDescent="0.2">
      <c r="X199" s="108"/>
      <c r="Y199" s="108"/>
      <c r="Z199" s="108"/>
      <c r="AA199" s="108"/>
      <c r="AB199" s="108"/>
      <c r="AC199" s="108"/>
      <c r="AD199" s="108"/>
      <c r="AE199" s="108"/>
      <c r="AF199" s="108"/>
      <c r="AG199" s="108"/>
      <c r="AH199" s="108"/>
      <c r="AI199" s="108"/>
      <c r="AJ199" s="108"/>
      <c r="AK199" s="108"/>
      <c r="AL199" s="137"/>
      <c r="AM199" s="137"/>
      <c r="AN199" s="137"/>
      <c r="AO199" s="137"/>
      <c r="AP199" s="137"/>
      <c r="AQ199" s="137"/>
      <c r="AR199" s="137"/>
      <c r="AS199" s="137"/>
      <c r="AT199" s="137"/>
      <c r="AU199" s="137"/>
      <c r="AV199" s="137"/>
    </row>
    <row r="200" spans="24:48" x14ac:dyDescent="0.2">
      <c r="X200" s="108"/>
      <c r="Y200" s="108"/>
      <c r="Z200" s="108"/>
      <c r="AA200" s="108"/>
      <c r="AB200" s="108"/>
      <c r="AC200" s="108"/>
      <c r="AD200" s="108"/>
      <c r="AE200" s="108"/>
      <c r="AF200" s="108"/>
      <c r="AG200" s="108"/>
      <c r="AH200" s="108"/>
      <c r="AI200" s="108"/>
      <c r="AJ200" s="108"/>
      <c r="AK200" s="108"/>
      <c r="AL200" s="137"/>
      <c r="AM200" s="137"/>
      <c r="AN200" s="137"/>
      <c r="AO200" s="137"/>
      <c r="AP200" s="137"/>
      <c r="AQ200" s="137"/>
      <c r="AR200" s="137"/>
      <c r="AS200" s="137"/>
      <c r="AT200" s="137"/>
      <c r="AU200" s="137"/>
      <c r="AV200" s="137"/>
    </row>
    <row r="201" spans="24:48" x14ac:dyDescent="0.2">
      <c r="X201" s="108"/>
      <c r="Y201" s="108"/>
      <c r="Z201" s="108"/>
      <c r="AA201" s="108"/>
      <c r="AB201" s="108"/>
      <c r="AC201" s="108"/>
      <c r="AD201" s="108"/>
      <c r="AE201" s="108"/>
      <c r="AF201" s="108"/>
      <c r="AG201" s="108"/>
      <c r="AH201" s="108"/>
      <c r="AI201" s="108"/>
      <c r="AJ201" s="108"/>
      <c r="AK201" s="108"/>
      <c r="AL201" s="137"/>
      <c r="AM201" s="137"/>
      <c r="AN201" s="137"/>
      <c r="AO201" s="137"/>
      <c r="AP201" s="137"/>
      <c r="AQ201" s="137"/>
      <c r="AR201" s="137"/>
      <c r="AS201" s="137"/>
      <c r="AT201" s="137"/>
      <c r="AU201" s="137"/>
      <c r="AV201" s="137"/>
    </row>
    <row r="202" spans="24:48" x14ac:dyDescent="0.2">
      <c r="X202" s="108"/>
      <c r="Y202" s="108"/>
      <c r="Z202" s="108"/>
      <c r="AA202" s="108"/>
      <c r="AB202" s="108"/>
      <c r="AC202" s="108"/>
      <c r="AD202" s="108"/>
      <c r="AE202" s="108"/>
      <c r="AF202" s="108"/>
      <c r="AG202" s="108"/>
      <c r="AH202" s="108"/>
      <c r="AI202" s="108"/>
      <c r="AJ202" s="108"/>
      <c r="AK202" s="108"/>
      <c r="AL202" s="137"/>
      <c r="AM202" s="137"/>
      <c r="AN202" s="137"/>
      <c r="AO202" s="137"/>
      <c r="AP202" s="137"/>
      <c r="AQ202" s="137"/>
      <c r="AR202" s="137"/>
      <c r="AS202" s="137"/>
      <c r="AT202" s="137"/>
      <c r="AU202" s="137"/>
      <c r="AV202" s="137"/>
    </row>
    <row r="203" spans="24:48" x14ac:dyDescent="0.2">
      <c r="X203" s="108"/>
      <c r="Y203" s="108"/>
      <c r="Z203" s="108"/>
      <c r="AA203" s="108"/>
      <c r="AB203" s="108"/>
      <c r="AC203" s="108"/>
      <c r="AD203" s="108"/>
      <c r="AE203" s="108"/>
      <c r="AF203" s="108"/>
      <c r="AG203" s="108"/>
      <c r="AH203" s="108"/>
      <c r="AI203" s="108"/>
      <c r="AJ203" s="108"/>
      <c r="AK203" s="108"/>
      <c r="AL203" s="137"/>
      <c r="AM203" s="137"/>
      <c r="AN203" s="137"/>
      <c r="AO203" s="137"/>
      <c r="AP203" s="137"/>
      <c r="AQ203" s="137"/>
      <c r="AR203" s="137"/>
      <c r="AS203" s="137"/>
      <c r="AT203" s="137"/>
      <c r="AU203" s="137"/>
      <c r="AV203" s="137"/>
    </row>
    <row r="204" spans="24:48" x14ac:dyDescent="0.2">
      <c r="X204" s="108"/>
      <c r="Y204" s="108"/>
      <c r="Z204" s="108"/>
      <c r="AA204" s="108"/>
      <c r="AB204" s="108"/>
      <c r="AC204" s="108"/>
      <c r="AD204" s="108"/>
      <c r="AE204" s="108"/>
      <c r="AF204" s="108"/>
      <c r="AG204" s="108"/>
      <c r="AH204" s="108"/>
      <c r="AI204" s="108"/>
      <c r="AJ204" s="108"/>
      <c r="AK204" s="108"/>
      <c r="AL204" s="137"/>
      <c r="AM204" s="137"/>
      <c r="AN204" s="137"/>
      <c r="AO204" s="137"/>
      <c r="AP204" s="137"/>
      <c r="AQ204" s="137"/>
      <c r="AR204" s="137"/>
      <c r="AS204" s="137"/>
      <c r="AT204" s="137"/>
      <c r="AU204" s="137"/>
      <c r="AV204" s="137"/>
    </row>
    <row r="205" spans="24:48" x14ac:dyDescent="0.2">
      <c r="X205" s="108"/>
      <c r="Y205" s="108"/>
      <c r="Z205" s="108"/>
      <c r="AA205" s="108"/>
      <c r="AB205" s="108"/>
      <c r="AC205" s="108"/>
      <c r="AD205" s="108"/>
      <c r="AE205" s="108"/>
      <c r="AF205" s="108"/>
      <c r="AG205" s="108"/>
      <c r="AH205" s="108"/>
      <c r="AI205" s="108"/>
      <c r="AJ205" s="108"/>
      <c r="AK205" s="108"/>
      <c r="AL205" s="137"/>
      <c r="AM205" s="137"/>
      <c r="AN205" s="137"/>
      <c r="AO205" s="137"/>
      <c r="AP205" s="137"/>
      <c r="AQ205" s="137"/>
      <c r="AR205" s="137"/>
      <c r="AS205" s="137"/>
      <c r="AT205" s="137"/>
      <c r="AU205" s="137"/>
      <c r="AV205" s="137"/>
    </row>
    <row r="206" spans="24:48" x14ac:dyDescent="0.2">
      <c r="X206" s="108"/>
      <c r="Y206" s="108"/>
      <c r="Z206" s="108"/>
      <c r="AA206" s="108"/>
      <c r="AB206" s="108"/>
      <c r="AC206" s="108"/>
      <c r="AD206" s="108"/>
      <c r="AE206" s="108"/>
      <c r="AF206" s="108"/>
      <c r="AG206" s="108"/>
      <c r="AH206" s="108"/>
      <c r="AI206" s="108"/>
      <c r="AJ206" s="108"/>
      <c r="AK206" s="108"/>
      <c r="AL206" s="137"/>
      <c r="AM206" s="137"/>
      <c r="AN206" s="137"/>
      <c r="AO206" s="137"/>
      <c r="AP206" s="137"/>
      <c r="AQ206" s="137"/>
      <c r="AR206" s="137"/>
      <c r="AS206" s="137"/>
      <c r="AT206" s="137"/>
      <c r="AU206" s="137"/>
      <c r="AV206" s="137"/>
    </row>
    <row r="207" spans="24:48" x14ac:dyDescent="0.2">
      <c r="X207" s="108"/>
      <c r="Y207" s="108"/>
      <c r="Z207" s="108"/>
      <c r="AA207" s="108"/>
      <c r="AB207" s="108"/>
      <c r="AC207" s="108"/>
      <c r="AD207" s="108"/>
      <c r="AE207" s="108"/>
      <c r="AF207" s="108"/>
      <c r="AG207" s="108"/>
      <c r="AH207" s="108"/>
      <c r="AI207" s="108"/>
      <c r="AJ207" s="108"/>
      <c r="AK207" s="108"/>
      <c r="AL207" s="137"/>
      <c r="AM207" s="137"/>
      <c r="AN207" s="137"/>
      <c r="AO207" s="137"/>
      <c r="AP207" s="137"/>
      <c r="AQ207" s="137"/>
      <c r="AR207" s="137"/>
      <c r="AS207" s="137"/>
      <c r="AT207" s="137"/>
      <c r="AU207" s="137"/>
      <c r="AV207" s="137"/>
    </row>
    <row r="208" spans="24:48" x14ac:dyDescent="0.2">
      <c r="X208" s="108"/>
      <c r="Y208" s="108"/>
      <c r="Z208" s="108"/>
      <c r="AA208" s="108"/>
      <c r="AB208" s="108"/>
      <c r="AC208" s="108"/>
      <c r="AD208" s="108"/>
      <c r="AE208" s="108"/>
      <c r="AF208" s="108"/>
      <c r="AG208" s="108"/>
      <c r="AH208" s="108"/>
      <c r="AI208" s="108"/>
      <c r="AJ208" s="108"/>
      <c r="AK208" s="108"/>
      <c r="AL208" s="137"/>
      <c r="AM208" s="137"/>
      <c r="AN208" s="137"/>
      <c r="AO208" s="137"/>
      <c r="AP208" s="137"/>
      <c r="AQ208" s="137"/>
      <c r="AR208" s="137"/>
      <c r="AS208" s="137"/>
      <c r="AT208" s="137"/>
      <c r="AU208" s="137"/>
      <c r="AV208" s="137"/>
    </row>
    <row r="209" spans="24:48" x14ac:dyDescent="0.2">
      <c r="X209" s="108"/>
      <c r="Y209" s="108"/>
      <c r="Z209" s="108"/>
      <c r="AA209" s="108"/>
      <c r="AB209" s="108"/>
      <c r="AC209" s="108"/>
      <c r="AD209" s="108"/>
      <c r="AE209" s="108"/>
      <c r="AF209" s="108"/>
      <c r="AG209" s="108"/>
      <c r="AH209" s="108"/>
      <c r="AI209" s="108"/>
      <c r="AJ209" s="108"/>
      <c r="AK209" s="108"/>
      <c r="AL209" s="137"/>
      <c r="AM209" s="137"/>
      <c r="AN209" s="137"/>
      <c r="AO209" s="137"/>
      <c r="AP209" s="137"/>
      <c r="AQ209" s="137"/>
      <c r="AR209" s="137"/>
      <c r="AS209" s="137"/>
      <c r="AT209" s="137"/>
      <c r="AU209" s="137"/>
      <c r="AV209" s="137"/>
    </row>
    <row r="210" spans="24:48" x14ac:dyDescent="0.2">
      <c r="X210" s="108"/>
      <c r="Y210" s="108"/>
      <c r="Z210" s="108"/>
      <c r="AA210" s="108"/>
      <c r="AB210" s="108"/>
      <c r="AC210" s="108"/>
      <c r="AD210" s="108"/>
      <c r="AE210" s="108"/>
      <c r="AF210" s="108"/>
      <c r="AG210" s="108"/>
      <c r="AH210" s="108"/>
      <c r="AI210" s="108"/>
      <c r="AJ210" s="108"/>
      <c r="AK210" s="108"/>
      <c r="AL210" s="137"/>
      <c r="AM210" s="137"/>
      <c r="AN210" s="137"/>
      <c r="AO210" s="137"/>
      <c r="AP210" s="137"/>
      <c r="AQ210" s="137"/>
      <c r="AR210" s="137"/>
      <c r="AS210" s="137"/>
      <c r="AT210" s="137"/>
      <c r="AU210" s="137"/>
      <c r="AV210" s="137"/>
    </row>
    <row r="211" spans="24:48" x14ac:dyDescent="0.2">
      <c r="X211" s="108"/>
      <c r="Y211" s="108"/>
      <c r="Z211" s="108"/>
      <c r="AA211" s="108"/>
      <c r="AB211" s="108"/>
      <c r="AC211" s="108"/>
      <c r="AD211" s="108"/>
      <c r="AE211" s="108"/>
      <c r="AF211" s="108"/>
      <c r="AG211" s="108"/>
      <c r="AH211" s="108"/>
      <c r="AI211" s="108"/>
      <c r="AJ211" s="108"/>
      <c r="AK211" s="108"/>
      <c r="AL211" s="137"/>
      <c r="AM211" s="137"/>
      <c r="AN211" s="137"/>
      <c r="AO211" s="137"/>
      <c r="AP211" s="137"/>
      <c r="AQ211" s="137"/>
      <c r="AR211" s="137"/>
      <c r="AS211" s="137"/>
      <c r="AT211" s="137"/>
      <c r="AU211" s="137"/>
      <c r="AV211" s="137"/>
    </row>
    <row r="212" spans="24:48" x14ac:dyDescent="0.2">
      <c r="X212" s="108"/>
      <c r="Y212" s="108"/>
      <c r="Z212" s="108"/>
      <c r="AA212" s="108"/>
      <c r="AB212" s="108"/>
      <c r="AC212" s="108"/>
      <c r="AD212" s="108"/>
      <c r="AE212" s="108"/>
      <c r="AF212" s="108"/>
      <c r="AG212" s="108"/>
      <c r="AH212" s="108"/>
      <c r="AI212" s="108"/>
      <c r="AJ212" s="108"/>
      <c r="AK212" s="108"/>
      <c r="AL212" s="137"/>
      <c r="AM212" s="137"/>
      <c r="AN212" s="137"/>
      <c r="AO212" s="137"/>
      <c r="AP212" s="137"/>
      <c r="AQ212" s="137"/>
      <c r="AR212" s="137"/>
      <c r="AS212" s="137"/>
      <c r="AT212" s="137"/>
      <c r="AU212" s="137"/>
      <c r="AV212" s="137"/>
    </row>
    <row r="213" spans="24:48" x14ac:dyDescent="0.2">
      <c r="X213" s="108"/>
      <c r="Y213" s="108"/>
      <c r="Z213" s="108"/>
      <c r="AA213" s="108"/>
      <c r="AB213" s="108"/>
      <c r="AC213" s="108"/>
      <c r="AD213" s="108"/>
      <c r="AE213" s="108"/>
      <c r="AF213" s="108"/>
      <c r="AG213" s="108"/>
      <c r="AH213" s="108"/>
      <c r="AI213" s="108"/>
      <c r="AJ213" s="108"/>
      <c r="AK213" s="108"/>
      <c r="AL213" s="137"/>
      <c r="AM213" s="137"/>
      <c r="AN213" s="137"/>
      <c r="AO213" s="137"/>
      <c r="AP213" s="137"/>
      <c r="AQ213" s="137"/>
      <c r="AR213" s="137"/>
      <c r="AS213" s="137"/>
      <c r="AT213" s="137"/>
      <c r="AU213" s="137"/>
      <c r="AV213" s="137"/>
    </row>
    <row r="214" spans="24:48" x14ac:dyDescent="0.2">
      <c r="X214" s="108"/>
      <c r="Y214" s="108"/>
      <c r="Z214" s="108"/>
      <c r="AA214" s="108"/>
      <c r="AB214" s="108"/>
      <c r="AC214" s="108"/>
      <c r="AD214" s="108"/>
      <c r="AE214" s="108"/>
      <c r="AF214" s="108"/>
      <c r="AG214" s="108"/>
      <c r="AH214" s="108"/>
      <c r="AI214" s="108"/>
      <c r="AJ214" s="108"/>
      <c r="AK214" s="108"/>
      <c r="AL214" s="137"/>
      <c r="AM214" s="137"/>
      <c r="AN214" s="137"/>
      <c r="AO214" s="137"/>
      <c r="AP214" s="137"/>
      <c r="AQ214" s="137"/>
      <c r="AR214" s="137"/>
      <c r="AS214" s="137"/>
      <c r="AT214" s="137"/>
      <c r="AU214" s="137"/>
      <c r="AV214" s="137"/>
    </row>
    <row r="215" spans="24:48" x14ac:dyDescent="0.2">
      <c r="X215" s="108"/>
      <c r="Y215" s="108"/>
      <c r="Z215" s="108"/>
      <c r="AA215" s="108"/>
      <c r="AB215" s="108"/>
      <c r="AC215" s="108"/>
      <c r="AD215" s="108"/>
      <c r="AE215" s="108"/>
      <c r="AF215" s="108"/>
      <c r="AG215" s="108"/>
      <c r="AH215" s="108"/>
      <c r="AI215" s="108"/>
      <c r="AJ215" s="108"/>
      <c r="AK215" s="108"/>
      <c r="AL215" s="137"/>
      <c r="AM215" s="137"/>
      <c r="AN215" s="137"/>
      <c r="AO215" s="137"/>
      <c r="AP215" s="137"/>
      <c r="AQ215" s="137"/>
      <c r="AR215" s="137"/>
      <c r="AS215" s="137"/>
      <c r="AT215" s="137"/>
      <c r="AU215" s="137"/>
      <c r="AV215" s="137"/>
    </row>
    <row r="216" spans="24:48" x14ac:dyDescent="0.2">
      <c r="X216" s="108"/>
      <c r="Y216" s="108"/>
      <c r="Z216" s="108"/>
      <c r="AA216" s="108"/>
      <c r="AB216" s="108"/>
      <c r="AC216" s="108"/>
      <c r="AD216" s="108"/>
      <c r="AE216" s="108"/>
      <c r="AF216" s="108"/>
      <c r="AG216" s="108"/>
      <c r="AH216" s="108"/>
      <c r="AI216" s="108"/>
      <c r="AJ216" s="108"/>
      <c r="AK216" s="108"/>
      <c r="AL216" s="137"/>
      <c r="AM216" s="137"/>
      <c r="AN216" s="137"/>
      <c r="AO216" s="137"/>
      <c r="AP216" s="137"/>
      <c r="AQ216" s="137"/>
      <c r="AR216" s="137"/>
      <c r="AS216" s="137"/>
      <c r="AT216" s="137"/>
      <c r="AU216" s="137"/>
      <c r="AV216" s="137"/>
    </row>
    <row r="217" spans="24:48" x14ac:dyDescent="0.2">
      <c r="X217" s="108"/>
      <c r="Y217" s="108"/>
      <c r="Z217" s="108"/>
      <c r="AA217" s="108"/>
      <c r="AB217" s="108"/>
      <c r="AC217" s="108"/>
      <c r="AD217" s="108"/>
      <c r="AE217" s="108"/>
      <c r="AF217" s="108"/>
      <c r="AG217" s="108"/>
      <c r="AH217" s="108"/>
      <c r="AI217" s="108"/>
      <c r="AJ217" s="108"/>
      <c r="AK217" s="108"/>
      <c r="AL217" s="137"/>
      <c r="AM217" s="137"/>
      <c r="AN217" s="137"/>
      <c r="AO217" s="137"/>
      <c r="AP217" s="137"/>
      <c r="AQ217" s="137"/>
      <c r="AR217" s="137"/>
      <c r="AS217" s="137"/>
      <c r="AT217" s="137"/>
      <c r="AU217" s="137"/>
      <c r="AV217" s="137"/>
    </row>
    <row r="218" spans="24:48" x14ac:dyDescent="0.2">
      <c r="X218" s="108"/>
      <c r="Y218" s="108"/>
      <c r="Z218" s="108"/>
      <c r="AA218" s="108"/>
      <c r="AB218" s="108"/>
      <c r="AC218" s="108"/>
      <c r="AD218" s="108"/>
      <c r="AE218" s="108"/>
      <c r="AF218" s="108"/>
      <c r="AG218" s="108"/>
      <c r="AH218" s="108"/>
      <c r="AI218" s="108"/>
      <c r="AJ218" s="108"/>
      <c r="AK218" s="108"/>
      <c r="AL218" s="137"/>
      <c r="AM218" s="137"/>
      <c r="AN218" s="137"/>
      <c r="AO218" s="137"/>
      <c r="AP218" s="137"/>
      <c r="AQ218" s="137"/>
      <c r="AR218" s="137"/>
      <c r="AS218" s="137"/>
      <c r="AT218" s="137"/>
      <c r="AU218" s="137"/>
      <c r="AV218" s="137"/>
    </row>
    <row r="219" spans="24:48" x14ac:dyDescent="0.2">
      <c r="X219" s="108"/>
      <c r="Y219" s="108"/>
      <c r="Z219" s="108"/>
      <c r="AA219" s="108"/>
      <c r="AB219" s="108"/>
      <c r="AC219" s="108"/>
      <c r="AD219" s="108"/>
      <c r="AE219" s="108"/>
      <c r="AF219" s="108"/>
      <c r="AG219" s="108"/>
      <c r="AH219" s="108"/>
      <c r="AI219" s="108"/>
      <c r="AJ219" s="108"/>
      <c r="AK219" s="108"/>
      <c r="AL219" s="137"/>
      <c r="AM219" s="137"/>
      <c r="AN219" s="137"/>
      <c r="AO219" s="137"/>
      <c r="AP219" s="137"/>
      <c r="AQ219" s="137"/>
      <c r="AR219" s="137"/>
      <c r="AS219" s="137"/>
      <c r="AT219" s="137"/>
      <c r="AU219" s="137"/>
      <c r="AV219" s="137"/>
    </row>
    <row r="220" spans="24:48" x14ac:dyDescent="0.2">
      <c r="X220" s="108"/>
      <c r="Y220" s="108"/>
      <c r="Z220" s="108"/>
      <c r="AA220" s="108"/>
      <c r="AB220" s="108"/>
      <c r="AC220" s="108"/>
      <c r="AD220" s="108"/>
      <c r="AE220" s="108"/>
      <c r="AF220" s="108"/>
      <c r="AG220" s="108"/>
      <c r="AH220" s="108"/>
      <c r="AI220" s="108"/>
      <c r="AJ220" s="108"/>
      <c r="AK220" s="108"/>
      <c r="AL220" s="137"/>
      <c r="AM220" s="137"/>
      <c r="AN220" s="137"/>
      <c r="AO220" s="137"/>
      <c r="AP220" s="137"/>
      <c r="AQ220" s="137"/>
      <c r="AR220" s="137"/>
      <c r="AS220" s="137"/>
      <c r="AT220" s="137"/>
      <c r="AU220" s="137"/>
      <c r="AV220" s="137"/>
    </row>
    <row r="221" spans="24:48" x14ac:dyDescent="0.2">
      <c r="X221" s="108"/>
      <c r="Y221" s="108"/>
      <c r="Z221" s="108"/>
      <c r="AA221" s="108"/>
      <c r="AB221" s="108"/>
      <c r="AC221" s="108"/>
      <c r="AD221" s="108"/>
      <c r="AE221" s="108"/>
      <c r="AF221" s="108"/>
      <c r="AG221" s="108"/>
      <c r="AH221" s="108"/>
      <c r="AI221" s="108"/>
      <c r="AJ221" s="108"/>
      <c r="AK221" s="108"/>
      <c r="AL221" s="137"/>
      <c r="AM221" s="137"/>
      <c r="AN221" s="137"/>
      <c r="AO221" s="137"/>
      <c r="AP221" s="137"/>
      <c r="AQ221" s="137"/>
      <c r="AR221" s="137"/>
      <c r="AS221" s="137"/>
      <c r="AT221" s="137"/>
      <c r="AU221" s="137"/>
      <c r="AV221" s="137"/>
    </row>
    <row r="222" spans="24:48" x14ac:dyDescent="0.2">
      <c r="X222" s="108"/>
      <c r="Y222" s="108"/>
      <c r="Z222" s="108"/>
      <c r="AA222" s="108"/>
      <c r="AB222" s="108"/>
      <c r="AC222" s="108"/>
      <c r="AD222" s="108"/>
      <c r="AE222" s="108"/>
      <c r="AF222" s="108"/>
      <c r="AG222" s="108"/>
      <c r="AH222" s="108"/>
      <c r="AI222" s="108"/>
      <c r="AJ222" s="108"/>
      <c r="AK222" s="108"/>
      <c r="AL222" s="137"/>
      <c r="AM222" s="137"/>
      <c r="AN222" s="137"/>
      <c r="AO222" s="137"/>
      <c r="AP222" s="137"/>
      <c r="AQ222" s="137"/>
      <c r="AR222" s="137"/>
      <c r="AS222" s="137"/>
      <c r="AT222" s="137"/>
      <c r="AU222" s="137"/>
      <c r="AV222" s="137"/>
    </row>
    <row r="223" spans="24:48" x14ac:dyDescent="0.2">
      <c r="X223" s="108"/>
      <c r="Y223" s="108"/>
      <c r="Z223" s="108"/>
      <c r="AA223" s="108"/>
      <c r="AB223" s="108"/>
      <c r="AC223" s="108"/>
      <c r="AD223" s="108"/>
      <c r="AE223" s="108"/>
      <c r="AF223" s="108"/>
      <c r="AG223" s="108"/>
      <c r="AH223" s="108"/>
      <c r="AI223" s="108"/>
      <c r="AJ223" s="108"/>
      <c r="AK223" s="108"/>
      <c r="AL223" s="137"/>
      <c r="AM223" s="137"/>
      <c r="AN223" s="137"/>
      <c r="AO223" s="137"/>
      <c r="AP223" s="137"/>
      <c r="AQ223" s="137"/>
      <c r="AR223" s="137"/>
      <c r="AS223" s="137"/>
      <c r="AT223" s="137"/>
      <c r="AU223" s="137"/>
      <c r="AV223" s="137"/>
    </row>
    <row r="224" spans="24:48" x14ac:dyDescent="0.2">
      <c r="X224" s="108"/>
      <c r="Y224" s="108"/>
      <c r="Z224" s="108"/>
      <c r="AA224" s="108"/>
      <c r="AB224" s="108"/>
      <c r="AC224" s="108"/>
      <c r="AD224" s="108"/>
      <c r="AE224" s="108"/>
      <c r="AF224" s="108"/>
      <c r="AG224" s="108"/>
      <c r="AH224" s="108"/>
      <c r="AI224" s="108"/>
      <c r="AJ224" s="108"/>
      <c r="AK224" s="108"/>
      <c r="AL224" s="137"/>
      <c r="AM224" s="137"/>
      <c r="AN224" s="137"/>
      <c r="AO224" s="137"/>
      <c r="AP224" s="137"/>
      <c r="AQ224" s="137"/>
      <c r="AR224" s="137"/>
      <c r="AS224" s="137"/>
      <c r="AT224" s="137"/>
      <c r="AU224" s="137"/>
      <c r="AV224" s="137"/>
    </row>
    <row r="225" spans="24:48" x14ac:dyDescent="0.2">
      <c r="X225" s="108"/>
      <c r="Y225" s="108"/>
      <c r="Z225" s="108"/>
      <c r="AA225" s="108"/>
      <c r="AB225" s="108"/>
      <c r="AC225" s="108"/>
      <c r="AD225" s="108"/>
      <c r="AE225" s="108"/>
      <c r="AF225" s="108"/>
      <c r="AG225" s="108"/>
      <c r="AH225" s="108"/>
      <c r="AI225" s="108"/>
      <c r="AJ225" s="108"/>
      <c r="AK225" s="108"/>
      <c r="AL225" s="137"/>
      <c r="AM225" s="137"/>
      <c r="AN225" s="137"/>
      <c r="AO225" s="137"/>
      <c r="AP225" s="137"/>
      <c r="AQ225" s="137"/>
      <c r="AR225" s="137"/>
      <c r="AS225" s="137"/>
      <c r="AT225" s="137"/>
      <c r="AU225" s="137"/>
      <c r="AV225" s="137"/>
    </row>
    <row r="226" spans="24:48" x14ac:dyDescent="0.2">
      <c r="X226" s="108"/>
      <c r="Y226" s="108"/>
      <c r="Z226" s="108"/>
      <c r="AA226" s="108"/>
      <c r="AB226" s="108"/>
      <c r="AC226" s="108"/>
      <c r="AD226" s="108"/>
      <c r="AE226" s="108"/>
      <c r="AF226" s="108"/>
      <c r="AG226" s="108"/>
      <c r="AH226" s="108"/>
      <c r="AI226" s="108"/>
      <c r="AJ226" s="108"/>
      <c r="AK226" s="108"/>
      <c r="AL226" s="137"/>
      <c r="AM226" s="137"/>
      <c r="AN226" s="137"/>
      <c r="AO226" s="137"/>
      <c r="AP226" s="137"/>
      <c r="AQ226" s="137"/>
      <c r="AR226" s="137"/>
      <c r="AS226" s="137"/>
      <c r="AT226" s="137"/>
      <c r="AU226" s="137"/>
      <c r="AV226" s="137"/>
    </row>
    <row r="227" spans="24:48" x14ac:dyDescent="0.2">
      <c r="X227" s="108"/>
      <c r="Y227" s="108"/>
      <c r="Z227" s="108"/>
      <c r="AA227" s="108"/>
      <c r="AB227" s="108"/>
      <c r="AC227" s="108"/>
      <c r="AD227" s="108"/>
      <c r="AE227" s="108"/>
      <c r="AF227" s="108"/>
      <c r="AG227" s="108"/>
      <c r="AH227" s="108"/>
      <c r="AI227" s="108"/>
      <c r="AJ227" s="108"/>
      <c r="AK227" s="108"/>
      <c r="AL227" s="137"/>
      <c r="AM227" s="137"/>
      <c r="AN227" s="137"/>
      <c r="AO227" s="137"/>
      <c r="AP227" s="137"/>
      <c r="AQ227" s="137"/>
      <c r="AR227" s="137"/>
      <c r="AS227" s="137"/>
      <c r="AT227" s="137"/>
      <c r="AU227" s="137"/>
      <c r="AV227" s="137"/>
    </row>
    <row r="228" spans="24:48" x14ac:dyDescent="0.2">
      <c r="X228" s="108"/>
      <c r="Y228" s="108"/>
      <c r="Z228" s="108"/>
      <c r="AA228" s="108"/>
      <c r="AB228" s="108"/>
      <c r="AC228" s="108"/>
      <c r="AD228" s="108"/>
      <c r="AE228" s="108"/>
      <c r="AF228" s="108"/>
      <c r="AG228" s="108"/>
      <c r="AH228" s="108"/>
      <c r="AI228" s="108"/>
      <c r="AJ228" s="108"/>
      <c r="AK228" s="108"/>
      <c r="AL228" s="137"/>
      <c r="AM228" s="137"/>
      <c r="AN228" s="137"/>
      <c r="AO228" s="137"/>
      <c r="AP228" s="137"/>
      <c r="AQ228" s="137"/>
      <c r="AR228" s="137"/>
      <c r="AS228" s="137"/>
      <c r="AT228" s="137"/>
      <c r="AU228" s="137"/>
      <c r="AV228" s="137"/>
    </row>
    <row r="229" spans="24:48" x14ac:dyDescent="0.2">
      <c r="X229" s="108"/>
      <c r="Y229" s="108"/>
      <c r="Z229" s="108"/>
      <c r="AA229" s="108"/>
      <c r="AB229" s="108"/>
      <c r="AC229" s="108"/>
      <c r="AD229" s="108"/>
      <c r="AE229" s="108"/>
      <c r="AF229" s="108"/>
      <c r="AG229" s="108"/>
      <c r="AH229" s="108"/>
      <c r="AI229" s="108"/>
      <c r="AJ229" s="108"/>
      <c r="AK229" s="108"/>
      <c r="AL229" s="137"/>
      <c r="AM229" s="137"/>
      <c r="AN229" s="137"/>
      <c r="AO229" s="137"/>
      <c r="AP229" s="137"/>
      <c r="AQ229" s="137"/>
      <c r="AR229" s="137"/>
      <c r="AS229" s="137"/>
      <c r="AT229" s="137"/>
      <c r="AU229" s="137"/>
      <c r="AV229" s="137"/>
    </row>
    <row r="230" spans="24:48" x14ac:dyDescent="0.2">
      <c r="X230" s="108"/>
      <c r="Y230" s="108"/>
      <c r="Z230" s="108"/>
      <c r="AA230" s="108"/>
      <c r="AB230" s="108"/>
      <c r="AC230" s="108"/>
      <c r="AD230" s="108"/>
      <c r="AE230" s="108"/>
      <c r="AF230" s="108"/>
      <c r="AG230" s="108"/>
      <c r="AH230" s="108"/>
      <c r="AI230" s="108"/>
      <c r="AJ230" s="108"/>
      <c r="AK230" s="108"/>
      <c r="AL230" s="137"/>
      <c r="AM230" s="137"/>
      <c r="AN230" s="137"/>
      <c r="AO230" s="137"/>
      <c r="AP230" s="137"/>
      <c r="AQ230" s="137"/>
      <c r="AR230" s="137"/>
      <c r="AS230" s="137"/>
      <c r="AT230" s="137"/>
      <c r="AU230" s="137"/>
      <c r="AV230" s="137"/>
    </row>
    <row r="231" spans="24:48" x14ac:dyDescent="0.2">
      <c r="X231" s="108"/>
      <c r="Y231" s="108"/>
      <c r="Z231" s="108"/>
      <c r="AA231" s="108"/>
      <c r="AB231" s="108"/>
      <c r="AC231" s="108"/>
      <c r="AD231" s="108"/>
      <c r="AE231" s="108"/>
      <c r="AF231" s="108"/>
      <c r="AG231" s="108"/>
      <c r="AH231" s="108"/>
      <c r="AI231" s="108"/>
      <c r="AJ231" s="108"/>
      <c r="AK231" s="108"/>
      <c r="AL231" s="137"/>
      <c r="AM231" s="137"/>
      <c r="AN231" s="137"/>
      <c r="AO231" s="137"/>
      <c r="AP231" s="137"/>
      <c r="AQ231" s="137"/>
      <c r="AR231" s="137"/>
      <c r="AS231" s="137"/>
      <c r="AT231" s="137"/>
      <c r="AU231" s="137"/>
      <c r="AV231" s="137"/>
    </row>
    <row r="232" spans="24:48" x14ac:dyDescent="0.2">
      <c r="X232" s="108"/>
      <c r="Y232" s="108"/>
      <c r="Z232" s="108"/>
      <c r="AA232" s="108"/>
      <c r="AB232" s="108"/>
      <c r="AC232" s="108"/>
      <c r="AD232" s="108"/>
      <c r="AE232" s="108"/>
      <c r="AF232" s="108"/>
      <c r="AG232" s="108"/>
      <c r="AH232" s="108"/>
      <c r="AI232" s="108"/>
      <c r="AJ232" s="108"/>
      <c r="AK232" s="108"/>
      <c r="AL232" s="137"/>
      <c r="AM232" s="137"/>
      <c r="AN232" s="137"/>
      <c r="AO232" s="137"/>
      <c r="AP232" s="137"/>
      <c r="AQ232" s="137"/>
      <c r="AR232" s="137"/>
      <c r="AS232" s="137"/>
      <c r="AT232" s="137"/>
      <c r="AU232" s="137"/>
      <c r="AV232" s="137"/>
    </row>
  </sheetData>
  <sheetProtection algorithmName="SHA-512" hashValue="cgUL2eK5W0eJ2L8bCL54RPhg9n4VgfJBKd3JuScrs/O+bvdYNlFH3Iun6JW55mCpSqVPsapnYthnt53mD/pwNw==" saltValue="4GurbVSzqutMj6wRfrqK6g==" spinCount="100000" sheet="1" objects="1" scenarios="1"/>
  <mergeCells count="63">
    <mergeCell ref="A99:A140"/>
    <mergeCell ref="E106:L106"/>
    <mergeCell ref="N82:S82"/>
    <mergeCell ref="S87:T87"/>
    <mergeCell ref="N81:S81"/>
    <mergeCell ref="R77:T77"/>
    <mergeCell ref="T30:U30"/>
    <mergeCell ref="C34:K37"/>
    <mergeCell ref="P62:T62"/>
    <mergeCell ref="R66:T66"/>
    <mergeCell ref="N67:S67"/>
    <mergeCell ref="N78:S78"/>
    <mergeCell ref="N79:S79"/>
    <mergeCell ref="N80:S80"/>
    <mergeCell ref="B41:L45"/>
    <mergeCell ref="B17:G17"/>
    <mergeCell ref="B28:G28"/>
    <mergeCell ref="B20:C20"/>
    <mergeCell ref="R20:S20"/>
    <mergeCell ref="B21:G21"/>
    <mergeCell ref="B22:G22"/>
    <mergeCell ref="B23:G23"/>
    <mergeCell ref="B27:C27"/>
    <mergeCell ref="N68:S68"/>
    <mergeCell ref="N69:S69"/>
    <mergeCell ref="N70:S70"/>
    <mergeCell ref="N71:S71"/>
    <mergeCell ref="B24:C26"/>
    <mergeCell ref="D24:G24"/>
    <mergeCell ref="V10:W10"/>
    <mergeCell ref="B11:G11"/>
    <mergeCell ref="B16:C16"/>
    <mergeCell ref="D16:G16"/>
    <mergeCell ref="B12:G12"/>
    <mergeCell ref="B13:C15"/>
    <mergeCell ref="D13:G13"/>
    <mergeCell ref="D14:G14"/>
    <mergeCell ref="D15:G15"/>
    <mergeCell ref="V20:W20"/>
    <mergeCell ref="V21:W21"/>
    <mergeCell ref="D25:G25"/>
    <mergeCell ref="R9:S9"/>
    <mergeCell ref="V9:W9"/>
    <mergeCell ref="F9:H9"/>
    <mergeCell ref="AP8:AQ9"/>
    <mergeCell ref="D27:G27"/>
    <mergeCell ref="F20:H20"/>
    <mergeCell ref="AP1:AV1"/>
    <mergeCell ref="K4:L5"/>
    <mergeCell ref="D26:G26"/>
    <mergeCell ref="B7:C7"/>
    <mergeCell ref="G7:H7"/>
    <mergeCell ref="B10:G10"/>
    <mergeCell ref="F5:J5"/>
    <mergeCell ref="B9:C9"/>
    <mergeCell ref="AP14:AT15"/>
    <mergeCell ref="AP16:AT17"/>
    <mergeCell ref="AR8:AR9"/>
    <mergeCell ref="AP10:AQ10"/>
    <mergeCell ref="AP11:AQ11"/>
    <mergeCell ref="AP12:AQ12"/>
    <mergeCell ref="AP13:AQ13"/>
    <mergeCell ref="B2:D2"/>
  </mergeCells>
  <conditionalFormatting sqref="B16:C16">
    <cfRule type="expression" dxfId="125" priority="16" stopIfTrue="1">
      <formula>$V$10=TRUE</formula>
    </cfRule>
  </conditionalFormatting>
  <conditionalFormatting sqref="B27:C27">
    <cfRule type="expression" dxfId="124" priority="17" stopIfTrue="1">
      <formula>$V$21=TRUE</formula>
    </cfRule>
  </conditionalFormatting>
  <conditionalFormatting sqref="I26">
    <cfRule type="containsText" dxfId="123" priority="7" operator="containsText" text="Doplňte">
      <formula>NOT(ISERROR(SEARCH("Doplňte",I26)))</formula>
    </cfRule>
  </conditionalFormatting>
  <conditionalFormatting sqref="E9">
    <cfRule type="expression" dxfId="122" priority="88">
      <formula>$M$17&gt;0</formula>
    </cfRule>
  </conditionalFormatting>
  <conditionalFormatting sqref="I15">
    <cfRule type="expression" dxfId="121" priority="89">
      <formula>$M$17=0</formula>
    </cfRule>
    <cfRule type="containsText" dxfId="120" priority="90" operator="containsText" text="Doplňte">
      <formula>NOT(ISERROR(SEARCH("Doplňte",I15)))</formula>
    </cfRule>
  </conditionalFormatting>
  <conditionalFormatting sqref="E20">
    <cfRule type="expression" dxfId="119" priority="99">
      <formula>$M$28&gt;0</formula>
    </cfRule>
  </conditionalFormatting>
  <conditionalFormatting sqref="I26">
    <cfRule type="expression" dxfId="118" priority="100">
      <formula>$M$28=0</formula>
    </cfRule>
  </conditionalFormatting>
  <conditionalFormatting sqref="I12">
    <cfRule type="expression" dxfId="117" priority="4">
      <formula>$M$17=0</formula>
    </cfRule>
    <cfRule type="containsText" dxfId="116" priority="5" operator="containsText" text="Doplňte">
      <formula>NOT(ISERROR(SEARCH("Doplňte",I12)))</formula>
    </cfRule>
  </conditionalFormatting>
  <conditionalFormatting sqref="I23">
    <cfRule type="containsText" dxfId="115" priority="1" operator="containsText" text="Doplňte">
      <formula>NOT(ISERROR(SEARCH("Doplňte",I23)))</formula>
    </cfRule>
  </conditionalFormatting>
  <conditionalFormatting sqref="I23">
    <cfRule type="expression" dxfId="114" priority="2">
      <formula>$M$28=0</formula>
    </cfRule>
  </conditionalFormatting>
  <hyperlinks>
    <hyperlink ref="N67:S67" location="HKSt!H10" tooltip=" " display="HKSt!H10" xr:uid="{9C5B335C-0EA1-41C5-945C-B17419E7EDE3}"/>
    <hyperlink ref="N68:S68" location="HKSt!H11" tooltip=" " display="HKSt!H11" xr:uid="{FB837BEE-5399-420D-ACF7-E4A01DCEFA9C}"/>
    <hyperlink ref="N78:S78" location="HKSt!H19" tooltip=" " display="HKSt!H19" xr:uid="{8C649F6F-9D5F-4D58-84EC-87BC1DED815A}"/>
    <hyperlink ref="N79:S79" location="HKSt!H20" tooltip=" " display="HKSt!H20" xr:uid="{B06339F1-8DF6-43AF-9130-6FE09B867FCF}"/>
    <hyperlink ref="AK5" location="HKSt!A100" tooltip=" " display="HKSt!A100" xr:uid="{61303586-9B8C-4DFA-9B34-9176D84EF8D7}"/>
    <hyperlink ref="L125" location="HKSt!A1" tooltip=" " display="HKSt!A1" xr:uid="{0E3FA401-33FE-4ED8-828E-90BCAD1C8A16}"/>
    <hyperlink ref="AK9" location="SumAVS!A1" tooltip=" " display="SumAVS!A1" xr:uid="{251B3D66-41B2-41B1-BCF6-3EDCA86248E3}"/>
    <hyperlink ref="AK10" location="OrdAVS!A1" tooltip=" " display="OrdAVS!A1" xr:uid="{BF13C9C0-2F53-43EF-87F8-948162C94590}"/>
    <hyperlink ref="AK7" location="AcsAVS!A1" tooltip=" " display="AcsAVS!A1" xr:uid="{B7441EE5-7CC9-4C02-9B2D-31353EB03632}"/>
    <hyperlink ref="AK4" location="MenuAVS!A1" tooltip=" " display="MenuAVS!A1" xr:uid="{9DB1F5D7-8908-484F-9676-CECBD2E1F952}"/>
    <hyperlink ref="B2:C2" location="HK!A1" tooltip=" " display="AVENTOS HK top" xr:uid="{C641B088-E5CB-4473-AFFB-6C2276BC0027}"/>
    <hyperlink ref="B2:L2" location="HKS!A1" tooltip=" " display="AVENTOS HK-S" xr:uid="{F99B5636-B369-40EF-A72E-8D7681E784A2}"/>
  </hyperlinks>
  <pageMargins left="0.62992125984251968" right="0.23622047244094488" top="0.74803149606299213" bottom="0.74803149606299213" header="0.31496062992125984" footer="0.31496062992125984"/>
  <pageSetup paperSize="9" orientation="portrait" horizontalDpi="4294967293"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91137" r:id="rId4" name="Drop Down 1">
              <controlPr defaultSize="0" autoLine="0" autoPict="0">
                <anchor moveWithCells="1">
                  <from>
                    <xdr:col>3</xdr:col>
                    <xdr:colOff>9525</xdr:colOff>
                    <xdr:row>6</xdr:row>
                    <xdr:rowOff>9525</xdr:rowOff>
                  </from>
                  <to>
                    <xdr:col>5</xdr:col>
                    <xdr:colOff>571500</xdr:colOff>
                    <xdr:row>7</xdr:row>
                    <xdr:rowOff>0</xdr:rowOff>
                  </to>
                </anchor>
              </controlPr>
            </control>
          </mc:Choice>
        </mc:AlternateContent>
        <mc:AlternateContent xmlns:mc="http://schemas.openxmlformats.org/markup-compatibility/2006">
          <mc:Choice Requires="x14">
            <control shapeId="91139" r:id="rId5" name="Check Box 3">
              <controlPr defaultSize="0" autoFill="0" autoLine="0" autoPict="0">
                <anchor moveWithCells="1">
                  <from>
                    <xdr:col>2</xdr:col>
                    <xdr:colOff>419100</xdr:colOff>
                    <xdr:row>15</xdr:row>
                    <xdr:rowOff>9525</xdr:rowOff>
                  </from>
                  <to>
                    <xdr:col>3</xdr:col>
                    <xdr:colOff>19050</xdr:colOff>
                    <xdr:row>16</xdr:row>
                    <xdr:rowOff>19050</xdr:rowOff>
                  </to>
                </anchor>
              </controlPr>
            </control>
          </mc:Choice>
        </mc:AlternateContent>
        <mc:AlternateContent xmlns:mc="http://schemas.openxmlformats.org/markup-compatibility/2006">
          <mc:Choice Requires="x14">
            <control shapeId="91140" r:id="rId6" name="Check Box 4">
              <controlPr defaultSize="0" autoFill="0" autoLine="0" autoPict="0">
                <anchor moveWithCells="1">
                  <from>
                    <xdr:col>2</xdr:col>
                    <xdr:colOff>419100</xdr:colOff>
                    <xdr:row>26</xdr:row>
                    <xdr:rowOff>0</xdr:rowOff>
                  </from>
                  <to>
                    <xdr:col>2</xdr:col>
                    <xdr:colOff>571500</xdr:colOff>
                    <xdr:row>27</xdr:row>
                    <xdr:rowOff>19050</xdr:rowOff>
                  </to>
                </anchor>
              </controlPr>
            </control>
          </mc:Choice>
        </mc:AlternateContent>
        <mc:AlternateContent xmlns:mc="http://schemas.openxmlformats.org/markup-compatibility/2006">
          <mc:Choice Requires="x14">
            <control shapeId="91141" r:id="rId7" name="Drop Down 5">
              <controlPr defaultSize="0" autoLine="0" autoPict="0">
                <anchor moveWithCells="1">
                  <from>
                    <xdr:col>1</xdr:col>
                    <xdr:colOff>0</xdr:colOff>
                    <xdr:row>9</xdr:row>
                    <xdr:rowOff>0</xdr:rowOff>
                  </from>
                  <to>
                    <xdr:col>2</xdr:col>
                    <xdr:colOff>571500</xdr:colOff>
                    <xdr:row>10</xdr:row>
                    <xdr:rowOff>0</xdr:rowOff>
                  </to>
                </anchor>
              </controlPr>
            </control>
          </mc:Choice>
        </mc:AlternateContent>
        <mc:AlternateContent xmlns:mc="http://schemas.openxmlformats.org/markup-compatibility/2006">
          <mc:Choice Requires="x14">
            <control shapeId="91142" r:id="rId8" name="Drop Down 6">
              <controlPr defaultSize="0" autoLine="0" autoPict="0">
                <anchor moveWithCells="1">
                  <from>
                    <xdr:col>1</xdr:col>
                    <xdr:colOff>0</xdr:colOff>
                    <xdr:row>20</xdr:row>
                    <xdr:rowOff>0</xdr:rowOff>
                  </from>
                  <to>
                    <xdr:col>2</xdr:col>
                    <xdr:colOff>571500</xdr:colOff>
                    <xdr:row>21</xdr:row>
                    <xdr:rowOff>0</xdr:rowOff>
                  </to>
                </anchor>
              </controlPr>
            </control>
          </mc:Choice>
        </mc:AlternateContent>
        <mc:AlternateContent xmlns:mc="http://schemas.openxmlformats.org/markup-compatibility/2006">
          <mc:Choice Requires="x14">
            <control shapeId="91143" r:id="rId9" name="Check Box 7">
              <controlPr defaultSize="0" autoFill="0" autoLine="0" autoPict="0">
                <anchor moveWithCells="1">
                  <from>
                    <xdr:col>2</xdr:col>
                    <xdr:colOff>409575</xdr:colOff>
                    <xdr:row>14</xdr:row>
                    <xdr:rowOff>180975</xdr:rowOff>
                  </from>
                  <to>
                    <xdr:col>3</xdr:col>
                    <xdr:colOff>95250</xdr:colOff>
                    <xdr:row>16</xdr:row>
                    <xdr:rowOff>0</xdr:rowOff>
                  </to>
                </anchor>
              </controlPr>
            </control>
          </mc:Choice>
        </mc:AlternateContent>
        <mc:AlternateContent xmlns:mc="http://schemas.openxmlformats.org/markup-compatibility/2006">
          <mc:Choice Requires="x14">
            <control shapeId="91144" r:id="rId10" name="Check Box 8">
              <controlPr defaultSize="0" autoFill="0" autoLine="0" autoPict="0">
                <anchor moveWithCells="1">
                  <from>
                    <xdr:col>2</xdr:col>
                    <xdr:colOff>409575</xdr:colOff>
                    <xdr:row>25</xdr:row>
                    <xdr:rowOff>180975</xdr:rowOff>
                  </from>
                  <to>
                    <xdr:col>3</xdr:col>
                    <xdr:colOff>95250</xdr:colOff>
                    <xdr:row>27</xdr:row>
                    <xdr:rowOff>0</xdr:rowOff>
                  </to>
                </anchor>
              </controlPr>
            </control>
          </mc:Choice>
        </mc:AlternateContent>
        <mc:AlternateContent xmlns:mc="http://schemas.openxmlformats.org/markup-compatibility/2006">
          <mc:Choice Requires="x14">
            <control shapeId="91145" r:id="rId11" name="Drop Down 9">
              <controlPr defaultSize="0" autoLine="0" autoPict="0">
                <anchor moveWithCells="1">
                  <from>
                    <xdr:col>6</xdr:col>
                    <xdr:colOff>0</xdr:colOff>
                    <xdr:row>3</xdr:row>
                    <xdr:rowOff>0</xdr:rowOff>
                  </from>
                  <to>
                    <xdr:col>8</xdr:col>
                    <xdr:colOff>571500</xdr:colOff>
                    <xdr:row>4</xdr:row>
                    <xdr:rowOff>0</xdr:rowOff>
                  </to>
                </anchor>
              </controlPr>
            </control>
          </mc:Choice>
        </mc:AlternateContent>
      </controls>
    </mc:Choice>
  </mc:AlternateContent>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137B0-9D70-4E51-A668-D50F05AAA913}">
  <sheetPr codeName="Sheet52">
    <tabColor indexed="63"/>
  </sheetPr>
  <dimension ref="A1:BC140"/>
  <sheetViews>
    <sheetView showGridLines="0" showRowColHeaders="0" workbookViewId="0">
      <selection activeCell="AM4" sqref="AM4"/>
    </sheetView>
  </sheetViews>
  <sheetFormatPr defaultColWidth="8.28515625" defaultRowHeight="12" x14ac:dyDescent="0.2"/>
  <cols>
    <col min="1" max="1" width="1.28515625" style="37" customWidth="1"/>
    <col min="2" max="9" width="8.5703125" style="37" customWidth="1"/>
    <col min="10" max="10" width="6.7109375" style="37" customWidth="1"/>
    <col min="11" max="11" width="10.42578125" style="37" customWidth="1"/>
    <col min="12" max="12" width="17.28515625" style="37" customWidth="1"/>
    <col min="13" max="15" width="6.42578125" style="37" hidden="1" customWidth="1"/>
    <col min="16" max="16" width="6.42578125" style="118" hidden="1" customWidth="1"/>
    <col min="17" max="17" width="6.42578125" style="37" hidden="1" customWidth="1"/>
    <col min="18" max="18" width="7.28515625" style="118" hidden="1" customWidth="1"/>
    <col min="19" max="19" width="6.42578125" style="37" hidden="1" customWidth="1"/>
    <col min="20" max="20" width="7.7109375" style="37" hidden="1" customWidth="1"/>
    <col min="21" max="21" width="9.5703125" style="37" hidden="1" customWidth="1"/>
    <col min="22" max="22" width="8.5703125" style="37" hidden="1" customWidth="1"/>
    <col min="23" max="26" width="6.42578125" style="37" hidden="1" customWidth="1"/>
    <col min="27" max="27" width="37.28515625" style="37" hidden="1" customWidth="1"/>
    <col min="28" max="28" width="13.5703125" style="37" hidden="1" customWidth="1"/>
    <col min="29" max="31" width="6.7109375" style="37" hidden="1" customWidth="1"/>
    <col min="32" max="32" width="9.42578125" style="37" hidden="1" customWidth="1"/>
    <col min="33" max="36" width="6.7109375" style="37" hidden="1" customWidth="1"/>
    <col min="37" max="37" width="3.28515625" style="37" hidden="1" customWidth="1"/>
    <col min="38" max="38" width="3.28515625" style="108" customWidth="1"/>
    <col min="39" max="39" width="23.42578125" style="108" customWidth="1"/>
    <col min="40" max="41" width="8.28515625" style="137"/>
    <col min="42" max="43" width="19.28515625" style="137" customWidth="1"/>
    <col min="44" max="44" width="22.28515625" style="137" customWidth="1"/>
    <col min="45" max="47" width="8.28515625" style="137"/>
    <col min="48" max="48" width="16.28515625" style="137" customWidth="1"/>
    <col min="49" max="49" width="22.42578125" style="137" customWidth="1"/>
    <col min="50" max="50" width="18.7109375" style="137" customWidth="1"/>
    <col min="51" max="16384" width="8.28515625" style="137"/>
  </cols>
  <sheetData>
    <row r="1" spans="2:55" ht="4.5" customHeight="1" thickBot="1" x14ac:dyDescent="0.25">
      <c r="L1" s="137"/>
      <c r="O1" s="118"/>
      <c r="P1" s="37"/>
      <c r="Q1" s="118"/>
      <c r="R1" s="37"/>
      <c r="AK1" s="108"/>
      <c r="AU1" s="1121"/>
      <c r="AV1" s="1121"/>
      <c r="AW1" s="1121"/>
      <c r="AX1" s="1121"/>
      <c r="AY1" s="1121"/>
      <c r="AZ1" s="1121"/>
      <c r="BA1" s="1121"/>
      <c r="BB1" s="1121"/>
      <c r="BC1" s="1121"/>
    </row>
    <row r="2" spans="2:55" s="108" customFormat="1" ht="19.5" customHeight="1" thickBot="1" x14ac:dyDescent="0.25">
      <c r="B2" s="1048" t="s">
        <v>5</v>
      </c>
      <c r="C2" s="1048"/>
      <c r="D2" s="1048"/>
      <c r="E2" s="886"/>
      <c r="F2" s="886"/>
      <c r="G2" s="886"/>
      <c r="H2" s="886"/>
      <c r="I2" s="886"/>
      <c r="J2" s="886"/>
      <c r="K2" s="886"/>
      <c r="L2" s="886"/>
      <c r="M2" s="759"/>
      <c r="S2" s="117">
        <v>3</v>
      </c>
      <c r="AM2" s="760" t="str">
        <f>ListAVS!$B$153</f>
        <v>Przejdź do</v>
      </c>
    </row>
    <row r="3" spans="2:55" ht="3.75" customHeight="1" x14ac:dyDescent="0.2">
      <c r="B3" s="210"/>
      <c r="C3" s="211"/>
      <c r="D3" s="211"/>
      <c r="E3" s="211"/>
      <c r="F3" s="211"/>
      <c r="G3" s="211"/>
      <c r="H3" s="211"/>
      <c r="I3" s="211"/>
      <c r="J3" s="211"/>
      <c r="K3" s="211"/>
      <c r="L3" s="137"/>
      <c r="O3" s="118"/>
      <c r="P3" s="37"/>
      <c r="Q3" s="118"/>
      <c r="R3" s="37"/>
      <c r="AK3" s="137"/>
      <c r="AM3" s="670"/>
    </row>
    <row r="4" spans="2:55" ht="16.149999999999999" customHeight="1" thickBot="1" x14ac:dyDescent="0.25">
      <c r="B4" s="618" t="str">
        <f>ListAVS!$B$17</f>
        <v>Front drewniany</v>
      </c>
      <c r="C4" s="212"/>
      <c r="D4" s="266"/>
      <c r="E4" s="212"/>
      <c r="F4" s="269" t="str">
        <f>ListAVS!$B$180&amp;"  "</f>
        <v xml:space="preserve">Wykonanie frontów  </v>
      </c>
      <c r="G4" s="255"/>
      <c r="H4" s="255"/>
      <c r="I4" s="255"/>
      <c r="J4" s="260"/>
      <c r="K4" s="1047" t="str">
        <f>IF($AA$72=3,IF(J4=0,$Z$67," "),IF(J4&gt;0,$Z$68," "))</f>
        <v xml:space="preserve"> </v>
      </c>
      <c r="L4" s="1047"/>
      <c r="O4" s="118"/>
      <c r="P4" s="37"/>
      <c r="Q4" s="118"/>
      <c r="R4" s="37"/>
      <c r="S4" s="37" t="str">
        <f>" "&amp;ListAVS!$B$41&amp;" A "</f>
        <v xml:space="preserve"> Cena za korpus A </v>
      </c>
      <c r="AK4" s="137"/>
      <c r="AM4" s="383" t="s">
        <v>77</v>
      </c>
    </row>
    <row r="5" spans="2:55" ht="16.149999999999999" customHeight="1" x14ac:dyDescent="0.2">
      <c r="B5" s="266"/>
      <c r="C5" s="212"/>
      <c r="D5" s="212"/>
      <c r="E5" s="212"/>
      <c r="F5" s="1016" t="str">
        <f>IF($AA$72&lt;&gt;3,$Z$66," ")&amp;"      "</f>
        <v xml:space="preserve"> Możesz zmienić wartości we Wstępie do planowania      </v>
      </c>
      <c r="G5" s="1016"/>
      <c r="H5" s="1016"/>
      <c r="I5" s="1016"/>
      <c r="J5" s="1016"/>
      <c r="K5" s="1047"/>
      <c r="L5" s="1047"/>
      <c r="O5" s="118"/>
      <c r="P5" s="37"/>
      <c r="Q5" s="118"/>
      <c r="R5" s="37"/>
      <c r="S5" s="37" t="str">
        <f>" "&amp;ListAVS!$B$41&amp;" B "</f>
        <v xml:space="preserve"> Cena za korpus B </v>
      </c>
      <c r="AK5" s="137"/>
      <c r="AM5" s="634" t="str">
        <f>" "&amp;ListAVS!$B$155</f>
        <v xml:space="preserve"> Pomoc</v>
      </c>
    </row>
    <row r="6" spans="2:55" ht="25.15" customHeight="1" x14ac:dyDescent="0.2">
      <c r="B6" s="273"/>
      <c r="C6" s="273"/>
      <c r="D6" s="212"/>
      <c r="E6" s="212"/>
      <c r="F6" s="212"/>
      <c r="G6" s="266"/>
      <c r="H6" s="266"/>
      <c r="I6" s="266"/>
      <c r="J6" s="212"/>
      <c r="K6" s="212"/>
      <c r="L6" s="266"/>
      <c r="O6" s="118"/>
      <c r="P6" s="37"/>
      <c r="Q6" s="118"/>
      <c r="R6" s="37"/>
      <c r="S6" s="37" t="str">
        <f>" "&amp;ListAVS!$B$61</f>
        <v xml:space="preserve"> Cena całkowita bez VAT</v>
      </c>
      <c r="AK6" s="137"/>
      <c r="AM6" s="761"/>
    </row>
    <row r="7" spans="2:55" ht="16.149999999999999" customHeight="1" x14ac:dyDescent="0.2">
      <c r="B7" s="1207" t="str">
        <f>ListAVS!$B$51&amp;":   "</f>
        <v xml:space="preserve">Cena okucia:   </v>
      </c>
      <c r="C7" s="1207"/>
      <c r="D7" s="1207"/>
      <c r="E7" s="255"/>
      <c r="F7" s="266"/>
      <c r="G7" s="266"/>
      <c r="H7" s="1061">
        <f>IF($S$2=1, $AH$50, IF($S$2=2, $AJ$50, IF($S$2=3, $AF$50,0)))</f>
        <v>0</v>
      </c>
      <c r="I7" s="1062"/>
      <c r="J7" s="255"/>
      <c r="K7" s="255"/>
      <c r="L7" s="255"/>
      <c r="O7" s="118"/>
      <c r="P7" s="37"/>
      <c r="Q7" s="118"/>
      <c r="R7" s="37"/>
      <c r="AA7" s="156" t="str">
        <f>$B$2</f>
        <v>AVENTOS HK-XS</v>
      </c>
      <c r="AB7" s="157">
        <f>D5</f>
        <v>0</v>
      </c>
      <c r="AC7" s="157"/>
      <c r="AD7" s="157"/>
      <c r="AE7" s="157"/>
      <c r="AF7" s="158"/>
      <c r="AI7" s="118"/>
      <c r="AK7" s="108"/>
      <c r="AM7" s="675" t="str">
        <f>" "&amp;ListAVS!$B$160</f>
        <v xml:space="preserve"> Dodatki</v>
      </c>
    </row>
    <row r="8" spans="2:55" ht="22.5" customHeight="1" thickBot="1" x14ac:dyDescent="0.25">
      <c r="B8" s="255"/>
      <c r="C8" s="255"/>
      <c r="D8" s="255"/>
      <c r="E8" s="255"/>
      <c r="F8" s="255"/>
      <c r="G8" s="255"/>
      <c r="H8" s="255"/>
      <c r="I8" s="255"/>
      <c r="J8" s="255"/>
      <c r="K8" s="255"/>
      <c r="L8" s="255"/>
      <c r="O8" s="118"/>
      <c r="P8" s="37"/>
      <c r="Q8" s="118"/>
      <c r="R8" s="37"/>
      <c r="AA8" s="159">
        <f>ListAVS!D52</f>
        <v>0</v>
      </c>
      <c r="AB8" s="160" t="str">
        <f>ListAVS!$B$53</f>
        <v>Kod asortymentu</v>
      </c>
      <c r="AC8" s="161">
        <f>ListAVS!D54</f>
        <v>0</v>
      </c>
      <c r="AD8" s="161">
        <f>ListAVS!D56</f>
        <v>0</v>
      </c>
      <c r="AE8" s="162">
        <f>ListAVS!D58</f>
        <v>0</v>
      </c>
      <c r="AF8" s="161">
        <f>ListAVS!D59</f>
        <v>0</v>
      </c>
      <c r="AG8" s="204" t="s">
        <v>29</v>
      </c>
      <c r="AH8" s="163" t="s">
        <v>30</v>
      </c>
      <c r="AI8" s="163" t="s">
        <v>31</v>
      </c>
      <c r="AJ8" s="163" t="s">
        <v>30</v>
      </c>
      <c r="AK8" s="108"/>
      <c r="AM8" s="671"/>
      <c r="AP8" s="1193" t="str">
        <f>"  "&amp;ListAVS!$B$86&amp;" LF "</f>
        <v xml:space="preserve">  Współczynnik mocy LF </v>
      </c>
      <c r="AQ8" s="1193"/>
      <c r="AR8" s="1193" t="str">
        <f>ListAVS!$B$84</f>
        <v>Mechanizm podnoszący</v>
      </c>
      <c r="AS8" s="404"/>
      <c r="AT8" s="404"/>
    </row>
    <row r="9" spans="2:55" ht="16.149999999999999" customHeight="1" thickBot="1" x14ac:dyDescent="0.25">
      <c r="B9" s="1051" t="str">
        <f>"▼ "&amp;ListAVS!$B$318</f>
        <v>▼ Sposób otwierania</v>
      </c>
      <c r="C9" s="1052"/>
      <c r="D9" s="406" t="str">
        <f>IF($M$17&gt;0, ListAVS!$B$37&amp;": ", " ")</f>
        <v xml:space="preserve"> </v>
      </c>
      <c r="E9" s="688" t="str">
        <f>IF($AG$9&gt;0,"11",IF($AG$10&gt;0,"13",IF($AG$11&gt;0,"15",IF($AG$15&gt;0,"11T",IF($AG$16&gt;0,"13T", IF($AG$17&gt;0, "15T", " "))))))</f>
        <v xml:space="preserve"> </v>
      </c>
      <c r="F9" s="1056" t="str">
        <f>ListAVS!$B$64&amp;" A"</f>
        <v>Korpus A</v>
      </c>
      <c r="G9" s="1057"/>
      <c r="H9" s="1057"/>
      <c r="I9" s="1058"/>
      <c r="J9" s="273"/>
      <c r="K9" s="255"/>
      <c r="L9" s="255"/>
      <c r="N9" s="119"/>
      <c r="O9" s="132"/>
      <c r="P9" s="119"/>
      <c r="Q9" s="132"/>
      <c r="R9" s="1205" t="s">
        <v>118</v>
      </c>
      <c r="S9" s="1206"/>
      <c r="T9" s="762"/>
      <c r="U9" s="763"/>
      <c r="V9" s="1205" t="s">
        <v>89</v>
      </c>
      <c r="W9" s="1206"/>
      <c r="X9" s="136"/>
      <c r="Y9" s="213" t="s">
        <v>26</v>
      </c>
      <c r="Z9" s="214"/>
      <c r="AA9" s="164" t="str">
        <f>CenAVS!A108</f>
        <v xml:space="preserve">Aventos HK-XS słaby        </v>
      </c>
      <c r="AB9" s="164" t="str">
        <f>CenAVS!B108</f>
        <v>20K1101</v>
      </c>
      <c r="AC9" s="164" t="str">
        <f>CenAVS!C108</f>
        <v>NI</v>
      </c>
      <c r="AD9" s="165">
        <f>SUM(AG9,AI9)</f>
        <v>0</v>
      </c>
      <c r="AE9" s="395">
        <f>CenAVS!F108</f>
        <v>32.283230000000003</v>
      </c>
      <c r="AF9" s="167">
        <f>AD9*AE9</f>
        <v>0</v>
      </c>
      <c r="AG9" s="407">
        <f>IF($U$16=1,SUM($O$11:$P$11)*$M$17,0)</f>
        <v>0</v>
      </c>
      <c r="AH9" s="168">
        <f>$AE9*AG9</f>
        <v>0</v>
      </c>
      <c r="AI9" s="407">
        <f>IF($U$27=1,SUM($O$22:$P$22)*$M$28,0)</f>
        <v>0</v>
      </c>
      <c r="AJ9" s="168">
        <f>$AE9*AI9</f>
        <v>0</v>
      </c>
      <c r="AK9" s="108"/>
      <c r="AM9" s="383" t="str">
        <f>" "&amp;ListAVS!$B$157</f>
        <v xml:space="preserve"> Rodzaje korpusów</v>
      </c>
      <c r="AP9" s="1193"/>
      <c r="AQ9" s="1193"/>
      <c r="AR9" s="1193"/>
      <c r="AS9" s="404"/>
      <c r="AT9" s="404"/>
    </row>
    <row r="10" spans="2:55" s="37" customFormat="1" ht="16.149999999999999" customHeight="1" thickBot="1" x14ac:dyDescent="0.25">
      <c r="B10" s="1011" t="str">
        <f>ListAVS!$B$74&amp;" KB [mm] "</f>
        <v xml:space="preserve">Szerokość korpusu KB [mm] </v>
      </c>
      <c r="C10" s="1012"/>
      <c r="D10" s="1012"/>
      <c r="E10" s="1012"/>
      <c r="F10" s="1066"/>
      <c r="G10" s="1066"/>
      <c r="H10" s="1067"/>
      <c r="I10" s="405"/>
      <c r="J10" s="273" t="str">
        <f>IF($I10=0," ",IF($I10&lt;220," min. 220mm",IF($I10&gt;1800," max. 1 800mm"," ")))&amp;IF(I17&gt;0,IF(I10=0,"● "&amp;ListAVS!$B$129," ")," ")</f>
        <v xml:space="preserve">  </v>
      </c>
      <c r="K10" s="255"/>
      <c r="L10" s="255"/>
      <c r="N10" s="198" t="s">
        <v>32</v>
      </c>
      <c r="O10" s="200" t="s">
        <v>119</v>
      </c>
      <c r="P10" s="200" t="s">
        <v>91</v>
      </c>
      <c r="Q10" s="119"/>
      <c r="R10" s="764" t="s">
        <v>93</v>
      </c>
      <c r="S10" s="764" t="s">
        <v>76</v>
      </c>
      <c r="T10" s="765" t="s">
        <v>94</v>
      </c>
      <c r="U10" s="765" t="s">
        <v>95</v>
      </c>
      <c r="V10" s="1214" t="b">
        <v>0</v>
      </c>
      <c r="W10" s="1215"/>
      <c r="X10" s="215"/>
      <c r="Y10" s="766"/>
      <c r="Z10" s="766"/>
      <c r="AA10" s="164" t="str">
        <f>CenAVS!A109</f>
        <v xml:space="preserve">Aventos HK-XS średni        </v>
      </c>
      <c r="AB10" s="164" t="str">
        <f>CenAVS!B109</f>
        <v>20K1301</v>
      </c>
      <c r="AC10" s="164" t="str">
        <f>CenAVS!C109</f>
        <v>NI</v>
      </c>
      <c r="AD10" s="165">
        <f t="shared" ref="AD10:AD31" si="0">SUM(AG10,AI10)</f>
        <v>0</v>
      </c>
      <c r="AE10" s="395">
        <f>CenAVS!F109</f>
        <v>32.283230000000003</v>
      </c>
      <c r="AF10" s="167">
        <f t="shared" ref="AF10:AF31" si="1">AD10*AE10</f>
        <v>0</v>
      </c>
      <c r="AG10" s="407">
        <f>IF($U$16=1,SUM($O$12:$P$12)*$M$17,0)</f>
        <v>0</v>
      </c>
      <c r="AH10" s="168">
        <f t="shared" ref="AH10:AH33" si="2">$AE10*AG10</f>
        <v>0</v>
      </c>
      <c r="AI10" s="407">
        <f>IF($U$27=1,SUM($O$23:$P$23)*$M$28,0)</f>
        <v>0</v>
      </c>
      <c r="AJ10" s="168">
        <f t="shared" ref="AJ10:AJ33" si="3">$AE10*AI10</f>
        <v>0</v>
      </c>
      <c r="AK10" s="108"/>
      <c r="AL10" s="108"/>
      <c r="AM10" s="383" t="str">
        <f>" "&amp;ListAVS!$B$158</f>
        <v xml:space="preserve"> Zamówienie</v>
      </c>
      <c r="AN10" s="137"/>
      <c r="AO10" s="137"/>
      <c r="AP10" s="1169" t="s">
        <v>120</v>
      </c>
      <c r="AQ10" s="1169"/>
      <c r="AR10" s="753" t="s">
        <v>121</v>
      </c>
      <c r="AS10" s="227"/>
      <c r="AT10" s="227"/>
    </row>
    <row r="11" spans="2:55" s="37" customFormat="1" ht="16.149999999999999" customHeight="1" x14ac:dyDescent="0.2">
      <c r="B11" s="1011" t="str">
        <f>ListAVS!$B$75&amp;" KH [mm]  "</f>
        <v xml:space="preserve">Wysokość korpusu KH [mm]  </v>
      </c>
      <c r="C11" s="1012"/>
      <c r="D11" s="1012"/>
      <c r="E11" s="1012"/>
      <c r="F11" s="1012"/>
      <c r="G11" s="1012"/>
      <c r="H11" s="1013"/>
      <c r="I11" s="257"/>
      <c r="J11" s="273" t="str">
        <f>IF($I11=0," ",IF($I11&lt;236," min. 236mm",IF($I11&gt;600," max. 600 mm"," ")))&amp;IF(I17&gt;0,IF(I11=0,"● "&amp;ListAVS!$B$129," ")," ")</f>
        <v xml:space="preserve">  </v>
      </c>
      <c r="K11" s="255"/>
      <c r="L11" s="255"/>
      <c r="N11" s="119" t="s">
        <v>122</v>
      </c>
      <c r="O11" s="132">
        <f>IF($V$10=FALSE,IF($I$16&gt;R11,IF($I$16&lt;S11,1,0),0),0)</f>
        <v>0</v>
      </c>
      <c r="P11" s="206">
        <f>IF($V$10=TRUE,IF($I$16&gt;V11,IF($I$16&lt;W11,2,0),0),0)</f>
        <v>0</v>
      </c>
      <c r="Q11" s="119"/>
      <c r="R11" s="767">
        <f>IF(U16=1,199.99,179.99)</f>
        <v>199.99</v>
      </c>
      <c r="S11" s="767">
        <f>IF(U16=1,750,650)</f>
        <v>750</v>
      </c>
      <c r="T11" s="768"/>
      <c r="U11" s="119"/>
      <c r="V11" s="767">
        <f>IF(U16=1,399.99,359.99)</f>
        <v>399.99</v>
      </c>
      <c r="W11" s="767">
        <f>IF(U16=1,1500,1300)</f>
        <v>1500</v>
      </c>
      <c r="X11" s="767"/>
      <c r="Y11" s="769">
        <f>IF(OR(I10&gt;1199,I16&gt;2699),4,IF(OR(I10&gt;899,I16&gt;1799),3,2))</f>
        <v>2</v>
      </c>
      <c r="Z11" s="767"/>
      <c r="AA11" s="164" t="str">
        <f>CenAVS!A110</f>
        <v xml:space="preserve">Aventos HK-XS mocny        </v>
      </c>
      <c r="AB11" s="164" t="str">
        <f>CenAVS!B110</f>
        <v>20K1501</v>
      </c>
      <c r="AC11" s="164" t="str">
        <f>CenAVS!C110</f>
        <v>NI</v>
      </c>
      <c r="AD11" s="165">
        <f t="shared" si="0"/>
        <v>0</v>
      </c>
      <c r="AE11" s="395">
        <f>CenAVS!F110</f>
        <v>32.283230000000003</v>
      </c>
      <c r="AF11" s="167">
        <f t="shared" si="1"/>
        <v>0</v>
      </c>
      <c r="AG11" s="407">
        <f>IF($U$16=1,SUM($O$13:$P$13)*$M$17,0)</f>
        <v>0</v>
      </c>
      <c r="AH11" s="168">
        <f t="shared" si="2"/>
        <v>0</v>
      </c>
      <c r="AI11" s="407">
        <f>IF($U$27=1,SUM($O$24:$P$24)*$M$28,0)</f>
        <v>0</v>
      </c>
      <c r="AJ11" s="168">
        <f t="shared" si="3"/>
        <v>0</v>
      </c>
      <c r="AK11" s="108"/>
      <c r="AL11" s="108"/>
      <c r="AM11" s="255"/>
      <c r="AN11" s="137"/>
      <c r="AO11" s="137"/>
      <c r="AP11" s="1169" t="s">
        <v>123</v>
      </c>
      <c r="AQ11" s="1169"/>
      <c r="AR11" s="753" t="s">
        <v>124</v>
      </c>
      <c r="AS11" s="227"/>
      <c r="AT11" s="227"/>
    </row>
    <row r="12" spans="2:55" s="37" customFormat="1" ht="16.149999999999999" customHeight="1" x14ac:dyDescent="0.2">
      <c r="B12" s="1011" t="str">
        <f>ListAVS!$B$78&amp;" [kg] ** "</f>
        <v xml:space="preserve">Waga frontu wraz z 2 uchwytami [kg] ** </v>
      </c>
      <c r="C12" s="1012"/>
      <c r="D12" s="1012"/>
      <c r="E12" s="1012"/>
      <c r="F12" s="1012"/>
      <c r="G12" s="1012"/>
      <c r="H12" s="1013"/>
      <c r="I12" s="258"/>
      <c r="J12" s="227" t="str">
        <f>IF($I17=0," ",IF(SUM($I12,$I15)=0,$N$38," "))&amp;IF($M17&gt;0,IF($I12&gt;0,$N$39," ")," ")</f>
        <v xml:space="preserve">  </v>
      </c>
      <c r="K12" s="255"/>
      <c r="L12" s="255"/>
      <c r="N12" s="119" t="s">
        <v>125</v>
      </c>
      <c r="O12" s="132">
        <f>IF($V$10=FALSE,IF($I$16&gt;R12,IF($I$16&lt;S12,1,0),0),0)</f>
        <v>0</v>
      </c>
      <c r="P12" s="132">
        <f>IF($V$10=TRUE,IF($I$16&gt;V12,IF($I$16&lt;W12,2,0),0),0)</f>
        <v>0</v>
      </c>
      <c r="Q12" s="119"/>
      <c r="R12" s="767">
        <f>IF(U16=1,749.99,649)</f>
        <v>749.99</v>
      </c>
      <c r="S12" s="767">
        <f>IF(U16=1,1150,1000)</f>
        <v>1150</v>
      </c>
      <c r="T12" s="768"/>
      <c r="U12" s="119"/>
      <c r="V12" s="767">
        <f>IF(U16=1,1499.99,1299.99)</f>
        <v>1499.99</v>
      </c>
      <c r="W12" s="767">
        <f>IF(U16=1,2300,2000)</f>
        <v>2300</v>
      </c>
      <c r="X12" s="767"/>
      <c r="Y12" s="767"/>
      <c r="Z12" s="767"/>
      <c r="AA12" s="164"/>
      <c r="AB12" s="164"/>
      <c r="AC12" s="164"/>
      <c r="AD12" s="165"/>
      <c r="AE12" s="395"/>
      <c r="AF12" s="167"/>
      <c r="AG12" s="407"/>
      <c r="AH12" s="168"/>
      <c r="AI12" s="407"/>
      <c r="AJ12" s="168"/>
      <c r="AK12" s="108"/>
      <c r="AL12" s="108"/>
      <c r="AM12" s="670"/>
      <c r="AN12" s="137"/>
      <c r="AO12" s="137"/>
      <c r="AP12" s="1169" t="s">
        <v>126</v>
      </c>
      <c r="AQ12" s="1169"/>
      <c r="AR12" s="753" t="s">
        <v>127</v>
      </c>
      <c r="AS12" s="227"/>
      <c r="AT12" s="227"/>
    </row>
    <row r="13" spans="2:55" s="37" customFormat="1" ht="16.149999999999999" customHeight="1" x14ac:dyDescent="0.2">
      <c r="B13" s="1055" t="str">
        <f>ListAVS!$B$293</f>
        <v>Obliczenie wagi</v>
      </c>
      <c r="C13" s="1055"/>
      <c r="D13" s="1216" t="str">
        <f>ListAVS!$B$80&amp;" TS [mm] "</f>
        <v xml:space="preserve">Grubość frontu TS [mm] </v>
      </c>
      <c r="E13" s="1053"/>
      <c r="F13" s="1053"/>
      <c r="G13" s="1053"/>
      <c r="H13" s="1054"/>
      <c r="I13" s="258"/>
      <c r="J13" s="256" t="str">
        <f>IF(I17=0," ",IF(AND(I12=0, I13=0)," ● "&amp;ListAVS!$B$129," "))&amp;IF(I17=0," ",IF(AND(I12=0, I13&lt;14), " min. 14 mm", " "))</f>
        <v xml:space="preserve">  </v>
      </c>
      <c r="K13" s="255"/>
      <c r="L13" s="255"/>
      <c r="N13" s="119" t="s">
        <v>128</v>
      </c>
      <c r="O13" s="132">
        <f>IF($V$10=FALSE,IF($I$16&gt;R13,IF($I$16&lt;S13,1,0),0),0)</f>
        <v>0</v>
      </c>
      <c r="P13" s="132">
        <f>IF($V$10=TRUE,IF($I$16&gt;V13,IF($I$16&lt;W13,2,0),0),0)</f>
        <v>0</v>
      </c>
      <c r="Q13" s="119"/>
      <c r="R13" s="767">
        <f>IF(U16=1,1149.99,999.99)</f>
        <v>1149.99</v>
      </c>
      <c r="S13" s="767">
        <f>IF(U16=1,1801,1601)</f>
        <v>1801</v>
      </c>
      <c r="T13" s="768"/>
      <c r="U13" s="119"/>
      <c r="V13" s="767">
        <f>IF(U16=1,2299.99,1999.99)</f>
        <v>2299.9899999999998</v>
      </c>
      <c r="W13" s="767">
        <f>IF(U16=1,3601,3201)</f>
        <v>3601</v>
      </c>
      <c r="X13" s="767"/>
      <c r="Y13" s="767"/>
      <c r="Z13" s="767"/>
      <c r="AA13" s="164"/>
      <c r="AB13" s="164"/>
      <c r="AC13" s="164"/>
      <c r="AD13" s="165"/>
      <c r="AE13" s="395"/>
      <c r="AF13" s="167"/>
      <c r="AG13" s="407"/>
      <c r="AH13" s="168"/>
      <c r="AI13" s="407"/>
      <c r="AJ13" s="168"/>
      <c r="AK13" s="108"/>
      <c r="AL13" s="108"/>
      <c r="AM13" s="670"/>
      <c r="AN13" s="137"/>
      <c r="AO13" s="137"/>
      <c r="AP13" s="268"/>
      <c r="AQ13" s="268"/>
      <c r="AR13" s="268"/>
      <c r="AS13" s="227"/>
      <c r="AT13" s="227"/>
    </row>
    <row r="14" spans="2:55" s="37" customFormat="1" ht="16.149999999999999" customHeight="1" x14ac:dyDescent="0.2">
      <c r="B14" s="1055"/>
      <c r="C14" s="1055"/>
      <c r="D14" s="1216" t="str">
        <f>ListAVS!$B$83&amp;" [kg] "</f>
        <v xml:space="preserve">Waga uchwytu [kg] </v>
      </c>
      <c r="E14" s="1053"/>
      <c r="F14" s="1053"/>
      <c r="G14" s="1053"/>
      <c r="H14" s="1054"/>
      <c r="I14" s="258"/>
      <c r="J14" s="256" t="str">
        <f>IF(I17=0, " ", IF(AND(I12=0, U16=1, I14=0), " ● "&amp;ListAVS!$B$130," "))</f>
        <v xml:space="preserve"> </v>
      </c>
      <c r="K14" s="255"/>
      <c r="L14" s="255"/>
      <c r="N14" s="119"/>
      <c r="O14" s="132"/>
      <c r="P14" s="132"/>
      <c r="Q14" s="119"/>
      <c r="R14" s="767"/>
      <c r="S14" s="767"/>
      <c r="T14" s="768"/>
      <c r="U14" s="119"/>
      <c r="V14" s="767"/>
      <c r="W14" s="767"/>
      <c r="X14" s="767"/>
      <c r="Y14" s="767"/>
      <c r="Z14" s="767"/>
      <c r="AA14" s="164"/>
      <c r="AB14" s="164"/>
      <c r="AC14" s="164"/>
      <c r="AD14" s="165"/>
      <c r="AE14" s="395"/>
      <c r="AF14" s="167"/>
      <c r="AG14" s="407"/>
      <c r="AH14" s="168"/>
      <c r="AI14" s="407"/>
      <c r="AJ14" s="168"/>
      <c r="AK14" s="108"/>
      <c r="AL14" s="108"/>
      <c r="AM14" s="670"/>
      <c r="AN14" s="137"/>
      <c r="AO14" s="137"/>
      <c r="AP14" s="1208" t="str">
        <f>"  "&amp;ListAVS!$B$86&amp;" LF "</f>
        <v xml:space="preserve">  Współczynnik mocy LF </v>
      </c>
      <c r="AQ14" s="1209"/>
      <c r="AR14" s="770" t="s">
        <v>107</v>
      </c>
      <c r="AS14" s="227"/>
    </row>
    <row r="15" spans="2:55" s="37" customFormat="1" ht="16.149999999999999" customHeight="1" x14ac:dyDescent="0.2">
      <c r="B15" s="1055"/>
      <c r="C15" s="1055"/>
      <c r="D15" s="1216" t="str">
        <f>ListAVS!$B$79&amp;" [kg] "</f>
        <v xml:space="preserve">Obliczona waga frontu [kg] </v>
      </c>
      <c r="E15" s="1053"/>
      <c r="F15" s="1053"/>
      <c r="G15" s="1053"/>
      <c r="H15" s="1054"/>
      <c r="I15" s="259">
        <f>$U$75</f>
        <v>0</v>
      </c>
      <c r="J15" s="227" t="str">
        <f>IF(AND($I17&gt;0,$I15&gt;0,$I12=0,$M17&gt;0), $N$39," ")&amp;IF(AND(I17&gt;0, I12=0, AA72=3, $J$4=0), $N$37, " ")</f>
        <v xml:space="preserve">  </v>
      </c>
      <c r="K15" s="255"/>
      <c r="L15" s="255"/>
      <c r="T15" s="119"/>
      <c r="U15" s="598" t="str">
        <f>IF(U16=1,$V$51,IF(U16=2,$V$52,$V$53))</f>
        <v>Standard</v>
      </c>
      <c r="X15" s="767"/>
      <c r="Y15" s="767"/>
      <c r="Z15" s="767"/>
      <c r="AA15" s="164" t="str">
        <f>CenAVS!A112</f>
        <v xml:space="preserve">Aventos HK-XS Tip-on słaby       </v>
      </c>
      <c r="AB15" s="164" t="str">
        <f>CenAVS!B112</f>
        <v>20K1101T</v>
      </c>
      <c r="AC15" s="164" t="str">
        <f>CenAVS!C112</f>
        <v>NI</v>
      </c>
      <c r="AD15" s="165">
        <f t="shared" si="0"/>
        <v>0</v>
      </c>
      <c r="AE15" s="395">
        <f>CenAVS!F112</f>
        <v>34.735590000000002</v>
      </c>
      <c r="AF15" s="167">
        <f t="shared" si="1"/>
        <v>0</v>
      </c>
      <c r="AG15" s="407">
        <f>IF($U$16=2,SUM($O$11:$P$11)*$M$17,0)</f>
        <v>0</v>
      </c>
      <c r="AH15" s="168">
        <f t="shared" si="2"/>
        <v>0</v>
      </c>
      <c r="AI15" s="407">
        <f>IF($U$27=2,SUM($O$22:$P$22)*$M$28,0)</f>
        <v>0</v>
      </c>
      <c r="AJ15" s="168">
        <f t="shared" si="3"/>
        <v>0</v>
      </c>
      <c r="AK15" s="108"/>
      <c r="AL15" s="108"/>
      <c r="AM15" s="670"/>
      <c r="AN15" s="137"/>
      <c r="AO15" s="137"/>
      <c r="AP15" s="1210"/>
      <c r="AQ15" s="1211"/>
      <c r="AR15" s="771" t="str">
        <f>ListAVS!$B$84</f>
        <v>Mechanizm podnoszący</v>
      </c>
      <c r="AS15" s="227"/>
    </row>
    <row r="16" spans="2:55" s="37" customFormat="1" ht="16.149999999999999" customHeight="1" thickBot="1" x14ac:dyDescent="0.25">
      <c r="B16" s="1011" t="str">
        <f>ListAVS!$B$88&amp;" *      "</f>
        <v xml:space="preserve">Drugi podnośnik *      </v>
      </c>
      <c r="C16" s="1012"/>
      <c r="D16" s="1013"/>
      <c r="E16" s="1011" t="str">
        <f>ListAVS!$B$86&amp;" LF "</f>
        <v xml:space="preserve">Współczynnik mocy LF </v>
      </c>
      <c r="F16" s="1012"/>
      <c r="G16" s="1012"/>
      <c r="H16" s="1013"/>
      <c r="I16" s="400">
        <f>IF(I12&gt;0,I11*I12,I11*I15)</f>
        <v>0</v>
      </c>
      <c r="J16" s="273" t="str">
        <f>IF(U16=1,IF($I16&gt;3600,$N$42,IF($I16&gt;1800.5,IF(V10=FALSE,$N$43," ")," ")),IF($I16&gt;3200,$N$42,IF($I16&gt;1600.5,IF(V10=FALSE,$N$43," ")," ")))</f>
        <v xml:space="preserve"> </v>
      </c>
      <c r="K16" s="255"/>
      <c r="L16" s="255"/>
      <c r="N16" s="119"/>
      <c r="O16" s="132"/>
      <c r="P16" s="132"/>
      <c r="Q16" s="119"/>
      <c r="R16" s="767"/>
      <c r="S16" s="767"/>
      <c r="T16" s="756"/>
      <c r="U16" s="207">
        <v>1</v>
      </c>
      <c r="V16" s="767"/>
      <c r="W16" s="767"/>
      <c r="X16" s="767"/>
      <c r="Y16" s="767"/>
      <c r="Z16" s="767"/>
      <c r="AA16" s="164" t="str">
        <f>CenAVS!A113</f>
        <v xml:space="preserve">Aventos HK-XS Tip-on średni       </v>
      </c>
      <c r="AB16" s="164" t="str">
        <f>CenAVS!B113</f>
        <v>20K1301T</v>
      </c>
      <c r="AC16" s="164" t="str">
        <f>CenAVS!C113</f>
        <v>NI</v>
      </c>
      <c r="AD16" s="165">
        <f t="shared" si="0"/>
        <v>0</v>
      </c>
      <c r="AE16" s="395">
        <f>CenAVS!F113</f>
        <v>34.735590000000002</v>
      </c>
      <c r="AF16" s="167">
        <f t="shared" si="1"/>
        <v>0</v>
      </c>
      <c r="AG16" s="407">
        <f>IF($U$16=2,SUM($O$12:$P$12)*$M$17,0)</f>
        <v>0</v>
      </c>
      <c r="AH16" s="168">
        <f t="shared" si="2"/>
        <v>0</v>
      </c>
      <c r="AI16" s="407">
        <f>IF($U$27=2,SUM($O$23:$P$23)*$M$28,0)</f>
        <v>0</v>
      </c>
      <c r="AJ16" s="168">
        <f t="shared" si="3"/>
        <v>0</v>
      </c>
      <c r="AK16" s="108"/>
      <c r="AL16" s="108"/>
      <c r="AM16" s="670"/>
      <c r="AN16" s="137"/>
      <c r="AO16" s="137"/>
      <c r="AP16" s="1212" t="s">
        <v>129</v>
      </c>
      <c r="AQ16" s="1213"/>
      <c r="AR16" s="753" t="s">
        <v>130</v>
      </c>
      <c r="AS16" s="227"/>
    </row>
    <row r="17" spans="1:51" s="37" customFormat="1" ht="16.149999999999999" customHeight="1" thickBot="1" x14ac:dyDescent="0.25">
      <c r="B17" s="1011" t="str">
        <f>ListAVS!$B$71&amp;" "</f>
        <v xml:space="preserve">Ilość szafek </v>
      </c>
      <c r="C17" s="1012"/>
      <c r="D17" s="1012"/>
      <c r="E17" s="1012"/>
      <c r="F17" s="1012"/>
      <c r="G17" s="1012"/>
      <c r="H17" s="1012"/>
      <c r="I17" s="261"/>
      <c r="J17" s="273"/>
      <c r="K17" s="255"/>
      <c r="L17" s="255"/>
      <c r="M17" s="315">
        <f>IF(OR($I10*$I11*$T17=0,$I11&lt;236,$I11&gt;600, AND(I12=0, I13&lt;14), SUM(O11:P14)=0),0,IF($I16&gt;1800,IF($V10=FALSE,0,$I17),$I17))</f>
        <v>0</v>
      </c>
      <c r="N17" s="130"/>
      <c r="O17" s="132"/>
      <c r="P17" s="132"/>
      <c r="Q17" s="119"/>
      <c r="R17" s="767"/>
      <c r="S17" s="690" t="s">
        <v>51</v>
      </c>
      <c r="T17" s="757">
        <f>IF(I12&gt;0,I12,I15)</f>
        <v>0</v>
      </c>
      <c r="U17" s="37">
        <f>IF(SUM(I12,I15)=0,0,IF(I12&gt;0,1,2))</f>
        <v>0</v>
      </c>
      <c r="V17" s="571" t="s">
        <v>52</v>
      </c>
      <c r="Y17" s="767"/>
      <c r="Z17" s="153"/>
      <c r="AA17" s="164" t="str">
        <f>CenAVS!A114</f>
        <v xml:space="preserve">Aventos HK-XS Tip-on mocny       </v>
      </c>
      <c r="AB17" s="164" t="str">
        <f>CenAVS!B114</f>
        <v>20K1501T</v>
      </c>
      <c r="AC17" s="164" t="str">
        <f>CenAVS!C114</f>
        <v>NI</v>
      </c>
      <c r="AD17" s="165">
        <f t="shared" si="0"/>
        <v>0</v>
      </c>
      <c r="AE17" s="395">
        <f>CenAVS!F114</f>
        <v>34.735590000000002</v>
      </c>
      <c r="AF17" s="167">
        <f t="shared" si="1"/>
        <v>0</v>
      </c>
      <c r="AG17" s="407">
        <f>IF($U$16=2,SUM($O$13:$P$13)*$M$17,0)</f>
        <v>0</v>
      </c>
      <c r="AH17" s="168">
        <f t="shared" si="2"/>
        <v>0</v>
      </c>
      <c r="AI17" s="407">
        <f>IF($U$27=2,SUM($O$24:$P$24)*$M$28,0)</f>
        <v>0</v>
      </c>
      <c r="AJ17" s="168">
        <f t="shared" si="3"/>
        <v>0</v>
      </c>
      <c r="AK17" s="108"/>
      <c r="AL17" s="108"/>
      <c r="AM17" s="255"/>
      <c r="AN17" s="137"/>
      <c r="AO17" s="137"/>
      <c r="AP17" s="1212" t="s">
        <v>131</v>
      </c>
      <c r="AQ17" s="1213"/>
      <c r="AR17" s="753" t="s">
        <v>132</v>
      </c>
      <c r="AS17" s="227"/>
    </row>
    <row r="18" spans="1:51" s="37" customFormat="1" ht="16.149999999999999" customHeight="1" x14ac:dyDescent="0.2">
      <c r="B18" s="255" t="str">
        <f>IF(M17&gt;0,IF(U17=0," ",IF(U17=1,$N$54,$N$55))," ")&amp;IF(M17&gt;0,IF(U17=0," ",IF(U17=1,$N$56,$N$57))," ")</f>
        <v xml:space="preserve">  </v>
      </c>
      <c r="C18" s="255"/>
      <c r="D18" s="255"/>
      <c r="E18" s="255"/>
      <c r="F18" s="255"/>
      <c r="G18" s="433"/>
      <c r="H18" s="433"/>
      <c r="I18" s="255"/>
      <c r="J18" s="255"/>
      <c r="K18" s="255"/>
      <c r="L18" s="255"/>
      <c r="M18" s="118"/>
      <c r="N18" s="119"/>
      <c r="O18" s="132"/>
      <c r="P18" s="132"/>
      <c r="Q18" s="119"/>
      <c r="R18" s="767"/>
      <c r="S18" s="767"/>
      <c r="T18" s="119"/>
      <c r="U18" s="151"/>
      <c r="V18" s="767"/>
      <c r="W18" s="767"/>
      <c r="X18" s="767"/>
      <c r="Y18" s="767"/>
      <c r="Z18" s="767"/>
      <c r="AA18" s="164"/>
      <c r="AB18" s="164"/>
      <c r="AC18" s="164"/>
      <c r="AD18" s="165"/>
      <c r="AE18" s="395"/>
      <c r="AF18" s="167"/>
      <c r="AG18" s="407"/>
      <c r="AH18" s="168"/>
      <c r="AI18" s="407"/>
      <c r="AJ18" s="168"/>
      <c r="AK18" s="108"/>
      <c r="AL18" s="108"/>
      <c r="AM18" s="255"/>
      <c r="AN18" s="137"/>
      <c r="AO18" s="137"/>
      <c r="AP18" s="1169" t="s">
        <v>133</v>
      </c>
      <c r="AQ18" s="1169"/>
      <c r="AR18" s="753" t="s">
        <v>134</v>
      </c>
      <c r="AS18" s="227"/>
    </row>
    <row r="19" spans="1:51" s="37" customFormat="1" ht="25.15" customHeight="1" thickBot="1" x14ac:dyDescent="0.25">
      <c r="B19" s="255"/>
      <c r="C19" s="255"/>
      <c r="D19" s="255"/>
      <c r="E19" s="255"/>
      <c r="F19" s="255"/>
      <c r="G19" s="433"/>
      <c r="H19" s="433"/>
      <c r="I19" s="255"/>
      <c r="J19" s="255"/>
      <c r="K19" s="255"/>
      <c r="L19" s="255"/>
      <c r="M19" s="118"/>
      <c r="N19" s="119"/>
      <c r="O19" s="132"/>
      <c r="P19" s="132"/>
      <c r="Q19" s="119"/>
      <c r="R19" s="767"/>
      <c r="S19" s="767"/>
      <c r="T19" s="119"/>
      <c r="U19" s="151"/>
      <c r="V19" s="767"/>
      <c r="W19" s="767"/>
      <c r="X19" s="767"/>
      <c r="Y19" s="767"/>
      <c r="Z19" s="767"/>
      <c r="AA19" s="164" t="str">
        <f>CenAVS!A116</f>
        <v xml:space="preserve">czop boczny do korpusu HK-XS wkręt     </v>
      </c>
      <c r="AB19" s="164" t="str">
        <f>CenAVS!B116</f>
        <v>20K5101</v>
      </c>
      <c r="AC19" s="164" t="str">
        <f>CenAVS!C116</f>
        <v>NI</v>
      </c>
      <c r="AD19" s="165">
        <f t="shared" si="0"/>
        <v>0</v>
      </c>
      <c r="AE19" s="395">
        <f>CenAVS!F116</f>
        <v>2.0432700000000001</v>
      </c>
      <c r="AF19" s="167">
        <f t="shared" si="1"/>
        <v>0</v>
      </c>
      <c r="AG19" s="407">
        <f>IF($P$49=2,SUM(AG$9:AG$17),0)</f>
        <v>0</v>
      </c>
      <c r="AH19" s="168">
        <f t="shared" si="2"/>
        <v>0</v>
      </c>
      <c r="AI19" s="407">
        <f>IF($P$49=2,SUM(AI$9:AI$17),0)</f>
        <v>0</v>
      </c>
      <c r="AJ19" s="168">
        <f t="shared" si="3"/>
        <v>0</v>
      </c>
      <c r="AK19" s="108"/>
      <c r="AL19" s="108"/>
      <c r="AM19" s="692"/>
      <c r="AN19" s="137"/>
      <c r="AO19" s="137"/>
      <c r="AS19" s="227"/>
      <c r="AT19" s="227"/>
    </row>
    <row r="20" spans="1:51" s="37" customFormat="1" ht="16.149999999999999" customHeight="1" thickBot="1" x14ac:dyDescent="0.25">
      <c r="B20" s="1051" t="str">
        <f>"▼ "&amp;ListAVS!$B$318</f>
        <v>▼ Sposób otwierania</v>
      </c>
      <c r="C20" s="1052"/>
      <c r="D20" s="406" t="str">
        <f>IF($M$28&gt;0, ListAVS!$B$37&amp;": ", " ")</f>
        <v xml:space="preserve"> </v>
      </c>
      <c r="E20" s="688" t="str">
        <f>IF($AI$9&gt;0,"11",IF($AI$10&gt;0,"13",IF($AI$11&gt;0,"15",IF($AI$15&gt;0,"11T",IF($AI$16&gt;0,"13T", IF($AI$17&gt;0, "15T", " "))))))</f>
        <v xml:space="preserve"> </v>
      </c>
      <c r="F20" s="1056" t="str">
        <f>ListAVS!$B$64&amp;" B"</f>
        <v>Korpus B</v>
      </c>
      <c r="G20" s="1057"/>
      <c r="H20" s="1057"/>
      <c r="I20" s="1058"/>
      <c r="J20" s="273"/>
      <c r="K20" s="255"/>
      <c r="L20" s="255"/>
      <c r="N20" s="119"/>
      <c r="O20" s="132"/>
      <c r="P20" s="119"/>
      <c r="Q20" s="132"/>
      <c r="R20" s="1205" t="s">
        <v>118</v>
      </c>
      <c r="S20" s="1206"/>
      <c r="T20" s="762"/>
      <c r="U20" s="763"/>
      <c r="V20" s="1205" t="s">
        <v>89</v>
      </c>
      <c r="W20" s="1206"/>
      <c r="X20" s="136"/>
      <c r="Y20" s="213" t="s">
        <v>26</v>
      </c>
      <c r="Z20" s="214"/>
      <c r="AA20" s="164" t="str">
        <f>CenAVS!A117</f>
        <v xml:space="preserve">czop boczny do korpusu HK-XS Exp     </v>
      </c>
      <c r="AB20" s="164" t="str">
        <f>CenAVS!B117</f>
        <v>20K51E1</v>
      </c>
      <c r="AC20" s="164" t="str">
        <f>CenAVS!C117</f>
        <v>NI</v>
      </c>
      <c r="AD20" s="165">
        <f t="shared" si="0"/>
        <v>0</v>
      </c>
      <c r="AE20" s="395">
        <f>CenAVS!F117</f>
        <v>2.7593999999999999</v>
      </c>
      <c r="AF20" s="167">
        <f t="shared" si="1"/>
        <v>0</v>
      </c>
      <c r="AG20" s="407">
        <f>IF($P$49=1,SUM(AG$9:AG$17),0)</f>
        <v>0</v>
      </c>
      <c r="AH20" s="168">
        <f t="shared" si="2"/>
        <v>0</v>
      </c>
      <c r="AI20" s="407">
        <f>IF($P$49=1,SUM(AI$9:AI$17),0)</f>
        <v>0</v>
      </c>
      <c r="AJ20" s="168">
        <f t="shared" si="3"/>
        <v>0</v>
      </c>
      <c r="AK20" s="108"/>
      <c r="AL20" s="108"/>
      <c r="AM20" s="255"/>
      <c r="AN20" s="137"/>
      <c r="AO20" s="137"/>
      <c r="AP20" s="1101" t="str">
        <f>ListAVS!$B$86&amp;" LF = "&amp;ListAVS!$B$75&amp;" KH [mm] x "&amp;ListAVS!$B$78&amp;" [kg]"</f>
        <v>Współczynnik mocy LF = Wysokość korpusu KH [mm] x Waga frontu wraz z 2 uchwytami [kg]</v>
      </c>
      <c r="AQ20" s="1101"/>
      <c r="AR20" s="1101"/>
      <c r="AS20" s="1101"/>
      <c r="AT20" s="1101"/>
    </row>
    <row r="21" spans="1:51" s="37" customFormat="1" ht="16.149999999999999" customHeight="1" x14ac:dyDescent="0.2">
      <c r="B21" s="1011" t="str">
        <f>ListAVS!$B$74&amp;" KB [mm] "</f>
        <v xml:space="preserve">Szerokość korpusu KB [mm] </v>
      </c>
      <c r="C21" s="1012"/>
      <c r="D21" s="1012"/>
      <c r="E21" s="1012"/>
      <c r="F21" s="1012"/>
      <c r="G21" s="1012"/>
      <c r="H21" s="1013"/>
      <c r="I21" s="257"/>
      <c r="J21" s="273" t="str">
        <f>IF($I21=0," ",IF($I21&lt;220," min. 220mm",IF($I21&gt;1800," max. 1 800mm"," ")))&amp;IF(I28&gt;0,IF(I21=0,"● "&amp;ListAVS!$B$129," ")," ")</f>
        <v xml:space="preserve">  </v>
      </c>
      <c r="K21" s="255"/>
      <c r="L21" s="255"/>
      <c r="N21" s="198" t="s">
        <v>53</v>
      </c>
      <c r="O21" s="200" t="s">
        <v>119</v>
      </c>
      <c r="P21" s="200" t="s">
        <v>91</v>
      </c>
      <c r="Q21" s="119"/>
      <c r="R21" s="764" t="s">
        <v>93</v>
      </c>
      <c r="S21" s="764" t="s">
        <v>76</v>
      </c>
      <c r="T21" s="765" t="s">
        <v>94</v>
      </c>
      <c r="U21" s="765" t="s">
        <v>95</v>
      </c>
      <c r="V21" s="1214" t="b">
        <v>0</v>
      </c>
      <c r="W21" s="1215"/>
      <c r="X21" s="215"/>
      <c r="Y21" s="766"/>
      <c r="Z21" s="766"/>
      <c r="AA21" s="164"/>
      <c r="AB21" s="164"/>
      <c r="AC21" s="164"/>
      <c r="AD21" s="165"/>
      <c r="AE21" s="395"/>
      <c r="AF21" s="167"/>
      <c r="AG21" s="407"/>
      <c r="AH21" s="168"/>
      <c r="AI21" s="407"/>
      <c r="AJ21" s="168"/>
      <c r="AK21" s="108"/>
      <c r="AL21" s="108"/>
      <c r="AM21" s="255"/>
      <c r="AN21" s="137"/>
      <c r="AO21" s="137"/>
      <c r="AP21" s="1101"/>
      <c r="AQ21" s="1101"/>
      <c r="AR21" s="1101"/>
      <c r="AS21" s="1101"/>
      <c r="AT21" s="1101"/>
    </row>
    <row r="22" spans="1:51" s="37" customFormat="1" ht="16.149999999999999" customHeight="1" x14ac:dyDescent="0.2">
      <c r="B22" s="1011" t="str">
        <f>ListAVS!$B$75&amp;" KH [mm] "</f>
        <v xml:space="preserve">Wysokość korpusu KH [mm] </v>
      </c>
      <c r="C22" s="1012"/>
      <c r="D22" s="1012"/>
      <c r="E22" s="1012"/>
      <c r="F22" s="1012"/>
      <c r="G22" s="1012"/>
      <c r="H22" s="1013"/>
      <c r="I22" s="257"/>
      <c r="J22" s="273" t="str">
        <f>IF($I22=0," ",IF($I22&lt;236," min. 236 mm",IF($I22&gt;600," max. 600 mm"," ")))&amp;IF(I28&gt;0,IF(I22=0,"● "&amp;ListAVS!$B$129," ")," ")</f>
        <v xml:space="preserve">  </v>
      </c>
      <c r="K22" s="255"/>
      <c r="L22" s="255"/>
      <c r="N22" s="119" t="s">
        <v>122</v>
      </c>
      <c r="O22" s="132">
        <f>IF($V$21=FALSE,IF($I$27&gt;R22,IF($I$27&lt;S22,1,0),0),0)</f>
        <v>0</v>
      </c>
      <c r="P22" s="206">
        <f>IF($V$21=TRUE,IF($I$27&gt;V22,IF($I$27&lt;W22,2,0),0),0)</f>
        <v>0</v>
      </c>
      <c r="Q22" s="119"/>
      <c r="R22" s="767">
        <f>IF(U27=1,199.99,179.99)</f>
        <v>199.99</v>
      </c>
      <c r="S22" s="767">
        <f>IF(U27=1,750,650)</f>
        <v>750</v>
      </c>
      <c r="T22" s="768"/>
      <c r="U22" s="119"/>
      <c r="V22" s="767">
        <f>IF(U27=1, 399.99, 359.99)</f>
        <v>399.99</v>
      </c>
      <c r="W22" s="767">
        <f>IF(U27=1,1500,1300)</f>
        <v>1500</v>
      </c>
      <c r="X22" s="767"/>
      <c r="Y22" s="769">
        <f>IF(OR(I21&gt;1199,I27&gt;2699),4,IF(OR(I21&gt;899,I27&gt;1799),3,2))</f>
        <v>2</v>
      </c>
      <c r="Z22" s="767"/>
      <c r="AA22" s="164" t="str">
        <f>CenAVS!A119</f>
        <v xml:space="preserve">mocowanie frontu HK-XS wkręt       </v>
      </c>
      <c r="AB22" s="164" t="str">
        <f>CenAVS!B119</f>
        <v>20K4101</v>
      </c>
      <c r="AC22" s="164" t="str">
        <f>CenAVS!C119</f>
        <v>NI</v>
      </c>
      <c r="AD22" s="165">
        <f t="shared" si="0"/>
        <v>0</v>
      </c>
      <c r="AE22" s="395">
        <f>CenAVS!F119</f>
        <v>1.38934</v>
      </c>
      <c r="AF22" s="167">
        <f t="shared" si="1"/>
        <v>0</v>
      </c>
      <c r="AG22" s="407">
        <f>IF($Q$49=2,SUM(AG$9:AG$17),0)</f>
        <v>0</v>
      </c>
      <c r="AH22" s="168">
        <f t="shared" si="2"/>
        <v>0</v>
      </c>
      <c r="AI22" s="407">
        <f>IF($Q$49=2,SUM(AI$9:AI$17),0)</f>
        <v>0</v>
      </c>
      <c r="AJ22" s="168">
        <f t="shared" si="3"/>
        <v>0</v>
      </c>
      <c r="AK22" s="108"/>
      <c r="AL22" s="108"/>
      <c r="AM22" s="255"/>
      <c r="AN22" s="137"/>
      <c r="AO22" s="137"/>
    </row>
    <row r="23" spans="1:51" s="37" customFormat="1" ht="16.149999999999999" customHeight="1" x14ac:dyDescent="0.2">
      <c r="B23" s="1011" t="str">
        <f>ListAVS!$B$78&amp;" [kg] ** "</f>
        <v xml:space="preserve">Waga frontu wraz z 2 uchwytami [kg] ** </v>
      </c>
      <c r="C23" s="1012"/>
      <c r="D23" s="1012"/>
      <c r="E23" s="1012"/>
      <c r="F23" s="1012"/>
      <c r="G23" s="1012"/>
      <c r="H23" s="1013"/>
      <c r="I23" s="258"/>
      <c r="J23" s="227" t="str">
        <f>IF($I28=0," ",IF(SUM($I23,$I26)=0,$N$38," "))&amp;IF($M28&gt;0,IF($I23&gt;0,$N$39," ")," ")</f>
        <v xml:space="preserve">  </v>
      </c>
      <c r="K23" s="255"/>
      <c r="L23" s="255"/>
      <c r="N23" s="119" t="s">
        <v>125</v>
      </c>
      <c r="O23" s="132">
        <f>IF($V$21=FALSE,IF($I$27&gt;R23,IF($I$27&lt;S23,1,0),0),0)</f>
        <v>0</v>
      </c>
      <c r="P23" s="132">
        <f>IF($V$21=TRUE,IF($I$27&gt;V23,IF($I$27&lt;W23,2,0),0),0)</f>
        <v>0</v>
      </c>
      <c r="Q23" s="119"/>
      <c r="R23" s="767">
        <f>IF(U27=1,749.99, 649.99)</f>
        <v>749.99</v>
      </c>
      <c r="S23" s="767">
        <f>IF(U27=1,1150,1000)</f>
        <v>1150</v>
      </c>
      <c r="T23" s="768"/>
      <c r="U23" s="119"/>
      <c r="V23" s="767">
        <f>IF(U27=1,1499.99,1299.99)</f>
        <v>1499.99</v>
      </c>
      <c r="W23" s="767">
        <f>IF(U27=1,2300,2000)</f>
        <v>2300</v>
      </c>
      <c r="X23" s="767"/>
      <c r="Y23" s="767"/>
      <c r="Z23" s="767"/>
      <c r="AA23" s="164" t="str">
        <f>CenAVS!A120</f>
        <v xml:space="preserve">mocowanie frontu HK-XS Expando       </v>
      </c>
      <c r="AB23" s="164" t="str">
        <f>CenAVS!B120</f>
        <v>20K41E1</v>
      </c>
      <c r="AC23" s="164" t="str">
        <f>CenAVS!C120</f>
        <v>NI</v>
      </c>
      <c r="AD23" s="165">
        <f t="shared" si="0"/>
        <v>0</v>
      </c>
      <c r="AE23" s="395">
        <f>CenAVS!F120</f>
        <v>2.10547</v>
      </c>
      <c r="AF23" s="167">
        <f t="shared" si="1"/>
        <v>0</v>
      </c>
      <c r="AG23" s="407">
        <f>IF($Q$49=1,SUM(AG$9:AG$17),0)</f>
        <v>0</v>
      </c>
      <c r="AH23" s="168">
        <f t="shared" si="2"/>
        <v>0</v>
      </c>
      <c r="AI23" s="407">
        <f>IF($Q$49=1,SUM(AI$9:AI$17),0)</f>
        <v>0</v>
      </c>
      <c r="AJ23" s="168">
        <f t="shared" si="3"/>
        <v>0</v>
      </c>
      <c r="AK23" s="108"/>
      <c r="AL23" s="108"/>
      <c r="AM23" s="255"/>
      <c r="AN23" s="137"/>
      <c r="AO23" s="137"/>
      <c r="AP23" s="1101" t="str">
        <f>ListAVS!$B$354</f>
        <v>W razie wykorzystania trzeciego siłownika współczynnik mocy oraz waga frontu mogą się zwiększyć o 50 %.</v>
      </c>
      <c r="AQ23" s="1101"/>
      <c r="AR23" s="1101"/>
      <c r="AS23" s="1101"/>
      <c r="AT23" s="1101"/>
    </row>
    <row r="24" spans="1:51" s="37" customFormat="1" ht="16.149999999999999" customHeight="1" x14ac:dyDescent="0.2">
      <c r="B24" s="1055" t="str">
        <f>ListAVS!$B$293</f>
        <v>Obliczenie wagi</v>
      </c>
      <c r="C24" s="1055"/>
      <c r="D24" s="1216" t="str">
        <f>ListAVS!$B$80&amp;" TS [mm] "</f>
        <v xml:space="preserve">Grubość frontu TS [mm] </v>
      </c>
      <c r="E24" s="1053"/>
      <c r="F24" s="1053"/>
      <c r="G24" s="1053"/>
      <c r="H24" s="1054"/>
      <c r="I24" s="258"/>
      <c r="J24" s="256" t="str">
        <f>IF(I28=0," ",IF(AND(I23=0, I24=0)," ● "&amp;ListAVS!$B$129," "))&amp;IF(I28=0," ",IF(AND(I23=0, I24&lt;14), " min. 14 mm", " "))</f>
        <v xml:space="preserve">  </v>
      </c>
      <c r="K24" s="255"/>
      <c r="L24" s="255"/>
      <c r="N24" s="119" t="s">
        <v>128</v>
      </c>
      <c r="O24" s="132">
        <f>IF($V$21=FALSE,IF($I$27&gt;R24,IF($I$27&lt;S24,1,0),0),0)</f>
        <v>0</v>
      </c>
      <c r="P24" s="132">
        <f>IF($V$21=TRUE,IF($I$27&gt;V24,IF($I$27&lt;W24,2,0),0),0)</f>
        <v>0</v>
      </c>
      <c r="Q24" s="119"/>
      <c r="R24" s="767">
        <f>IF(U27=1,1149.99, 999.99)</f>
        <v>1149.99</v>
      </c>
      <c r="S24" s="767">
        <f>IF(U27=1,1801,1601)</f>
        <v>1801</v>
      </c>
      <c r="T24" s="768"/>
      <c r="U24" s="119"/>
      <c r="V24" s="767">
        <f>IF(U27=1,2299.99, 1999.99)</f>
        <v>2299.9899999999998</v>
      </c>
      <c r="W24" s="767">
        <f>IF(U27=1,3601,3201)</f>
        <v>3601</v>
      </c>
      <c r="X24" s="767"/>
      <c r="Y24" s="767"/>
      <c r="Z24" s="767"/>
      <c r="AA24" s="164"/>
      <c r="AB24" s="164"/>
      <c r="AC24" s="164"/>
      <c r="AD24" s="165"/>
      <c r="AE24" s="395"/>
      <c r="AF24" s="167"/>
      <c r="AG24" s="407"/>
      <c r="AH24" s="168"/>
      <c r="AI24" s="407"/>
      <c r="AJ24" s="168"/>
      <c r="AK24" s="108"/>
      <c r="AL24" s="108"/>
      <c r="AM24" s="255"/>
      <c r="AN24" s="137"/>
      <c r="AO24" s="137"/>
      <c r="AP24" s="1101"/>
      <c r="AQ24" s="1101"/>
      <c r="AR24" s="1101"/>
      <c r="AS24" s="1101"/>
      <c r="AT24" s="1101"/>
    </row>
    <row r="25" spans="1:51" s="37" customFormat="1" ht="16.149999999999999" customHeight="1" x14ac:dyDescent="0.2">
      <c r="B25" s="1055"/>
      <c r="C25" s="1055"/>
      <c r="D25" s="1216" t="str">
        <f>ListAVS!$B$83&amp;" [kg] "</f>
        <v xml:space="preserve">Waga uchwytu [kg] </v>
      </c>
      <c r="E25" s="1053"/>
      <c r="F25" s="1053"/>
      <c r="G25" s="1053"/>
      <c r="H25" s="1054"/>
      <c r="I25" s="258"/>
      <c r="J25" s="256" t="str">
        <f>IF(I28=0, " ", IF(AND(I23=0, U27=1, I25=0), " ● "&amp;ListAVS!$B$130," "))</f>
        <v xml:space="preserve"> </v>
      </c>
      <c r="K25" s="255"/>
      <c r="L25" s="255"/>
      <c r="N25" s="119"/>
      <c r="O25" s="132"/>
      <c r="P25" s="132"/>
      <c r="Q25" s="119"/>
      <c r="R25" s="767"/>
      <c r="S25" s="767"/>
      <c r="T25" s="768"/>
      <c r="U25" s="119"/>
      <c r="V25" s="767"/>
      <c r="W25" s="767"/>
      <c r="X25" s="767"/>
      <c r="Y25" s="767"/>
      <c r="Z25" s="767"/>
      <c r="AA25" s="164"/>
      <c r="AB25" s="164"/>
      <c r="AC25" s="164"/>
      <c r="AD25" s="165"/>
      <c r="AE25" s="395"/>
      <c r="AF25" s="167"/>
      <c r="AG25" s="407"/>
      <c r="AH25" s="168"/>
      <c r="AI25" s="407"/>
      <c r="AJ25" s="168"/>
      <c r="AK25" s="108"/>
      <c r="AL25" s="108"/>
      <c r="AM25" s="255"/>
      <c r="AN25" s="137"/>
      <c r="AO25" s="137"/>
      <c r="AP25" s="137"/>
      <c r="AU25" s="772"/>
      <c r="AV25" s="772"/>
      <c r="AW25" s="772"/>
      <c r="AX25" s="772"/>
      <c r="AY25" s="772"/>
    </row>
    <row r="26" spans="1:51" s="37" customFormat="1" ht="16.149999999999999" customHeight="1" x14ac:dyDescent="0.2">
      <c r="B26" s="1055"/>
      <c r="C26" s="1055"/>
      <c r="D26" s="1216" t="str">
        <f>ListAVS!$B$79&amp;" [kg] "</f>
        <v xml:space="preserve">Obliczona waga frontu [kg] </v>
      </c>
      <c r="E26" s="1053"/>
      <c r="F26" s="1053"/>
      <c r="G26" s="1053"/>
      <c r="H26" s="1054"/>
      <c r="I26" s="259">
        <f>$U$84</f>
        <v>0</v>
      </c>
      <c r="J26" s="227" t="str">
        <f>IF(AND($I28&gt;0,$I26&gt;0,$I23=0,$M28&gt;0), $N$39," ")&amp;IF(AND(I28&gt;0, I23=0, AA72=3, $J$4=0), $N$37, " ")</f>
        <v xml:space="preserve">  </v>
      </c>
      <c r="K26" s="255"/>
      <c r="L26" s="255"/>
      <c r="T26" s="119"/>
      <c r="U26" s="598" t="str">
        <f>IF(U27=1,$V$51,IF(U27=2,$V$52,$V$53))</f>
        <v>Standard</v>
      </c>
      <c r="X26" s="767"/>
      <c r="Y26" s="767"/>
      <c r="Z26" s="767"/>
      <c r="AA26" s="164" t="str">
        <f>CenAVS!A121</f>
        <v xml:space="preserve">mocowanie frontu HK-XS alu ramka      </v>
      </c>
      <c r="AB26" s="164" t="str">
        <f>CenAVS!B121</f>
        <v>20K4101A</v>
      </c>
      <c r="AC26" s="164" t="str">
        <f>CenAVS!C121</f>
        <v>NI</v>
      </c>
      <c r="AD26" s="165">
        <f t="shared" si="0"/>
        <v>0</v>
      </c>
      <c r="AE26" s="395">
        <f>CenAVS!F121</f>
        <v>10.277819999999998</v>
      </c>
      <c r="AF26" s="167">
        <f t="shared" si="1"/>
        <v>0</v>
      </c>
      <c r="AG26" s="407"/>
      <c r="AH26" s="168">
        <f t="shared" si="2"/>
        <v>0</v>
      </c>
      <c r="AI26" s="407"/>
      <c r="AJ26" s="168">
        <f t="shared" si="3"/>
        <v>0</v>
      </c>
      <c r="AK26" s="108"/>
      <c r="AL26" s="108"/>
      <c r="AM26" s="255"/>
      <c r="AN26" s="137"/>
      <c r="AO26" s="137"/>
      <c r="AP26" s="137"/>
    </row>
    <row r="27" spans="1:51" s="37" customFormat="1" ht="16.149999999999999" customHeight="1" thickBot="1" x14ac:dyDescent="0.25">
      <c r="B27" s="1011" t="str">
        <f>ListAVS!$B$88&amp;" *      "</f>
        <v xml:space="preserve">Drugi podnośnik *      </v>
      </c>
      <c r="C27" s="1012"/>
      <c r="D27" s="1013"/>
      <c r="E27" s="1011" t="str">
        <f>ListAVS!$B$86&amp;" LF "</f>
        <v xml:space="preserve">Współczynnik mocy LF </v>
      </c>
      <c r="F27" s="1012"/>
      <c r="G27" s="1012"/>
      <c r="H27" s="1013"/>
      <c r="I27" s="400">
        <f>IF(I23&gt;0,I22*I23,I22*I26)</f>
        <v>0</v>
      </c>
      <c r="J27" s="273" t="str">
        <f>IF(U27=1,IF($I27&gt;3600,$N$42,IF($I27&gt;1800.5,IF(V21=FALSE,$N$43," ")," ")),IF($I27&gt;3200,$N$42,IF($I27&gt;1600.5,IF(V21=FALSE,$N$43," ")," ")))</f>
        <v xml:space="preserve"> </v>
      </c>
      <c r="K27" s="248"/>
      <c r="L27" s="255"/>
      <c r="M27" s="118"/>
      <c r="N27" s="119"/>
      <c r="O27" s="132"/>
      <c r="P27" s="132"/>
      <c r="Q27" s="119"/>
      <c r="R27" s="767"/>
      <c r="S27" s="767"/>
      <c r="T27" s="756"/>
      <c r="U27" s="207">
        <v>1</v>
      </c>
      <c r="V27" s="767"/>
      <c r="W27" s="767"/>
      <c r="X27" s="767"/>
      <c r="Y27" s="767"/>
      <c r="Z27" s="767"/>
      <c r="AA27" s="164"/>
      <c r="AB27" s="164"/>
      <c r="AC27" s="164"/>
      <c r="AD27" s="165"/>
      <c r="AE27" s="395"/>
      <c r="AF27" s="167"/>
      <c r="AG27" s="407"/>
      <c r="AH27" s="168"/>
      <c r="AI27" s="407"/>
      <c r="AJ27" s="168"/>
      <c r="AK27" s="108"/>
      <c r="AL27" s="108"/>
      <c r="AM27" s="255"/>
    </row>
    <row r="28" spans="1:51" ht="16.149999999999999" customHeight="1" thickBot="1" x14ac:dyDescent="0.25">
      <c r="B28" s="1011" t="str">
        <f>ListAVS!$B$71&amp;" "</f>
        <v xml:space="preserve">Ilość szafek </v>
      </c>
      <c r="C28" s="1012"/>
      <c r="D28" s="1012"/>
      <c r="E28" s="1012"/>
      <c r="F28" s="1012"/>
      <c r="G28" s="1012"/>
      <c r="H28" s="1012"/>
      <c r="I28" s="261"/>
      <c r="J28" s="273"/>
      <c r="K28" s="445"/>
      <c r="L28" s="265"/>
      <c r="M28" s="315">
        <f>IF(OR($I21*$I22*$T28=0,$I22&lt;236,$I22&gt;600, AND(I23=0, I24&lt;14), SUM(O22:P25)=0),0,IF($I27&gt;1800,IF($V21=FALSE,0,$I28),$I28))</f>
        <v>0</v>
      </c>
      <c r="N28" s="39"/>
      <c r="O28" s="39"/>
      <c r="P28" s="39"/>
      <c r="Q28" s="39"/>
      <c r="R28" s="137"/>
      <c r="S28" s="690" t="s">
        <v>51</v>
      </c>
      <c r="T28" s="691">
        <f>IF(I23&gt;0,I23,I26)</f>
        <v>0</v>
      </c>
      <c r="U28" s="37">
        <f>IF(SUM(I23,I26)=0,0,IF(I23&gt;0,1,2))</f>
        <v>0</v>
      </c>
      <c r="V28" s="571" t="s">
        <v>52</v>
      </c>
      <c r="Y28" s="767"/>
      <c r="Z28" s="153"/>
      <c r="AA28" s="164" t="str">
        <f>CenAVS!A148</f>
        <v xml:space="preserve">nakładany z tłumieniem wkręt 110°      </v>
      </c>
      <c r="AB28" s="164" t="str">
        <f>CenAVS!B148</f>
        <v> 71B3550</v>
      </c>
      <c r="AC28" s="164" t="str">
        <f>CenAVS!C148</f>
        <v>NI</v>
      </c>
      <c r="AD28" s="165">
        <f t="shared" si="0"/>
        <v>0</v>
      </c>
      <c r="AE28" s="395">
        <f>CenAVS!F148</f>
        <v>10.385860000000001</v>
      </c>
      <c r="AF28" s="167">
        <f t="shared" si="1"/>
        <v>0</v>
      </c>
      <c r="AG28" s="407">
        <f>IF(AND($U$16=1, $N$49=2), SUM($Y$11)*$M$17, 0)</f>
        <v>0</v>
      </c>
      <c r="AH28" s="168">
        <f t="shared" si="2"/>
        <v>0</v>
      </c>
      <c r="AI28" s="407">
        <f>IF(AND($U$27=1, $N$49=2), SUM($Y$22)*$M$28, 0)</f>
        <v>0</v>
      </c>
      <c r="AJ28" s="168">
        <f t="shared" si="3"/>
        <v>0</v>
      </c>
      <c r="AK28" s="108"/>
      <c r="AM28" s="137"/>
      <c r="AU28" s="227"/>
      <c r="AV28" s="227"/>
      <c r="AW28" s="227"/>
      <c r="AX28" s="227"/>
      <c r="AY28" s="227"/>
    </row>
    <row r="29" spans="1:51" ht="16.149999999999999" customHeight="1" x14ac:dyDescent="0.2">
      <c r="A29" s="137"/>
      <c r="B29" s="255" t="str">
        <f>IF(M28&gt;0,IF(U28=0," ",IF(U28=1,$N$54,$N$55))," ")&amp;IF(M28&gt;0,IF(U28=0," ",IF(U28=1,$N$56,$N$57))," ")</f>
        <v xml:space="preserve">  </v>
      </c>
      <c r="C29" s="255"/>
      <c r="D29" s="255"/>
      <c r="E29" s="255"/>
      <c r="F29" s="255"/>
      <c r="G29" s="255"/>
      <c r="H29" s="255"/>
      <c r="I29" s="273"/>
      <c r="J29" s="266"/>
      <c r="K29" s="266"/>
      <c r="L29" s="266"/>
      <c r="N29" s="137"/>
      <c r="O29" s="137"/>
      <c r="P29" s="137"/>
      <c r="Q29" s="137"/>
      <c r="R29" s="37"/>
      <c r="AA29" s="164" t="str">
        <f>CenAVS!A149</f>
        <v xml:space="preserve">nakładany z tłumieniem Expando 110°      </v>
      </c>
      <c r="AB29" s="164" t="str">
        <f>CenAVS!B149</f>
        <v> 71B358E</v>
      </c>
      <c r="AC29" s="164" t="str">
        <f>CenAVS!C149</f>
        <v>NI</v>
      </c>
      <c r="AD29" s="165">
        <f t="shared" si="0"/>
        <v>0</v>
      </c>
      <c r="AE29" s="395">
        <f>CenAVS!F149</f>
        <v>10.731</v>
      </c>
      <c r="AF29" s="167">
        <f t="shared" si="1"/>
        <v>0</v>
      </c>
      <c r="AG29" s="407">
        <f>IF(AND($U$16=1, $N$49=1), SUM($Y$11)*$M$17, 0)</f>
        <v>0</v>
      </c>
      <c r="AH29" s="168">
        <f t="shared" si="2"/>
        <v>0</v>
      </c>
      <c r="AI29" s="407">
        <f>IF(AND($U$27=1, $N$49=1), SUM($Y$22)*$M$28, 0)</f>
        <v>0</v>
      </c>
      <c r="AJ29" s="168">
        <f t="shared" si="3"/>
        <v>0</v>
      </c>
      <c r="AK29" s="108"/>
      <c r="AM29" s="137"/>
      <c r="AU29" s="227"/>
      <c r="AV29" s="227"/>
      <c r="AW29" s="227"/>
      <c r="AX29" s="227"/>
      <c r="AY29" s="227"/>
    </row>
    <row r="30" spans="1:51" ht="16.149999999999999" customHeight="1" x14ac:dyDescent="0.2">
      <c r="B30" s="445"/>
      <c r="C30" s="445"/>
      <c r="D30" s="248"/>
      <c r="E30" s="445"/>
      <c r="F30" s="445"/>
      <c r="G30" s="274"/>
      <c r="H30" s="274"/>
      <c r="I30" s="445"/>
      <c r="J30" s="264"/>
      <c r="K30" s="445"/>
      <c r="L30" s="265"/>
      <c r="N30" s="137"/>
      <c r="O30" s="137"/>
      <c r="P30" s="137"/>
      <c r="Q30" s="137"/>
      <c r="R30" s="37"/>
      <c r="AA30" s="164" t="str">
        <f>CenAVS!A150</f>
        <v xml:space="preserve">nakładany Tip-on wkręt 110°       </v>
      </c>
      <c r="AB30" s="164" t="str">
        <f>CenAVS!B150</f>
        <v> 70T3550.TL</v>
      </c>
      <c r="AC30" s="164" t="str">
        <f>CenAVS!C150</f>
        <v>NI</v>
      </c>
      <c r="AD30" s="165">
        <f t="shared" si="0"/>
        <v>0</v>
      </c>
      <c r="AE30" s="395">
        <f>CenAVS!F150</f>
        <v>5.6034400000000009</v>
      </c>
      <c r="AF30" s="167">
        <f t="shared" si="1"/>
        <v>0</v>
      </c>
      <c r="AG30" s="407">
        <f>IF(AND($U$16=2, $N$49=2), SUM($Y$11)*$M$17, 0)</f>
        <v>0</v>
      </c>
      <c r="AH30" s="168">
        <f t="shared" si="2"/>
        <v>0</v>
      </c>
      <c r="AI30" s="407">
        <f>IF(AND($U$27=2, $N$49=2), SUM($Y$22)*$M$28, 0)</f>
        <v>0</v>
      </c>
      <c r="AJ30" s="168">
        <f t="shared" si="3"/>
        <v>0</v>
      </c>
      <c r="AK30" s="108"/>
      <c r="AU30" s="404"/>
      <c r="AV30" s="227"/>
      <c r="AW30" s="227"/>
      <c r="AX30" s="227"/>
      <c r="AY30" s="227"/>
    </row>
    <row r="31" spans="1:51" ht="16.149999999999999" customHeight="1" x14ac:dyDescent="0.2">
      <c r="B31" s="255"/>
      <c r="C31" s="255"/>
      <c r="D31" s="255"/>
      <c r="E31" s="266"/>
      <c r="F31" s="266"/>
      <c r="G31" s="266"/>
      <c r="H31" s="266"/>
      <c r="I31" s="266"/>
      <c r="J31" s="266"/>
      <c r="K31" s="266"/>
      <c r="L31" s="446"/>
      <c r="O31" s="118"/>
      <c r="P31" s="37"/>
      <c r="Q31" s="118"/>
      <c r="R31" s="37"/>
      <c r="S31" s="138">
        <f>IF($T$31=FALSE,2,1)</f>
        <v>2</v>
      </c>
      <c r="T31" s="1063" t="b">
        <v>0</v>
      </c>
      <c r="U31" s="1064"/>
      <c r="V31" s="139" t="s">
        <v>56</v>
      </c>
      <c r="W31" s="140"/>
      <c r="X31" s="118"/>
      <c r="Y31" s="118"/>
      <c r="Z31" s="118"/>
      <c r="AA31" s="164" t="str">
        <f>CenAVS!A151</f>
        <v xml:space="preserve">nakładany Tip-on Expando 110°       </v>
      </c>
      <c r="AB31" s="164" t="str">
        <f>CenAVS!B151</f>
        <v> 70T358E.TL</v>
      </c>
      <c r="AC31" s="164" t="str">
        <f>CenAVS!C151</f>
        <v>NI</v>
      </c>
      <c r="AD31" s="165">
        <f t="shared" si="0"/>
        <v>0</v>
      </c>
      <c r="AE31" s="395">
        <f>CenAVS!F151</f>
        <v>5.5332499999999989</v>
      </c>
      <c r="AF31" s="167">
        <f t="shared" si="1"/>
        <v>0</v>
      </c>
      <c r="AG31" s="407">
        <f>IF(AND($U$16=2, $N$49=1), SUM($Y$11)*$M$17, 0)</f>
        <v>0</v>
      </c>
      <c r="AH31" s="168">
        <f t="shared" si="2"/>
        <v>0</v>
      </c>
      <c r="AI31" s="407">
        <f>IF(AND($U$27=2, $N$49=1), SUM($Y$22)*$M$28, 0)</f>
        <v>0</v>
      </c>
      <c r="AJ31" s="168">
        <f t="shared" si="3"/>
        <v>0</v>
      </c>
      <c r="AK31" s="108"/>
      <c r="AM31" s="773"/>
      <c r="AU31" s="673"/>
      <c r="AV31" s="404"/>
      <c r="AW31" s="404"/>
      <c r="AX31" s="404"/>
      <c r="AY31" s="404"/>
    </row>
    <row r="32" spans="1:51" ht="16.149999999999999" customHeight="1" x14ac:dyDescent="0.2">
      <c r="B32" s="272"/>
      <c r="C32" s="272"/>
      <c r="D32" s="273"/>
      <c r="E32" s="266"/>
      <c r="F32" s="266"/>
      <c r="G32" s="266"/>
      <c r="H32" s="266"/>
      <c r="I32" s="266"/>
      <c r="J32" s="266"/>
      <c r="K32" s="266"/>
      <c r="L32" s="446"/>
      <c r="O32" s="118"/>
      <c r="P32" s="37"/>
      <c r="Q32" s="118"/>
      <c r="R32" s="37"/>
      <c r="AA32" s="164" t="str">
        <f>CenAVS!A152</f>
        <v xml:space="preserve">Zawias do cieńkich materiałów z Blumotion, Expando T, 110°  </v>
      </c>
      <c r="AB32" s="164" t="str">
        <f>CenAVS!B152</f>
        <v xml:space="preserve"> 71B453T</v>
      </c>
      <c r="AC32" s="164" t="str">
        <f>CenAVS!C152</f>
        <v>NI</v>
      </c>
      <c r="AD32" s="165">
        <f t="shared" ref="AD32:AD37" si="4">SUM(AG32,AI32)</f>
        <v>0</v>
      </c>
      <c r="AE32" s="395">
        <f>CenAVS!F152</f>
        <v>41.185140000000004</v>
      </c>
      <c r="AF32" s="167">
        <f t="shared" ref="AF32:AF37" si="5">AD32*AE32</f>
        <v>0</v>
      </c>
      <c r="AG32" s="407"/>
      <c r="AH32" s="168">
        <f t="shared" si="2"/>
        <v>0</v>
      </c>
      <c r="AI32" s="407"/>
      <c r="AJ32" s="168">
        <f t="shared" si="3"/>
        <v>0</v>
      </c>
      <c r="AK32" s="108"/>
      <c r="AM32" s="773"/>
    </row>
    <row r="33" spans="2:39" ht="16.149999999999999" customHeight="1" x14ac:dyDescent="0.2">
      <c r="B33" s="272"/>
      <c r="C33" s="272"/>
      <c r="D33" s="255"/>
      <c r="E33" s="255"/>
      <c r="F33" s="255"/>
      <c r="G33" s="255"/>
      <c r="H33" s="255"/>
      <c r="I33" s="255"/>
      <c r="J33" s="255"/>
      <c r="K33" s="255"/>
      <c r="L33" s="255"/>
      <c r="O33" s="118"/>
      <c r="P33" s="37"/>
      <c r="Q33" s="118"/>
      <c r="R33" s="37"/>
      <c r="AA33" s="164" t="str">
        <f>CenAVS!A153</f>
        <v xml:space="preserve">Zawias do cieńkich materiałów, Expando T, 110°    </v>
      </c>
      <c r="AB33" s="164" t="str">
        <f>CenAVS!B153</f>
        <v xml:space="preserve"> 70T453T.TL</v>
      </c>
      <c r="AC33" s="164" t="str">
        <f>CenAVS!C153</f>
        <v>NI</v>
      </c>
      <c r="AD33" s="165">
        <f t="shared" si="4"/>
        <v>0</v>
      </c>
      <c r="AE33" s="395">
        <f>CenAVS!F153</f>
        <v>35.323819999999998</v>
      </c>
      <c r="AF33" s="167">
        <f t="shared" si="5"/>
        <v>0</v>
      </c>
      <c r="AG33" s="407"/>
      <c r="AH33" s="168">
        <f t="shared" si="2"/>
        <v>0</v>
      </c>
      <c r="AI33" s="407"/>
      <c r="AJ33" s="168">
        <f t="shared" si="3"/>
        <v>0</v>
      </c>
      <c r="AK33" s="108"/>
      <c r="AM33" s="773"/>
    </row>
    <row r="34" spans="2:39" ht="16.149999999999999" customHeight="1" x14ac:dyDescent="0.2">
      <c r="B34" s="274" t="s">
        <v>63</v>
      </c>
      <c r="C34" s="255" t="str">
        <f>ListAVS!$B$354</f>
        <v>W razie wykorzystania trzeciego siłownika współczynnik mocy oraz waga frontu mogą się zwiększyć o 50 %.</v>
      </c>
      <c r="D34" s="276"/>
      <c r="E34" s="276"/>
      <c r="F34" s="276"/>
      <c r="G34" s="276"/>
      <c r="H34" s="276"/>
      <c r="I34" s="276"/>
      <c r="J34" s="276"/>
      <c r="K34" s="276"/>
      <c r="L34" s="255"/>
      <c r="O34" s="118"/>
      <c r="P34" s="37"/>
      <c r="Q34" s="118"/>
      <c r="R34" s="37"/>
      <c r="AA34" s="164" t="str">
        <f>CenAVS!A154</f>
        <v xml:space="preserve">alu nakładany z tłumieniem 95°      </v>
      </c>
      <c r="AB34" s="164" t="str">
        <f>CenAVS!B154</f>
        <v> 71B950A</v>
      </c>
      <c r="AC34" s="164" t="str">
        <f>CenAVS!C154</f>
        <v>NI</v>
      </c>
      <c r="AD34" s="165">
        <f t="shared" si="4"/>
        <v>0</v>
      </c>
      <c r="AE34" s="395">
        <f>CenAVS!F154</f>
        <v>19.826509999999999</v>
      </c>
      <c r="AF34" s="167">
        <f t="shared" si="5"/>
        <v>0</v>
      </c>
      <c r="AG34" s="407"/>
      <c r="AH34" s="168">
        <f>$AE34*AG34</f>
        <v>0</v>
      </c>
      <c r="AI34" s="407"/>
      <c r="AJ34" s="168">
        <f>$AE34*AI34</f>
        <v>0</v>
      </c>
      <c r="AK34" s="108"/>
    </row>
    <row r="35" spans="2:39" ht="16.149999999999999" customHeight="1" x14ac:dyDescent="0.2">
      <c r="B35" s="255"/>
      <c r="C35" s="255"/>
      <c r="D35" s="276"/>
      <c r="E35" s="276"/>
      <c r="F35" s="276"/>
      <c r="G35" s="276"/>
      <c r="H35" s="276"/>
      <c r="I35" s="276"/>
      <c r="J35" s="276"/>
      <c r="K35" s="276"/>
      <c r="L35" s="255"/>
      <c r="O35" s="118"/>
      <c r="P35" s="37"/>
      <c r="Q35" s="118"/>
      <c r="R35" s="37"/>
      <c r="AA35" s="456" t="str">
        <f>CenAVS!A22</f>
        <v xml:space="preserve">alu nakładany Tip-on 120° Aventos HF     </v>
      </c>
      <c r="AB35" s="456" t="str">
        <f>CenAVS!B22</f>
        <v>72T550A.TL</v>
      </c>
      <c r="AC35" s="456" t="str">
        <f>CenAVS!C22</f>
        <v>NI</v>
      </c>
      <c r="AD35" s="408">
        <f t="shared" si="4"/>
        <v>0</v>
      </c>
      <c r="AE35" s="457">
        <f>CenAVS!F22</f>
        <v>8.4674200000000006</v>
      </c>
      <c r="AF35" s="167">
        <f t="shared" si="5"/>
        <v>0</v>
      </c>
      <c r="AG35" s="407"/>
      <c r="AH35" s="168">
        <f>$AE35*AG35</f>
        <v>0</v>
      </c>
      <c r="AI35" s="407"/>
      <c r="AJ35" s="168">
        <f>$AE35*AI35</f>
        <v>0</v>
      </c>
      <c r="AK35" s="108"/>
      <c r="AM35" s="774"/>
    </row>
    <row r="36" spans="2:39" ht="16.149999999999999" customHeight="1" x14ac:dyDescent="0.2">
      <c r="B36" s="274" t="s">
        <v>83</v>
      </c>
      <c r="C36" s="255" t="str">
        <f>ListAVS!$B$187</f>
        <v>Jeżeli znasz wagę i nie chcesz skorzystać z "obliczenie wagi"</v>
      </c>
      <c r="D36" s="276"/>
      <c r="E36" s="276"/>
      <c r="F36" s="276"/>
      <c r="G36" s="276"/>
      <c r="H36" s="276"/>
      <c r="I36" s="276"/>
      <c r="J36" s="276"/>
      <c r="K36" s="276"/>
      <c r="L36" s="255"/>
      <c r="O36" s="118"/>
      <c r="P36" s="37"/>
      <c r="Q36" s="118"/>
      <c r="R36" s="37"/>
      <c r="AA36" s="164" t="str">
        <f>CenAVS!A123</f>
        <v xml:space="preserve">specjalne wkręty 3.53x9.5mm do szerokich ramek     </v>
      </c>
      <c r="AB36" s="164" t="str">
        <f>CenAVS!B123</f>
        <v>660.0950</v>
      </c>
      <c r="AC36" s="164" t="str">
        <f>CenAVS!C123</f>
        <v>NI</v>
      </c>
      <c r="AD36" s="165">
        <f t="shared" si="4"/>
        <v>0</v>
      </c>
      <c r="AE36" s="395">
        <f>CenAVS!F123</f>
        <v>0.18570999999999999</v>
      </c>
      <c r="AF36" s="167">
        <f t="shared" si="5"/>
        <v>0</v>
      </c>
      <c r="AG36" s="407"/>
      <c r="AH36" s="168">
        <f>$AE36*AG36</f>
        <v>0</v>
      </c>
      <c r="AI36" s="407"/>
      <c r="AJ36" s="168">
        <f>$AE36*AI36</f>
        <v>0</v>
      </c>
      <c r="AK36" s="108"/>
    </row>
    <row r="37" spans="2:39" ht="16.149999999999999" customHeight="1" x14ac:dyDescent="0.2">
      <c r="B37" s="255"/>
      <c r="C37" s="255"/>
      <c r="D37" s="276"/>
      <c r="E37" s="276"/>
      <c r="F37" s="276"/>
      <c r="G37" s="276"/>
      <c r="H37" s="276"/>
      <c r="I37" s="276"/>
      <c r="J37" s="276"/>
      <c r="K37" s="276"/>
      <c r="L37" s="255"/>
      <c r="N37" s="37" t="str">
        <f>" "&amp;ListAVS!$B$118</f>
        <v xml:space="preserve"> Wprowadź na górze masę objętościową </v>
      </c>
      <c r="O37" s="118"/>
      <c r="P37" s="37"/>
      <c r="Q37" s="118"/>
      <c r="R37" s="37"/>
      <c r="AA37" s="164" t="str">
        <f>CenAVS!A158</f>
        <v xml:space="preserve">kołek Expando T        </v>
      </c>
      <c r="AB37" s="164" t="str">
        <f>CenAVS!B158</f>
        <v>70T4532T</v>
      </c>
      <c r="AC37" s="164" t="str">
        <f>CenAVS!C158</f>
        <v>DGR</v>
      </c>
      <c r="AD37" s="165">
        <f t="shared" si="4"/>
        <v>0</v>
      </c>
      <c r="AE37" s="395">
        <f>CenAVS!F158</f>
        <v>6.9475599999999993</v>
      </c>
      <c r="AF37" s="167">
        <f t="shared" si="5"/>
        <v>0</v>
      </c>
      <c r="AG37" s="407"/>
      <c r="AH37" s="168">
        <f>$AE37*AG37</f>
        <v>0</v>
      </c>
      <c r="AI37" s="407"/>
      <c r="AJ37" s="168">
        <f>$AE37*AI37</f>
        <v>0</v>
      </c>
      <c r="AK37" s="108"/>
    </row>
    <row r="38" spans="2:39" ht="16.149999999999999" customHeight="1" x14ac:dyDescent="0.2">
      <c r="B38" s="255"/>
      <c r="C38" s="255"/>
      <c r="D38" s="255"/>
      <c r="E38" s="255"/>
      <c r="F38" s="255"/>
      <c r="G38" s="255"/>
      <c r="H38" s="255"/>
      <c r="I38" s="255"/>
      <c r="J38" s="255"/>
      <c r="K38" s="255"/>
      <c r="L38" s="255"/>
      <c r="N38" s="37" t="str">
        <f>" "&amp;ListAVS!$B$116</f>
        <v xml:space="preserve"> Wprowadź wagę lub wypełnij wszystkie komórki</v>
      </c>
      <c r="O38" s="118"/>
      <c r="P38" s="37"/>
      <c r="Q38" s="118"/>
      <c r="R38" s="37"/>
      <c r="AA38" s="164"/>
      <c r="AB38" s="164"/>
      <c r="AC38" s="164"/>
      <c r="AD38" s="165"/>
      <c r="AE38" s="395"/>
      <c r="AF38" s="167"/>
      <c r="AG38" s="407"/>
      <c r="AH38" s="168"/>
      <c r="AI38" s="407"/>
      <c r="AJ38" s="168"/>
      <c r="AK38" s="108"/>
    </row>
    <row r="39" spans="2:39" ht="16.149999999999999" customHeight="1" x14ac:dyDescent="0.2">
      <c r="B39" s="255"/>
      <c r="C39" s="255"/>
      <c r="D39" s="255"/>
      <c r="E39" s="255"/>
      <c r="F39" s="255"/>
      <c r="G39" s="255"/>
      <c r="H39" s="255"/>
      <c r="I39" s="255"/>
      <c r="J39" s="255"/>
      <c r="K39" s="255"/>
      <c r="L39" s="255"/>
      <c r="N39" s="37" t="str">
        <f>"◄ "&amp;ListAVS!$B$112</f>
        <v>◄ wartość będzie wykorzystana do obliczenia LF</v>
      </c>
      <c r="O39" s="118"/>
      <c r="P39" s="37"/>
      <c r="Q39" s="118"/>
      <c r="R39" s="37"/>
      <c r="AA39" s="164" t="str">
        <f>CenAVS!A166</f>
        <v xml:space="preserve">prowadnik prosty wkręt 8 5mm stal     </v>
      </c>
      <c r="AB39" s="164" t="str">
        <f>CenAVS!B166</f>
        <v>175H3100</v>
      </c>
      <c r="AC39" s="164" t="str">
        <f>CenAVS!C166</f>
        <v>NI</v>
      </c>
      <c r="AD39" s="165">
        <f>SUM(AG39,AI39)</f>
        <v>0</v>
      </c>
      <c r="AE39" s="395">
        <f>CenAVS!F166</f>
        <v>1.65564</v>
      </c>
      <c r="AF39" s="167">
        <f>AD39*AE39</f>
        <v>0</v>
      </c>
      <c r="AG39" s="407">
        <f>IF($O$49=2, $Y$11*$M$17, 0)</f>
        <v>0</v>
      </c>
      <c r="AH39" s="168">
        <f>$AE39*AG39</f>
        <v>0</v>
      </c>
      <c r="AI39" s="407">
        <f>IF($O$49=2, $Y$22*$M$28, 0)</f>
        <v>0</v>
      </c>
      <c r="AJ39" s="168">
        <f>$AE39*AI39</f>
        <v>0</v>
      </c>
      <c r="AK39" s="108"/>
    </row>
    <row r="40" spans="2:39" ht="16.149999999999999" customHeight="1" x14ac:dyDescent="0.2">
      <c r="B40" s="255"/>
      <c r="C40" s="255"/>
      <c r="D40" s="255"/>
      <c r="E40" s="255"/>
      <c r="F40" s="255"/>
      <c r="G40" s="255"/>
      <c r="H40" s="255"/>
      <c r="I40" s="255"/>
      <c r="J40" s="255"/>
      <c r="K40" s="255"/>
      <c r="L40" s="255"/>
      <c r="N40" s="37" t="str">
        <f>" * "&amp;ListAVS!$B$128</f>
        <v xml:space="preserve"> * Wypełnij wartości</v>
      </c>
      <c r="O40" s="118"/>
      <c r="P40" s="37"/>
      <c r="Q40" s="118"/>
      <c r="R40" s="37"/>
      <c r="AA40" s="164" t="str">
        <f>CenAVS!A167</f>
        <v xml:space="preserve">prowadnik prosty Expando 8 5mm stal     </v>
      </c>
      <c r="AB40" s="164" t="str">
        <f>CenAVS!B167</f>
        <v>177H3100E </v>
      </c>
      <c r="AC40" s="164" t="str">
        <f>CenAVS!C167</f>
        <v>NI</v>
      </c>
      <c r="AD40" s="165">
        <f>SUM(AG40,AI40)</f>
        <v>0</v>
      </c>
      <c r="AE40" s="395">
        <f>CenAVS!F167</f>
        <v>1.8724499999999999</v>
      </c>
      <c r="AF40" s="167">
        <f>AD40*AE40</f>
        <v>0</v>
      </c>
      <c r="AG40" s="407">
        <f>IF($O$49=1, $Y$11*$M$17, 0)</f>
        <v>0</v>
      </c>
      <c r="AH40" s="168">
        <f>$AE40*AG40</f>
        <v>0</v>
      </c>
      <c r="AI40" s="407">
        <f>IF($O$49=1, $Y$22*$M$28, 0)</f>
        <v>0</v>
      </c>
      <c r="AJ40" s="168">
        <f>$AE40*AI40</f>
        <v>0</v>
      </c>
      <c r="AK40" s="108"/>
    </row>
    <row r="41" spans="2:39" ht="16.149999999999999" customHeight="1" x14ac:dyDescent="0.2">
      <c r="B41" s="255"/>
      <c r="C41" s="255"/>
      <c r="D41" s="255"/>
      <c r="E41" s="255"/>
      <c r="F41" s="255"/>
      <c r="G41" s="255"/>
      <c r="H41" s="255"/>
      <c r="I41" s="255"/>
      <c r="J41" s="255"/>
      <c r="K41" s="255"/>
      <c r="L41" s="255"/>
      <c r="O41" s="118"/>
      <c r="P41" s="37"/>
      <c r="Q41" s="118"/>
      <c r="R41" s="37"/>
      <c r="AA41" s="164"/>
      <c r="AB41" s="164"/>
      <c r="AC41" s="164"/>
      <c r="AD41" s="165"/>
      <c r="AE41" s="395"/>
      <c r="AF41" s="167"/>
      <c r="AG41" s="407"/>
      <c r="AH41" s="168"/>
      <c r="AI41" s="407"/>
      <c r="AJ41" s="168"/>
      <c r="AK41" s="108"/>
    </row>
    <row r="42" spans="2:39" s="37" customFormat="1" ht="16.149999999999999" customHeight="1" x14ac:dyDescent="0.2">
      <c r="B42" s="255"/>
      <c r="C42" s="255"/>
      <c r="D42" s="255"/>
      <c r="E42" s="255"/>
      <c r="F42" s="255"/>
      <c r="G42" s="255"/>
      <c r="H42" s="255"/>
      <c r="I42" s="255"/>
      <c r="J42" s="255"/>
      <c r="K42" s="255"/>
      <c r="L42" s="255"/>
      <c r="M42" s="1217" t="s">
        <v>135</v>
      </c>
      <c r="N42" s="37" t="str">
        <f>IF($U$16=1," max. 3.600! "&amp;ListAVS!$B$122," max. 3.200! "&amp;ListAVS!$B$122)</f>
        <v xml:space="preserve"> max. 3.600! Popraw wagę albo wysokość</v>
      </c>
      <c r="AA42" s="164" t="str">
        <f>CenAVS!A185</f>
        <v xml:space="preserve">Tip-on do zawiasu 50mm PG, szary     </v>
      </c>
      <c r="AB42" s="164" t="str">
        <f>CenAVS!B185</f>
        <v>956.1004</v>
      </c>
      <c r="AC42" s="164" t="str">
        <f>CenAVS!C185</f>
        <v>R7036</v>
      </c>
      <c r="AD42" s="165">
        <f>SUM(AG42,AI42)</f>
        <v>0</v>
      </c>
      <c r="AE42" s="395">
        <f>CenAVS!F185</f>
        <v>12.830769999999999</v>
      </c>
      <c r="AF42" s="167">
        <f>AD42*AE42</f>
        <v>0</v>
      </c>
      <c r="AG42" s="407">
        <f>IF(AND($T$49&lt;3, $U$16=2), $M$17, 0)</f>
        <v>0</v>
      </c>
      <c r="AH42" s="168">
        <f>$AE42*AG42</f>
        <v>0</v>
      </c>
      <c r="AI42" s="407">
        <f>IF(AND($T$49&lt;3, $U$27=2), $M$28, 0)</f>
        <v>0</v>
      </c>
      <c r="AJ42" s="168">
        <f>$AE42*AI42</f>
        <v>0</v>
      </c>
      <c r="AK42" s="108"/>
      <c r="AL42" s="108"/>
      <c r="AM42" s="108"/>
    </row>
    <row r="43" spans="2:39" s="37" customFormat="1" ht="16.149999999999999" customHeight="1" x14ac:dyDescent="0.2">
      <c r="B43" s="440" t="str">
        <f>IF($I$11&gt;600,"***",IF($I$22&gt;600,"***"," "))</f>
        <v xml:space="preserve"> </v>
      </c>
      <c r="C43" s="440"/>
      <c r="D43" s="255"/>
      <c r="E43" s="255"/>
      <c r="F43" s="255"/>
      <c r="G43" s="255"/>
      <c r="H43" s="255"/>
      <c r="I43" s="255"/>
      <c r="J43" s="255"/>
      <c r="K43" s="255"/>
      <c r="L43" s="255"/>
      <c r="M43" s="1217"/>
      <c r="N43" s="37" t="str">
        <f>IF($U$16=1," max. 1.800! "&amp;ListAVS!$B$132," max. 1.600! "&amp;ListAVS!$B$132)</f>
        <v xml:space="preserve"> max. 1.800! Dodaj drugi podnośnik</v>
      </c>
      <c r="O43" s="118"/>
      <c r="Q43" s="118"/>
      <c r="AA43" s="164" t="str">
        <f>CenAVS!A186</f>
        <v xml:space="preserve">Tip-on do zawiasu 50mm SW, biały     </v>
      </c>
      <c r="AB43" s="164" t="str">
        <f>CenAVS!B186</f>
        <v>956.1004</v>
      </c>
      <c r="AC43" s="164" t="str">
        <f>CenAVS!C186</f>
        <v>SW</v>
      </c>
      <c r="AD43" s="165">
        <f>SUM(AG43,AI43)</f>
        <v>0</v>
      </c>
      <c r="AE43" s="395">
        <f>CenAVS!F186</f>
        <v>12.830769999999999</v>
      </c>
      <c r="AF43" s="167">
        <f>AD43*AE43</f>
        <v>0</v>
      </c>
      <c r="AG43" s="407">
        <f>IF(AND($T$49=3, $U$16=2), $M$17, 0)</f>
        <v>0</v>
      </c>
      <c r="AH43" s="168">
        <f>$AE43*AG43</f>
        <v>0</v>
      </c>
      <c r="AI43" s="407">
        <f>IF(AND($T$49=3, $U$27=2), $M$28, 0)</f>
        <v>0</v>
      </c>
      <c r="AJ43" s="168">
        <f>$AE43*AI43</f>
        <v>0</v>
      </c>
      <c r="AK43" s="108"/>
      <c r="AL43" s="108"/>
      <c r="AM43" s="108"/>
    </row>
    <row r="44" spans="2:39" s="37" customFormat="1" ht="16.149999999999999" customHeight="1" x14ac:dyDescent="0.2">
      <c r="B44" s="273"/>
      <c r="C44" s="273"/>
      <c r="D44" s="255"/>
      <c r="E44" s="255"/>
      <c r="F44" s="255"/>
      <c r="G44" s="255"/>
      <c r="H44" s="255"/>
      <c r="I44" s="255"/>
      <c r="J44" s="255"/>
      <c r="K44" s="255"/>
      <c r="L44" s="255"/>
      <c r="N44" s="149"/>
      <c r="O44" s="118"/>
      <c r="Q44" s="118"/>
      <c r="AA44" s="164" t="str">
        <f>CenAVS!A187</f>
        <v xml:space="preserve">Tip-on do zawiasu krótki 50mm z magnesem,komplet, karbon czarny CS </v>
      </c>
      <c r="AB44" s="164" t="str">
        <f>CenAVS!B187</f>
        <v>956.1004</v>
      </c>
      <c r="AC44" s="164" t="str">
        <f>CenAVS!C187</f>
        <v>CS</v>
      </c>
      <c r="AD44" s="165">
        <f>SUM(AG44,AI44)</f>
        <v>0</v>
      </c>
      <c r="AE44" s="395">
        <f>CenAVS!F187</f>
        <v>12.830769999999999</v>
      </c>
      <c r="AF44" s="167">
        <f>AD44*AE44</f>
        <v>0</v>
      </c>
      <c r="AG44" s="407"/>
      <c r="AH44" s="168">
        <f>$AE44*AG44</f>
        <v>0</v>
      </c>
      <c r="AI44" s="407"/>
      <c r="AJ44" s="168">
        <f>$AE44*AI44</f>
        <v>0</v>
      </c>
      <c r="AK44" s="108"/>
      <c r="AL44" s="108"/>
      <c r="AM44" s="108"/>
    </row>
    <row r="45" spans="2:39" s="37" customFormat="1" ht="16.149999999999999" customHeight="1" x14ac:dyDescent="0.2">
      <c r="B45" s="273"/>
      <c r="C45" s="273"/>
      <c r="D45" s="255"/>
      <c r="E45" s="255"/>
      <c r="F45" s="255"/>
      <c r="G45" s="255"/>
      <c r="H45" s="255"/>
      <c r="I45" s="255"/>
      <c r="J45" s="255"/>
      <c r="K45" s="255"/>
      <c r="L45" s="255"/>
      <c r="M45" s="1217" t="s">
        <v>136</v>
      </c>
      <c r="N45" s="37" t="str">
        <f>IF($U$27=1," max. 3.600! "&amp;ListAVS!$B$122," max. 3.200! "&amp;ListAVS!$B$122)</f>
        <v xml:space="preserve"> max. 3.600! Popraw wagę albo wysokość</v>
      </c>
      <c r="O45" s="118"/>
      <c r="Q45" s="118"/>
      <c r="AA45" s="164"/>
      <c r="AB45" s="164"/>
      <c r="AC45" s="164"/>
      <c r="AD45" s="165"/>
      <c r="AE45" s="395"/>
      <c r="AF45" s="167"/>
      <c r="AG45" s="407"/>
      <c r="AH45" s="168"/>
      <c r="AI45" s="407"/>
      <c r="AJ45" s="168"/>
      <c r="AK45" s="108"/>
      <c r="AL45" s="108"/>
      <c r="AM45" s="108"/>
    </row>
    <row r="46" spans="2:39" s="37" customFormat="1" ht="16.149999999999999" customHeight="1" x14ac:dyDescent="0.2">
      <c r="B46" s="273"/>
      <c r="C46" s="273"/>
      <c r="D46" s="255"/>
      <c r="E46" s="255"/>
      <c r="F46" s="255"/>
      <c r="G46" s="255"/>
      <c r="H46" s="255"/>
      <c r="I46" s="255"/>
      <c r="J46" s="255"/>
      <c r="K46" s="255"/>
      <c r="L46" s="255"/>
      <c r="M46" s="1217"/>
      <c r="N46" s="37" t="str">
        <f>IF($U$27=1," max. 1.800! "&amp;ListAVS!$B$132," max. 1.600! "&amp;ListAVS!$B$132)</f>
        <v xml:space="preserve"> max. 1.800! Dodaj drugi podnośnik</v>
      </c>
      <c r="O46" s="118"/>
      <c r="Q46" s="118"/>
      <c r="AA46" s="164"/>
      <c r="AB46" s="164"/>
      <c r="AC46" s="164"/>
      <c r="AD46" s="165"/>
      <c r="AE46" s="395"/>
      <c r="AF46" s="167"/>
      <c r="AG46" s="407"/>
      <c r="AH46" s="168"/>
      <c r="AI46" s="407"/>
      <c r="AJ46" s="168"/>
      <c r="AK46" s="108"/>
      <c r="AL46" s="108"/>
      <c r="AM46" s="108"/>
    </row>
    <row r="47" spans="2:39" s="37" customFormat="1" ht="16.149999999999999" customHeight="1" x14ac:dyDescent="0.2">
      <c r="B47" s="273"/>
      <c r="C47" s="273"/>
      <c r="D47" s="255"/>
      <c r="E47" s="255"/>
      <c r="F47" s="255"/>
      <c r="G47" s="255"/>
      <c r="H47" s="255"/>
      <c r="I47" s="255"/>
      <c r="J47" s="255"/>
      <c r="K47" s="255"/>
      <c r="L47" s="255"/>
      <c r="N47" s="149"/>
      <c r="O47" s="118"/>
      <c r="Q47" s="118"/>
      <c r="AA47" s="164"/>
      <c r="AB47" s="164"/>
      <c r="AC47" s="301"/>
      <c r="AD47" s="165"/>
      <c r="AE47" s="395"/>
      <c r="AF47" s="167"/>
      <c r="AG47" s="407"/>
      <c r="AH47" s="168"/>
      <c r="AI47" s="407"/>
      <c r="AJ47" s="168"/>
      <c r="AK47" s="108"/>
      <c r="AL47" s="108"/>
      <c r="AM47" s="108"/>
    </row>
    <row r="48" spans="2:39" ht="16.149999999999999" customHeight="1" x14ac:dyDescent="0.2">
      <c r="B48" s="216"/>
      <c r="C48" s="216"/>
      <c r="E48" s="148"/>
      <c r="F48" s="148"/>
      <c r="G48" s="148"/>
      <c r="H48" s="148"/>
      <c r="I48" s="148"/>
      <c r="J48" s="148"/>
      <c r="K48" s="148"/>
      <c r="O48" s="118"/>
      <c r="P48" s="37"/>
      <c r="Q48" s="118"/>
      <c r="R48" s="37"/>
      <c r="AA48" s="164"/>
      <c r="AB48" s="164"/>
      <c r="AC48" s="301"/>
      <c r="AD48" s="165"/>
      <c r="AE48" s="395"/>
      <c r="AF48" s="167"/>
      <c r="AG48" s="407"/>
      <c r="AH48" s="168"/>
      <c r="AI48" s="407"/>
      <c r="AJ48" s="168"/>
      <c r="AK48" s="108"/>
    </row>
    <row r="49" spans="1:37" ht="16.149999999999999" customHeight="1" x14ac:dyDescent="0.2">
      <c r="B49" s="217"/>
      <c r="C49" s="217"/>
      <c r="D49" s="148"/>
      <c r="E49" s="148"/>
      <c r="F49" s="148"/>
      <c r="G49" s="148"/>
      <c r="H49" s="148"/>
      <c r="I49" s="148"/>
      <c r="J49" s="148"/>
      <c r="K49" s="148"/>
      <c r="N49" s="117">
        <f>HKXS!$P$26</f>
        <v>1</v>
      </c>
      <c r="O49" s="117">
        <f>HKXS!Q26</f>
        <v>1</v>
      </c>
      <c r="P49" s="117">
        <f>HKXS!$O$26</f>
        <v>1</v>
      </c>
      <c r="Q49" s="117">
        <f>HKXS!$N$26</f>
        <v>1</v>
      </c>
      <c r="T49" s="117">
        <f>MenuAVS!$P$28</f>
        <v>1</v>
      </c>
      <c r="AI49" s="118"/>
      <c r="AK49" s="108"/>
    </row>
    <row r="50" spans="1:37" ht="16.149999999999999" customHeight="1" x14ac:dyDescent="0.2">
      <c r="B50" s="218"/>
      <c r="C50" s="218"/>
      <c r="D50" s="219"/>
      <c r="E50" s="219"/>
      <c r="F50" s="219"/>
      <c r="G50" s="219"/>
      <c r="H50" s="219"/>
      <c r="J50" s="219"/>
      <c r="N50" s="220" t="s">
        <v>7</v>
      </c>
      <c r="O50" s="220" t="s">
        <v>137</v>
      </c>
      <c r="P50" s="220" t="s">
        <v>138</v>
      </c>
      <c r="Q50" s="220" t="s">
        <v>84</v>
      </c>
      <c r="S50" s="118"/>
      <c r="T50" s="220" t="s">
        <v>139</v>
      </c>
      <c r="V50" s="208" t="s">
        <v>18</v>
      </c>
      <c r="AE50" s="144" t="str">
        <f>ListAVS!$B$61&amp;" "</f>
        <v xml:space="preserve">Cena całkowita bez VAT </v>
      </c>
      <c r="AF50" s="171">
        <f>SUM(AF9:AF47)</f>
        <v>0</v>
      </c>
      <c r="AH50" s="201">
        <f>SUM(AH9:AH49)</f>
        <v>0</v>
      </c>
      <c r="AJ50" s="201">
        <f>SUM(AJ9:AJ49)</f>
        <v>0</v>
      </c>
      <c r="AK50" s="108"/>
    </row>
    <row r="51" spans="1:37" ht="16.149999999999999" customHeight="1" x14ac:dyDescent="0.2">
      <c r="B51" s="219"/>
      <c r="C51" s="219"/>
      <c r="D51" s="219"/>
      <c r="E51" s="219"/>
      <c r="F51" s="219"/>
      <c r="G51" s="219"/>
      <c r="H51" s="219"/>
      <c r="J51" s="219"/>
      <c r="O51" s="118" t="s">
        <v>140</v>
      </c>
      <c r="P51" s="118" t="str">
        <f>ListAVS!$B$143</f>
        <v>Expando</v>
      </c>
      <c r="Q51" s="118"/>
      <c r="T51" s="37" t="str">
        <f>ListAVS!$B$146</f>
        <v>Jasnoszary (HGR)</v>
      </c>
      <c r="V51" s="209" t="s">
        <v>58</v>
      </c>
      <c r="AK51" s="108"/>
    </row>
    <row r="52" spans="1:37" ht="16.149999999999999" customHeight="1" x14ac:dyDescent="0.2">
      <c r="B52" s="218"/>
      <c r="C52" s="218"/>
      <c r="D52" s="219"/>
      <c r="E52" s="219"/>
      <c r="F52" s="219"/>
      <c r="G52" s="219"/>
      <c r="H52" s="219"/>
      <c r="J52" s="219"/>
      <c r="O52" s="118" t="s">
        <v>141</v>
      </c>
      <c r="P52" s="118" t="str">
        <f>ListAVS!$B$144</f>
        <v>na wkręty</v>
      </c>
      <c r="Q52" s="118"/>
      <c r="T52" s="37" t="str">
        <f>ListAVS!$B$148</f>
        <v>Jedwabiście biały (SW)</v>
      </c>
      <c r="V52" s="209" t="s">
        <v>107</v>
      </c>
      <c r="AK52" s="108"/>
    </row>
    <row r="53" spans="1:37" ht="16.149999999999999" customHeight="1" x14ac:dyDescent="0.2">
      <c r="B53" s="144"/>
      <c r="C53" s="144"/>
      <c r="D53" s="219"/>
      <c r="O53" s="118"/>
      <c r="P53" s="37"/>
      <c r="Q53" s="118"/>
      <c r="R53" s="37"/>
      <c r="AK53" s="108"/>
    </row>
    <row r="54" spans="1:37" ht="16.149999999999999" customHeight="1" x14ac:dyDescent="0.2">
      <c r="B54" s="144"/>
      <c r="C54" s="144"/>
      <c r="N54" s="37" t="str">
        <f>ListAVS!B188&amp;". "</f>
        <v xml:space="preserve">W celu określenia rodzaju siłownika będzie wykorzystana podana waga. </v>
      </c>
      <c r="O54" s="118"/>
      <c r="P54" s="37"/>
      <c r="Q54" s="118"/>
      <c r="R54" s="37"/>
      <c r="AK54" s="108"/>
    </row>
    <row r="55" spans="1:37" ht="16.149999999999999" customHeight="1" x14ac:dyDescent="0.2">
      <c r="B55" s="155"/>
      <c r="C55" s="155"/>
      <c r="E55" s="155"/>
      <c r="F55" s="155"/>
      <c r="G55" s="155"/>
      <c r="H55" s="155"/>
      <c r="J55" s="155"/>
      <c r="N55" s="37" t="str">
        <f>ListAVS!B189&amp;". "</f>
        <v xml:space="preserve">W celu określenia rodzaju siłownika będzie wykorzystana obliczona waga. </v>
      </c>
      <c r="O55" s="118"/>
      <c r="P55" s="37"/>
      <c r="Q55" s="118"/>
      <c r="R55" s="37"/>
      <c r="AK55" s="108"/>
    </row>
    <row r="56" spans="1:37" ht="16.149999999999999" customHeight="1" x14ac:dyDescent="0.2">
      <c r="N56" s="37" t="str">
        <f>ListAVS!B190</f>
        <v>Jeżeli chcesz wykorzystać obliczoną wagę, zmaż podaną wartość</v>
      </c>
      <c r="O56" s="118"/>
      <c r="P56" s="37"/>
      <c r="Q56" s="118"/>
      <c r="R56" s="37"/>
      <c r="AK56" s="108"/>
    </row>
    <row r="57" spans="1:37" ht="16.149999999999999" customHeight="1" x14ac:dyDescent="0.2">
      <c r="N57" s="37" t="str">
        <f>ListAVS!B191</f>
        <v>Jeżeli chcesz wykorzystać podaną wagą, wpisz ją w pole</v>
      </c>
      <c r="O57" s="118"/>
      <c r="P57" s="37"/>
      <c r="Q57" s="118"/>
      <c r="R57" s="37"/>
      <c r="AK57" s="108"/>
    </row>
    <row r="58" spans="1:37" ht="16.149999999999999" customHeight="1" x14ac:dyDescent="0.2"/>
    <row r="59" spans="1:37" ht="16.149999999999999" customHeight="1" x14ac:dyDescent="0.2"/>
    <row r="60" spans="1:37" x14ac:dyDescent="0.2">
      <c r="O60" s="118"/>
      <c r="P60" s="37"/>
      <c r="Q60" s="118"/>
      <c r="R60" s="37"/>
      <c r="AK60" s="108"/>
    </row>
    <row r="61" spans="1:37" x14ac:dyDescent="0.2">
      <c r="O61" s="118"/>
      <c r="P61" s="37"/>
      <c r="Q61" s="118"/>
      <c r="R61" s="37"/>
      <c r="AK61" s="108"/>
    </row>
    <row r="63" spans="1:37" ht="12.75" x14ac:dyDescent="0.2">
      <c r="A63" s="255"/>
      <c r="B63" s="255"/>
      <c r="C63" s="255"/>
      <c r="D63" s="255"/>
      <c r="E63" s="255"/>
      <c r="F63" s="255"/>
      <c r="G63" s="255"/>
      <c r="H63" s="255"/>
      <c r="I63" s="255"/>
      <c r="J63" s="255"/>
      <c r="K63" s="255"/>
      <c r="L63" s="255"/>
    </row>
    <row r="64" spans="1:37" ht="12.75" x14ac:dyDescent="0.2">
      <c r="A64" s="255"/>
      <c r="N64" s="517" t="str">
        <f>ListAVS!$B$73</f>
        <v>Obliczanie wagi frontów</v>
      </c>
      <c r="O64" s="517"/>
      <c r="P64" s="518"/>
      <c r="Q64" s="518"/>
      <c r="R64" s="518"/>
      <c r="S64" s="518"/>
      <c r="T64" s="255"/>
      <c r="U64" s="255"/>
      <c r="V64" s="255"/>
      <c r="W64" s="255"/>
      <c r="X64" s="255"/>
      <c r="AA64" s="118"/>
      <c r="AC64" s="118"/>
    </row>
    <row r="65" spans="1:43" ht="15.75" customHeight="1" x14ac:dyDescent="0.2">
      <c r="A65" s="255"/>
      <c r="N65" s="255"/>
      <c r="O65" s="255"/>
      <c r="P65" s="137"/>
      <c r="Q65" s="269" t="str">
        <f>ListAVS!$B$180&amp;"  "</f>
        <v xml:space="preserve">Wykonanie frontów  </v>
      </c>
      <c r="R65" s="255"/>
      <c r="S65" s="255"/>
      <c r="T65" s="255"/>
      <c r="U65" s="833">
        <f>J4</f>
        <v>0</v>
      </c>
      <c r="V65" s="262" t="str">
        <f>IF(AA72=3,IF(U65=0,Z67," "),IF(U65&gt;0,Z68," "))</f>
        <v xml:space="preserve"> </v>
      </c>
      <c r="W65" s="255"/>
      <c r="X65" s="255"/>
      <c r="Z65" s="149" t="str">
        <f>IF($AA$72=1,$AA$73,IF($AA$72=2,$AA$74,$AA$75&amp;" "&amp;$Z$75&amp;"kg/m3"))&amp;" A~"&amp;$U$73&amp;"/ B~"&amp;$U$82&amp;"mm"</f>
        <v>MDF (760 kg/m3) A~0/ B~0mm</v>
      </c>
      <c r="AA65" s="118"/>
      <c r="AC65" s="118"/>
    </row>
    <row r="66" spans="1:43" ht="13.5" customHeight="1" x14ac:dyDescent="0.2">
      <c r="A66" s="255"/>
      <c r="N66" s="255"/>
      <c r="O66" s="255"/>
      <c r="P66" s="255"/>
      <c r="Q66" s="1151" t="str">
        <f>IF($AA$72&lt;&gt;3,$Z$66," ")&amp;"      "</f>
        <v xml:space="preserve"> Możesz zmienić wartości we Wstępie do planowania      </v>
      </c>
      <c r="R66" s="1151"/>
      <c r="S66" s="1151"/>
      <c r="T66" s="1151"/>
      <c r="U66" s="1151"/>
      <c r="V66" s="255"/>
      <c r="W66" s="255"/>
      <c r="X66" s="255"/>
      <c r="Z66" s="37" t="str">
        <f>" "&amp;ListAVS!$B$410</f>
        <v xml:space="preserve"> Możesz zmienić wartości we Wstępie do planowania</v>
      </c>
      <c r="AA66" s="118"/>
      <c r="AC66" s="118"/>
    </row>
    <row r="67" spans="1:43" ht="15" customHeight="1" x14ac:dyDescent="0.2">
      <c r="A67" s="255"/>
      <c r="N67" s="266"/>
      <c r="O67" s="266"/>
      <c r="P67" s="255"/>
      <c r="Q67" s="255"/>
      <c r="R67" s="255"/>
      <c r="S67" s="255"/>
      <c r="T67" s="255"/>
      <c r="U67" s="255"/>
      <c r="V67" s="255"/>
      <c r="W67" s="255"/>
      <c r="X67" s="255"/>
      <c r="Z67" s="37" t="str">
        <f>" "&amp;ListAVS!$B$245&amp;" [kg/m3]"</f>
        <v xml:space="preserve"> Podaj masę objętościową [kg/m3]</v>
      </c>
      <c r="AA67" s="118"/>
      <c r="AC67" s="118"/>
    </row>
    <row r="68" spans="1:43" ht="15" customHeight="1" x14ac:dyDescent="0.2">
      <c r="A68" s="255"/>
      <c r="N68" s="266"/>
      <c r="O68" s="266"/>
      <c r="P68" s="255"/>
      <c r="Q68" s="255"/>
      <c r="R68" s="255"/>
      <c r="S68" s="255"/>
      <c r="T68" s="255"/>
      <c r="U68" s="255"/>
      <c r="V68" s="255"/>
      <c r="W68" s="255"/>
      <c r="X68" s="255"/>
      <c r="Z68" s="37" t="str">
        <f>" "&amp;ListAVS!$B$241&amp;" '"&amp;ListAVS!$B$92&amp;"'"</f>
        <v xml:space="preserve"> Wartość obowiązuje tylko dla opcji 'Inne – wybrana gęstość materiału'</v>
      </c>
      <c r="AA68" s="118"/>
      <c r="AC68" s="118"/>
    </row>
    <row r="69" spans="1:43" ht="15" customHeight="1" x14ac:dyDescent="0.2">
      <c r="A69" s="255"/>
      <c r="N69" s="255"/>
      <c r="O69" s="255"/>
      <c r="P69" s="255"/>
      <c r="Q69" s="255"/>
      <c r="R69" s="255"/>
      <c r="S69" s="255"/>
      <c r="T69" s="255"/>
      <c r="U69" s="255"/>
      <c r="V69" s="255"/>
      <c r="W69" s="255"/>
      <c r="X69" s="255"/>
      <c r="AA69" s="118"/>
      <c r="AC69" s="118"/>
    </row>
    <row r="70" spans="1:43" ht="15" customHeight="1" x14ac:dyDescent="0.2">
      <c r="A70" s="255"/>
      <c r="N70" s="266"/>
      <c r="O70" s="266"/>
      <c r="P70" s="266"/>
      <c r="Q70" s="266"/>
      <c r="R70" s="255"/>
      <c r="S70" s="1148" t="str">
        <f>E9</f>
        <v xml:space="preserve"> </v>
      </c>
      <c r="T70" s="1149"/>
      <c r="U70" s="1150"/>
      <c r="V70" s="255"/>
      <c r="W70" s="255"/>
      <c r="X70" s="255"/>
      <c r="AA70" s="118"/>
      <c r="AC70" s="118"/>
    </row>
    <row r="71" spans="1:43" s="118" customFormat="1" ht="15" customHeight="1" x14ac:dyDescent="0.2">
      <c r="A71" s="255"/>
      <c r="N71" s="1218" t="str">
        <f>ListAVS!$B$74&amp;" KB [mm]       "</f>
        <v xml:space="preserve">Szerokość korpusu KB [mm]       </v>
      </c>
      <c r="O71" s="1219"/>
      <c r="P71" s="1219"/>
      <c r="Q71" s="1219"/>
      <c r="R71" s="1219"/>
      <c r="S71" s="1219"/>
      <c r="T71" s="1220"/>
      <c r="U71" s="829">
        <f>I10</f>
        <v>0</v>
      </c>
      <c r="V71" s="670"/>
      <c r="W71" s="248"/>
      <c r="X71" s="255"/>
      <c r="Y71" s="37"/>
      <c r="Z71" s="37">
        <f>U71*U72*U73</f>
        <v>0</v>
      </c>
      <c r="AA71" s="37"/>
      <c r="AB71" s="37"/>
      <c r="AD71" s="37"/>
      <c r="AE71" s="37">
        <v>3.51</v>
      </c>
      <c r="AF71" s="149" t="s">
        <v>67</v>
      </c>
      <c r="AG71" s="37"/>
      <c r="AH71" s="37"/>
      <c r="AI71" s="37"/>
      <c r="AK71" s="37"/>
      <c r="AL71" s="108"/>
      <c r="AM71" s="108"/>
      <c r="AN71" s="137"/>
      <c r="AO71" s="137"/>
      <c r="AP71" s="137"/>
      <c r="AQ71" s="137"/>
    </row>
    <row r="72" spans="1:43" s="118" customFormat="1" ht="15" customHeight="1" x14ac:dyDescent="0.2">
      <c r="A72" s="255"/>
      <c r="N72" s="1218" t="str">
        <f>ListAVS!$B$75&amp;" KH [mm]       "</f>
        <v xml:space="preserve">Wysokość korpusu KH [mm]       </v>
      </c>
      <c r="O72" s="1219"/>
      <c r="P72" s="1219"/>
      <c r="Q72" s="1219"/>
      <c r="R72" s="1219"/>
      <c r="S72" s="1219"/>
      <c r="T72" s="1220"/>
      <c r="U72" s="829">
        <f>I11</f>
        <v>0</v>
      </c>
      <c r="V72" s="670"/>
      <c r="W72" s="248"/>
      <c r="X72" s="255"/>
      <c r="Y72" s="37"/>
      <c r="Z72" s="37">
        <f>Z71/1000000000</f>
        <v>0</v>
      </c>
      <c r="AA72" s="117">
        <v>1</v>
      </c>
      <c r="AD72" s="37"/>
      <c r="AE72" s="144" t="s">
        <v>71</v>
      </c>
      <c r="AF72" s="37">
        <f>SUM(U71*2,U72*2)*AE71/10000</f>
        <v>0</v>
      </c>
      <c r="AG72" s="117">
        <v>3</v>
      </c>
      <c r="AH72" s="37"/>
      <c r="AI72" s="37"/>
      <c r="AK72" s="37"/>
      <c r="AL72" s="108"/>
      <c r="AM72" s="108"/>
      <c r="AN72" s="137"/>
      <c r="AO72" s="137"/>
      <c r="AP72" s="137"/>
      <c r="AQ72" s="137"/>
    </row>
    <row r="73" spans="1:43" s="118" customFormat="1" ht="15" customHeight="1" x14ac:dyDescent="0.2">
      <c r="A73" s="255"/>
      <c r="N73" s="1143" t="str">
        <f>ListAVS!$B$80&amp;" TS [mm] "</f>
        <v xml:space="preserve">Grubość frontu TS [mm] </v>
      </c>
      <c r="O73" s="1144"/>
      <c r="P73" s="1144"/>
      <c r="Q73" s="1144"/>
      <c r="R73" s="1144"/>
      <c r="S73" s="1144"/>
      <c r="T73" s="1145"/>
      <c r="U73" s="831">
        <f>I13</f>
        <v>0</v>
      </c>
      <c r="V73" s="256" t="str">
        <f>IF(SUM(U71,U72)=0," ",IF(U73=0," ● "&amp;ListAVS!$B$129," "))</f>
        <v xml:space="preserve"> </v>
      </c>
      <c r="W73" s="248"/>
      <c r="X73" s="255"/>
      <c r="Y73" s="37"/>
      <c r="Z73" s="319">
        <f>MenuAVS!$C$31</f>
        <v>760</v>
      </c>
      <c r="AA73" s="175" t="str">
        <f>ListAVS!$B$90&amp;" ("&amp;Z73&amp;" kg/m3)"</f>
        <v>MDF (760 kg/m3)</v>
      </c>
      <c r="AD73" s="37"/>
      <c r="AE73" s="37">
        <v>10</v>
      </c>
      <c r="AF73" s="37">
        <f>SUM($U$71*$U$72*$AE73)/1000000</f>
        <v>0</v>
      </c>
      <c r="AG73" s="149" t="str">
        <f>ListAVS!$B$93</f>
        <v>Ramki aluminiowe z 4mm szkłem</v>
      </c>
      <c r="AH73" s="37"/>
      <c r="AI73" s="37"/>
      <c r="AK73" s="37"/>
      <c r="AL73" s="108"/>
      <c r="AM73" s="108"/>
      <c r="AN73" s="137"/>
      <c r="AO73" s="137"/>
      <c r="AP73" s="137"/>
      <c r="AQ73" s="137"/>
    </row>
    <row r="74" spans="1:43" s="118" customFormat="1" ht="15" customHeight="1" x14ac:dyDescent="0.2">
      <c r="A74" s="255"/>
      <c r="N74" s="1143" t="str">
        <f>ListAVS!$B$83&amp;" [kg] "</f>
        <v xml:space="preserve">Waga uchwytu [kg] </v>
      </c>
      <c r="O74" s="1144"/>
      <c r="P74" s="1144"/>
      <c r="Q74" s="1144"/>
      <c r="R74" s="1144"/>
      <c r="S74" s="1144"/>
      <c r="T74" s="1145"/>
      <c r="U74" s="831">
        <f>I14</f>
        <v>0</v>
      </c>
      <c r="V74" s="256" t="str">
        <f>IF($U$16=2," ",IF(SUM(U71,U72)=0," ",IF(U74=0," ● "&amp;ListAVS!$B$130," ")))</f>
        <v xml:space="preserve"> </v>
      </c>
      <c r="W74" s="248"/>
      <c r="X74" s="255"/>
      <c r="Y74" s="37"/>
      <c r="Z74" s="319">
        <f>MenuAVS!$C$32</f>
        <v>680</v>
      </c>
      <c r="AA74" s="175" t="str">
        <f>ListAVS!$B$91&amp;" ("&amp;Z74&amp;" kg/m3)"</f>
        <v>Płyta wiórowa (680 kg/m3)</v>
      </c>
      <c r="AD74" s="37"/>
      <c r="AE74" s="37">
        <v>15</v>
      </c>
      <c r="AF74" s="37">
        <f>SUM($U$71*$U$72*$AE74)/1000000</f>
        <v>0</v>
      </c>
      <c r="AG74" s="149" t="str">
        <f>ListAVS!$B$94</f>
        <v>Ramki aluminiowe z 5mm szkłem</v>
      </c>
      <c r="AH74" s="37"/>
      <c r="AI74" s="37"/>
      <c r="AK74" s="37"/>
      <c r="AL74" s="108"/>
      <c r="AM74" s="108"/>
      <c r="AN74" s="137"/>
      <c r="AO74" s="137"/>
      <c r="AP74" s="137"/>
      <c r="AQ74" s="137"/>
    </row>
    <row r="75" spans="1:43" s="118" customFormat="1" ht="15" customHeight="1" x14ac:dyDescent="0.2">
      <c r="A75" s="255"/>
      <c r="N75" s="1143" t="str">
        <f>ListAVS!$B$79&amp;" [kg] "</f>
        <v xml:space="preserve">Obliczona waga frontu [kg] </v>
      </c>
      <c r="O75" s="1144"/>
      <c r="P75" s="1144"/>
      <c r="Q75" s="1144"/>
      <c r="R75" s="1144"/>
      <c r="S75" s="1144"/>
      <c r="T75" s="1145"/>
      <c r="U75" s="533">
        <f>IF(Y75=0,0,Y75+2*U74)</f>
        <v>0</v>
      </c>
      <c r="V75" s="227"/>
      <c r="W75" s="248"/>
      <c r="X75" s="255"/>
      <c r="Y75" s="186">
        <f>IF(U71*U72*U73=0,0,IF(AA72=1,Z72*Z73,IF(AA72=2,Z72*Z74,Z72*Z75)))</f>
        <v>0</v>
      </c>
      <c r="Z75" s="37">
        <f>$U$65</f>
        <v>0</v>
      </c>
      <c r="AA75" s="175" t="str">
        <f>ListAVS!$B$92</f>
        <v>Inne – wybrana gęstość materiału</v>
      </c>
      <c r="AD75" s="37"/>
      <c r="AE75" s="334">
        <f>2.5*$U$65</f>
        <v>0</v>
      </c>
      <c r="AF75" s="37">
        <f>SUM($U$71*$U$72*$AE75)/1000000</f>
        <v>0</v>
      </c>
      <c r="AG75" s="149" t="str">
        <f>ListAVS!$B$95</f>
        <v>Ramki aluminiowe z innym szkłem</v>
      </c>
      <c r="AH75" s="37"/>
      <c r="AI75" s="37"/>
      <c r="AK75" s="37"/>
      <c r="AL75" s="108"/>
      <c r="AM75" s="108"/>
      <c r="AN75" s="137"/>
      <c r="AO75" s="137"/>
      <c r="AP75" s="137"/>
      <c r="AQ75" s="137"/>
    </row>
    <row r="76" spans="1:43" ht="15" customHeight="1" x14ac:dyDescent="0.2">
      <c r="A76" s="255"/>
      <c r="N76" s="255"/>
      <c r="O76" s="255"/>
      <c r="P76" s="273" t="str">
        <f>IF((U16=2)*AND(U75&gt;0)*AND(U74&gt;0),$Z$93&amp;" "&amp;$Z$94,IF((U16&lt;&gt;2)*AND(U75&gt;0),IF(U74=0,$Z$92," ")," "))</f>
        <v xml:space="preserve"> </v>
      </c>
      <c r="Q76" s="255"/>
      <c r="R76" s="255"/>
      <c r="S76" s="255"/>
      <c r="T76" s="255"/>
      <c r="U76" s="255"/>
      <c r="V76" s="255"/>
      <c r="W76" s="255"/>
      <c r="X76" s="255"/>
      <c r="AA76" s="118"/>
      <c r="AC76" s="118"/>
      <c r="AE76" s="186">
        <f>IF(AG72=1,AF73,IF(AG72=2,AF74,AF75))</f>
        <v>0</v>
      </c>
    </row>
    <row r="77" spans="1:43" ht="15" customHeight="1" x14ac:dyDescent="0.2">
      <c r="A77" s="255"/>
      <c r="N77" s="255"/>
      <c r="O77" s="255"/>
      <c r="P77" s="255"/>
      <c r="Q77" s="255"/>
      <c r="R77" s="255"/>
      <c r="S77" s="255"/>
      <c r="T77" s="255"/>
      <c r="U77" s="255"/>
      <c r="V77" s="255"/>
      <c r="W77" s="255"/>
      <c r="X77" s="255"/>
      <c r="AA77" s="118"/>
      <c r="AC77" s="118"/>
    </row>
    <row r="78" spans="1:43" s="118" customFormat="1" ht="15" customHeight="1" x14ac:dyDescent="0.2">
      <c r="A78" s="255"/>
      <c r="N78" s="255"/>
      <c r="O78" s="255"/>
      <c r="P78" s="255"/>
      <c r="Q78" s="255"/>
      <c r="R78" s="255"/>
      <c r="S78" s="255"/>
      <c r="T78" s="255"/>
      <c r="U78" s="255"/>
      <c r="V78" s="255"/>
      <c r="W78" s="255"/>
      <c r="X78" s="255"/>
      <c r="Y78" s="37"/>
      <c r="Z78" s="37"/>
      <c r="AB78" s="37"/>
      <c r="AD78" s="37"/>
      <c r="AE78" s="37"/>
      <c r="AF78" s="37"/>
      <c r="AG78" s="37"/>
      <c r="AH78" s="37"/>
      <c r="AI78" s="37"/>
      <c r="AK78" s="37"/>
      <c r="AL78" s="108"/>
      <c r="AM78" s="108"/>
      <c r="AN78" s="137"/>
      <c r="AO78" s="137"/>
      <c r="AP78" s="137"/>
      <c r="AQ78" s="137"/>
    </row>
    <row r="79" spans="1:43" s="118" customFormat="1" ht="15" customHeight="1" x14ac:dyDescent="0.2">
      <c r="A79" s="255"/>
      <c r="N79" s="248"/>
      <c r="O79" s="248"/>
      <c r="P79" s="248"/>
      <c r="Q79" s="248"/>
      <c r="R79" s="255"/>
      <c r="S79" s="1148" t="str">
        <f>E20</f>
        <v xml:space="preserve"> </v>
      </c>
      <c r="T79" s="1149"/>
      <c r="U79" s="1150"/>
      <c r="V79" s="255"/>
      <c r="W79" s="255"/>
      <c r="X79" s="255"/>
      <c r="Y79" s="37"/>
      <c r="AB79" s="37"/>
      <c r="AD79" s="37"/>
      <c r="AE79" s="37"/>
      <c r="AF79" s="37"/>
      <c r="AG79" s="37"/>
      <c r="AH79" s="37"/>
      <c r="AI79" s="37"/>
      <c r="AK79" s="37"/>
      <c r="AL79" s="108"/>
      <c r="AM79" s="108"/>
      <c r="AN79" s="137"/>
      <c r="AO79" s="137"/>
      <c r="AP79" s="137"/>
      <c r="AQ79" s="137"/>
    </row>
    <row r="80" spans="1:43" s="118" customFormat="1" ht="15" customHeight="1" x14ac:dyDescent="0.2">
      <c r="A80" s="255"/>
      <c r="N80" s="1218" t="str">
        <f>ListAVS!$B$74&amp;" KB [mm]       "</f>
        <v xml:space="preserve">Szerokość korpusu KB [mm]       </v>
      </c>
      <c r="O80" s="1219"/>
      <c r="P80" s="1219"/>
      <c r="Q80" s="1219"/>
      <c r="R80" s="1219"/>
      <c r="S80" s="1219"/>
      <c r="T80" s="1220"/>
      <c r="U80" s="829">
        <f>I21</f>
        <v>0</v>
      </c>
      <c r="V80" s="670"/>
      <c r="W80" s="255"/>
      <c r="X80" s="255"/>
      <c r="Y80" s="37"/>
      <c r="Z80" s="37">
        <f>U80*U81*U82</f>
        <v>0</v>
      </c>
      <c r="AA80" s="37"/>
      <c r="AB80" s="37"/>
      <c r="AD80" s="37"/>
      <c r="AE80" s="37">
        <f>AE71</f>
        <v>3.51</v>
      </c>
      <c r="AF80" s="149" t="s">
        <v>67</v>
      </c>
      <c r="AG80" s="37"/>
      <c r="AH80" s="37"/>
      <c r="AI80" s="37"/>
      <c r="AK80" s="37"/>
      <c r="AL80" s="108"/>
      <c r="AM80" s="108"/>
      <c r="AN80" s="137"/>
      <c r="AO80" s="137"/>
      <c r="AP80" s="137"/>
      <c r="AQ80" s="137"/>
    </row>
    <row r="81" spans="1:43" s="118" customFormat="1" ht="15" customHeight="1" x14ac:dyDescent="0.2">
      <c r="A81" s="255"/>
      <c r="N81" s="1218" t="str">
        <f>ListAVS!$B$75&amp;" KH [mm]       "</f>
        <v xml:space="preserve">Wysokość korpusu KH [mm]       </v>
      </c>
      <c r="O81" s="1219"/>
      <c r="P81" s="1219"/>
      <c r="Q81" s="1219"/>
      <c r="R81" s="1219"/>
      <c r="S81" s="1219"/>
      <c r="T81" s="1220"/>
      <c r="U81" s="829">
        <f>I22</f>
        <v>0</v>
      </c>
      <c r="V81" s="670"/>
      <c r="W81" s="255"/>
      <c r="X81" s="255"/>
      <c r="Y81" s="37"/>
      <c r="Z81" s="37">
        <f>Z80/1000000000</f>
        <v>0</v>
      </c>
      <c r="AA81" s="182">
        <f>AA72</f>
        <v>1</v>
      </c>
      <c r="AD81" s="37"/>
      <c r="AE81" s="144" t="s">
        <v>71</v>
      </c>
      <c r="AF81" s="37">
        <f>SUM(U80*2,U81*2)*AE80/10000</f>
        <v>0</v>
      </c>
      <c r="AG81" s="117">
        <f>AG72</f>
        <v>3</v>
      </c>
      <c r="AH81" s="37"/>
      <c r="AI81" s="37"/>
      <c r="AK81" s="37"/>
      <c r="AL81" s="108"/>
      <c r="AM81" s="108"/>
      <c r="AN81" s="137"/>
      <c r="AO81" s="137"/>
      <c r="AP81" s="137"/>
      <c r="AQ81" s="137"/>
    </row>
    <row r="82" spans="1:43" s="118" customFormat="1" ht="15" customHeight="1" x14ac:dyDescent="0.2">
      <c r="A82" s="255"/>
      <c r="N82" s="1143" t="str">
        <f>ListAVS!$B$80&amp;" TS [mm] "</f>
        <v xml:space="preserve">Grubość frontu TS [mm] </v>
      </c>
      <c r="O82" s="1144"/>
      <c r="P82" s="1144"/>
      <c r="Q82" s="1144"/>
      <c r="R82" s="1144"/>
      <c r="S82" s="1144"/>
      <c r="T82" s="1145"/>
      <c r="U82" s="831">
        <f>I24</f>
        <v>0</v>
      </c>
      <c r="V82" s="256" t="str">
        <f>IF(SUM(U80,U81)=0," ",IF(U82=0," ● "&amp;ListAVS!$B$129," "))</f>
        <v xml:space="preserve"> </v>
      </c>
      <c r="W82" s="248"/>
      <c r="X82" s="248"/>
      <c r="Y82" s="37"/>
      <c r="Z82" s="319">
        <f>$Z$73</f>
        <v>760</v>
      </c>
      <c r="AA82" s="37" t="str">
        <f>$AA$73</f>
        <v>MDF (760 kg/m3)</v>
      </c>
      <c r="AD82" s="37"/>
      <c r="AE82" s="37">
        <f>AE73</f>
        <v>10</v>
      </c>
      <c r="AF82" s="37">
        <f>SUM($U$80*$U$81*$AE82)/1000000</f>
        <v>0</v>
      </c>
      <c r="AG82" s="149" t="str">
        <f>ListAVS!$B$93</f>
        <v>Ramki aluminiowe z 4mm szkłem</v>
      </c>
      <c r="AH82" s="37"/>
      <c r="AI82" s="37"/>
      <c r="AK82" s="37"/>
      <c r="AL82" s="108"/>
      <c r="AM82" s="108"/>
      <c r="AN82" s="137"/>
      <c r="AO82" s="137"/>
      <c r="AP82" s="137"/>
      <c r="AQ82" s="137"/>
    </row>
    <row r="83" spans="1:43" s="118" customFormat="1" ht="15" customHeight="1" x14ac:dyDescent="0.2">
      <c r="A83" s="255"/>
      <c r="N83" s="1143" t="str">
        <f>ListAVS!$B$83&amp;" [kg] "</f>
        <v xml:space="preserve">Waga uchwytu [kg] </v>
      </c>
      <c r="O83" s="1144"/>
      <c r="P83" s="1144"/>
      <c r="Q83" s="1144"/>
      <c r="R83" s="1144"/>
      <c r="S83" s="1144"/>
      <c r="T83" s="1145"/>
      <c r="U83" s="831">
        <f>I25</f>
        <v>0</v>
      </c>
      <c r="V83" s="256" t="str">
        <f>IF($U$27=2," ",IF(SUM(U80,U81)=0," ",IF(U83=0," ● "&amp;ListAVS!$B$130," ")))</f>
        <v xml:space="preserve"> </v>
      </c>
      <c r="W83" s="248"/>
      <c r="X83" s="248"/>
      <c r="Y83" s="37"/>
      <c r="Z83" s="319">
        <f>$Z$74</f>
        <v>680</v>
      </c>
      <c r="AA83" s="37" t="str">
        <f>$AA$74</f>
        <v>Płyta wiórowa (680 kg/m3)</v>
      </c>
      <c r="AD83" s="37"/>
      <c r="AE83" s="37">
        <f>AE74</f>
        <v>15</v>
      </c>
      <c r="AF83" s="37">
        <f>SUM($U$80*$U$81*$AE83)/1000000</f>
        <v>0</v>
      </c>
      <c r="AG83" s="149" t="str">
        <f>ListAVS!$B$94</f>
        <v>Ramki aluminiowe z 5mm szkłem</v>
      </c>
      <c r="AH83" s="37"/>
      <c r="AI83" s="37"/>
      <c r="AK83" s="37"/>
      <c r="AL83" s="108"/>
      <c r="AM83" s="108"/>
      <c r="AN83" s="137"/>
      <c r="AO83" s="137"/>
      <c r="AP83" s="137"/>
      <c r="AQ83" s="137"/>
    </row>
    <row r="84" spans="1:43" s="118" customFormat="1" ht="15" customHeight="1" x14ac:dyDescent="0.2">
      <c r="A84" s="255"/>
      <c r="N84" s="1143" t="str">
        <f>ListAVS!$B$79&amp;" [kg] "</f>
        <v xml:space="preserve">Obliczona waga frontu [kg] </v>
      </c>
      <c r="O84" s="1144"/>
      <c r="P84" s="1144"/>
      <c r="Q84" s="1144"/>
      <c r="R84" s="1144"/>
      <c r="S84" s="1144"/>
      <c r="T84" s="1145"/>
      <c r="U84" s="533">
        <f>IF(Y84=0,0,Y84+2*U83)</f>
        <v>0</v>
      </c>
      <c r="V84" s="227"/>
      <c r="W84" s="248"/>
      <c r="X84" s="248"/>
      <c r="Y84" s="186">
        <f>IF(U80*U81*U82=0,0,IF(AA81=1,Z81*Z82,IF(AA81=2,Z81*Z83,Z81*Z84)))</f>
        <v>0</v>
      </c>
      <c r="Z84" s="37">
        <f>$Z$75</f>
        <v>0</v>
      </c>
      <c r="AA84" s="37" t="str">
        <f>$AA$75</f>
        <v>Inne – wybrana gęstość materiału</v>
      </c>
      <c r="AD84" s="37"/>
      <c r="AE84" s="334">
        <f>AE75</f>
        <v>0</v>
      </c>
      <c r="AF84" s="37">
        <f>SUM($U$80*$U$81*$AE84)/1000000</f>
        <v>0</v>
      </c>
      <c r="AG84" s="149" t="str">
        <f>ListAVS!$B$95</f>
        <v>Ramki aluminiowe z innym szkłem</v>
      </c>
      <c r="AH84" s="37"/>
      <c r="AI84" s="37"/>
      <c r="AK84" s="37"/>
      <c r="AL84" s="108"/>
      <c r="AM84" s="108"/>
      <c r="AN84" s="137"/>
      <c r="AO84" s="137"/>
      <c r="AP84" s="137"/>
      <c r="AQ84" s="137"/>
    </row>
    <row r="85" spans="1:43" s="118" customFormat="1" ht="15" customHeight="1" x14ac:dyDescent="0.2">
      <c r="A85" s="255"/>
      <c r="N85" s="255"/>
      <c r="O85" s="255"/>
      <c r="P85" s="273" t="str">
        <f>IF((U27=2)*AND(U84&gt;0)*AND(U83&gt;0),$Z$93&amp;" "&amp;$Z$94,IF((U27&lt;&gt;2)*AND(U84&gt;0),IF(U83=0,$Z$92," ")," "))</f>
        <v xml:space="preserve"> </v>
      </c>
      <c r="Q85" s="255"/>
      <c r="R85" s="255"/>
      <c r="S85" s="255"/>
      <c r="T85" s="255"/>
      <c r="U85" s="255"/>
      <c r="V85" s="255"/>
      <c r="W85" s="255"/>
      <c r="X85" s="255"/>
      <c r="Y85" s="37"/>
      <c r="Z85" s="37"/>
      <c r="AB85" s="37"/>
      <c r="AD85" s="37"/>
      <c r="AE85" s="186">
        <f>IF(AG81=1,AF82,IF(AG81=2,AF83,AF84))</f>
        <v>0</v>
      </c>
      <c r="AF85" s="37"/>
      <c r="AG85" s="37"/>
      <c r="AH85" s="37"/>
      <c r="AI85" s="37"/>
      <c r="AK85" s="37"/>
      <c r="AL85" s="108"/>
      <c r="AM85" s="108"/>
      <c r="AN85" s="137"/>
      <c r="AO85" s="137"/>
      <c r="AP85" s="137"/>
      <c r="AQ85" s="137"/>
    </row>
    <row r="86" spans="1:43" s="118" customFormat="1" ht="15" customHeight="1" x14ac:dyDescent="0.2">
      <c r="A86" s="255"/>
      <c r="N86" s="255"/>
      <c r="O86" s="255"/>
      <c r="P86" s="255"/>
      <c r="Q86" s="255"/>
      <c r="R86" s="255"/>
      <c r="S86" s="255"/>
      <c r="T86" s="255"/>
      <c r="U86" s="255"/>
      <c r="V86" s="255"/>
      <c r="W86" s="255"/>
      <c r="X86" s="255"/>
      <c r="Y86" s="37"/>
      <c r="Z86" s="37"/>
      <c r="AB86" s="37"/>
      <c r="AD86" s="37"/>
      <c r="AE86" s="37"/>
      <c r="AF86" s="37"/>
      <c r="AG86" s="37"/>
      <c r="AH86" s="37"/>
      <c r="AI86" s="37"/>
      <c r="AK86" s="37"/>
      <c r="AL86" s="108"/>
      <c r="AM86" s="108"/>
      <c r="AN86" s="137"/>
      <c r="AO86" s="137"/>
      <c r="AP86" s="137"/>
      <c r="AQ86" s="137"/>
    </row>
    <row r="87" spans="1:43" s="118" customFormat="1" ht="15" customHeight="1" x14ac:dyDescent="0.2">
      <c r="A87" s="255"/>
      <c r="N87" s="255"/>
      <c r="O87" s="255"/>
      <c r="P87" s="255"/>
      <c r="Q87" s="255"/>
      <c r="R87" s="255"/>
      <c r="S87" s="255"/>
      <c r="T87" s="255"/>
      <c r="U87" s="255"/>
      <c r="V87" s="255"/>
      <c r="W87" s="255"/>
      <c r="X87" s="255"/>
      <c r="Y87" s="37"/>
      <c r="Z87" s="37"/>
      <c r="AB87" s="37"/>
      <c r="AD87" s="37"/>
      <c r="AE87" s="37"/>
      <c r="AF87" s="37"/>
      <c r="AG87" s="37"/>
      <c r="AH87" s="37"/>
      <c r="AI87" s="37"/>
      <c r="AK87" s="37"/>
      <c r="AL87" s="108"/>
      <c r="AM87" s="108"/>
      <c r="AN87" s="137"/>
      <c r="AO87" s="137"/>
      <c r="AP87" s="137"/>
      <c r="AQ87" s="137"/>
    </row>
    <row r="88" spans="1:43" s="118" customFormat="1" ht="15" customHeight="1" x14ac:dyDescent="0.2">
      <c r="A88" s="255"/>
      <c r="N88" s="255"/>
      <c r="O88" s="255"/>
      <c r="P88" s="255"/>
      <c r="Q88" s="255"/>
      <c r="R88" s="255"/>
      <c r="S88" s="255"/>
      <c r="T88" s="255"/>
      <c r="U88" s="255"/>
      <c r="V88" s="255"/>
      <c r="W88" s="255"/>
      <c r="X88" s="255"/>
      <c r="Y88" s="37"/>
      <c r="Z88" s="37"/>
      <c r="AB88" s="37"/>
      <c r="AD88" s="37"/>
      <c r="AE88" s="37"/>
      <c r="AF88" s="37"/>
      <c r="AG88" s="37"/>
      <c r="AH88" s="37"/>
      <c r="AI88" s="37"/>
      <c r="AK88" s="37"/>
      <c r="AL88" s="108"/>
      <c r="AM88" s="108"/>
      <c r="AN88" s="137"/>
      <c r="AO88" s="137"/>
      <c r="AP88" s="137"/>
      <c r="AQ88" s="137"/>
    </row>
    <row r="89" spans="1:43" s="118" customFormat="1" ht="15" customHeight="1" x14ac:dyDescent="0.2">
      <c r="A89" s="255"/>
      <c r="N89" s="255"/>
      <c r="O89" s="255"/>
      <c r="P89" s="255"/>
      <c r="Q89" s="255"/>
      <c r="R89" s="255"/>
      <c r="S89" s="255"/>
      <c r="T89" s="255"/>
      <c r="U89" s="255"/>
      <c r="V89" s="255"/>
      <c r="W89" s="255"/>
      <c r="X89" s="255"/>
      <c r="Y89" s="37"/>
      <c r="Z89" s="37"/>
      <c r="AB89" s="37"/>
      <c r="AD89" s="37"/>
      <c r="AE89" s="37"/>
      <c r="AF89" s="37"/>
      <c r="AG89" s="37"/>
      <c r="AH89" s="37"/>
      <c r="AI89" s="37"/>
      <c r="AK89" s="37"/>
      <c r="AL89" s="108"/>
      <c r="AM89" s="108"/>
      <c r="AN89" s="137"/>
      <c r="AO89" s="137"/>
      <c r="AP89" s="137"/>
      <c r="AQ89" s="137"/>
    </row>
    <row r="90" spans="1:43" s="118" customFormat="1" ht="15" customHeight="1" x14ac:dyDescent="0.2">
      <c r="A90" s="255"/>
      <c r="N90" s="255"/>
      <c r="O90" s="255"/>
      <c r="P90" s="255"/>
      <c r="Q90" s="255"/>
      <c r="R90" s="255"/>
      <c r="S90" s="255"/>
      <c r="T90" s="255"/>
      <c r="U90" s="255"/>
      <c r="V90" s="255"/>
      <c r="W90" s="255"/>
      <c r="X90" s="255"/>
      <c r="Y90" s="37"/>
      <c r="Z90" s="37"/>
      <c r="AB90" s="37"/>
      <c r="AD90" s="37"/>
      <c r="AE90" s="37"/>
      <c r="AF90" s="37"/>
      <c r="AG90" s="37"/>
      <c r="AH90" s="37"/>
      <c r="AI90" s="37"/>
      <c r="AK90" s="37"/>
      <c r="AL90" s="108"/>
      <c r="AM90" s="108"/>
      <c r="AN90" s="137"/>
      <c r="AO90" s="137"/>
      <c r="AP90" s="137"/>
      <c r="AQ90" s="137"/>
    </row>
    <row r="91" spans="1:43" s="118" customFormat="1" ht="15" customHeight="1" x14ac:dyDescent="0.2">
      <c r="A91" s="255"/>
      <c r="N91" s="255"/>
      <c r="O91" s="255"/>
      <c r="P91" s="255"/>
      <c r="Q91" s="255"/>
      <c r="R91" s="255"/>
      <c r="S91" s="255"/>
      <c r="T91" s="248"/>
      <c r="U91" s="248"/>
      <c r="V91" s="255"/>
      <c r="W91" s="255"/>
      <c r="X91" s="255"/>
      <c r="Y91" s="37"/>
      <c r="Z91" s="37"/>
      <c r="AB91" s="37"/>
      <c r="AD91" s="37"/>
      <c r="AE91" s="37"/>
      <c r="AF91" s="37"/>
      <c r="AG91" s="37"/>
      <c r="AH91" s="37"/>
      <c r="AI91" s="37"/>
      <c r="AK91" s="37"/>
      <c r="AL91" s="108"/>
      <c r="AM91" s="108"/>
      <c r="AN91" s="137"/>
      <c r="AO91" s="137"/>
      <c r="AP91" s="137"/>
      <c r="AQ91" s="137"/>
    </row>
    <row r="92" spans="1:43" s="118" customFormat="1" ht="15" customHeight="1" x14ac:dyDescent="0.2">
      <c r="A92" s="255"/>
      <c r="N92" s="255"/>
      <c r="O92" s="255"/>
      <c r="P92" s="442"/>
      <c r="Q92" s="442"/>
      <c r="R92" s="442"/>
      <c r="S92" s="442"/>
      <c r="T92" s="442"/>
      <c r="U92" s="442"/>
      <c r="V92" s="442"/>
      <c r="W92" s="442"/>
      <c r="X92" s="442"/>
      <c r="Y92" s="37"/>
      <c r="Z92" s="37" t="str">
        <f>ListAVS!$B$103&amp;"!"</f>
        <v>Bez wagi uchwytu!</v>
      </c>
      <c r="AB92" s="37"/>
      <c r="AD92" s="37"/>
      <c r="AE92" s="37"/>
      <c r="AF92" s="37"/>
      <c r="AG92" s="37"/>
      <c r="AH92" s="37"/>
      <c r="AI92" s="37"/>
      <c r="AK92" s="37"/>
      <c r="AL92" s="108"/>
      <c r="AM92" s="108"/>
      <c r="AN92" s="137"/>
      <c r="AO92" s="137"/>
      <c r="AP92" s="137"/>
      <c r="AQ92" s="137"/>
    </row>
    <row r="93" spans="1:43" s="118" customFormat="1" ht="15" customHeight="1" x14ac:dyDescent="0.2">
      <c r="A93" s="255"/>
      <c r="N93" s="255"/>
      <c r="O93" s="255"/>
      <c r="P93" s="442"/>
      <c r="Q93" s="442"/>
      <c r="R93" s="442"/>
      <c r="S93" s="442"/>
      <c r="T93" s="442"/>
      <c r="U93" s="442"/>
      <c r="V93" s="442"/>
      <c r="W93" s="442"/>
      <c r="X93" s="442"/>
      <c r="Y93" s="37"/>
      <c r="Z93" s="37" t="str">
        <f>ListAVS!B104</f>
        <v>Na pewno masz uchwyt do wersji TIP-ON?</v>
      </c>
      <c r="AB93" s="37"/>
      <c r="AD93" s="37"/>
      <c r="AE93" s="37"/>
      <c r="AF93" s="37"/>
      <c r="AG93" s="37"/>
      <c r="AH93" s="37"/>
      <c r="AI93" s="37"/>
      <c r="AK93" s="37"/>
      <c r="AL93" s="108"/>
      <c r="AM93" s="108"/>
      <c r="AN93" s="137"/>
      <c r="AO93" s="137"/>
      <c r="AP93" s="137"/>
      <c r="AQ93" s="137"/>
    </row>
    <row r="94" spans="1:43" s="37" customFormat="1" ht="15" customHeight="1" x14ac:dyDescent="0.2">
      <c r="A94" s="255"/>
      <c r="N94" s="255"/>
      <c r="O94" s="255"/>
      <c r="P94" s="442"/>
      <c r="Q94" s="442"/>
      <c r="R94" s="442"/>
      <c r="S94" s="442"/>
      <c r="T94" s="442"/>
      <c r="U94" s="442"/>
      <c r="V94" s="442"/>
      <c r="W94" s="442"/>
      <c r="X94" s="442"/>
      <c r="Z94" s="37" t="str">
        <f>ListAVS!B105&amp;"!"</f>
        <v>Jeśli nie wymaż wagę uchwytu!</v>
      </c>
      <c r="AA94" s="118"/>
      <c r="AC94" s="118"/>
      <c r="AL94" s="108"/>
      <c r="AM94" s="108"/>
      <c r="AN94" s="137"/>
      <c r="AO94" s="137"/>
      <c r="AP94" s="137"/>
      <c r="AQ94" s="137"/>
    </row>
    <row r="95" spans="1:43" s="37" customFormat="1" ht="15" customHeight="1" x14ac:dyDescent="0.2">
      <c r="A95" s="255"/>
      <c r="B95" s="255"/>
      <c r="C95" s="255"/>
      <c r="D95" s="255"/>
      <c r="P95" s="118"/>
      <c r="R95" s="118"/>
      <c r="AL95" s="108"/>
      <c r="AM95" s="108"/>
      <c r="AN95" s="137"/>
      <c r="AO95" s="137"/>
      <c r="AP95" s="137"/>
      <c r="AQ95" s="137"/>
    </row>
    <row r="96" spans="1:43" s="37" customFormat="1" ht="15" customHeight="1" x14ac:dyDescent="0.2">
      <c r="A96" s="255"/>
      <c r="B96" s="255"/>
      <c r="C96" s="255"/>
      <c r="D96" s="255"/>
      <c r="E96" s="255"/>
      <c r="F96" s="255"/>
      <c r="G96" s="255"/>
      <c r="H96" s="255"/>
      <c r="I96" s="255"/>
      <c r="J96" s="255"/>
      <c r="K96" s="255"/>
      <c r="L96" s="255"/>
      <c r="P96" s="118"/>
      <c r="R96" s="118"/>
      <c r="AL96" s="108"/>
      <c r="AM96" s="108"/>
      <c r="AN96" s="137"/>
      <c r="AO96" s="137"/>
      <c r="AP96" s="137"/>
      <c r="AQ96" s="137"/>
    </row>
    <row r="97" spans="1:43" s="37" customFormat="1" ht="15" customHeight="1" x14ac:dyDescent="0.2">
      <c r="A97" s="255"/>
      <c r="B97" s="255"/>
      <c r="C97" s="255"/>
      <c r="D97" s="255"/>
      <c r="E97" s="255"/>
      <c r="F97" s="255"/>
      <c r="G97" s="255"/>
      <c r="H97" s="255"/>
      <c r="I97" s="255"/>
      <c r="J97" s="255"/>
      <c r="K97" s="255"/>
      <c r="L97" s="255"/>
      <c r="P97" s="118"/>
      <c r="R97" s="118"/>
      <c r="AL97" s="108"/>
      <c r="AM97" s="108"/>
      <c r="AN97" s="137"/>
      <c r="AO97" s="137"/>
      <c r="AP97" s="137"/>
      <c r="AQ97" s="137"/>
    </row>
    <row r="98" spans="1:43" s="37" customFormat="1" ht="15" customHeight="1" x14ac:dyDescent="0.2">
      <c r="A98" s="255"/>
      <c r="B98" s="255"/>
      <c r="C98" s="255"/>
      <c r="D98" s="255"/>
      <c r="E98" s="255"/>
      <c r="F98" s="255"/>
      <c r="G98" s="255"/>
      <c r="H98" s="255"/>
      <c r="I98" s="255"/>
      <c r="J98" s="255"/>
      <c r="K98" s="255"/>
      <c r="L98" s="255"/>
      <c r="P98" s="118"/>
      <c r="R98" s="118"/>
      <c r="AL98" s="108"/>
      <c r="AM98" s="108"/>
      <c r="AN98" s="137"/>
      <c r="AO98" s="137"/>
      <c r="AP98" s="137"/>
      <c r="AQ98" s="137"/>
    </row>
    <row r="99" spans="1:43" x14ac:dyDescent="0.2">
      <c r="A99" s="1045"/>
    </row>
    <row r="100" spans="1:43" ht="15" customHeight="1" x14ac:dyDescent="0.2">
      <c r="A100" s="1045"/>
      <c r="B100" s="221" t="s">
        <v>142</v>
      </c>
      <c r="C100" s="569"/>
      <c r="D100" s="569"/>
      <c r="E100" s="569"/>
      <c r="F100" s="569"/>
      <c r="G100" s="569"/>
      <c r="H100" s="569"/>
      <c r="I100" s="569"/>
      <c r="J100" s="569"/>
      <c r="K100" s="569"/>
      <c r="L100" s="569"/>
      <c r="M100" s="569"/>
    </row>
    <row r="101" spans="1:43" ht="12.75" x14ac:dyDescent="0.2">
      <c r="A101" s="1045"/>
      <c r="B101" s="255"/>
      <c r="C101" s="255"/>
      <c r="D101" s="255"/>
      <c r="E101" s="255"/>
      <c r="F101" s="255"/>
      <c r="G101" s="255"/>
      <c r="H101" s="255"/>
      <c r="I101" s="255"/>
      <c r="J101" s="255"/>
      <c r="K101" s="255"/>
      <c r="L101" s="255"/>
      <c r="M101" s="255"/>
    </row>
    <row r="102" spans="1:43" ht="15" customHeight="1" x14ac:dyDescent="0.2">
      <c r="A102" s="1045"/>
      <c r="B102" s="255" t="str">
        <f>ListAVS!$B$303</f>
        <v>Odpowiedni siłownik będzie określony za pomocą współczynnika mocy</v>
      </c>
      <c r="C102" s="255"/>
      <c r="D102" s="255"/>
      <c r="E102" s="255"/>
      <c r="F102" s="255"/>
      <c r="G102" s="255"/>
      <c r="H102" s="255"/>
      <c r="I102" s="255"/>
      <c r="J102" s="255"/>
      <c r="K102" s="255"/>
      <c r="L102" s="255"/>
      <c r="M102" s="255"/>
    </row>
    <row r="103" spans="1:43" ht="15" customHeight="1" x14ac:dyDescent="0.2">
      <c r="A103" s="1045"/>
      <c r="B103" s="255" t="str">
        <f>ListAVS!$B$341</f>
        <v>Współczynnik mocy zależy od wagi frontu (wraz z podwójną wagą uchwytu) i od wysokości korpusu.</v>
      </c>
      <c r="C103" s="255"/>
      <c r="D103" s="255"/>
      <c r="E103" s="255"/>
      <c r="F103" s="255"/>
      <c r="G103" s="255"/>
      <c r="H103" s="255"/>
      <c r="I103" s="255"/>
      <c r="J103" s="255"/>
      <c r="K103" s="255"/>
      <c r="L103" s="255"/>
      <c r="M103" s="255"/>
    </row>
    <row r="104" spans="1:43" ht="15" customHeight="1" x14ac:dyDescent="0.2">
      <c r="A104" s="1045"/>
      <c r="B104" s="255"/>
      <c r="C104" s="255"/>
      <c r="D104" s="775"/>
      <c r="E104" s="775"/>
      <c r="F104" s="775"/>
      <c r="G104" s="775"/>
      <c r="H104" s="775"/>
      <c r="I104" s="775"/>
      <c r="J104" s="775"/>
      <c r="K104" s="775"/>
      <c r="L104" s="775"/>
      <c r="M104" s="775"/>
    </row>
    <row r="105" spans="1:43" ht="15" customHeight="1" x14ac:dyDescent="0.2">
      <c r="A105" s="1045"/>
      <c r="B105" s="776"/>
      <c r="C105" s="776"/>
      <c r="D105" s="776"/>
      <c r="E105" s="776"/>
      <c r="F105" s="776"/>
      <c r="G105" s="776"/>
      <c r="H105" s="776"/>
      <c r="I105" s="776"/>
      <c r="J105" s="776"/>
      <c r="K105" s="776"/>
      <c r="L105" s="776"/>
      <c r="M105" s="775"/>
    </row>
    <row r="106" spans="1:43" ht="30" customHeight="1" x14ac:dyDescent="0.2">
      <c r="A106" s="1045"/>
      <c r="B106" s="777"/>
      <c r="C106" s="777"/>
      <c r="D106" s="778" t="str">
        <f>ListAVS!$B$86&amp;" = "</f>
        <v xml:space="preserve">Współczynnik mocy = </v>
      </c>
      <c r="E106" s="1221" t="str">
        <f>ListAVS!$B$342&amp;" [kg]"</f>
        <v>wysokość korpusu (KH) [mm] x waga frontu wraz z podwójną wagą uchwytu [kg]</v>
      </c>
      <c r="F106" s="1221"/>
      <c r="G106" s="1221"/>
      <c r="H106" s="1221"/>
      <c r="I106" s="1221"/>
      <c r="J106" s="1221"/>
      <c r="K106" s="1221"/>
      <c r="L106" s="1221"/>
      <c r="M106" s="137"/>
    </row>
    <row r="107" spans="1:43" ht="15" customHeight="1" x14ac:dyDescent="0.2">
      <c r="A107" s="1045"/>
      <c r="B107" s="255"/>
      <c r="C107" s="255"/>
      <c r="D107" s="255"/>
      <c r="E107" s="255"/>
      <c r="F107" s="255"/>
      <c r="G107" s="255"/>
      <c r="H107" s="255"/>
      <c r="I107" s="255"/>
      <c r="J107" s="255"/>
      <c r="K107" s="255"/>
      <c r="L107" s="255"/>
      <c r="M107" s="255"/>
    </row>
    <row r="108" spans="1:43" ht="15" customHeight="1" x14ac:dyDescent="0.2">
      <c r="A108" s="1045"/>
      <c r="B108" s="255" t="str">
        <f>ListAVS!$B$355</f>
        <v>W razie wykorzystania trzeciego siłownika współczynnik mocy oraz waga frontu mogą się zwiększyć o 50 %.</v>
      </c>
      <c r="C108" s="255"/>
      <c r="D108" s="255"/>
      <c r="E108" s="255"/>
      <c r="F108" s="255"/>
      <c r="G108" s="255"/>
      <c r="H108" s="255"/>
      <c r="I108" s="255"/>
      <c r="J108" s="255"/>
      <c r="K108" s="255"/>
      <c r="L108" s="255"/>
      <c r="M108" s="255"/>
      <c r="O108" s="108"/>
    </row>
    <row r="109" spans="1:43" ht="15" customHeight="1" x14ac:dyDescent="0.2">
      <c r="A109" s="1045"/>
      <c r="B109" s="255" t="str">
        <f>"("&amp;ListAVS!$B$356&amp;")"</f>
        <v>(Dotyczy tylko siłownika 20K2E00)</v>
      </c>
      <c r="C109" s="255"/>
      <c r="D109" s="255"/>
      <c r="E109" s="255"/>
      <c r="F109" s="255"/>
      <c r="G109" s="255"/>
      <c r="H109" s="255"/>
      <c r="I109" s="255"/>
      <c r="J109" s="255"/>
      <c r="K109" s="255"/>
      <c r="L109" s="255"/>
      <c r="M109" s="255"/>
    </row>
    <row r="110" spans="1:43" ht="15" customHeight="1" x14ac:dyDescent="0.2">
      <c r="A110" s="1045"/>
      <c r="B110" s="273" t="str">
        <f>ListAVS!$B$183</f>
        <v>Dodatkowy trzeci siłownik można zastosować jedynie z pełnym frontem!</v>
      </c>
      <c r="C110" s="273"/>
      <c r="D110" s="255"/>
      <c r="E110" s="255"/>
      <c r="F110" s="255"/>
      <c r="G110" s="255"/>
      <c r="H110" s="255"/>
      <c r="I110" s="255"/>
      <c r="J110" s="255"/>
      <c r="K110" s="255"/>
      <c r="L110" s="255"/>
      <c r="M110" s="255"/>
    </row>
    <row r="111" spans="1:43" ht="15" customHeight="1" x14ac:dyDescent="0.2">
      <c r="A111" s="1045"/>
      <c r="B111" s="255"/>
      <c r="C111" s="255"/>
      <c r="D111" s="255"/>
      <c r="E111" s="255"/>
      <c r="F111" s="255"/>
      <c r="G111" s="255"/>
      <c r="H111" s="255"/>
      <c r="I111" s="255"/>
      <c r="J111" s="255"/>
      <c r="K111" s="255"/>
      <c r="L111" s="255"/>
      <c r="M111" s="255"/>
    </row>
    <row r="112" spans="1:43" ht="15" customHeight="1" x14ac:dyDescent="0.2">
      <c r="A112" s="1045"/>
      <c r="B112" s="255" t="str">
        <f>ListAVS!$B$312</f>
        <v>Jeśli znasz wagę frontu, możesz ją wprowadzić, w przeciwnym razie skorzystaj z „Obliczenia wagi”.</v>
      </c>
      <c r="C112" s="255"/>
      <c r="D112" s="255"/>
      <c r="E112" s="255"/>
      <c r="F112" s="255"/>
      <c r="G112" s="255"/>
      <c r="H112" s="255"/>
      <c r="I112" s="255"/>
      <c r="J112" s="255"/>
      <c r="K112" s="255"/>
      <c r="L112" s="255"/>
      <c r="M112" s="255"/>
    </row>
    <row r="113" spans="1:13" ht="15" customHeight="1" x14ac:dyDescent="0.2">
      <c r="A113" s="1045"/>
      <c r="B113" s="255" t="str">
        <f>ListAVS!$B$313</f>
        <v>W tabeli wprowadzona wartość ma pierwszeństwo aby skorzystać z wagi obliczeniowej, należy usunąć wprowadzoną wartość.</v>
      </c>
      <c r="C113" s="255"/>
      <c r="D113" s="255"/>
      <c r="E113" s="255"/>
      <c r="F113" s="255"/>
      <c r="G113" s="255"/>
      <c r="H113" s="255"/>
      <c r="I113" s="255"/>
      <c r="J113" s="255"/>
      <c r="K113" s="255"/>
      <c r="L113" s="255"/>
      <c r="M113" s="255"/>
    </row>
    <row r="114" spans="1:13" ht="15" customHeight="1" x14ac:dyDescent="0.2">
      <c r="A114" s="1045"/>
      <c r="B114" s="255"/>
      <c r="C114" s="255"/>
      <c r="D114" s="255"/>
      <c r="E114" s="255"/>
      <c r="F114" s="255"/>
      <c r="G114" s="255"/>
      <c r="H114" s="255"/>
      <c r="I114" s="255"/>
      <c r="J114" s="255"/>
      <c r="K114" s="255"/>
      <c r="L114" s="255"/>
      <c r="M114" s="255"/>
    </row>
    <row r="115" spans="1:13" ht="15" customHeight="1" x14ac:dyDescent="0.2">
      <c r="A115" s="1045"/>
      <c r="B115" s="255"/>
      <c r="C115" s="255"/>
      <c r="D115" s="255"/>
      <c r="E115" s="255"/>
      <c r="F115" s="255"/>
      <c r="G115" s="255"/>
      <c r="H115" s="255"/>
      <c r="I115" s="255"/>
      <c r="J115" s="255"/>
      <c r="K115" s="255"/>
      <c r="L115" s="255"/>
      <c r="M115" s="255"/>
    </row>
    <row r="116" spans="1:13" ht="15" customHeight="1" x14ac:dyDescent="0.2">
      <c r="A116" s="1045"/>
      <c r="B116" s="255" t="str">
        <f>ListAVS!$B$306</f>
        <v>Aby zmienić kolor zaślepek przejdź do „Wprowadzenie do planowania”</v>
      </c>
      <c r="C116" s="255"/>
      <c r="D116" s="255"/>
      <c r="E116" s="255"/>
      <c r="F116" s="255"/>
      <c r="G116" s="255"/>
      <c r="H116" s="255"/>
      <c r="I116" s="255"/>
      <c r="J116" s="255"/>
      <c r="K116" s="255"/>
      <c r="L116" s="255"/>
      <c r="M116" s="255"/>
    </row>
    <row r="117" spans="1:13" ht="15" customHeight="1" x14ac:dyDescent="0.2">
      <c r="A117" s="1045"/>
      <c r="B117" s="255"/>
      <c r="C117" s="255"/>
      <c r="D117" s="255"/>
      <c r="E117" s="255"/>
      <c r="F117" s="255"/>
      <c r="G117" s="255"/>
      <c r="H117" s="255"/>
      <c r="I117" s="255"/>
      <c r="J117" s="255"/>
      <c r="K117" s="255"/>
      <c r="L117" s="255"/>
      <c r="M117" s="255"/>
    </row>
    <row r="118" spans="1:13" ht="15" customHeight="1" x14ac:dyDescent="0.2">
      <c r="A118" s="1045"/>
      <c r="B118" s="255"/>
      <c r="C118" s="255"/>
      <c r="D118" s="255"/>
      <c r="E118" s="255"/>
      <c r="F118" s="255"/>
      <c r="G118" s="255"/>
      <c r="H118" s="255"/>
      <c r="I118" s="255"/>
      <c r="J118" s="255"/>
      <c r="K118" s="255"/>
      <c r="L118" s="255"/>
      <c r="M118" s="255"/>
    </row>
    <row r="119" spans="1:13" ht="15" customHeight="1" x14ac:dyDescent="0.2">
      <c r="A119" s="1045"/>
      <c r="B119" s="255"/>
      <c r="C119" s="255"/>
      <c r="D119" s="255"/>
      <c r="E119" s="255"/>
      <c r="F119" s="255"/>
      <c r="G119" s="255"/>
      <c r="H119" s="255"/>
      <c r="I119" s="255"/>
      <c r="J119" s="255"/>
      <c r="K119" s="255"/>
      <c r="L119" s="255"/>
      <c r="M119" s="255"/>
    </row>
    <row r="120" spans="1:13" ht="15" customHeight="1" x14ac:dyDescent="0.2">
      <c r="A120" s="1045"/>
      <c r="B120" s="255"/>
      <c r="C120" s="255"/>
      <c r="D120" s="255"/>
      <c r="E120" s="255"/>
      <c r="F120" s="255"/>
      <c r="G120" s="255"/>
      <c r="H120" s="255"/>
      <c r="I120" s="255"/>
      <c r="J120" s="255"/>
      <c r="K120" s="255"/>
      <c r="L120" s="255"/>
      <c r="M120" s="255"/>
    </row>
    <row r="121" spans="1:13" ht="15" customHeight="1" x14ac:dyDescent="0.2">
      <c r="A121" s="1045"/>
      <c r="B121" s="255"/>
      <c r="C121" s="255"/>
      <c r="D121" s="255"/>
      <c r="E121" s="255"/>
      <c r="F121" s="255"/>
      <c r="G121" s="255"/>
      <c r="H121" s="255"/>
      <c r="I121" s="255"/>
      <c r="J121" s="255"/>
      <c r="K121" s="255"/>
      <c r="L121" s="255"/>
      <c r="M121" s="255"/>
    </row>
    <row r="122" spans="1:13" ht="15" customHeight="1" x14ac:dyDescent="0.2">
      <c r="A122" s="1045"/>
      <c r="B122" s="255"/>
      <c r="C122" s="255"/>
      <c r="D122" s="255"/>
      <c r="E122" s="255"/>
      <c r="F122" s="255"/>
      <c r="G122" s="255"/>
      <c r="H122" s="255"/>
      <c r="I122" s="255"/>
      <c r="J122" s="255"/>
      <c r="K122" s="255"/>
      <c r="L122" s="779" t="str">
        <f>ListAVS!$B$168</f>
        <v>Z powrotem</v>
      </c>
      <c r="M122" s="255"/>
    </row>
    <row r="123" spans="1:13" ht="15" customHeight="1" x14ac:dyDescent="0.2">
      <c r="A123" s="1045"/>
    </row>
    <row r="124" spans="1:13" ht="15" customHeight="1" x14ac:dyDescent="0.2">
      <c r="A124" s="1045"/>
    </row>
    <row r="125" spans="1:13" x14ac:dyDescent="0.2">
      <c r="A125" s="1045"/>
      <c r="M125" s="137"/>
    </row>
    <row r="126" spans="1:13" x14ac:dyDescent="0.2">
      <c r="A126" s="1045"/>
    </row>
    <row r="127" spans="1:13" x14ac:dyDescent="0.2">
      <c r="A127" s="1045"/>
    </row>
    <row r="128" spans="1:13" x14ac:dyDescent="0.2">
      <c r="A128" s="1045"/>
    </row>
    <row r="129" spans="1:1" x14ac:dyDescent="0.2">
      <c r="A129" s="1045"/>
    </row>
    <row r="130" spans="1:1" x14ac:dyDescent="0.2">
      <c r="A130" s="1045"/>
    </row>
    <row r="131" spans="1:1" x14ac:dyDescent="0.2">
      <c r="A131" s="1045"/>
    </row>
    <row r="132" spans="1:1" x14ac:dyDescent="0.2">
      <c r="A132" s="1045"/>
    </row>
    <row r="133" spans="1:1" x14ac:dyDescent="0.2">
      <c r="A133" s="1045"/>
    </row>
    <row r="134" spans="1:1" x14ac:dyDescent="0.2">
      <c r="A134" s="1045"/>
    </row>
    <row r="135" spans="1:1" x14ac:dyDescent="0.2">
      <c r="A135" s="1045"/>
    </row>
    <row r="136" spans="1:1" x14ac:dyDescent="0.2">
      <c r="A136" s="1045"/>
    </row>
    <row r="137" spans="1:1" x14ac:dyDescent="0.2">
      <c r="A137" s="1045"/>
    </row>
    <row r="138" spans="1:1" x14ac:dyDescent="0.2">
      <c r="A138" s="1045"/>
    </row>
    <row r="139" spans="1:1" x14ac:dyDescent="0.2">
      <c r="A139" s="1045"/>
    </row>
    <row r="140" spans="1:1" x14ac:dyDescent="0.2">
      <c r="A140" s="1045"/>
    </row>
  </sheetData>
  <sheetProtection algorithmName="SHA-512" hashValue="U6ZBJbZtHPbzXmap0zNFRwXsO2gshiUV3+AdO8BVN5FkglbR3L54AHvL+3rTjCccmrysCsrIjt/UeDoZg7ZJYg==" saltValue="scXow5/cgQbvz3JLEjb1Kg==" spinCount="100000" sheet="1" objects="1" scenarios="1"/>
  <mergeCells count="65">
    <mergeCell ref="A99:A140"/>
    <mergeCell ref="E106:L106"/>
    <mergeCell ref="N82:T82"/>
    <mergeCell ref="N83:T83"/>
    <mergeCell ref="N84:T84"/>
    <mergeCell ref="Q66:U66"/>
    <mergeCell ref="S70:U70"/>
    <mergeCell ref="N71:T71"/>
    <mergeCell ref="N72:T72"/>
    <mergeCell ref="N81:T81"/>
    <mergeCell ref="N74:T74"/>
    <mergeCell ref="N75:T75"/>
    <mergeCell ref="S79:U79"/>
    <mergeCell ref="N80:T80"/>
    <mergeCell ref="N73:T73"/>
    <mergeCell ref="T31:U31"/>
    <mergeCell ref="M42:M43"/>
    <mergeCell ref="M45:M46"/>
    <mergeCell ref="B22:H22"/>
    <mergeCell ref="AP20:AT21"/>
    <mergeCell ref="B23:H23"/>
    <mergeCell ref="AP23:AT24"/>
    <mergeCell ref="B27:D27"/>
    <mergeCell ref="E27:H27"/>
    <mergeCell ref="B28:H28"/>
    <mergeCell ref="B24:C26"/>
    <mergeCell ref="D24:H24"/>
    <mergeCell ref="D25:H25"/>
    <mergeCell ref="D26:H26"/>
    <mergeCell ref="B21:H21"/>
    <mergeCell ref="V21:W21"/>
    <mergeCell ref="F20:I20"/>
    <mergeCell ref="B20:C20"/>
    <mergeCell ref="AP17:AQ17"/>
    <mergeCell ref="R20:S20"/>
    <mergeCell ref="V20:W20"/>
    <mergeCell ref="AP18:AQ18"/>
    <mergeCell ref="AP14:AQ15"/>
    <mergeCell ref="B17:H17"/>
    <mergeCell ref="AP16:AQ16"/>
    <mergeCell ref="B10:H10"/>
    <mergeCell ref="V10:W10"/>
    <mergeCell ref="AP10:AQ10"/>
    <mergeCell ref="B11:H11"/>
    <mergeCell ref="AP11:AQ11"/>
    <mergeCell ref="B12:H12"/>
    <mergeCell ref="AP12:AQ12"/>
    <mergeCell ref="B16:D16"/>
    <mergeCell ref="E16:H16"/>
    <mergeCell ref="B13:C15"/>
    <mergeCell ref="D13:H13"/>
    <mergeCell ref="D14:H14"/>
    <mergeCell ref="D15:H15"/>
    <mergeCell ref="AU1:BC1"/>
    <mergeCell ref="B2:D2"/>
    <mergeCell ref="AR8:AR9"/>
    <mergeCell ref="R9:S9"/>
    <mergeCell ref="V9:W9"/>
    <mergeCell ref="F9:I9"/>
    <mergeCell ref="B9:C9"/>
    <mergeCell ref="F5:J5"/>
    <mergeCell ref="K4:L5"/>
    <mergeCell ref="B7:D7"/>
    <mergeCell ref="H7:I7"/>
    <mergeCell ref="AP8:AQ9"/>
  </mergeCells>
  <conditionalFormatting sqref="B16:D16">
    <cfRule type="expression" dxfId="113" priority="14" stopIfTrue="1">
      <formula>$V$10=TRUE</formula>
    </cfRule>
  </conditionalFormatting>
  <conditionalFormatting sqref="B27:D27">
    <cfRule type="expression" dxfId="112" priority="15" stopIfTrue="1">
      <formula>$V$21=TRUE</formula>
    </cfRule>
  </conditionalFormatting>
  <conditionalFormatting sqref="E9">
    <cfRule type="expression" dxfId="111" priority="11">
      <formula>$M$17&gt;0</formula>
    </cfRule>
  </conditionalFormatting>
  <conditionalFormatting sqref="E20">
    <cfRule type="expression" dxfId="110" priority="9">
      <formula>$M$28&gt;0</formula>
    </cfRule>
  </conditionalFormatting>
  <conditionalFormatting sqref="J15 J12">
    <cfRule type="expression" dxfId="109" priority="5">
      <formula>$M$17=0</formula>
    </cfRule>
    <cfRule type="containsText" dxfId="108" priority="6" operator="containsText" text="Doplňte">
      <formula>NOT(ISERROR(SEARCH("Doplňte",J12)))</formula>
    </cfRule>
  </conditionalFormatting>
  <conditionalFormatting sqref="J26">
    <cfRule type="containsText" dxfId="107" priority="3" operator="containsText" text="Doplňte">
      <formula>NOT(ISERROR(SEARCH("Doplňte",J26)))</formula>
    </cfRule>
  </conditionalFormatting>
  <conditionalFormatting sqref="J26">
    <cfRule type="expression" dxfId="106" priority="4">
      <formula>$M$28=0</formula>
    </cfRule>
  </conditionalFormatting>
  <conditionalFormatting sqref="J23">
    <cfRule type="containsText" dxfId="105" priority="1" operator="containsText" text="Doplňte">
      <formula>NOT(ISERROR(SEARCH("Doplňte",J23)))</formula>
    </cfRule>
  </conditionalFormatting>
  <conditionalFormatting sqref="J23">
    <cfRule type="expression" dxfId="104" priority="2">
      <formula>$M$28=0</formula>
    </cfRule>
  </conditionalFormatting>
  <hyperlinks>
    <hyperlink ref="B7" location="HFW!A100" tooltip=" " display="HFW!A100" xr:uid="{5B84C3C3-C19A-4B0C-B060-A75B952582A7}"/>
    <hyperlink ref="N71:T71" location="HKSw!H10" tooltip=" " display="HKSw!H10" xr:uid="{D7F80A85-D13E-41F2-8DC5-1392CF00C742}"/>
    <hyperlink ref="N72:T72" location="HKSw!H11" tooltip=" " display="HKSw!H11" xr:uid="{706C4353-DE80-4513-98FB-1B5BB121D172}"/>
    <hyperlink ref="N80:T80" location="HKSw!H19" tooltip=" " display="HKSw!H19" xr:uid="{886AFE9C-FF8B-4DA5-9EF6-F35598E5F9FD}"/>
    <hyperlink ref="N81:T81" location="HKSw!H20" tooltip=" " display="HKSw!H20" xr:uid="{F434C270-9531-4514-AEBB-3ED1F3DBE0D9}"/>
    <hyperlink ref="B7:D7" location="HKXSw!A100" tooltip=" " display="HKXSw!A100" xr:uid="{5FCE4890-0B7A-45AD-AD2F-B2C5E1DFDF6D}"/>
    <hyperlink ref="AM5" location="HKXSw!A100" tooltip=" " display="HKXSw!A100" xr:uid="{E1DE98C9-105C-46D9-AB3E-FCDF04FBAB0C}"/>
    <hyperlink ref="L122" location="HKXSw!A1" tooltip=" " display="HKXSw!A1" xr:uid="{792633B3-3259-41D2-A96D-86E7F6FF870F}"/>
    <hyperlink ref="AM9" location="SumAVS!A1" tooltip=" " display="SumAVS!A1" xr:uid="{56AB5B9E-F492-4494-AB68-9EC060CB42F3}"/>
    <hyperlink ref="AM10" location="OrdAVS!A1" tooltip=" " display="OrdAVS!A1" xr:uid="{71206A29-60F5-4CE1-9E44-C916C9A7BB0C}"/>
    <hyperlink ref="AM7" location="AcsAVS!A1" tooltip=" " display="AcsAVS!A1" xr:uid="{2AB999CC-4B68-4D0A-9C9C-051D11E50697}"/>
    <hyperlink ref="AM4" location="MenuAVS!A1" tooltip=" " display="MenuAVS!A1" xr:uid="{14C2BB19-C4B1-469D-8AEC-7EEA7AC84448}"/>
    <hyperlink ref="B2:C2" location="HK!A1" tooltip=" " display="AVENTOS HK top" xr:uid="{DB370E60-C2AC-477E-847A-79EF0C9E209F}"/>
    <hyperlink ref="B2:L2" location="HKXS!A1" tooltip=" " display="AVENTOS HK-XS" xr:uid="{22127DE9-806B-4B99-ACF2-248BD48AA7F6}"/>
  </hyperlinks>
  <pageMargins left="0.62992125984251968" right="0.23622047244094488" top="0.74803149606299213" bottom="0.74803149606299213" header="0.31496062992125984" footer="0.31496062992125984"/>
  <pageSetup paperSize="9" orientation="portrait" horizontalDpi="4294967293"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75105" r:id="rId4" name="Drop Down 1">
              <controlPr defaultSize="0" autoLine="0" autoPict="0">
                <anchor moveWithCells="1">
                  <from>
                    <xdr:col>4</xdr:col>
                    <xdr:colOff>19050</xdr:colOff>
                    <xdr:row>6</xdr:row>
                    <xdr:rowOff>9525</xdr:rowOff>
                  </from>
                  <to>
                    <xdr:col>6</xdr:col>
                    <xdr:colOff>571500</xdr:colOff>
                    <xdr:row>7</xdr:row>
                    <xdr:rowOff>9525</xdr:rowOff>
                  </to>
                </anchor>
              </controlPr>
            </control>
          </mc:Choice>
        </mc:AlternateContent>
        <mc:AlternateContent xmlns:mc="http://schemas.openxmlformats.org/markup-compatibility/2006">
          <mc:Choice Requires="x14">
            <control shapeId="175107" r:id="rId5" name="Check Box 3">
              <controlPr defaultSize="0" autoFill="0" autoLine="0" autoPict="0">
                <anchor moveWithCells="1">
                  <from>
                    <xdr:col>3</xdr:col>
                    <xdr:colOff>381000</xdr:colOff>
                    <xdr:row>14</xdr:row>
                    <xdr:rowOff>190500</xdr:rowOff>
                  </from>
                  <to>
                    <xdr:col>4</xdr:col>
                    <xdr:colOff>57150</xdr:colOff>
                    <xdr:row>16</xdr:row>
                    <xdr:rowOff>9525</xdr:rowOff>
                  </to>
                </anchor>
              </controlPr>
            </control>
          </mc:Choice>
        </mc:AlternateContent>
        <mc:AlternateContent xmlns:mc="http://schemas.openxmlformats.org/markup-compatibility/2006">
          <mc:Choice Requires="x14">
            <control shapeId="175108" r:id="rId6" name="Check Box 4">
              <controlPr defaultSize="0" autoFill="0" autoLine="0" autoPict="0">
                <anchor moveWithCells="1">
                  <from>
                    <xdr:col>3</xdr:col>
                    <xdr:colOff>400050</xdr:colOff>
                    <xdr:row>26</xdr:row>
                    <xdr:rowOff>0</xdr:rowOff>
                  </from>
                  <to>
                    <xdr:col>4</xdr:col>
                    <xdr:colOff>95250</xdr:colOff>
                    <xdr:row>27</xdr:row>
                    <xdr:rowOff>19050</xdr:rowOff>
                  </to>
                </anchor>
              </controlPr>
            </control>
          </mc:Choice>
        </mc:AlternateContent>
        <mc:AlternateContent xmlns:mc="http://schemas.openxmlformats.org/markup-compatibility/2006">
          <mc:Choice Requires="x14">
            <control shapeId="175109" r:id="rId7" name="Drop Down 5">
              <controlPr defaultSize="0" autoLine="0" autoPict="0">
                <anchor moveWithCells="1">
                  <from>
                    <xdr:col>1</xdr:col>
                    <xdr:colOff>0</xdr:colOff>
                    <xdr:row>9</xdr:row>
                    <xdr:rowOff>0</xdr:rowOff>
                  </from>
                  <to>
                    <xdr:col>3</xdr:col>
                    <xdr:colOff>0</xdr:colOff>
                    <xdr:row>10</xdr:row>
                    <xdr:rowOff>0</xdr:rowOff>
                  </to>
                </anchor>
              </controlPr>
            </control>
          </mc:Choice>
        </mc:AlternateContent>
        <mc:AlternateContent xmlns:mc="http://schemas.openxmlformats.org/markup-compatibility/2006">
          <mc:Choice Requires="x14">
            <control shapeId="175110" r:id="rId8" name="Drop Down 6">
              <controlPr defaultSize="0" autoLine="0" autoPict="0">
                <anchor moveWithCells="1">
                  <from>
                    <xdr:col>1</xdr:col>
                    <xdr:colOff>0</xdr:colOff>
                    <xdr:row>20</xdr:row>
                    <xdr:rowOff>0</xdr:rowOff>
                  </from>
                  <to>
                    <xdr:col>2</xdr:col>
                    <xdr:colOff>571500</xdr:colOff>
                    <xdr:row>21</xdr:row>
                    <xdr:rowOff>0</xdr:rowOff>
                  </to>
                </anchor>
              </controlPr>
            </control>
          </mc:Choice>
        </mc:AlternateContent>
        <mc:AlternateContent xmlns:mc="http://schemas.openxmlformats.org/markup-compatibility/2006">
          <mc:Choice Requires="x14">
            <control shapeId="175112" r:id="rId9" name="Drop Down 8">
              <controlPr defaultSize="0" autoLine="0" autoPict="0">
                <anchor moveWithCells="1">
                  <from>
                    <xdr:col>6</xdr:col>
                    <xdr:colOff>9525</xdr:colOff>
                    <xdr:row>3</xdr:row>
                    <xdr:rowOff>0</xdr:rowOff>
                  </from>
                  <to>
                    <xdr:col>9</xdr:col>
                    <xdr:colOff>0</xdr:colOff>
                    <xdr:row>4</xdr:row>
                    <xdr:rowOff>0</xdr:rowOff>
                  </to>
                </anchor>
              </controlPr>
            </control>
          </mc:Choice>
        </mc:AlternateContent>
      </controls>
    </mc:Choice>
  </mc:AlternateContent>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C2894-D794-4BF4-822B-0B1867E2CCE0}">
  <sheetPr codeName="Sheet53">
    <tabColor indexed="63"/>
  </sheetPr>
  <dimension ref="A1:BC147"/>
  <sheetViews>
    <sheetView showGridLines="0" showRowColHeaders="0" workbookViewId="0">
      <selection activeCell="K16" sqref="K16"/>
    </sheetView>
  </sheetViews>
  <sheetFormatPr defaultColWidth="8.28515625" defaultRowHeight="12" x14ac:dyDescent="0.2"/>
  <cols>
    <col min="1" max="1" width="1.28515625" style="37" customWidth="1"/>
    <col min="2" max="9" width="8.5703125" style="37" customWidth="1"/>
    <col min="10" max="10" width="6.7109375" style="37" customWidth="1"/>
    <col min="11" max="11" width="10.42578125" style="37" customWidth="1"/>
    <col min="12" max="12" width="17.28515625" style="37" customWidth="1"/>
    <col min="13" max="15" width="6.42578125" style="37" hidden="1" customWidth="1"/>
    <col min="16" max="16" width="6.42578125" style="118" hidden="1" customWidth="1"/>
    <col min="17" max="17" width="6.42578125" style="37" hidden="1" customWidth="1"/>
    <col min="18" max="18" width="7.28515625" style="118" hidden="1" customWidth="1"/>
    <col min="19" max="19" width="6.42578125" style="37" hidden="1" customWidth="1"/>
    <col min="20" max="20" width="7.7109375" style="37" hidden="1" customWidth="1"/>
    <col min="21" max="21" width="9.5703125" style="37" hidden="1" customWidth="1"/>
    <col min="22" max="22" width="8.7109375" style="37" hidden="1" customWidth="1"/>
    <col min="23" max="26" width="6.42578125" style="37" hidden="1" customWidth="1"/>
    <col min="27" max="27" width="37.28515625" style="37" hidden="1" customWidth="1"/>
    <col min="28" max="28" width="13.5703125" style="37" hidden="1" customWidth="1"/>
    <col min="29" max="31" width="6.7109375" style="37" hidden="1" customWidth="1"/>
    <col min="32" max="32" width="9.42578125" style="37" hidden="1" customWidth="1"/>
    <col min="33" max="36" width="6.7109375" style="37" hidden="1" customWidth="1"/>
    <col min="37" max="37" width="3.28515625" style="37" hidden="1" customWidth="1"/>
    <col min="38" max="38" width="3.28515625" style="108" customWidth="1"/>
    <col min="39" max="39" width="23.42578125" style="108" customWidth="1"/>
    <col min="40" max="41" width="8.28515625" style="137"/>
    <col min="42" max="43" width="17.28515625" style="137" customWidth="1"/>
    <col min="44" max="44" width="22.28515625" style="137" customWidth="1"/>
    <col min="45" max="47" width="8.28515625" style="137"/>
    <col min="48" max="48" width="16.28515625" style="137" customWidth="1"/>
    <col min="49" max="49" width="22.42578125" style="137" customWidth="1"/>
    <col min="50" max="50" width="18.7109375" style="137" customWidth="1"/>
    <col min="51" max="16384" width="8.28515625" style="137"/>
  </cols>
  <sheetData>
    <row r="1" spans="2:55" ht="4.5" customHeight="1" thickBot="1" x14ac:dyDescent="0.25">
      <c r="L1" s="137"/>
      <c r="O1" s="118"/>
      <c r="P1" s="37"/>
      <c r="Q1" s="118"/>
      <c r="R1" s="37"/>
      <c r="AK1" s="108"/>
      <c r="AU1" s="1121"/>
      <c r="AV1" s="1121"/>
      <c r="AW1" s="1121"/>
      <c r="AX1" s="1121"/>
      <c r="AY1" s="1121"/>
      <c r="AZ1" s="1121"/>
      <c r="BA1" s="1121"/>
      <c r="BB1" s="1121"/>
      <c r="BC1" s="1121"/>
    </row>
    <row r="2" spans="2:55" s="108" customFormat="1" ht="19.5" customHeight="1" thickBot="1" x14ac:dyDescent="0.25">
      <c r="B2" s="1048" t="s">
        <v>5</v>
      </c>
      <c r="C2" s="1048"/>
      <c r="D2" s="1048"/>
      <c r="E2" s="886"/>
      <c r="F2" s="886"/>
      <c r="G2" s="886"/>
      <c r="H2" s="886"/>
      <c r="I2" s="886"/>
      <c r="J2" s="886"/>
      <c r="K2" s="886"/>
      <c r="L2" s="886"/>
      <c r="M2" s="759"/>
      <c r="O2" s="108" t="s">
        <v>64</v>
      </c>
      <c r="S2" s="117">
        <v>3</v>
      </c>
      <c r="AM2" s="760" t="str">
        <f>ListAVS!$B$153</f>
        <v>Przejdź do</v>
      </c>
    </row>
    <row r="3" spans="2:55" ht="3.75" customHeight="1" x14ac:dyDescent="0.2">
      <c r="B3" s="210"/>
      <c r="C3" s="211"/>
      <c r="D3" s="211"/>
      <c r="E3" s="211"/>
      <c r="F3" s="211"/>
      <c r="G3" s="211"/>
      <c r="H3" s="211"/>
      <c r="I3" s="211"/>
      <c r="J3" s="211"/>
      <c r="K3" s="211"/>
      <c r="L3" s="137"/>
      <c r="O3" s="118"/>
      <c r="P3" s="37"/>
      <c r="Q3" s="118"/>
      <c r="R3" s="37"/>
      <c r="AK3" s="137"/>
      <c r="AM3" s="670"/>
    </row>
    <row r="4" spans="2:55" ht="16.149999999999999" customHeight="1" thickBot="1" x14ac:dyDescent="0.25">
      <c r="B4" s="314" t="str">
        <f>ListAVS!$B$20&amp;" ***"</f>
        <v>Szeroka ramka aluminiowa ***</v>
      </c>
      <c r="C4" s="313"/>
      <c r="D4" s="266"/>
      <c r="E4" s="313"/>
      <c r="F4" s="269" t="str">
        <f>ListAVS!$B$180&amp;"  "</f>
        <v xml:space="preserve">Wykonanie frontów  </v>
      </c>
      <c r="G4" s="255"/>
      <c r="H4" s="255"/>
      <c r="I4" s="255"/>
      <c r="J4" s="260"/>
      <c r="K4" s="1187" t="str">
        <f>V65</f>
        <v xml:space="preserve"> </v>
      </c>
      <c r="L4" s="1187"/>
      <c r="O4" s="117">
        <v>1</v>
      </c>
      <c r="P4" s="37"/>
      <c r="Q4" s="118"/>
      <c r="R4" s="37"/>
      <c r="S4" s="37" t="str">
        <f>" "&amp;ListAVS!$B$41&amp;" A "</f>
        <v xml:space="preserve"> Cena za korpus A </v>
      </c>
      <c r="AK4" s="137"/>
      <c r="AM4" s="383" t="s">
        <v>77</v>
      </c>
    </row>
    <row r="5" spans="2:55" ht="16.149999999999999" customHeight="1" x14ac:dyDescent="0.2">
      <c r="B5" s="266"/>
      <c r="C5" s="313"/>
      <c r="D5" s="313"/>
      <c r="E5" s="313"/>
      <c r="F5" s="1016" t="str">
        <f>IF($AG$71&lt;&gt;3,$Z$66," ")&amp;"      "</f>
        <v xml:space="preserve"> Możesz zmienić wartości we Wstępie do planowania      </v>
      </c>
      <c r="G5" s="1016"/>
      <c r="H5" s="1016"/>
      <c r="I5" s="1016"/>
      <c r="J5" s="1016"/>
      <c r="K5" s="1187"/>
      <c r="L5" s="1187"/>
      <c r="O5" s="118" t="s">
        <v>65</v>
      </c>
      <c r="P5" s="37"/>
      <c r="Q5" s="118"/>
      <c r="R5" s="37"/>
      <c r="S5" s="37" t="str">
        <f>" "&amp;ListAVS!$B$41&amp;" B "</f>
        <v xml:space="preserve"> Cena za korpus B </v>
      </c>
      <c r="AK5" s="137"/>
      <c r="AM5" s="782" t="str">
        <f>" "&amp;ListAVS!$B$155</f>
        <v xml:space="preserve"> Pomoc</v>
      </c>
    </row>
    <row r="6" spans="2:55" ht="25.15" customHeight="1" x14ac:dyDescent="0.2">
      <c r="B6" s="313"/>
      <c r="C6" s="313"/>
      <c r="D6" s="313"/>
      <c r="E6" s="313"/>
      <c r="F6" s="266"/>
      <c r="G6" s="434"/>
      <c r="H6" s="434"/>
      <c r="I6" s="434"/>
      <c r="J6" s="434"/>
      <c r="K6" s="434"/>
      <c r="L6" s="266"/>
      <c r="O6" s="323" t="s">
        <v>66</v>
      </c>
      <c r="P6" s="37"/>
      <c r="Q6" s="118"/>
      <c r="R6" s="37"/>
      <c r="S6" s="37" t="str">
        <f>" "&amp;ListAVS!$B$61</f>
        <v xml:space="preserve"> Cena całkowita bez VAT</v>
      </c>
      <c r="AK6" s="137"/>
      <c r="AM6" s="761"/>
    </row>
    <row r="7" spans="2:55" ht="16.149999999999999" customHeight="1" x14ac:dyDescent="0.2">
      <c r="B7" s="1207" t="str">
        <f>ListAVS!$B$51&amp;":   "</f>
        <v xml:space="preserve">Cena okucia:   </v>
      </c>
      <c r="C7" s="1207"/>
      <c r="D7" s="1207"/>
      <c r="E7" s="255"/>
      <c r="F7" s="266"/>
      <c r="G7" s="266"/>
      <c r="H7" s="1061">
        <f>IF($S$2=1, $AH$50, IF($S$2=2, $AJ$50, IF($S$2=3, $AF$50,0)))</f>
        <v>0</v>
      </c>
      <c r="I7" s="1062"/>
      <c r="J7" s="255"/>
      <c r="K7" s="255"/>
      <c r="L7" s="255"/>
      <c r="O7" s="118"/>
      <c r="P7" s="37"/>
      <c r="Q7" s="118"/>
      <c r="R7" s="37"/>
      <c r="AA7" s="156" t="str">
        <f>$B$2</f>
        <v>AVENTOS HK-XS</v>
      </c>
      <c r="AB7" s="157">
        <f>D5</f>
        <v>0</v>
      </c>
      <c r="AC7" s="157"/>
      <c r="AD7" s="157"/>
      <c r="AE7" s="157"/>
      <c r="AF7" s="158"/>
      <c r="AI7" s="118"/>
      <c r="AK7" s="108"/>
      <c r="AM7" s="675" t="str">
        <f>" "&amp;ListAVS!$B$160</f>
        <v xml:space="preserve"> Dodatki</v>
      </c>
    </row>
    <row r="8" spans="2:55" ht="22.5" customHeight="1" thickBot="1" x14ac:dyDescent="0.25">
      <c r="B8" s="255"/>
      <c r="C8" s="255"/>
      <c r="D8" s="255"/>
      <c r="E8" s="255"/>
      <c r="F8" s="255"/>
      <c r="G8" s="255"/>
      <c r="H8" s="255"/>
      <c r="I8" s="255"/>
      <c r="J8" s="255"/>
      <c r="K8" s="255"/>
      <c r="L8" s="255"/>
      <c r="O8" s="118"/>
      <c r="P8" s="37"/>
      <c r="Q8" s="118"/>
      <c r="R8" s="37"/>
      <c r="AA8" s="159">
        <f>ListAVS!D52</f>
        <v>0</v>
      </c>
      <c r="AB8" s="160" t="str">
        <f>ListAVS!$B$53</f>
        <v>Kod asortymentu</v>
      </c>
      <c r="AC8" s="161">
        <f>ListAVS!D54</f>
        <v>0</v>
      </c>
      <c r="AD8" s="161">
        <f>ListAVS!D56</f>
        <v>0</v>
      </c>
      <c r="AE8" s="162">
        <f>ListAVS!D58</f>
        <v>0</v>
      </c>
      <c r="AF8" s="161">
        <f>ListAVS!D59</f>
        <v>0</v>
      </c>
      <c r="AG8" s="204" t="s">
        <v>29</v>
      </c>
      <c r="AH8" s="163" t="s">
        <v>30</v>
      </c>
      <c r="AI8" s="163" t="s">
        <v>31</v>
      </c>
      <c r="AJ8" s="163" t="s">
        <v>30</v>
      </c>
      <c r="AK8" s="108"/>
      <c r="AM8" s="671"/>
      <c r="AP8" s="1193" t="str">
        <f>"  "&amp;ListAVS!$B$86&amp;" LF "</f>
        <v xml:space="preserve">  Współczynnik mocy LF </v>
      </c>
      <c r="AQ8" s="1193"/>
      <c r="AR8" s="1193" t="str">
        <f>ListAVS!$B$84</f>
        <v>Mechanizm podnoszący</v>
      </c>
      <c r="AS8" s="404"/>
      <c r="AT8" s="404"/>
      <c r="AU8" s="787"/>
      <c r="AV8" s="787"/>
      <c r="AW8" s="787"/>
      <c r="AX8" s="404"/>
      <c r="AY8" s="404"/>
    </row>
    <row r="9" spans="2:55" ht="16.149999999999999" customHeight="1" thickBot="1" x14ac:dyDescent="0.25">
      <c r="B9" s="1051" t="str">
        <f>"▼ "&amp;ListAVS!$B$318</f>
        <v>▼ Sposób otwierania</v>
      </c>
      <c r="C9" s="1052"/>
      <c r="D9" s="406" t="str">
        <f>IF($M$17&gt;0, ListAVS!$B$37&amp;": ", " ")</f>
        <v xml:space="preserve"> </v>
      </c>
      <c r="E9" s="688" t="str">
        <f>IF($AG$9&gt;0,"11",IF($AG$10&gt;0,"13",IF($AG$11&gt;0,"15",IF($AG$15&gt;0,"11T",IF($AG$16&gt;0,"13T", IF($AG$17&gt;0, "15T", " "))))))</f>
        <v xml:space="preserve"> </v>
      </c>
      <c r="F9" s="1056" t="str">
        <f>ListAVS!$B$64&amp;" A"</f>
        <v>Korpus A</v>
      </c>
      <c r="G9" s="1057"/>
      <c r="H9" s="1057"/>
      <c r="I9" s="1058"/>
      <c r="J9" s="256"/>
      <c r="K9" s="255"/>
      <c r="L9" s="255"/>
      <c r="N9" s="119"/>
      <c r="O9" s="132"/>
      <c r="P9" s="119"/>
      <c r="Q9" s="132"/>
      <c r="R9" s="1205" t="s">
        <v>118</v>
      </c>
      <c r="S9" s="1206"/>
      <c r="T9" s="762"/>
      <c r="U9" s="763"/>
      <c r="V9" s="1205" t="s">
        <v>89</v>
      </c>
      <c r="W9" s="1206"/>
      <c r="X9" s="136"/>
      <c r="Y9" s="213" t="s">
        <v>26</v>
      </c>
      <c r="Z9" s="214"/>
      <c r="AA9" s="164" t="str">
        <f>CenAVS!A108</f>
        <v xml:space="preserve">Aventos HK-XS słaby        </v>
      </c>
      <c r="AB9" s="164" t="str">
        <f>CenAVS!B108</f>
        <v>20K1101</v>
      </c>
      <c r="AC9" s="164" t="str">
        <f>CenAVS!C108</f>
        <v>NI</v>
      </c>
      <c r="AD9" s="165">
        <f t="shared" ref="AD9:AD33" si="0">SUM(AG9,AI9)</f>
        <v>0</v>
      </c>
      <c r="AE9" s="395">
        <f>CenAVS!F108</f>
        <v>32.283230000000003</v>
      </c>
      <c r="AF9" s="167">
        <f>AD9*AE9</f>
        <v>0</v>
      </c>
      <c r="AG9" s="407">
        <f>IF($U$16=1,SUM($O$11:$P$11)*$M$17,0)</f>
        <v>0</v>
      </c>
      <c r="AH9" s="168">
        <f>$AE9*AG9</f>
        <v>0</v>
      </c>
      <c r="AI9" s="407">
        <f>IF($U$27=1,SUM($O$22:$P$22)*$M$28,0)</f>
        <v>0</v>
      </c>
      <c r="AJ9" s="168">
        <f>$AE9*AI9</f>
        <v>0</v>
      </c>
      <c r="AK9" s="108"/>
      <c r="AM9" s="383" t="str">
        <f>" "&amp;ListAVS!$B$157</f>
        <v xml:space="preserve"> Rodzaje korpusów</v>
      </c>
      <c r="AP9" s="1193"/>
      <c r="AQ9" s="1193"/>
      <c r="AR9" s="1193"/>
      <c r="AS9" s="404"/>
      <c r="AT9" s="404"/>
      <c r="AU9" s="787"/>
      <c r="AV9" s="787"/>
      <c r="AW9" s="787"/>
      <c r="AX9" s="404"/>
      <c r="AY9" s="404"/>
    </row>
    <row r="10" spans="2:55" s="37" customFormat="1" ht="16.149999999999999" customHeight="1" thickBot="1" x14ac:dyDescent="0.25">
      <c r="B10" s="1011" t="str">
        <f>ListAVS!$B$74&amp;" KB [mm] "</f>
        <v xml:space="preserve">Szerokość korpusu KB [mm] </v>
      </c>
      <c r="C10" s="1012"/>
      <c r="D10" s="1012"/>
      <c r="E10" s="1012"/>
      <c r="F10" s="1012"/>
      <c r="G10" s="1012"/>
      <c r="H10" s="1013"/>
      <c r="I10" s="257"/>
      <c r="J10" s="256" t="str">
        <f>IF($I10=0," ",IF($I10&lt;220," min. 220mm",IF($I10&gt;1800," max. 1 800mm"," ")))&amp;IF(I17&gt;0,IF(I10=0,"● "&amp;ListAVS!$B$129," ")," ")</f>
        <v xml:space="preserve">  </v>
      </c>
      <c r="K10" s="255"/>
      <c r="L10" s="255"/>
      <c r="N10" s="198" t="s">
        <v>32</v>
      </c>
      <c r="O10" s="200" t="s">
        <v>119</v>
      </c>
      <c r="P10" s="200" t="s">
        <v>91</v>
      </c>
      <c r="Q10" s="119"/>
      <c r="R10" s="764" t="s">
        <v>93</v>
      </c>
      <c r="S10" s="764" t="s">
        <v>76</v>
      </c>
      <c r="T10" s="765" t="s">
        <v>94</v>
      </c>
      <c r="U10" s="765" t="s">
        <v>95</v>
      </c>
      <c r="V10" s="1214" t="b">
        <v>0</v>
      </c>
      <c r="W10" s="1215"/>
      <c r="X10" s="215"/>
      <c r="Y10" s="766"/>
      <c r="Z10" s="766"/>
      <c r="AA10" s="164" t="str">
        <f>CenAVS!A109</f>
        <v xml:space="preserve">Aventos HK-XS średni        </v>
      </c>
      <c r="AB10" s="164" t="str">
        <f>CenAVS!B109</f>
        <v>20K1301</v>
      </c>
      <c r="AC10" s="164" t="str">
        <f>CenAVS!C109</f>
        <v>NI</v>
      </c>
      <c r="AD10" s="165">
        <f t="shared" si="0"/>
        <v>0</v>
      </c>
      <c r="AE10" s="395">
        <f>CenAVS!F109</f>
        <v>32.283230000000003</v>
      </c>
      <c r="AF10" s="167">
        <f t="shared" ref="AF10:AF33" si="1">AD10*AE10</f>
        <v>0</v>
      </c>
      <c r="AG10" s="407">
        <f>IF($U$16=1,SUM($O$12:$P$12)*$M$17,0)</f>
        <v>0</v>
      </c>
      <c r="AH10" s="168">
        <f t="shared" ref="AH10:AH33" si="2">$AE10*AG10</f>
        <v>0</v>
      </c>
      <c r="AI10" s="407">
        <f>IF($U$27=1,SUM($O$23:$P$23)*$M$28,0)</f>
        <v>0</v>
      </c>
      <c r="AJ10" s="168">
        <f t="shared" ref="AJ10:AJ33" si="3">$AE10*AI10</f>
        <v>0</v>
      </c>
      <c r="AK10" s="108"/>
      <c r="AL10" s="108"/>
      <c r="AM10" s="383" t="str">
        <f>" "&amp;ListAVS!$B$158</f>
        <v xml:space="preserve"> Zamówienie</v>
      </c>
      <c r="AN10" s="137"/>
      <c r="AO10" s="137"/>
      <c r="AP10" s="1169" t="s">
        <v>120</v>
      </c>
      <c r="AQ10" s="1169"/>
      <c r="AR10" s="753" t="s">
        <v>121</v>
      </c>
      <c r="AS10" s="227"/>
      <c r="AT10" s="227"/>
      <c r="AU10" s="227"/>
      <c r="AV10" s="227"/>
      <c r="AW10" s="268"/>
      <c r="AX10" s="227"/>
      <c r="AY10" s="227"/>
    </row>
    <row r="11" spans="2:55" s="37" customFormat="1" ht="16.149999999999999" customHeight="1" x14ac:dyDescent="0.2">
      <c r="B11" s="1011" t="str">
        <f>ListAVS!$B$75&amp;" KH [mm]  "</f>
        <v xml:space="preserve">Wysokość korpusu KH [mm]  </v>
      </c>
      <c r="C11" s="1012"/>
      <c r="D11" s="1012"/>
      <c r="E11" s="1012"/>
      <c r="F11" s="1012"/>
      <c r="G11" s="1012"/>
      <c r="H11" s="1013"/>
      <c r="I11" s="257"/>
      <c r="J11" s="256" t="str">
        <f>IF($I11=0," ",IF($I11&lt;236," min. 236mm",IF($I11&gt;600," max. 600 mm"," ")))&amp;IF(I17&gt;0,IF(I11=0,"● "&amp;ListAVS!$B$129," ")," ")</f>
        <v xml:space="preserve">  </v>
      </c>
      <c r="K11" s="255"/>
      <c r="L11" s="255"/>
      <c r="N11" s="119" t="s">
        <v>122</v>
      </c>
      <c r="O11" s="132">
        <f>IF($V$10=FALSE,IF($I$16&gt;R11,IF($I$16&lt;S11,1,0),0),0)</f>
        <v>0</v>
      </c>
      <c r="P11" s="206">
        <f>IF($V$10=TRUE,IF($I$16&gt;V11,IF($I$16&lt;W11,2,0),0),0)</f>
        <v>0</v>
      </c>
      <c r="Q11" s="119"/>
      <c r="R11" s="767">
        <f>IF(U16=1,199.99,179.99)</f>
        <v>199.99</v>
      </c>
      <c r="S11" s="767">
        <f>IF(U16=1,750,650)</f>
        <v>750</v>
      </c>
      <c r="T11" s="768"/>
      <c r="U11" s="119"/>
      <c r="V11" s="767">
        <f>IF(U16=1,399.99,359.99)</f>
        <v>399.99</v>
      </c>
      <c r="W11" s="767">
        <f>IF(U16=1,1500,1300)</f>
        <v>1500</v>
      </c>
      <c r="X11" s="767"/>
      <c r="Y11" s="769">
        <f>IF(OR(I10&gt;1199,I16&gt;2699),4,IF(OR(I10&gt;899,I16&gt;1799),3,2))</f>
        <v>2</v>
      </c>
      <c r="Z11" s="767"/>
      <c r="AA11" s="164" t="str">
        <f>CenAVS!A110</f>
        <v xml:space="preserve">Aventos HK-XS mocny        </v>
      </c>
      <c r="AB11" s="164" t="str">
        <f>CenAVS!B110</f>
        <v>20K1501</v>
      </c>
      <c r="AC11" s="164" t="str">
        <f>CenAVS!C110</f>
        <v>NI</v>
      </c>
      <c r="AD11" s="165">
        <f t="shared" si="0"/>
        <v>0</v>
      </c>
      <c r="AE11" s="395">
        <f>CenAVS!F110</f>
        <v>32.283230000000003</v>
      </c>
      <c r="AF11" s="167">
        <f t="shared" si="1"/>
        <v>0</v>
      </c>
      <c r="AG11" s="407">
        <f>IF($U$16=1,SUM($O$13:$P$13)*$M$17,0)</f>
        <v>0</v>
      </c>
      <c r="AH11" s="168">
        <f t="shared" si="2"/>
        <v>0</v>
      </c>
      <c r="AI11" s="407">
        <f>IF($U$27=1,SUM($O$24:$P$24)*$M$28,0)</f>
        <v>0</v>
      </c>
      <c r="AJ11" s="168">
        <f t="shared" si="3"/>
        <v>0</v>
      </c>
      <c r="AK11" s="108"/>
      <c r="AL11" s="108"/>
      <c r="AM11" s="255"/>
      <c r="AN11" s="137"/>
      <c r="AO11" s="137"/>
      <c r="AP11" s="1169" t="s">
        <v>123</v>
      </c>
      <c r="AQ11" s="1169"/>
      <c r="AR11" s="753" t="s">
        <v>124</v>
      </c>
      <c r="AS11" s="227"/>
      <c r="AT11" s="227"/>
      <c r="AU11" s="227"/>
      <c r="AV11" s="227"/>
      <c r="AW11" s="268"/>
      <c r="AX11" s="227"/>
      <c r="AY11" s="227"/>
    </row>
    <row r="12" spans="2:55" s="37" customFormat="1" ht="16.149999999999999" customHeight="1" x14ac:dyDescent="0.2">
      <c r="B12" s="1011" t="str">
        <f>ListAVS!$B$78&amp;" [kg] ** "</f>
        <v xml:space="preserve">Waga frontu wraz z 2 uchwytami [kg] ** </v>
      </c>
      <c r="C12" s="1012"/>
      <c r="D12" s="1012"/>
      <c r="E12" s="1012"/>
      <c r="F12" s="1012"/>
      <c r="G12" s="1012"/>
      <c r="H12" s="1013"/>
      <c r="I12" s="258"/>
      <c r="J12" s="227" t="str">
        <f>IF($I17=0," ",IF(AND($I12=0, AG71=3, $J$4=0), $N$37, " "))&amp;IF($M17&gt;0,IF($I12&gt;0,$N$39," ")," ")</f>
        <v xml:space="preserve">  </v>
      </c>
      <c r="K12" s="255"/>
      <c r="L12" s="255"/>
      <c r="N12" s="119" t="s">
        <v>125</v>
      </c>
      <c r="O12" s="132">
        <f>IF($V$10=FALSE,IF($I$16&gt;R12,IF($I$16&lt;S12,1,0),0),0)</f>
        <v>0</v>
      </c>
      <c r="P12" s="132">
        <f>IF($V$10=TRUE,IF($I$16&gt;V12,IF($I$16&lt;W12,2,0),0),0)</f>
        <v>0</v>
      </c>
      <c r="Q12" s="119"/>
      <c r="R12" s="767">
        <f>IF(U16=1,749.99,649)</f>
        <v>749.99</v>
      </c>
      <c r="S12" s="767">
        <f>IF(U16=1,1150,1000)</f>
        <v>1150</v>
      </c>
      <c r="T12" s="768"/>
      <c r="U12" s="119"/>
      <c r="V12" s="767">
        <f>IF(U16=1,1499.99,1299.99)</f>
        <v>1499.99</v>
      </c>
      <c r="W12" s="767">
        <f>IF(U16=1,2300,2000)</f>
        <v>2300</v>
      </c>
      <c r="X12" s="767"/>
      <c r="Y12" s="767"/>
      <c r="Z12" s="767"/>
      <c r="AA12" s="164"/>
      <c r="AB12" s="164"/>
      <c r="AC12" s="164"/>
      <c r="AD12" s="165"/>
      <c r="AE12" s="395"/>
      <c r="AF12" s="167"/>
      <c r="AG12" s="407"/>
      <c r="AH12" s="168"/>
      <c r="AI12" s="407"/>
      <c r="AJ12" s="168"/>
      <c r="AK12" s="108"/>
      <c r="AL12" s="108"/>
      <c r="AM12" s="670"/>
      <c r="AN12" s="137"/>
      <c r="AO12" s="137"/>
      <c r="AP12" s="1169" t="s">
        <v>126</v>
      </c>
      <c r="AQ12" s="1169"/>
      <c r="AR12" s="753" t="s">
        <v>127</v>
      </c>
      <c r="AS12" s="227"/>
      <c r="AT12" s="227"/>
      <c r="AU12" s="227"/>
      <c r="AV12" s="227"/>
      <c r="AW12" s="268"/>
      <c r="AX12" s="227"/>
      <c r="AY12" s="227"/>
    </row>
    <row r="13" spans="2:55" s="37" customFormat="1" ht="16.149999999999999" customHeight="1" x14ac:dyDescent="0.2">
      <c r="B13" s="1055" t="str">
        <f>ListAVS!$B$293</f>
        <v>Obliczenie wagi</v>
      </c>
      <c r="C13" s="1055"/>
      <c r="D13" s="1222" t="str">
        <f>ListAVS!$B$80&amp;" TS [mm] "</f>
        <v xml:space="preserve">Grubość frontu TS [mm] </v>
      </c>
      <c r="E13" s="1153"/>
      <c r="F13" s="1153"/>
      <c r="G13" s="1153"/>
      <c r="H13" s="1154"/>
      <c r="I13" s="400"/>
      <c r="J13" s="227"/>
      <c r="K13" s="255"/>
      <c r="L13" s="255"/>
      <c r="N13" s="119" t="s">
        <v>128</v>
      </c>
      <c r="O13" s="132">
        <f>IF($V$10=FALSE,IF($I$16&gt;R13,IF($I$16&lt;S13,1,0),0),0)</f>
        <v>0</v>
      </c>
      <c r="P13" s="132">
        <f>IF($V$10=TRUE,IF($I$16&gt;V13,IF($I$16&lt;W13,2,0),0),0)</f>
        <v>0</v>
      </c>
      <c r="Q13" s="119"/>
      <c r="R13" s="767">
        <f>IF(U16=1,1149.99,999.99)</f>
        <v>1149.99</v>
      </c>
      <c r="S13" s="767">
        <f>IF(U16=1,1801,1601)</f>
        <v>1801</v>
      </c>
      <c r="T13" s="768"/>
      <c r="U13" s="119"/>
      <c r="V13" s="767">
        <f>IF(U16=1,2299.99,1999.99)</f>
        <v>2299.9899999999998</v>
      </c>
      <c r="W13" s="767">
        <f>IF(U16=1,3601,3201)</f>
        <v>3601</v>
      </c>
      <c r="X13" s="767"/>
      <c r="Y13" s="767"/>
      <c r="Z13" s="767"/>
      <c r="AA13" s="164"/>
      <c r="AB13" s="164"/>
      <c r="AC13" s="164"/>
      <c r="AD13" s="165"/>
      <c r="AE13" s="395"/>
      <c r="AF13" s="167"/>
      <c r="AG13" s="407"/>
      <c r="AH13" s="168"/>
      <c r="AI13" s="407"/>
      <c r="AJ13" s="168"/>
      <c r="AK13" s="108"/>
      <c r="AL13" s="108"/>
      <c r="AM13" s="670"/>
      <c r="AN13" s="137"/>
      <c r="AO13" s="137"/>
      <c r="AP13" s="268"/>
      <c r="AQ13" s="268"/>
      <c r="AR13" s="268"/>
      <c r="AS13" s="227"/>
      <c r="AT13" s="227"/>
      <c r="AU13" s="268"/>
      <c r="AV13" s="268"/>
      <c r="AW13" s="268"/>
      <c r="AX13" s="227"/>
      <c r="AY13" s="227"/>
    </row>
    <row r="14" spans="2:55" s="37" customFormat="1" ht="16.149999999999999" customHeight="1" x14ac:dyDescent="0.2">
      <c r="B14" s="1055"/>
      <c r="C14" s="1055"/>
      <c r="D14" s="1216" t="str">
        <f>ListAVS!$B$83&amp;" [kg] "</f>
        <v xml:space="preserve">Waga uchwytu [kg] </v>
      </c>
      <c r="E14" s="1053"/>
      <c r="F14" s="1053"/>
      <c r="G14" s="1053"/>
      <c r="H14" s="1054"/>
      <c r="I14" s="258"/>
      <c r="J14" s="256" t="str">
        <f>IF(I17=0, " ", IF(AND(I12=0, U16=1, I14=0), " ● "&amp;ListAVS!$B$130," "))</f>
        <v xml:space="preserve"> </v>
      </c>
      <c r="K14" s="255"/>
      <c r="L14" s="255"/>
      <c r="N14" s="119"/>
      <c r="O14" s="132"/>
      <c r="P14" s="132"/>
      <c r="Q14" s="119"/>
      <c r="R14" s="767"/>
      <c r="S14" s="767"/>
      <c r="T14" s="768"/>
      <c r="U14" s="119"/>
      <c r="V14" s="767"/>
      <c r="W14" s="767"/>
      <c r="X14" s="767"/>
      <c r="Y14" s="767"/>
      <c r="Z14" s="767"/>
      <c r="AA14" s="164"/>
      <c r="AB14" s="164"/>
      <c r="AC14" s="164"/>
      <c r="AD14" s="165"/>
      <c r="AE14" s="395"/>
      <c r="AF14" s="167"/>
      <c r="AG14" s="407"/>
      <c r="AH14" s="168"/>
      <c r="AI14" s="407"/>
      <c r="AJ14" s="168"/>
      <c r="AK14" s="108"/>
      <c r="AL14" s="108"/>
      <c r="AM14" s="670"/>
      <c r="AN14" s="137"/>
      <c r="AO14" s="137"/>
      <c r="AP14" s="1208" t="str">
        <f>"  "&amp;ListAVS!$B$86&amp;" LF "</f>
        <v xml:space="preserve">  Współczynnik mocy LF </v>
      </c>
      <c r="AQ14" s="1209"/>
      <c r="AR14" s="770" t="s">
        <v>107</v>
      </c>
      <c r="AS14" s="227"/>
      <c r="AU14" s="268"/>
      <c r="AV14" s="268"/>
      <c r="AW14" s="268"/>
      <c r="AX14" s="227"/>
      <c r="AY14" s="227"/>
    </row>
    <row r="15" spans="2:55" s="37" customFormat="1" ht="16.149999999999999" customHeight="1" x14ac:dyDescent="0.2">
      <c r="B15" s="1055"/>
      <c r="C15" s="1055"/>
      <c r="D15" s="1216" t="str">
        <f>ListAVS!$B$79&amp;" [kg] "</f>
        <v xml:space="preserve">Obliczona waga frontu [kg] </v>
      </c>
      <c r="E15" s="1053"/>
      <c r="F15" s="1053"/>
      <c r="G15" s="1053"/>
      <c r="H15" s="1054"/>
      <c r="I15" s="259">
        <f>$U$75</f>
        <v>0</v>
      </c>
      <c r="J15" s="227" t="str">
        <f>IF(AND($I17&gt;0,$I15&gt;0,$I12=0,$M17&gt;0), $N$39," ")&amp;IF(AND(I17&gt;0, I12=0, AB72=3, $J$4=0), $N$37, " ")</f>
        <v xml:space="preserve">  </v>
      </c>
      <c r="K15" s="255"/>
      <c r="L15" s="255"/>
      <c r="T15" s="119"/>
      <c r="U15" s="598" t="str">
        <f>IF(U16=1,$V$51,IF(U16=2,$V$52,$V$53))</f>
        <v>Standard</v>
      </c>
      <c r="X15" s="767"/>
      <c r="Y15" s="767"/>
      <c r="Z15" s="767"/>
      <c r="AA15" s="164" t="str">
        <f>CenAVS!A112</f>
        <v xml:space="preserve">Aventos HK-XS Tip-on słaby       </v>
      </c>
      <c r="AB15" s="164" t="str">
        <f>CenAVS!B112</f>
        <v>20K1101T</v>
      </c>
      <c r="AC15" s="164" t="str">
        <f>CenAVS!C112</f>
        <v>NI</v>
      </c>
      <c r="AD15" s="165">
        <f t="shared" si="0"/>
        <v>0</v>
      </c>
      <c r="AE15" s="395">
        <f>CenAVS!F112</f>
        <v>34.735590000000002</v>
      </c>
      <c r="AF15" s="167">
        <f t="shared" si="1"/>
        <v>0</v>
      </c>
      <c r="AG15" s="407">
        <f>IF($U$16=2,SUM($O$11:$P$11)*$M$17,0)</f>
        <v>0</v>
      </c>
      <c r="AH15" s="168">
        <f t="shared" si="2"/>
        <v>0</v>
      </c>
      <c r="AI15" s="407">
        <f>IF($U$27=2,SUM($O$22:$P$22)*$M$28,0)</f>
        <v>0</v>
      </c>
      <c r="AJ15" s="168">
        <f t="shared" si="3"/>
        <v>0</v>
      </c>
      <c r="AK15" s="108"/>
      <c r="AL15" s="108"/>
      <c r="AM15" s="670"/>
      <c r="AN15" s="137"/>
      <c r="AO15" s="137"/>
      <c r="AP15" s="1210"/>
      <c r="AQ15" s="1211"/>
      <c r="AR15" s="771" t="str">
        <f>ListAVS!$B$84</f>
        <v>Mechanizm podnoszący</v>
      </c>
      <c r="AS15" s="227"/>
      <c r="AU15" s="227"/>
      <c r="AV15" s="227"/>
      <c r="AW15" s="268"/>
      <c r="AX15" s="227"/>
      <c r="AY15" s="227"/>
    </row>
    <row r="16" spans="2:55" s="37" customFormat="1" ht="16.149999999999999" customHeight="1" thickBot="1" x14ac:dyDescent="0.25">
      <c r="B16" s="1011" t="str">
        <f>ListAVS!$B$88&amp;" *      "</f>
        <v xml:space="preserve">Drugi podnośnik *      </v>
      </c>
      <c r="C16" s="1012"/>
      <c r="D16" s="1013"/>
      <c r="E16" s="1011" t="str">
        <f>ListAVS!$B$86&amp;" LF "</f>
        <v xml:space="preserve">Współczynnik mocy LF </v>
      </c>
      <c r="F16" s="1012"/>
      <c r="G16" s="1012"/>
      <c r="H16" s="1013"/>
      <c r="I16" s="400">
        <f>IF(I12&gt;0,I11*I12,I11*I15)</f>
        <v>0</v>
      </c>
      <c r="J16" s="256" t="str">
        <f>IF(U16=1,IF($I16&gt;3600,$N$42,IF($I16&gt;1800.5,IF(V10=FALSE,$N$43," ")," ")),IF($I16&gt;3200,$N$42,IF($I16&gt;1600.5,IF(V10=FALSE,$N$43," ")," ")))</f>
        <v xml:space="preserve"> </v>
      </c>
      <c r="K16" s="255"/>
      <c r="L16" s="255"/>
      <c r="N16" s="119"/>
      <c r="O16" s="132"/>
      <c r="P16" s="132"/>
      <c r="Q16" s="119"/>
      <c r="R16" s="767"/>
      <c r="S16" s="767"/>
      <c r="T16" s="756"/>
      <c r="U16" s="207">
        <v>1</v>
      </c>
      <c r="V16" s="767"/>
      <c r="W16" s="767"/>
      <c r="X16" s="767"/>
      <c r="Y16" s="767"/>
      <c r="Z16" s="767"/>
      <c r="AA16" s="164" t="str">
        <f>CenAVS!A113</f>
        <v xml:space="preserve">Aventos HK-XS Tip-on średni       </v>
      </c>
      <c r="AB16" s="164" t="str">
        <f>CenAVS!B113</f>
        <v>20K1301T</v>
      </c>
      <c r="AC16" s="164" t="str">
        <f>CenAVS!C113</f>
        <v>NI</v>
      </c>
      <c r="AD16" s="165">
        <f t="shared" si="0"/>
        <v>0</v>
      </c>
      <c r="AE16" s="395">
        <f>CenAVS!F113</f>
        <v>34.735590000000002</v>
      </c>
      <c r="AF16" s="167">
        <f t="shared" si="1"/>
        <v>0</v>
      </c>
      <c r="AG16" s="407">
        <f>IF($U$16=2,SUM($O$12:$P$12)*$M$17,0)</f>
        <v>0</v>
      </c>
      <c r="AH16" s="168">
        <f t="shared" si="2"/>
        <v>0</v>
      </c>
      <c r="AI16" s="407">
        <f>IF($U$27=2,SUM($O$23:$P$23)*$M$28,0)</f>
        <v>0</v>
      </c>
      <c r="AJ16" s="168">
        <f t="shared" si="3"/>
        <v>0</v>
      </c>
      <c r="AK16" s="108"/>
      <c r="AL16" s="108"/>
      <c r="AM16" s="670"/>
      <c r="AN16" s="137"/>
      <c r="AO16" s="137"/>
      <c r="AP16" s="1212" t="s">
        <v>129</v>
      </c>
      <c r="AQ16" s="1213"/>
      <c r="AR16" s="753" t="s">
        <v>130</v>
      </c>
      <c r="AS16" s="227"/>
      <c r="AU16" s="787"/>
      <c r="AV16" s="787"/>
      <c r="AW16" s="788"/>
      <c r="AX16" s="227"/>
      <c r="AY16" s="227"/>
    </row>
    <row r="17" spans="1:51" s="37" customFormat="1" ht="16.149999999999999" customHeight="1" thickBot="1" x14ac:dyDescent="0.25">
      <c r="B17" s="1011" t="str">
        <f>ListAVS!$B$71&amp;" "</f>
        <v xml:space="preserve">Ilość szafek </v>
      </c>
      <c r="C17" s="1012"/>
      <c r="D17" s="1012"/>
      <c r="E17" s="1012"/>
      <c r="F17" s="1012"/>
      <c r="G17" s="1012"/>
      <c r="H17" s="1176"/>
      <c r="I17" s="261"/>
      <c r="J17" s="256"/>
      <c r="K17" s="255"/>
      <c r="L17" s="255"/>
      <c r="M17" s="315">
        <f>IF(OR($I10*$I11*$T17=0,$I11&lt;236,$I11&gt;600,SUM(O11:P14)=0),0,IF($I16&gt;1800,IF($V10=FALSE,0,$I17),$I17))</f>
        <v>0</v>
      </c>
      <c r="N17" s="130"/>
      <c r="O17" s="132"/>
      <c r="P17" s="132"/>
      <c r="Q17" s="119"/>
      <c r="R17" s="767"/>
      <c r="S17" s="690" t="s">
        <v>51</v>
      </c>
      <c r="T17" s="757">
        <f>IF(I12&gt;0,I12,I15)</f>
        <v>0</v>
      </c>
      <c r="U17" s="37">
        <f>IF(SUM(I12,I15)=0,0,IF(I12&gt;0,1,2))</f>
        <v>0</v>
      </c>
      <c r="V17" s="571" t="s">
        <v>52</v>
      </c>
      <c r="Y17" s="767"/>
      <c r="Z17" s="153"/>
      <c r="AA17" s="164" t="str">
        <f>CenAVS!A114</f>
        <v xml:space="preserve">Aventos HK-XS Tip-on mocny       </v>
      </c>
      <c r="AB17" s="164" t="str">
        <f>CenAVS!B114</f>
        <v>20K1501T</v>
      </c>
      <c r="AC17" s="164" t="str">
        <f>CenAVS!C114</f>
        <v>NI</v>
      </c>
      <c r="AD17" s="165">
        <f t="shared" si="0"/>
        <v>0</v>
      </c>
      <c r="AE17" s="395">
        <f>CenAVS!F114</f>
        <v>34.735590000000002</v>
      </c>
      <c r="AF17" s="167">
        <f t="shared" si="1"/>
        <v>0</v>
      </c>
      <c r="AG17" s="407">
        <f>IF($U$16=2,SUM($O$13:$P$13)*$M$17,0)</f>
        <v>0</v>
      </c>
      <c r="AH17" s="168">
        <f t="shared" si="2"/>
        <v>0</v>
      </c>
      <c r="AI17" s="407">
        <f>IF($U$27=2,SUM($O$24:$P$24)*$M$28,0)</f>
        <v>0</v>
      </c>
      <c r="AJ17" s="168">
        <f t="shared" si="3"/>
        <v>0</v>
      </c>
      <c r="AK17" s="108"/>
      <c r="AL17" s="108"/>
      <c r="AM17" s="255"/>
      <c r="AN17" s="137"/>
      <c r="AO17" s="137"/>
      <c r="AP17" s="1212" t="s">
        <v>131</v>
      </c>
      <c r="AQ17" s="1213"/>
      <c r="AR17" s="753" t="s">
        <v>132</v>
      </c>
      <c r="AS17" s="227"/>
      <c r="AU17" s="787"/>
      <c r="AV17" s="787"/>
      <c r="AW17" s="788"/>
      <c r="AX17" s="227"/>
      <c r="AY17" s="227"/>
    </row>
    <row r="18" spans="1:51" s="37" customFormat="1" ht="16.149999999999999" customHeight="1" x14ac:dyDescent="0.2">
      <c r="B18" s="255" t="str">
        <f>IF(M17&gt;0,IF(U17=0," ",IF(U17=1,$N$54,$N$55))," ")&amp;IF(M17&gt;0,IF(U17=0," ",IF(U17=1,$N$56,$N$57))," ")</f>
        <v xml:space="preserve">  </v>
      </c>
      <c r="C18" s="255"/>
      <c r="D18" s="255"/>
      <c r="E18" s="255"/>
      <c r="F18" s="255"/>
      <c r="G18" s="433"/>
      <c r="H18" s="433"/>
      <c r="I18" s="255"/>
      <c r="J18" s="255"/>
      <c r="K18" s="255"/>
      <c r="L18" s="255"/>
      <c r="M18" s="118"/>
      <c r="N18" s="119"/>
      <c r="O18" s="132"/>
      <c r="P18" s="132"/>
      <c r="Q18" s="119"/>
      <c r="R18" s="767"/>
      <c r="S18" s="767"/>
      <c r="T18" s="119"/>
      <c r="U18" s="151"/>
      <c r="V18" s="767"/>
      <c r="W18" s="767"/>
      <c r="X18" s="767"/>
      <c r="Y18" s="767"/>
      <c r="Z18" s="767"/>
      <c r="AA18" s="164"/>
      <c r="AB18" s="164"/>
      <c r="AC18" s="164"/>
      <c r="AD18" s="165"/>
      <c r="AE18" s="395"/>
      <c r="AF18" s="167"/>
      <c r="AG18" s="407"/>
      <c r="AH18" s="168"/>
      <c r="AI18" s="407"/>
      <c r="AJ18" s="168"/>
      <c r="AK18" s="108"/>
      <c r="AL18" s="108"/>
      <c r="AM18" s="255"/>
      <c r="AN18" s="137"/>
      <c r="AO18" s="137"/>
      <c r="AP18" s="1169" t="s">
        <v>133</v>
      </c>
      <c r="AQ18" s="1169"/>
      <c r="AR18" s="753" t="s">
        <v>134</v>
      </c>
      <c r="AS18" s="227"/>
      <c r="AU18" s="227"/>
      <c r="AV18" s="227"/>
      <c r="AW18" s="268"/>
      <c r="AX18" s="227"/>
      <c r="AY18" s="227"/>
    </row>
    <row r="19" spans="1:51" s="37" customFormat="1" ht="25.15" customHeight="1" thickBot="1" x14ac:dyDescent="0.25">
      <c r="B19" s="255"/>
      <c r="C19" s="255"/>
      <c r="D19" s="255"/>
      <c r="E19" s="255"/>
      <c r="F19" s="255"/>
      <c r="G19" s="433"/>
      <c r="H19" s="433"/>
      <c r="I19" s="255"/>
      <c r="J19" s="255"/>
      <c r="K19" s="255"/>
      <c r="L19" s="255"/>
      <c r="M19" s="118"/>
      <c r="N19" s="119"/>
      <c r="O19" s="132"/>
      <c r="P19" s="132"/>
      <c r="Q19" s="119"/>
      <c r="R19" s="767"/>
      <c r="S19" s="767"/>
      <c r="T19" s="119"/>
      <c r="U19" s="151"/>
      <c r="V19" s="767"/>
      <c r="W19" s="767"/>
      <c r="X19" s="767"/>
      <c r="Y19" s="767"/>
      <c r="Z19" s="767"/>
      <c r="AA19" s="164" t="str">
        <f>CenAVS!A116</f>
        <v xml:space="preserve">czop boczny do korpusu HK-XS wkręt     </v>
      </c>
      <c r="AB19" s="164" t="str">
        <f>CenAVS!B116</f>
        <v>20K5101</v>
      </c>
      <c r="AC19" s="164" t="str">
        <f>CenAVS!C116</f>
        <v>NI</v>
      </c>
      <c r="AD19" s="165">
        <f t="shared" si="0"/>
        <v>0</v>
      </c>
      <c r="AE19" s="395">
        <f>CenAVS!F116</f>
        <v>2.0432700000000001</v>
      </c>
      <c r="AF19" s="167">
        <f t="shared" si="1"/>
        <v>0</v>
      </c>
      <c r="AG19" s="407">
        <f>IF($P$49=2,SUM(AG$9:AG$17),0)</f>
        <v>0</v>
      </c>
      <c r="AH19" s="168">
        <f t="shared" si="2"/>
        <v>0</v>
      </c>
      <c r="AI19" s="407">
        <f>IF($P$49=2,SUM(AI$9:AI$17),0)</f>
        <v>0</v>
      </c>
      <c r="AJ19" s="168">
        <f t="shared" si="3"/>
        <v>0</v>
      </c>
      <c r="AK19" s="108"/>
      <c r="AL19" s="108"/>
      <c r="AM19" s="692"/>
      <c r="AN19" s="137"/>
      <c r="AO19" s="137"/>
      <c r="AS19" s="227"/>
      <c r="AT19" s="227"/>
      <c r="AU19" s="227"/>
      <c r="AV19" s="227"/>
      <c r="AW19" s="268"/>
      <c r="AX19" s="227"/>
      <c r="AY19" s="227"/>
    </row>
    <row r="20" spans="1:51" s="37" customFormat="1" ht="16.149999999999999" customHeight="1" thickBot="1" x14ac:dyDescent="0.25">
      <c r="B20" s="1051" t="str">
        <f>"▼ "&amp;ListAVS!$B$318</f>
        <v>▼ Sposób otwierania</v>
      </c>
      <c r="C20" s="1052"/>
      <c r="D20" s="406" t="str">
        <f>IF($M$28&gt;0, ListAVS!$B$37&amp;": ", " ")</f>
        <v xml:space="preserve"> </v>
      </c>
      <c r="E20" s="688" t="str">
        <f>IF($AI$9&gt;0,"11",IF($AI$10&gt;0,"13",IF($AI$11&gt;0,"15",IF($AI$15&gt;0,"11T",IF($AI$16&gt;0,"13T", IF($AI$17&gt;0, "15T", " "))))))</f>
        <v xml:space="preserve"> </v>
      </c>
      <c r="F20" s="1056" t="str">
        <f>ListAVS!$B$64&amp;" B"</f>
        <v>Korpus B</v>
      </c>
      <c r="G20" s="1057"/>
      <c r="H20" s="1057"/>
      <c r="I20" s="1058"/>
      <c r="J20" s="256"/>
      <c r="K20" s="255"/>
      <c r="L20" s="255"/>
      <c r="N20" s="119"/>
      <c r="O20" s="132"/>
      <c r="P20" s="119"/>
      <c r="Q20" s="132"/>
      <c r="R20" s="1205" t="s">
        <v>118</v>
      </c>
      <c r="S20" s="1206"/>
      <c r="T20" s="762"/>
      <c r="U20" s="763"/>
      <c r="V20" s="1205" t="s">
        <v>89</v>
      </c>
      <c r="W20" s="1206"/>
      <c r="X20" s="136"/>
      <c r="Y20" s="213" t="s">
        <v>26</v>
      </c>
      <c r="Z20" s="214"/>
      <c r="AA20" s="164" t="str">
        <f>CenAVS!A117</f>
        <v xml:space="preserve">czop boczny do korpusu HK-XS Exp     </v>
      </c>
      <c r="AB20" s="164" t="str">
        <f>CenAVS!B117</f>
        <v>20K51E1</v>
      </c>
      <c r="AC20" s="164" t="str">
        <f>CenAVS!C117</f>
        <v>NI</v>
      </c>
      <c r="AD20" s="165">
        <f t="shared" si="0"/>
        <v>0</v>
      </c>
      <c r="AE20" s="395">
        <f>CenAVS!F117</f>
        <v>2.7593999999999999</v>
      </c>
      <c r="AF20" s="167">
        <f t="shared" si="1"/>
        <v>0</v>
      </c>
      <c r="AG20" s="407">
        <f>IF($P$49=1,SUM(AG$9:AG$17),0)</f>
        <v>0</v>
      </c>
      <c r="AH20" s="168">
        <f t="shared" si="2"/>
        <v>0</v>
      </c>
      <c r="AI20" s="407">
        <f>IF($P$49=1,SUM(AI$9:AI$17),0)</f>
        <v>0</v>
      </c>
      <c r="AJ20" s="168">
        <f t="shared" si="3"/>
        <v>0</v>
      </c>
      <c r="AK20" s="108"/>
      <c r="AL20" s="108"/>
      <c r="AM20" s="255"/>
      <c r="AN20" s="137"/>
      <c r="AO20" s="137"/>
      <c r="AP20" s="1101" t="str">
        <f>ListAVS!$B$86&amp;" LF = "&amp;ListAVS!$B$75&amp;" KH [mm] x "&amp;ListAVS!$B$78&amp;" [kg]"</f>
        <v>Współczynnik mocy LF = Wysokość korpusu KH [mm] x Waga frontu wraz z 2 uchwytami [kg]</v>
      </c>
      <c r="AQ20" s="1101"/>
      <c r="AR20" s="1101"/>
      <c r="AS20" s="1101"/>
      <c r="AT20" s="1101"/>
      <c r="AU20" s="227"/>
      <c r="AV20" s="227"/>
      <c r="AW20" s="268"/>
      <c r="AX20" s="227"/>
      <c r="AY20" s="227"/>
    </row>
    <row r="21" spans="1:51" s="37" customFormat="1" ht="16.149999999999999" customHeight="1" x14ac:dyDescent="0.2">
      <c r="B21" s="1011" t="str">
        <f>ListAVS!$B$74&amp;" KB [mm] "</f>
        <v xml:space="preserve">Szerokość korpusu KB [mm] </v>
      </c>
      <c r="C21" s="1012"/>
      <c r="D21" s="1012"/>
      <c r="E21" s="1012"/>
      <c r="F21" s="1012"/>
      <c r="G21" s="1012"/>
      <c r="H21" s="1013"/>
      <c r="I21" s="257"/>
      <c r="J21" s="256" t="str">
        <f>IF($I21=0," ",IF($I21&lt;220," min. 220mm",IF($I21&gt;1800," max. 1 800mm"," ")))&amp;IF(I28&gt;0,IF(I21=0,"● "&amp;ListAVS!$B$129," ")," ")</f>
        <v xml:space="preserve">  </v>
      </c>
      <c r="K21" s="255"/>
      <c r="L21" s="255"/>
      <c r="N21" s="198" t="s">
        <v>53</v>
      </c>
      <c r="O21" s="200" t="s">
        <v>119</v>
      </c>
      <c r="P21" s="200" t="s">
        <v>91</v>
      </c>
      <c r="Q21" s="119"/>
      <c r="R21" s="764" t="s">
        <v>93</v>
      </c>
      <c r="S21" s="764" t="s">
        <v>76</v>
      </c>
      <c r="T21" s="765" t="s">
        <v>94</v>
      </c>
      <c r="U21" s="765" t="s">
        <v>95</v>
      </c>
      <c r="V21" s="1214" t="b">
        <v>0</v>
      </c>
      <c r="W21" s="1215"/>
      <c r="X21" s="215"/>
      <c r="Y21" s="766"/>
      <c r="Z21" s="766"/>
      <c r="AA21" s="164"/>
      <c r="AB21" s="164"/>
      <c r="AC21" s="164"/>
      <c r="AD21" s="165"/>
      <c r="AE21" s="395"/>
      <c r="AF21" s="167"/>
      <c r="AG21" s="407"/>
      <c r="AH21" s="168"/>
      <c r="AI21" s="407"/>
      <c r="AJ21" s="168"/>
      <c r="AK21" s="108"/>
      <c r="AL21" s="108"/>
      <c r="AM21" s="255"/>
      <c r="AN21" s="137"/>
      <c r="AO21" s="137"/>
      <c r="AP21" s="1101"/>
      <c r="AQ21" s="1101"/>
      <c r="AR21" s="1101"/>
      <c r="AS21" s="1101"/>
      <c r="AT21" s="1101"/>
      <c r="AU21" s="227"/>
      <c r="AV21" s="227"/>
      <c r="AW21" s="227"/>
      <c r="AX21" s="227"/>
      <c r="AY21" s="227"/>
    </row>
    <row r="22" spans="1:51" s="37" customFormat="1" ht="16.149999999999999" customHeight="1" x14ac:dyDescent="0.2">
      <c r="B22" s="1011" t="str">
        <f>ListAVS!$B$75&amp;" KH [mm] "</f>
        <v xml:space="preserve">Wysokość korpusu KH [mm] </v>
      </c>
      <c r="C22" s="1012"/>
      <c r="D22" s="1012"/>
      <c r="E22" s="1012"/>
      <c r="F22" s="1012"/>
      <c r="G22" s="1012"/>
      <c r="H22" s="1013"/>
      <c r="I22" s="257"/>
      <c r="J22" s="256" t="str">
        <f>IF($I22=0," ",IF($I22&lt;236," min. 236mm",IF($I22&gt;600," max. 600 mm"," ")))&amp;IF(I28&gt;0,IF(I22=0,"● "&amp;ListAVS!$B$129," ")," ")</f>
        <v xml:space="preserve">  </v>
      </c>
      <c r="K22" s="255"/>
      <c r="L22" s="255"/>
      <c r="N22" s="119" t="s">
        <v>122</v>
      </c>
      <c r="O22" s="132">
        <f>IF($V$21=FALSE,IF($I$27&gt;R22,IF($I$27&lt;S22,1,0),0),0)</f>
        <v>0</v>
      </c>
      <c r="P22" s="206">
        <f>IF($V$21=TRUE,IF($I$27&gt;V22,IF($I$27&lt;W22,2,0),0),0)</f>
        <v>0</v>
      </c>
      <c r="Q22" s="119"/>
      <c r="R22" s="767">
        <f>IF(U27=1,199.99,179.99)</f>
        <v>199.99</v>
      </c>
      <c r="S22" s="767">
        <f>IF(U27=1,750,650)</f>
        <v>750</v>
      </c>
      <c r="T22" s="768"/>
      <c r="U22" s="119"/>
      <c r="V22" s="767">
        <f>IF(U27=1, 399.99, 359.99)</f>
        <v>399.99</v>
      </c>
      <c r="W22" s="767">
        <f>IF(U27=1,1500,1300)</f>
        <v>1500</v>
      </c>
      <c r="X22" s="767"/>
      <c r="Y22" s="769">
        <f>IF(OR(I21&gt;1199,I27&gt;2699),4,IF(OR(I21&gt;899,I27&gt;1799),3,2))</f>
        <v>2</v>
      </c>
      <c r="Z22" s="767"/>
      <c r="AA22" s="164" t="str">
        <f>CenAVS!A119</f>
        <v xml:space="preserve">mocowanie frontu HK-XS wkręt       </v>
      </c>
      <c r="AB22" s="164" t="str">
        <f>CenAVS!B119</f>
        <v>20K4101</v>
      </c>
      <c r="AC22" s="164" t="str">
        <f>CenAVS!C119</f>
        <v>NI</v>
      </c>
      <c r="AD22" s="165">
        <f t="shared" si="0"/>
        <v>0</v>
      </c>
      <c r="AE22" s="395">
        <f>CenAVS!F119</f>
        <v>1.38934</v>
      </c>
      <c r="AF22" s="167">
        <f t="shared" si="1"/>
        <v>0</v>
      </c>
      <c r="AG22" s="407">
        <f>SUM(AG$9:AG$17)</f>
        <v>0</v>
      </c>
      <c r="AH22" s="168">
        <f t="shared" si="2"/>
        <v>0</v>
      </c>
      <c r="AI22" s="407">
        <f>SUM(AI$9:AI$17)</f>
        <v>0</v>
      </c>
      <c r="AJ22" s="168">
        <f t="shared" si="3"/>
        <v>0</v>
      </c>
      <c r="AK22" s="108"/>
      <c r="AL22" s="108"/>
      <c r="AM22" s="255"/>
      <c r="AN22" s="137"/>
      <c r="AO22" s="137"/>
      <c r="AU22" s="787"/>
      <c r="AV22" s="787"/>
      <c r="AW22" s="787"/>
      <c r="AX22" s="787"/>
      <c r="AY22" s="787"/>
    </row>
    <row r="23" spans="1:51" s="37" customFormat="1" ht="16.149999999999999" customHeight="1" x14ac:dyDescent="0.2">
      <c r="B23" s="1011" t="str">
        <f>ListAVS!$B$78&amp;" [kg] ** "</f>
        <v xml:space="preserve">Waga frontu wraz z 2 uchwytami [kg] ** </v>
      </c>
      <c r="C23" s="1012"/>
      <c r="D23" s="1012"/>
      <c r="E23" s="1012"/>
      <c r="F23" s="1012"/>
      <c r="G23" s="1012"/>
      <c r="H23" s="1013"/>
      <c r="I23" s="258"/>
      <c r="J23" s="227" t="str">
        <f>IF($I28=0," ",IF(AND($I23=0, AG80=3, $J$4=0), $N$37, " "))&amp;IF($M28&gt;0,IF($I23&gt;0,$N$39," ")," ")</f>
        <v xml:space="preserve">  </v>
      </c>
      <c r="K23" s="255"/>
      <c r="L23" s="255"/>
      <c r="N23" s="119" t="s">
        <v>125</v>
      </c>
      <c r="O23" s="132">
        <f>IF($V$21=FALSE,IF($I$27&gt;R23,IF($I$27&lt;S23,1,0),0),0)</f>
        <v>0</v>
      </c>
      <c r="P23" s="132">
        <f>IF($V$21=TRUE,IF($I$27&gt;V23,IF($I$27&lt;W23,2,0),0),0)</f>
        <v>0</v>
      </c>
      <c r="Q23" s="119"/>
      <c r="R23" s="767">
        <f>IF(U27=1,749.99, 649.99)</f>
        <v>749.99</v>
      </c>
      <c r="S23" s="767">
        <f>IF(U27=1,1150,1000)</f>
        <v>1150</v>
      </c>
      <c r="T23" s="768"/>
      <c r="U23" s="119"/>
      <c r="V23" s="767">
        <f>IF(U27=1,1499.99,1299.99)</f>
        <v>1499.99</v>
      </c>
      <c r="W23" s="767">
        <f>IF(U27=1,2300,2000)</f>
        <v>2300</v>
      </c>
      <c r="X23" s="767"/>
      <c r="Y23" s="767"/>
      <c r="Z23" s="767"/>
      <c r="AA23" s="164" t="str">
        <f>CenAVS!A120</f>
        <v xml:space="preserve">mocowanie frontu HK-XS Expando       </v>
      </c>
      <c r="AB23" s="164" t="str">
        <f>CenAVS!B120</f>
        <v>20K41E1</v>
      </c>
      <c r="AC23" s="164" t="str">
        <f>CenAVS!C120</f>
        <v>NI</v>
      </c>
      <c r="AD23" s="165">
        <f t="shared" si="0"/>
        <v>0</v>
      </c>
      <c r="AE23" s="395">
        <f>CenAVS!F120</f>
        <v>2.10547</v>
      </c>
      <c r="AF23" s="167">
        <f t="shared" si="1"/>
        <v>0</v>
      </c>
      <c r="AG23" s="407"/>
      <c r="AH23" s="168">
        <f t="shared" si="2"/>
        <v>0</v>
      </c>
      <c r="AI23" s="407"/>
      <c r="AJ23" s="168">
        <f t="shared" si="3"/>
        <v>0</v>
      </c>
      <c r="AK23" s="108"/>
      <c r="AL23" s="108"/>
      <c r="AM23" s="255"/>
      <c r="AN23" s="137"/>
      <c r="AO23" s="137"/>
      <c r="AP23" s="1101" t="str">
        <f>ListAVS!$B$354</f>
        <v>W razie wykorzystania trzeciego siłownika współczynnik mocy oraz waga frontu mogą się zwiększyć o 50 %.</v>
      </c>
      <c r="AQ23" s="1101"/>
      <c r="AR23" s="1101"/>
      <c r="AS23" s="1101"/>
      <c r="AT23" s="1101"/>
      <c r="AU23" s="787"/>
      <c r="AV23" s="787"/>
      <c r="AW23" s="787"/>
      <c r="AX23" s="787"/>
      <c r="AY23" s="787"/>
    </row>
    <row r="24" spans="1:51" s="37" customFormat="1" ht="16.149999999999999" customHeight="1" x14ac:dyDescent="0.2">
      <c r="B24" s="1055" t="str">
        <f>ListAVS!$B$293</f>
        <v>Obliczenie wagi</v>
      </c>
      <c r="C24" s="1055"/>
      <c r="D24" s="1222" t="str">
        <f>ListAVS!$B$80&amp;" TS [mm] "</f>
        <v xml:space="preserve">Grubość frontu TS [mm] </v>
      </c>
      <c r="E24" s="1153"/>
      <c r="F24" s="1153"/>
      <c r="G24" s="1153"/>
      <c r="H24" s="1154"/>
      <c r="I24" s="400"/>
      <c r="J24" s="227"/>
      <c r="K24" s="255"/>
      <c r="L24" s="255"/>
      <c r="N24" s="119" t="s">
        <v>128</v>
      </c>
      <c r="O24" s="132">
        <f>IF($V$21=FALSE,IF($I$27&gt;R24,IF($I$27&lt;S24,1,0),0),0)</f>
        <v>0</v>
      </c>
      <c r="P24" s="132">
        <f>IF($V$21=TRUE,IF($I$27&gt;V24,IF($I$27&lt;W24,2,0),0),0)</f>
        <v>0</v>
      </c>
      <c r="Q24" s="119"/>
      <c r="R24" s="767">
        <f>IF(U27=1,1149.99, 999.99)</f>
        <v>1149.99</v>
      </c>
      <c r="S24" s="767">
        <f>IF(U27=1,1801,1601)</f>
        <v>1801</v>
      </c>
      <c r="T24" s="768"/>
      <c r="U24" s="119"/>
      <c r="V24" s="767">
        <f>IF(U27=1,2299.99, 1999.99)</f>
        <v>2299.9899999999998</v>
      </c>
      <c r="W24" s="767">
        <f>IF(U27=1,3601,3201)</f>
        <v>3601</v>
      </c>
      <c r="X24" s="767"/>
      <c r="Y24" s="767"/>
      <c r="Z24" s="767"/>
      <c r="AA24" s="164"/>
      <c r="AB24" s="164"/>
      <c r="AC24" s="164"/>
      <c r="AD24" s="165"/>
      <c r="AE24" s="395"/>
      <c r="AF24" s="167"/>
      <c r="AG24" s="407"/>
      <c r="AH24" s="168"/>
      <c r="AI24" s="407"/>
      <c r="AJ24" s="168"/>
      <c r="AK24" s="108"/>
      <c r="AL24" s="108"/>
      <c r="AM24" s="255"/>
      <c r="AN24" s="137"/>
      <c r="AO24" s="137"/>
      <c r="AP24" s="1101"/>
      <c r="AQ24" s="1101"/>
      <c r="AR24" s="1101"/>
      <c r="AS24" s="1101"/>
      <c r="AT24" s="1101"/>
      <c r="AU24" s="772"/>
      <c r="AV24" s="772"/>
      <c r="AW24" s="772"/>
      <c r="AX24" s="772"/>
      <c r="AY24" s="772"/>
    </row>
    <row r="25" spans="1:51" s="37" customFormat="1" ht="16.149999999999999" customHeight="1" x14ac:dyDescent="0.2">
      <c r="B25" s="1055"/>
      <c r="C25" s="1055"/>
      <c r="D25" s="1216" t="str">
        <f>ListAVS!$B$83&amp;" [kg] "</f>
        <v xml:space="preserve">Waga uchwytu [kg] </v>
      </c>
      <c r="E25" s="1053"/>
      <c r="F25" s="1053"/>
      <c r="G25" s="1053"/>
      <c r="H25" s="1054"/>
      <c r="I25" s="258"/>
      <c r="J25" s="256" t="str">
        <f>IF(I28=0, " ", IF(AND(I23=0, U27=1, I25=0), " ● "&amp;ListAVS!$B$130," "))</f>
        <v xml:space="preserve"> </v>
      </c>
      <c r="K25" s="255"/>
      <c r="L25" s="255"/>
      <c r="N25" s="119"/>
      <c r="O25" s="132"/>
      <c r="P25" s="132"/>
      <c r="Q25" s="119"/>
      <c r="R25" s="767"/>
      <c r="S25" s="767"/>
      <c r="T25" s="768"/>
      <c r="U25" s="119"/>
      <c r="V25" s="767"/>
      <c r="W25" s="767"/>
      <c r="X25" s="767"/>
      <c r="Y25" s="767"/>
      <c r="Z25" s="767"/>
      <c r="AA25" s="164"/>
      <c r="AB25" s="164"/>
      <c r="AC25" s="164"/>
      <c r="AD25" s="165"/>
      <c r="AE25" s="395"/>
      <c r="AF25" s="167"/>
      <c r="AG25" s="407"/>
      <c r="AH25" s="168"/>
      <c r="AI25" s="407"/>
      <c r="AJ25" s="168"/>
      <c r="AK25" s="108"/>
      <c r="AL25" s="108"/>
      <c r="AM25" s="255"/>
      <c r="AN25" s="137"/>
      <c r="AO25" s="137"/>
      <c r="AP25" s="137"/>
      <c r="AU25" s="772"/>
      <c r="AV25" s="772"/>
      <c r="AW25" s="772"/>
      <c r="AX25" s="772"/>
      <c r="AY25" s="772"/>
    </row>
    <row r="26" spans="1:51" s="37" customFormat="1" ht="16.149999999999999" customHeight="1" x14ac:dyDescent="0.2">
      <c r="B26" s="1055"/>
      <c r="C26" s="1055"/>
      <c r="D26" s="1216" t="str">
        <f>ListAVS!$B$79&amp;" [kg] "</f>
        <v xml:space="preserve">Obliczona waga frontu [kg] </v>
      </c>
      <c r="E26" s="1053"/>
      <c r="F26" s="1053"/>
      <c r="G26" s="1053"/>
      <c r="H26" s="1054"/>
      <c r="I26" s="259">
        <f>$U$84</f>
        <v>0</v>
      </c>
      <c r="J26" s="227" t="str">
        <f>IF(AND($I28&gt;0,$I26&gt;0,$I23=0,$M28&gt;0), $N$39," ")&amp;IF(AND(I28&gt;0, I23=0, AB72=3, $J$4=0), $N$37, " ")</f>
        <v xml:space="preserve">  </v>
      </c>
      <c r="K26" s="255"/>
      <c r="L26" s="255"/>
      <c r="T26" s="119"/>
      <c r="U26" s="598" t="str">
        <f>IF(U27=1,$V$51,IF(U27=2,$V$52,$V$53))</f>
        <v>Standard</v>
      </c>
      <c r="X26" s="767"/>
      <c r="Y26" s="767"/>
      <c r="Z26" s="767"/>
      <c r="AA26" s="164" t="str">
        <f>CenAVS!A121</f>
        <v xml:space="preserve">mocowanie frontu HK-XS alu ramka      </v>
      </c>
      <c r="AB26" s="164" t="str">
        <f>CenAVS!B121</f>
        <v>20K4101A</v>
      </c>
      <c r="AC26" s="164" t="str">
        <f>CenAVS!C121</f>
        <v>NI</v>
      </c>
      <c r="AD26" s="165">
        <f t="shared" si="0"/>
        <v>0</v>
      </c>
      <c r="AE26" s="395">
        <f>CenAVS!F121</f>
        <v>10.277819999999998</v>
      </c>
      <c r="AF26" s="167">
        <f t="shared" si="1"/>
        <v>0</v>
      </c>
      <c r="AG26" s="407"/>
      <c r="AH26" s="168">
        <f t="shared" si="2"/>
        <v>0</v>
      </c>
      <c r="AI26" s="407"/>
      <c r="AJ26" s="168">
        <f t="shared" si="3"/>
        <v>0</v>
      </c>
      <c r="AK26" s="108"/>
      <c r="AL26" s="108"/>
      <c r="AM26" s="255"/>
      <c r="AN26" s="137"/>
      <c r="AO26" s="137"/>
      <c r="AP26" s="137"/>
      <c r="AU26" s="787"/>
      <c r="AV26" s="787"/>
      <c r="AW26" s="787"/>
      <c r="AX26" s="787"/>
      <c r="AY26" s="787"/>
    </row>
    <row r="27" spans="1:51" s="37" customFormat="1" ht="16.149999999999999" customHeight="1" thickBot="1" x14ac:dyDescent="0.25">
      <c r="B27" s="1011" t="str">
        <f>ListAVS!$B$88&amp;" *      "</f>
        <v xml:space="preserve">Drugi podnośnik *      </v>
      </c>
      <c r="C27" s="1012"/>
      <c r="D27" s="1013"/>
      <c r="E27" s="1011" t="str">
        <f>ListAVS!$B$86&amp;" LF "</f>
        <v xml:space="preserve">Współczynnik mocy LF </v>
      </c>
      <c r="F27" s="1012"/>
      <c r="G27" s="1012"/>
      <c r="H27" s="1013"/>
      <c r="I27" s="400">
        <f>IF(I23&gt;0,I22*I23,I22*I26)</f>
        <v>0</v>
      </c>
      <c r="J27" s="256" t="str">
        <f>IF(U27=1,IF($I27&gt;3600,$N$42,IF($I27&gt;1800.5,IF(V21=FALSE,$N$43," ")," ")),IF($I27&gt;3200,$N$42,IF($I27&gt;1600.5,IF(V21=FALSE,$N$43," ")," ")))</f>
        <v xml:space="preserve"> </v>
      </c>
      <c r="K27" s="248"/>
      <c r="L27" s="255"/>
      <c r="M27" s="118"/>
      <c r="N27" s="119"/>
      <c r="O27" s="132"/>
      <c r="P27" s="132"/>
      <c r="Q27" s="119"/>
      <c r="R27" s="767"/>
      <c r="S27" s="767"/>
      <c r="T27" s="756"/>
      <c r="U27" s="207">
        <v>1</v>
      </c>
      <c r="V27" s="767"/>
      <c r="W27" s="767"/>
      <c r="X27" s="767"/>
      <c r="Y27" s="767"/>
      <c r="Z27" s="767"/>
      <c r="AA27" s="164"/>
      <c r="AB27" s="164"/>
      <c r="AC27" s="164"/>
      <c r="AD27" s="165"/>
      <c r="AE27" s="395"/>
      <c r="AF27" s="167"/>
      <c r="AG27" s="407"/>
      <c r="AH27" s="168"/>
      <c r="AI27" s="407"/>
      <c r="AJ27" s="168"/>
      <c r="AK27" s="108"/>
      <c r="AL27" s="108"/>
      <c r="AM27" s="255"/>
      <c r="AU27" s="787"/>
      <c r="AV27" s="787"/>
      <c r="AW27" s="787"/>
      <c r="AX27" s="787"/>
      <c r="AY27" s="787"/>
    </row>
    <row r="28" spans="1:51" ht="16.149999999999999" customHeight="1" thickBot="1" x14ac:dyDescent="0.25">
      <c r="B28" s="1011" t="str">
        <f>ListAVS!$B$71&amp;" "</f>
        <v xml:space="preserve">Ilość szafek </v>
      </c>
      <c r="C28" s="1012"/>
      <c r="D28" s="1012"/>
      <c r="E28" s="1012"/>
      <c r="F28" s="1012"/>
      <c r="G28" s="1012"/>
      <c r="H28" s="1176"/>
      <c r="I28" s="261"/>
      <c r="J28" s="256"/>
      <c r="K28" s="445"/>
      <c r="L28" s="265"/>
      <c r="M28" s="315">
        <f>IF(OR($I21*$I22*$T28=0,$I22&lt;236,$I22&gt;600,SUM(O22:P25)=0),0,IF($I27&gt;1800,IF($V21=FALSE,0,$I28),$I28))</f>
        <v>0</v>
      </c>
      <c r="N28" s="39"/>
      <c r="O28" s="39"/>
      <c r="P28" s="39"/>
      <c r="Q28" s="39"/>
      <c r="R28" s="137"/>
      <c r="S28" s="690" t="s">
        <v>51</v>
      </c>
      <c r="T28" s="691">
        <f>IF(I23&gt;0,I23,I26)</f>
        <v>0</v>
      </c>
      <c r="U28" s="37">
        <f>IF(SUM(I23,I26)=0,0,IF(I23&gt;0,1,2))</f>
        <v>0</v>
      </c>
      <c r="V28" s="571" t="s">
        <v>52</v>
      </c>
      <c r="Y28" s="767"/>
      <c r="Z28" s="153"/>
      <c r="AA28" s="164" t="str">
        <f>CenAVS!A148</f>
        <v xml:space="preserve">nakładany z tłumieniem wkręt 110°      </v>
      </c>
      <c r="AB28" s="164" t="str">
        <f>CenAVS!B148</f>
        <v> 71B3550</v>
      </c>
      <c r="AC28" s="164" t="str">
        <f>CenAVS!C148</f>
        <v>NI</v>
      </c>
      <c r="AD28" s="165">
        <f t="shared" si="0"/>
        <v>0</v>
      </c>
      <c r="AE28" s="395">
        <f>CenAVS!F148</f>
        <v>10.385860000000001</v>
      </c>
      <c r="AF28" s="167">
        <f t="shared" si="1"/>
        <v>0</v>
      </c>
      <c r="AG28" s="407">
        <f>IF($U$16=1, SUM($Y$11)*$M$17, 0)</f>
        <v>0</v>
      </c>
      <c r="AH28" s="168">
        <f t="shared" si="2"/>
        <v>0</v>
      </c>
      <c r="AI28" s="407">
        <f>IF($U$27=1, SUM($Y$22)*$M$28, 0)</f>
        <v>0</v>
      </c>
      <c r="AJ28" s="168">
        <f t="shared" si="3"/>
        <v>0</v>
      </c>
      <c r="AK28" s="108"/>
      <c r="AM28" s="137"/>
      <c r="AU28" s="227"/>
      <c r="AV28" s="227"/>
      <c r="AW28" s="227"/>
      <c r="AX28" s="227"/>
      <c r="AY28" s="227"/>
    </row>
    <row r="29" spans="1:51" ht="16.149999999999999" customHeight="1" x14ac:dyDescent="0.2">
      <c r="A29" s="137"/>
      <c r="B29" s="255" t="str">
        <f>IF(M28&gt;0,IF(U28=0," ",IF(U28=1,$N$54,$N$55))," ")&amp;IF(M28&gt;0,IF(U28=0," ",IF(U28=1,$N$56,$N$57))," ")</f>
        <v xml:space="preserve">  </v>
      </c>
      <c r="C29" s="255"/>
      <c r="D29" s="255"/>
      <c r="E29" s="255"/>
      <c r="F29" s="255"/>
      <c r="G29" s="255"/>
      <c r="H29" s="255"/>
      <c r="I29" s="273"/>
      <c r="J29" s="266"/>
      <c r="K29" s="266"/>
      <c r="L29" s="266"/>
      <c r="N29" s="137"/>
      <c r="O29" s="137"/>
      <c r="P29" s="137"/>
      <c r="Q29" s="137"/>
      <c r="R29" s="37"/>
      <c r="AA29" s="164" t="str">
        <f>CenAVS!A149</f>
        <v xml:space="preserve">nakładany z tłumieniem Expando 110°      </v>
      </c>
      <c r="AB29" s="164" t="str">
        <f>CenAVS!B149</f>
        <v> 71B358E</v>
      </c>
      <c r="AC29" s="164" t="str">
        <f>CenAVS!C149</f>
        <v>NI</v>
      </c>
      <c r="AD29" s="165">
        <f t="shared" si="0"/>
        <v>0</v>
      </c>
      <c r="AE29" s="395">
        <f>CenAVS!F149</f>
        <v>10.731</v>
      </c>
      <c r="AF29" s="167">
        <f t="shared" si="1"/>
        <v>0</v>
      </c>
      <c r="AG29" s="407"/>
      <c r="AH29" s="168">
        <f t="shared" si="2"/>
        <v>0</v>
      </c>
      <c r="AI29" s="407"/>
      <c r="AJ29" s="168">
        <f t="shared" si="3"/>
        <v>0</v>
      </c>
      <c r="AK29" s="108"/>
      <c r="AM29" s="137"/>
      <c r="AU29" s="227"/>
      <c r="AV29" s="227"/>
      <c r="AW29" s="227"/>
      <c r="AX29" s="227"/>
      <c r="AY29" s="227"/>
    </row>
    <row r="30" spans="1:51" ht="16.149999999999999" customHeight="1" x14ac:dyDescent="0.2">
      <c r="B30" s="445"/>
      <c r="C30" s="445"/>
      <c r="D30" s="248"/>
      <c r="E30" s="445"/>
      <c r="F30" s="445"/>
      <c r="G30" s="274"/>
      <c r="H30" s="274"/>
      <c r="I30" s="445"/>
      <c r="J30" s="264"/>
      <c r="K30" s="445"/>
      <c r="L30" s="265"/>
      <c r="N30" s="137"/>
      <c r="O30" s="137"/>
      <c r="P30" s="137"/>
      <c r="Q30" s="137"/>
      <c r="R30" s="37"/>
      <c r="AA30" s="164" t="str">
        <f>CenAVS!A150</f>
        <v xml:space="preserve">nakładany Tip-on wkręt 110°       </v>
      </c>
      <c r="AB30" s="164" t="str">
        <f>CenAVS!B150</f>
        <v> 70T3550.TL</v>
      </c>
      <c r="AC30" s="164" t="str">
        <f>CenAVS!C150</f>
        <v>NI</v>
      </c>
      <c r="AD30" s="165">
        <f t="shared" si="0"/>
        <v>0</v>
      </c>
      <c r="AE30" s="395">
        <f>CenAVS!F150</f>
        <v>5.6034400000000009</v>
      </c>
      <c r="AF30" s="167">
        <f t="shared" si="1"/>
        <v>0</v>
      </c>
      <c r="AG30" s="407">
        <f>IF($U$16=2, SUM($Y$11)*$M$17, 0)</f>
        <v>0</v>
      </c>
      <c r="AH30" s="168">
        <f t="shared" si="2"/>
        <v>0</v>
      </c>
      <c r="AI30" s="407">
        <f>IF($U$27=2, SUM($Y$22)*$M$28, 0)</f>
        <v>0</v>
      </c>
      <c r="AJ30" s="168">
        <f t="shared" si="3"/>
        <v>0</v>
      </c>
      <c r="AK30" s="108"/>
      <c r="AU30" s="404"/>
      <c r="AV30" s="227"/>
      <c r="AW30" s="227"/>
      <c r="AX30" s="227"/>
      <c r="AY30" s="227"/>
    </row>
    <row r="31" spans="1:51" ht="16.149999999999999" customHeight="1" x14ac:dyDescent="0.2">
      <c r="B31" s="255"/>
      <c r="C31" s="255"/>
      <c r="D31" s="255"/>
      <c r="E31" s="266"/>
      <c r="F31" s="266"/>
      <c r="G31" s="266"/>
      <c r="H31" s="266"/>
      <c r="I31" s="266"/>
      <c r="J31" s="266"/>
      <c r="K31" s="266"/>
      <c r="L31" s="446"/>
      <c r="O31" s="118"/>
      <c r="P31" s="37"/>
      <c r="Q31" s="118"/>
      <c r="R31" s="37"/>
      <c r="S31" s="138">
        <f>IF($T$31=FALSE,2,1)</f>
        <v>2</v>
      </c>
      <c r="T31" s="1063" t="b">
        <v>0</v>
      </c>
      <c r="U31" s="1064"/>
      <c r="V31" s="139" t="s">
        <v>56</v>
      </c>
      <c r="W31" s="140"/>
      <c r="X31" s="118"/>
      <c r="Y31" s="118"/>
      <c r="Z31" s="118"/>
      <c r="AA31" s="164" t="str">
        <f>CenAVS!A151</f>
        <v xml:space="preserve">nakładany Tip-on Expando 110°       </v>
      </c>
      <c r="AB31" s="164" t="str">
        <f>CenAVS!B151</f>
        <v> 70T358E.TL</v>
      </c>
      <c r="AC31" s="164" t="str">
        <f>CenAVS!C151</f>
        <v>NI</v>
      </c>
      <c r="AD31" s="165">
        <f t="shared" si="0"/>
        <v>0</v>
      </c>
      <c r="AE31" s="395">
        <f>CenAVS!F151</f>
        <v>5.5332499999999989</v>
      </c>
      <c r="AF31" s="167">
        <f t="shared" si="1"/>
        <v>0</v>
      </c>
      <c r="AG31" s="407"/>
      <c r="AH31" s="168">
        <f t="shared" si="2"/>
        <v>0</v>
      </c>
      <c r="AI31" s="407"/>
      <c r="AJ31" s="168">
        <f t="shared" si="3"/>
        <v>0</v>
      </c>
      <c r="AK31" s="108"/>
      <c r="AM31" s="773"/>
      <c r="AU31" s="673"/>
      <c r="AV31" s="404"/>
      <c r="AW31" s="404"/>
      <c r="AX31" s="404"/>
      <c r="AY31" s="404"/>
    </row>
    <row r="32" spans="1:51" ht="16.149999999999999" customHeight="1" x14ac:dyDescent="0.2">
      <c r="B32" s="272"/>
      <c r="C32" s="272"/>
      <c r="D32" s="273"/>
      <c r="E32" s="266"/>
      <c r="F32" s="266"/>
      <c r="G32" s="266"/>
      <c r="H32" s="266"/>
      <c r="I32" s="266"/>
      <c r="J32" s="266"/>
      <c r="K32" s="266"/>
      <c r="L32" s="446"/>
      <c r="O32" s="118"/>
      <c r="P32" s="37"/>
      <c r="Q32" s="118"/>
      <c r="R32" s="37"/>
      <c r="AA32" s="164" t="str">
        <f>CenAVS!A152</f>
        <v xml:space="preserve">Zawias do cieńkich materiałów z Blumotion, Expando T, 110°  </v>
      </c>
      <c r="AB32" s="164" t="str">
        <f>CenAVS!B152</f>
        <v xml:space="preserve"> 71B453T</v>
      </c>
      <c r="AC32" s="164" t="str">
        <f>CenAVS!C152</f>
        <v>NI</v>
      </c>
      <c r="AD32" s="165">
        <f t="shared" si="0"/>
        <v>0</v>
      </c>
      <c r="AE32" s="395">
        <f>CenAVS!F152</f>
        <v>41.185140000000004</v>
      </c>
      <c r="AF32" s="167">
        <f t="shared" si="1"/>
        <v>0</v>
      </c>
      <c r="AG32" s="407"/>
      <c r="AH32" s="168">
        <f t="shared" si="2"/>
        <v>0</v>
      </c>
      <c r="AI32" s="407"/>
      <c r="AJ32" s="168">
        <f t="shared" si="3"/>
        <v>0</v>
      </c>
      <c r="AK32" s="108"/>
      <c r="AM32" s="773"/>
    </row>
    <row r="33" spans="2:39" ht="16.149999999999999" customHeight="1" x14ac:dyDescent="0.2">
      <c r="B33" s="272"/>
      <c r="C33" s="272"/>
      <c r="D33" s="255"/>
      <c r="E33" s="255"/>
      <c r="F33" s="255"/>
      <c r="G33" s="255"/>
      <c r="H33" s="255"/>
      <c r="I33" s="255"/>
      <c r="J33" s="255"/>
      <c r="K33" s="255"/>
      <c r="L33" s="255"/>
      <c r="O33" s="118"/>
      <c r="P33" s="37"/>
      <c r="Q33" s="118"/>
      <c r="R33" s="37"/>
      <c r="AA33" s="164" t="str">
        <f>CenAVS!A153</f>
        <v xml:space="preserve">Zawias do cieńkich materiałów, Expando T, 110°    </v>
      </c>
      <c r="AB33" s="164" t="str">
        <f>CenAVS!B153</f>
        <v xml:space="preserve"> 70T453T.TL</v>
      </c>
      <c r="AC33" s="164" t="str">
        <f>CenAVS!C153</f>
        <v>NI</v>
      </c>
      <c r="AD33" s="165">
        <f t="shared" si="0"/>
        <v>0</v>
      </c>
      <c r="AE33" s="395">
        <f>CenAVS!F153</f>
        <v>35.323819999999998</v>
      </c>
      <c r="AF33" s="167">
        <f t="shared" si="1"/>
        <v>0</v>
      </c>
      <c r="AG33" s="407"/>
      <c r="AH33" s="168">
        <f t="shared" si="2"/>
        <v>0</v>
      </c>
      <c r="AI33" s="407"/>
      <c r="AJ33" s="168">
        <f t="shared" si="3"/>
        <v>0</v>
      </c>
      <c r="AK33" s="108"/>
      <c r="AM33" s="773"/>
    </row>
    <row r="34" spans="2:39" ht="16.149999999999999" customHeight="1" x14ac:dyDescent="0.2">
      <c r="B34" s="274"/>
      <c r="C34" s="255" t="str">
        <f>"* "&amp;ListAVS!$B$354</f>
        <v>* W razie wykorzystania trzeciego siłownika współczynnik mocy oraz waga frontu mogą się zwiększyć o 50 %.</v>
      </c>
      <c r="D34" s="276"/>
      <c r="E34" s="276"/>
      <c r="F34" s="276"/>
      <c r="G34" s="276"/>
      <c r="H34" s="276"/>
      <c r="I34" s="276"/>
      <c r="J34" s="276"/>
      <c r="K34" s="276"/>
      <c r="L34" s="255"/>
      <c r="O34" s="118"/>
      <c r="P34" s="37"/>
      <c r="Q34" s="118"/>
      <c r="R34" s="37"/>
      <c r="AA34" s="164" t="str">
        <f>CenAVS!A154</f>
        <v xml:space="preserve">alu nakładany z tłumieniem 95°      </v>
      </c>
      <c r="AB34" s="164" t="str">
        <f>CenAVS!B154</f>
        <v> 71B950A</v>
      </c>
      <c r="AC34" s="164" t="str">
        <f>CenAVS!C154</f>
        <v>NI</v>
      </c>
      <c r="AD34" s="165">
        <f>SUM(AG34,AI34)</f>
        <v>0</v>
      </c>
      <c r="AE34" s="395">
        <f>CenAVS!F154</f>
        <v>19.826509999999999</v>
      </c>
      <c r="AF34" s="167">
        <f>AD34*AE34</f>
        <v>0</v>
      </c>
      <c r="AG34" s="407"/>
      <c r="AH34" s="168">
        <f>$AE34*AG34</f>
        <v>0</v>
      </c>
      <c r="AI34" s="407"/>
      <c r="AJ34" s="168">
        <f>$AE34*AI34</f>
        <v>0</v>
      </c>
      <c r="AK34" s="108"/>
    </row>
    <row r="35" spans="2:39" ht="16.149999999999999" customHeight="1" x14ac:dyDescent="0.2">
      <c r="B35" s="255"/>
      <c r="C35" s="255" t="str">
        <f>"** "&amp;ListAVS!$B$187</f>
        <v>** Jeżeli znasz wagę i nie chcesz skorzystać z "obliczenie wagi"</v>
      </c>
      <c r="D35" s="276"/>
      <c r="E35" s="276"/>
      <c r="F35" s="276"/>
      <c r="G35" s="276"/>
      <c r="H35" s="276"/>
      <c r="I35" s="276"/>
      <c r="J35" s="276"/>
      <c r="K35" s="276"/>
      <c r="L35" s="255"/>
      <c r="O35" s="118"/>
      <c r="P35" s="37"/>
      <c r="Q35" s="118"/>
      <c r="R35" s="37"/>
      <c r="AA35" s="456" t="str">
        <f>CenAVS!A22</f>
        <v xml:space="preserve">alu nakładany Tip-on 120° Aventos HF     </v>
      </c>
      <c r="AB35" s="456" t="str">
        <f>CenAVS!B22</f>
        <v>72T550A.TL</v>
      </c>
      <c r="AC35" s="456" t="str">
        <f>CenAVS!C22</f>
        <v>NI</v>
      </c>
      <c r="AD35" s="408">
        <f>SUM(AG35,AI35)</f>
        <v>0</v>
      </c>
      <c r="AE35" s="457">
        <f>CenAVS!F22</f>
        <v>8.4674200000000006</v>
      </c>
      <c r="AF35" s="167">
        <f>AD35*AE35</f>
        <v>0</v>
      </c>
      <c r="AG35" s="407"/>
      <c r="AH35" s="168">
        <f>$AE35*AG35</f>
        <v>0</v>
      </c>
      <c r="AI35" s="407"/>
      <c r="AJ35" s="168">
        <f>$AE35*AI35</f>
        <v>0</v>
      </c>
      <c r="AK35" s="108"/>
      <c r="AM35" s="774"/>
    </row>
    <row r="36" spans="2:39" ht="16.149999999999999" customHeight="1" x14ac:dyDescent="0.2">
      <c r="B36" s="274"/>
      <c r="C36" s="273" t="str">
        <f>"*** "&amp;ListAVS!$B$403</f>
        <v>*** Wybierz rodzaj ramki aluminiowej!</v>
      </c>
      <c r="D36" s="276"/>
      <c r="E36" s="276"/>
      <c r="F36" s="276"/>
      <c r="G36" s="276"/>
      <c r="H36" s="276"/>
      <c r="I36" s="276"/>
      <c r="J36" s="276"/>
      <c r="K36" s="276"/>
      <c r="L36" s="255"/>
      <c r="O36" s="118"/>
      <c r="P36" s="37"/>
      <c r="Q36" s="118"/>
      <c r="R36" s="37"/>
      <c r="AA36" s="164" t="str">
        <f>CenAVS!A123</f>
        <v xml:space="preserve">specjalne wkręty 3.53x9.5mm do szerokich ramek     </v>
      </c>
      <c r="AB36" s="164" t="str">
        <f>CenAVS!B123</f>
        <v>660.0950</v>
      </c>
      <c r="AC36" s="164" t="str">
        <f>CenAVS!C123</f>
        <v>NI</v>
      </c>
      <c r="AD36" s="165">
        <f>SUM(AG36,AI36)</f>
        <v>0</v>
      </c>
      <c r="AE36" s="395">
        <f>CenAVS!F123</f>
        <v>0.18570999999999999</v>
      </c>
      <c r="AF36" s="167">
        <f>AD36*AE36</f>
        <v>0</v>
      </c>
      <c r="AG36" s="407">
        <f>SUM(AG22, AG28, AG30)*2</f>
        <v>0</v>
      </c>
      <c r="AH36" s="168">
        <f>$AE36*AG36</f>
        <v>0</v>
      </c>
      <c r="AI36" s="407">
        <f>SUM(AI22, AI28, AI30)*2</f>
        <v>0</v>
      </c>
      <c r="AJ36" s="168">
        <f>$AE36*AI36</f>
        <v>0</v>
      </c>
      <c r="AK36" s="108"/>
    </row>
    <row r="37" spans="2:39" ht="16.149999999999999" customHeight="1" x14ac:dyDescent="0.2">
      <c r="B37" s="255"/>
      <c r="C37" s="670" t="str">
        <f>"      "&amp;ListAVS!$B$404</f>
        <v xml:space="preserve">      Więcej informacji o wyborze ramki aluminiowej w Pomocy</v>
      </c>
      <c r="D37" s="276"/>
      <c r="E37" s="276"/>
      <c r="F37" s="276"/>
      <c r="G37" s="276"/>
      <c r="H37" s="276"/>
      <c r="I37" s="276"/>
      <c r="J37" s="276"/>
      <c r="K37" s="276"/>
      <c r="L37" s="255"/>
      <c r="N37" s="37" t="str">
        <f>" "&amp;ListAVS!$B$117</f>
        <v xml:space="preserve"> Wprowadź wagę lub wypełnij na górze grubość szkła</v>
      </c>
      <c r="O37" s="118"/>
      <c r="P37" s="37"/>
      <c r="Q37" s="118"/>
      <c r="R37" s="37"/>
      <c r="AA37" s="164" t="str">
        <f>CenAVS!A158</f>
        <v xml:space="preserve">kołek Expando T        </v>
      </c>
      <c r="AB37" s="164" t="str">
        <f>CenAVS!B158</f>
        <v>70T4532T</v>
      </c>
      <c r="AC37" s="164" t="str">
        <f>CenAVS!C158</f>
        <v>DGR</v>
      </c>
      <c r="AD37" s="165">
        <f>SUM(AG37,AI37)</f>
        <v>0</v>
      </c>
      <c r="AE37" s="395">
        <f>CenAVS!F158</f>
        <v>6.9475599999999993</v>
      </c>
      <c r="AF37" s="167">
        <f>AD37*AE37</f>
        <v>0</v>
      </c>
      <c r="AG37" s="407"/>
      <c r="AH37" s="168">
        <f>$AE37*AG37</f>
        <v>0</v>
      </c>
      <c r="AI37" s="407"/>
      <c r="AJ37" s="168">
        <f>$AE37*AI37</f>
        <v>0</v>
      </c>
      <c r="AK37" s="108"/>
    </row>
    <row r="38" spans="2:39" ht="16.149999999999999" customHeight="1" x14ac:dyDescent="0.2">
      <c r="B38" s="255"/>
      <c r="C38" s="255"/>
      <c r="D38" s="255"/>
      <c r="E38" s="255"/>
      <c r="F38" s="255"/>
      <c r="G38" s="255"/>
      <c r="H38" s="255"/>
      <c r="I38" s="255"/>
      <c r="J38" s="255"/>
      <c r="K38" s="255"/>
      <c r="L38" s="255"/>
      <c r="N38" s="37" t="str">
        <f>" "&amp;ListAVS!$B$116</f>
        <v xml:space="preserve"> Wprowadź wagę lub wypełnij wszystkie komórki</v>
      </c>
      <c r="O38" s="118"/>
      <c r="P38" s="37"/>
      <c r="Q38" s="118"/>
      <c r="R38" s="37"/>
      <c r="AA38" s="164"/>
      <c r="AB38" s="164"/>
      <c r="AC38" s="164"/>
      <c r="AD38" s="165"/>
      <c r="AE38" s="395"/>
      <c r="AF38" s="167"/>
      <c r="AG38" s="407"/>
      <c r="AH38" s="168"/>
      <c r="AI38" s="407"/>
      <c r="AJ38" s="168"/>
      <c r="AK38" s="108"/>
    </row>
    <row r="39" spans="2:39" ht="16.149999999999999" customHeight="1" x14ac:dyDescent="0.2">
      <c r="B39" s="255"/>
      <c r="C39" s="255"/>
      <c r="D39" s="255"/>
      <c r="E39" s="255"/>
      <c r="F39" s="255"/>
      <c r="G39" s="255"/>
      <c r="H39" s="255"/>
      <c r="I39" s="255"/>
      <c r="J39" s="255"/>
      <c r="K39" s="255"/>
      <c r="L39" s="255"/>
      <c r="N39" s="37" t="str">
        <f>"◄ "&amp;ListAVS!$B$112</f>
        <v>◄ wartość będzie wykorzystana do obliczenia LF</v>
      </c>
      <c r="O39" s="118"/>
      <c r="P39" s="37"/>
      <c r="Q39" s="118"/>
      <c r="R39" s="37"/>
      <c r="AA39" s="164" t="str">
        <f>CenAVS!A166</f>
        <v xml:space="preserve">prowadnik prosty wkręt 8 5mm stal     </v>
      </c>
      <c r="AB39" s="164" t="str">
        <f>CenAVS!B166</f>
        <v>175H3100</v>
      </c>
      <c r="AC39" s="164" t="str">
        <f>CenAVS!C166</f>
        <v>NI</v>
      </c>
      <c r="AD39" s="165">
        <f>SUM(AG39,AI39)</f>
        <v>0</v>
      </c>
      <c r="AE39" s="395">
        <f>CenAVS!F166</f>
        <v>1.65564</v>
      </c>
      <c r="AF39" s="167">
        <f>AD39*AE39</f>
        <v>0</v>
      </c>
      <c r="AG39" s="407">
        <f>IF($O$49=2, $Y$11*$M$17, 0)</f>
        <v>0</v>
      </c>
      <c r="AH39" s="168">
        <f>$AE39*AG39</f>
        <v>0</v>
      </c>
      <c r="AI39" s="407">
        <f>IF($O$49=2, $Y$22*$M$28, 0)</f>
        <v>0</v>
      </c>
      <c r="AJ39" s="168">
        <f>$AE39*AI39</f>
        <v>0</v>
      </c>
      <c r="AK39" s="108"/>
    </row>
    <row r="40" spans="2:39" ht="16.149999999999999" customHeight="1" x14ac:dyDescent="0.2">
      <c r="B40" s="255"/>
      <c r="C40" s="255"/>
      <c r="D40" s="255"/>
      <c r="E40" s="255"/>
      <c r="F40" s="255"/>
      <c r="G40" s="255"/>
      <c r="H40" s="255"/>
      <c r="I40" s="255"/>
      <c r="J40" s="255"/>
      <c r="K40" s="255"/>
      <c r="L40" s="255"/>
      <c r="N40" s="37" t="str">
        <f>" * "&amp;ListAVS!$B$128</f>
        <v xml:space="preserve"> * Wypełnij wartości</v>
      </c>
      <c r="O40" s="118"/>
      <c r="P40" s="37"/>
      <c r="Q40" s="118"/>
      <c r="R40" s="37"/>
      <c r="AA40" s="164" t="str">
        <f>CenAVS!A167</f>
        <v xml:space="preserve">prowadnik prosty Expando 8 5mm stal     </v>
      </c>
      <c r="AB40" s="164" t="str">
        <f>CenAVS!B167</f>
        <v>177H3100E </v>
      </c>
      <c r="AC40" s="164" t="str">
        <f>CenAVS!C167</f>
        <v>NI</v>
      </c>
      <c r="AD40" s="165">
        <f>SUM(AG40,AI40)</f>
        <v>0</v>
      </c>
      <c r="AE40" s="395">
        <f>CenAVS!F167</f>
        <v>1.8724499999999999</v>
      </c>
      <c r="AF40" s="167">
        <f>AD40*AE40</f>
        <v>0</v>
      </c>
      <c r="AG40" s="407">
        <f>IF($O$49=1, $Y$11*$M$17, 0)</f>
        <v>0</v>
      </c>
      <c r="AH40" s="168">
        <f>$AE40*AG40</f>
        <v>0</v>
      </c>
      <c r="AI40" s="407">
        <f>IF($O$49=1, $Y$22*$M$28, 0)</f>
        <v>0</v>
      </c>
      <c r="AJ40" s="168">
        <f>$AE40*AI40</f>
        <v>0</v>
      </c>
      <c r="AK40" s="108"/>
    </row>
    <row r="41" spans="2:39" ht="16.149999999999999" customHeight="1" x14ac:dyDescent="0.2">
      <c r="B41" s="255"/>
      <c r="C41" s="255"/>
      <c r="D41" s="255"/>
      <c r="E41" s="255"/>
      <c r="F41" s="255"/>
      <c r="G41" s="255"/>
      <c r="H41" s="255"/>
      <c r="I41" s="255"/>
      <c r="J41" s="255"/>
      <c r="K41" s="255"/>
      <c r="L41" s="255"/>
      <c r="O41" s="118"/>
      <c r="P41" s="37"/>
      <c r="Q41" s="118"/>
      <c r="R41" s="37"/>
      <c r="AA41" s="164"/>
      <c r="AB41" s="164"/>
      <c r="AC41" s="164"/>
      <c r="AD41" s="165"/>
      <c r="AE41" s="395"/>
      <c r="AF41" s="167"/>
      <c r="AG41" s="407"/>
      <c r="AH41" s="168"/>
      <c r="AI41" s="407"/>
      <c r="AJ41" s="168"/>
      <c r="AK41" s="108"/>
    </row>
    <row r="42" spans="2:39" s="37" customFormat="1" ht="16.149999999999999" customHeight="1" x14ac:dyDescent="0.2">
      <c r="B42" s="255"/>
      <c r="C42" s="255"/>
      <c r="D42" s="255"/>
      <c r="E42" s="255"/>
      <c r="F42" s="255"/>
      <c r="G42" s="255"/>
      <c r="H42" s="255"/>
      <c r="I42" s="255"/>
      <c r="J42" s="255"/>
      <c r="K42" s="255"/>
      <c r="L42" s="255"/>
      <c r="M42" s="1217" t="s">
        <v>135</v>
      </c>
      <c r="N42" s="37" t="str">
        <f>IF(U16=1," max. 3.600! "&amp;ListAVS!$B$122," max. 3.200! "&amp;ListAVS!$B$122)</f>
        <v xml:space="preserve"> max. 3.600! Popraw wagę albo wysokość</v>
      </c>
      <c r="AA42" s="164" t="str">
        <f>CenAVS!A185</f>
        <v xml:space="preserve">Tip-on do zawiasu 50mm PG, szary     </v>
      </c>
      <c r="AB42" s="164" t="str">
        <f>CenAVS!B185</f>
        <v>956.1004</v>
      </c>
      <c r="AC42" s="164" t="str">
        <f>CenAVS!C185</f>
        <v>R7036</v>
      </c>
      <c r="AD42" s="165">
        <f>SUM(AG42,AI42)</f>
        <v>0</v>
      </c>
      <c r="AE42" s="395">
        <f>CenAVS!F185</f>
        <v>12.830769999999999</v>
      </c>
      <c r="AF42" s="167">
        <f>AD42*AE42</f>
        <v>0</v>
      </c>
      <c r="AG42" s="407">
        <f>IF(AND($T$49&lt;3, $U$16=2), $M$17, 0)</f>
        <v>0</v>
      </c>
      <c r="AH42" s="168">
        <f>$AE42*AG42</f>
        <v>0</v>
      </c>
      <c r="AI42" s="407">
        <f>IF(AND($T$49&lt;3, $U$27=2), $M$28, 0)</f>
        <v>0</v>
      </c>
      <c r="AJ42" s="168">
        <f>$AE42*AI42</f>
        <v>0</v>
      </c>
      <c r="AK42" s="108"/>
      <c r="AL42" s="108"/>
      <c r="AM42" s="108"/>
    </row>
    <row r="43" spans="2:39" s="37" customFormat="1" ht="16.149999999999999" customHeight="1" x14ac:dyDescent="0.2">
      <c r="B43" s="440" t="str">
        <f>IF($I$11&gt;600,"***",IF($I$22&gt;600,"***"," "))</f>
        <v xml:space="preserve"> </v>
      </c>
      <c r="C43" s="440"/>
      <c r="D43" s="255"/>
      <c r="E43" s="255"/>
      <c r="F43" s="255"/>
      <c r="G43" s="255"/>
      <c r="H43" s="255"/>
      <c r="I43" s="255"/>
      <c r="J43" s="255"/>
      <c r="K43" s="255"/>
      <c r="L43" s="255"/>
      <c r="M43" s="1217"/>
      <c r="N43" s="37" t="str">
        <f>IF(U16=1," max. 1.800! "&amp;ListAVS!$B$132," max. 1.600! "&amp;ListAVS!$B$132)</f>
        <v xml:space="preserve"> max. 1.800! Dodaj drugi podnośnik</v>
      </c>
      <c r="O43" s="118"/>
      <c r="Q43" s="118"/>
      <c r="AA43" s="164" t="str">
        <f>CenAVS!A186</f>
        <v xml:space="preserve">Tip-on do zawiasu 50mm SW, biały     </v>
      </c>
      <c r="AB43" s="164" t="str">
        <f>CenAVS!B186</f>
        <v>956.1004</v>
      </c>
      <c r="AC43" s="164" t="str">
        <f>CenAVS!C186</f>
        <v>SW</v>
      </c>
      <c r="AD43" s="165">
        <f>SUM(AG43,AI43)</f>
        <v>0</v>
      </c>
      <c r="AE43" s="395">
        <f>CenAVS!F186</f>
        <v>12.830769999999999</v>
      </c>
      <c r="AF43" s="167">
        <f>AD43*AE43</f>
        <v>0</v>
      </c>
      <c r="AG43" s="407">
        <f>IF(AND($T$49=3, $U$16=2), $M$17, 0)</f>
        <v>0</v>
      </c>
      <c r="AH43" s="168">
        <f>$AE43*AG43</f>
        <v>0</v>
      </c>
      <c r="AI43" s="407">
        <f>IF(AND($T$49=3, $U$27=2), $M$28, 0)</f>
        <v>0</v>
      </c>
      <c r="AJ43" s="168">
        <f>$AE43*AI43</f>
        <v>0</v>
      </c>
      <c r="AK43" s="108"/>
      <c r="AL43" s="108"/>
      <c r="AM43" s="108"/>
    </row>
    <row r="44" spans="2:39" s="37" customFormat="1" ht="16.149999999999999" customHeight="1" x14ac:dyDescent="0.2">
      <c r="B44" s="273"/>
      <c r="C44" s="273"/>
      <c r="D44" s="255"/>
      <c r="E44" s="255"/>
      <c r="F44" s="255"/>
      <c r="G44" s="255"/>
      <c r="H44" s="255"/>
      <c r="I44" s="255"/>
      <c r="J44" s="255"/>
      <c r="K44" s="255"/>
      <c r="L44" s="255"/>
      <c r="N44" s="149"/>
      <c r="O44" s="118"/>
      <c r="Q44" s="118"/>
      <c r="AA44" s="164" t="str">
        <f>CenAVS!A187</f>
        <v xml:space="preserve">Tip-on do zawiasu krótki 50mm z magnesem,komplet, karbon czarny CS </v>
      </c>
      <c r="AB44" s="164" t="str">
        <f>CenAVS!B187</f>
        <v>956.1004</v>
      </c>
      <c r="AC44" s="164" t="str">
        <f>CenAVS!C187</f>
        <v>CS</v>
      </c>
      <c r="AD44" s="165">
        <f>SUM(AG44,AI44)</f>
        <v>0</v>
      </c>
      <c r="AE44" s="395">
        <f>CenAVS!F187</f>
        <v>12.830769999999999</v>
      </c>
      <c r="AF44" s="167">
        <f>AD44*AE44</f>
        <v>0</v>
      </c>
      <c r="AG44" s="407"/>
      <c r="AH44" s="168">
        <f>$AE44*AG44</f>
        <v>0</v>
      </c>
      <c r="AI44" s="407"/>
      <c r="AJ44" s="168">
        <f>$AE44*AI44</f>
        <v>0</v>
      </c>
      <c r="AK44" s="108"/>
      <c r="AL44" s="108"/>
      <c r="AM44" s="108"/>
    </row>
    <row r="45" spans="2:39" s="37" customFormat="1" ht="16.149999999999999" customHeight="1" x14ac:dyDescent="0.2">
      <c r="B45" s="273"/>
      <c r="C45" s="273"/>
      <c r="D45" s="255"/>
      <c r="E45" s="255"/>
      <c r="F45" s="255"/>
      <c r="G45" s="255"/>
      <c r="H45" s="255"/>
      <c r="I45" s="255"/>
      <c r="J45" s="255"/>
      <c r="K45" s="255"/>
      <c r="L45" s="255"/>
      <c r="M45" s="1217" t="s">
        <v>136</v>
      </c>
      <c r="N45" s="37" t="str">
        <f>IF(U27=1," max. 3.600! "&amp;ListAVS!$B$122," max. 3.200! "&amp;ListAVS!$B$122)</f>
        <v xml:space="preserve"> max. 3.600! Popraw wagę albo wysokość</v>
      </c>
      <c r="O45" s="118"/>
      <c r="Q45" s="118"/>
      <c r="AA45" s="164"/>
      <c r="AB45" s="164"/>
      <c r="AC45" s="164"/>
      <c r="AD45" s="165"/>
      <c r="AE45" s="395"/>
      <c r="AF45" s="167"/>
      <c r="AG45" s="407"/>
      <c r="AH45" s="168"/>
      <c r="AI45" s="407"/>
      <c r="AJ45" s="168"/>
      <c r="AK45" s="108"/>
      <c r="AL45" s="108"/>
      <c r="AM45" s="108"/>
    </row>
    <row r="46" spans="2:39" s="37" customFormat="1" ht="16.149999999999999" customHeight="1" x14ac:dyDescent="0.2">
      <c r="B46" s="273"/>
      <c r="C46" s="273"/>
      <c r="D46" s="255"/>
      <c r="E46" s="255"/>
      <c r="F46" s="255"/>
      <c r="G46" s="255"/>
      <c r="H46" s="255"/>
      <c r="I46" s="255"/>
      <c r="J46" s="255"/>
      <c r="K46" s="255"/>
      <c r="L46" s="255"/>
      <c r="M46" s="1217"/>
      <c r="N46" s="37" t="str">
        <f>IF(U27=1," max. 1.800! "&amp;ListAVS!$B$132," max. 1.600! "&amp;ListAVS!$B$132)</f>
        <v xml:space="preserve"> max. 1.800! Dodaj drugi podnośnik</v>
      </c>
      <c r="O46" s="118"/>
      <c r="Q46" s="118"/>
      <c r="AA46" s="164"/>
      <c r="AB46" s="164"/>
      <c r="AC46" s="164"/>
      <c r="AD46" s="165"/>
      <c r="AE46" s="395"/>
      <c r="AF46" s="167"/>
      <c r="AG46" s="407"/>
      <c r="AH46" s="168"/>
      <c r="AI46" s="407"/>
      <c r="AJ46" s="168"/>
      <c r="AK46" s="108"/>
      <c r="AL46" s="108"/>
      <c r="AM46" s="108"/>
    </row>
    <row r="47" spans="2:39" s="37" customFormat="1" ht="16.149999999999999" customHeight="1" x14ac:dyDescent="0.2">
      <c r="B47" s="273"/>
      <c r="C47" s="273"/>
      <c r="D47" s="255"/>
      <c r="E47" s="255"/>
      <c r="F47" s="255"/>
      <c r="G47" s="255"/>
      <c r="H47" s="255"/>
      <c r="I47" s="255"/>
      <c r="J47" s="255"/>
      <c r="K47" s="255"/>
      <c r="L47" s="255"/>
      <c r="N47" s="149"/>
      <c r="O47" s="118"/>
      <c r="Q47" s="118"/>
      <c r="AA47" s="164"/>
      <c r="AB47" s="164"/>
      <c r="AC47" s="301"/>
      <c r="AD47" s="165"/>
      <c r="AE47" s="395"/>
      <c r="AF47" s="167"/>
      <c r="AG47" s="407"/>
      <c r="AH47" s="168"/>
      <c r="AI47" s="407"/>
      <c r="AJ47" s="168"/>
      <c r="AK47" s="108"/>
      <c r="AL47" s="108"/>
      <c r="AM47" s="108"/>
    </row>
    <row r="48" spans="2:39" ht="16.149999999999999" customHeight="1" x14ac:dyDescent="0.2">
      <c r="B48" s="216"/>
      <c r="C48" s="216"/>
      <c r="E48" s="148"/>
      <c r="F48" s="148"/>
      <c r="G48" s="148"/>
      <c r="H48" s="148"/>
      <c r="I48" s="148"/>
      <c r="J48" s="148"/>
      <c r="K48" s="148"/>
      <c r="O48" s="118"/>
      <c r="P48" s="37"/>
      <c r="Q48" s="118"/>
      <c r="R48" s="37"/>
      <c r="AA48" s="164"/>
      <c r="AB48" s="164"/>
      <c r="AC48" s="301"/>
      <c r="AD48" s="165"/>
      <c r="AE48" s="395"/>
      <c r="AF48" s="167"/>
      <c r="AG48" s="407"/>
      <c r="AH48" s="168"/>
      <c r="AI48" s="407"/>
      <c r="AJ48" s="168"/>
      <c r="AK48" s="108"/>
    </row>
    <row r="49" spans="1:37" ht="16.149999999999999" customHeight="1" x14ac:dyDescent="0.2">
      <c r="B49" s="217"/>
      <c r="C49" s="217"/>
      <c r="D49" s="148"/>
      <c r="E49" s="148"/>
      <c r="F49" s="148"/>
      <c r="G49" s="148"/>
      <c r="H49" s="148"/>
      <c r="I49" s="148"/>
      <c r="J49" s="148"/>
      <c r="K49" s="148"/>
      <c r="N49" s="352">
        <v>2</v>
      </c>
      <c r="O49" s="117">
        <f>HKXS!Q26</f>
        <v>1</v>
      </c>
      <c r="P49" s="117">
        <f>HKXS!$O$26</f>
        <v>1</v>
      </c>
      <c r="Q49" s="352">
        <v>2</v>
      </c>
      <c r="T49" s="117">
        <f>MenuAVS!$P$28</f>
        <v>1</v>
      </c>
      <c r="AI49" s="118"/>
      <c r="AK49" s="108"/>
    </row>
    <row r="50" spans="1:37" ht="16.149999999999999" customHeight="1" x14ac:dyDescent="0.2">
      <c r="B50" s="218"/>
      <c r="C50" s="218"/>
      <c r="D50" s="219"/>
      <c r="E50" s="219"/>
      <c r="F50" s="219"/>
      <c r="G50" s="219"/>
      <c r="H50" s="219"/>
      <c r="J50" s="219"/>
      <c r="N50" s="220" t="s">
        <v>7</v>
      </c>
      <c r="O50" s="220" t="s">
        <v>137</v>
      </c>
      <c r="P50" s="220" t="s">
        <v>138</v>
      </c>
      <c r="Q50" s="220" t="s">
        <v>84</v>
      </c>
      <c r="S50" s="118"/>
      <c r="T50" s="220" t="s">
        <v>139</v>
      </c>
      <c r="V50" s="208" t="s">
        <v>18</v>
      </c>
      <c r="AE50" s="144" t="str">
        <f>ListAVS!$B$61&amp;" "</f>
        <v xml:space="preserve">Cena całkowita bez VAT </v>
      </c>
      <c r="AF50" s="171">
        <f>SUM(AF9:AF47)</f>
        <v>0</v>
      </c>
      <c r="AH50" s="201">
        <f>SUM(AH9:AH49)</f>
        <v>0</v>
      </c>
      <c r="AJ50" s="201">
        <f>SUM(AJ9:AJ49)</f>
        <v>0</v>
      </c>
      <c r="AK50" s="108"/>
    </row>
    <row r="51" spans="1:37" ht="16.149999999999999" customHeight="1" x14ac:dyDescent="0.2">
      <c r="B51" s="219"/>
      <c r="C51" s="219"/>
      <c r="D51" s="219"/>
      <c r="E51" s="219"/>
      <c r="F51" s="219"/>
      <c r="G51" s="219"/>
      <c r="H51" s="219"/>
      <c r="J51" s="219"/>
      <c r="O51" s="118" t="s">
        <v>140</v>
      </c>
      <c r="P51" s="118" t="str">
        <f>ListAVS!$B$143</f>
        <v>Expando</v>
      </c>
      <c r="Q51" s="118"/>
      <c r="T51" s="37" t="str">
        <f>ListAVS!$B$146</f>
        <v>Jasnoszary (HGR)</v>
      </c>
      <c r="V51" s="209" t="s">
        <v>58</v>
      </c>
      <c r="AK51" s="108"/>
    </row>
    <row r="52" spans="1:37" ht="16.149999999999999" customHeight="1" x14ac:dyDescent="0.2">
      <c r="B52" s="218"/>
      <c r="C52" s="218"/>
      <c r="D52" s="219"/>
      <c r="E52" s="219"/>
      <c r="F52" s="219"/>
      <c r="G52" s="219"/>
      <c r="H52" s="219"/>
      <c r="J52" s="219"/>
      <c r="O52" s="118" t="s">
        <v>141</v>
      </c>
      <c r="P52" s="118" t="str">
        <f>ListAVS!$B$144</f>
        <v>na wkręty</v>
      </c>
      <c r="Q52" s="118"/>
      <c r="T52" s="37" t="str">
        <f>ListAVS!$B$148</f>
        <v>Jedwabiście biały (SW)</v>
      </c>
      <c r="V52" s="209" t="s">
        <v>107</v>
      </c>
      <c r="AK52" s="108"/>
    </row>
    <row r="53" spans="1:37" ht="16.149999999999999" customHeight="1" x14ac:dyDescent="0.2">
      <c r="B53" s="144"/>
      <c r="C53" s="144"/>
      <c r="D53" s="219"/>
      <c r="O53" s="118"/>
      <c r="P53" s="37"/>
      <c r="Q53" s="118"/>
      <c r="R53" s="37"/>
      <c r="AK53" s="108"/>
    </row>
    <row r="54" spans="1:37" ht="16.149999999999999" customHeight="1" x14ac:dyDescent="0.2">
      <c r="B54" s="144"/>
      <c r="C54" s="144"/>
      <c r="N54" s="37" t="str">
        <f>ListAVS!B188&amp;". "</f>
        <v xml:space="preserve">W celu określenia rodzaju siłownika będzie wykorzystana podana waga. </v>
      </c>
      <c r="O54" s="118"/>
      <c r="P54" s="37"/>
      <c r="Q54" s="118"/>
      <c r="R54" s="37"/>
      <c r="AK54" s="108"/>
    </row>
    <row r="55" spans="1:37" ht="16.149999999999999" customHeight="1" x14ac:dyDescent="0.2">
      <c r="B55" s="155"/>
      <c r="C55" s="155"/>
      <c r="E55" s="155"/>
      <c r="F55" s="155"/>
      <c r="G55" s="155"/>
      <c r="H55" s="155"/>
      <c r="J55" s="155"/>
      <c r="N55" s="37" t="str">
        <f>ListAVS!B189&amp;". "</f>
        <v xml:space="preserve">W celu określenia rodzaju siłownika będzie wykorzystana obliczona waga. </v>
      </c>
      <c r="O55" s="118"/>
      <c r="P55" s="37"/>
      <c r="Q55" s="118"/>
      <c r="R55" s="37"/>
      <c r="AK55" s="108"/>
    </row>
    <row r="56" spans="1:37" ht="16.149999999999999" customHeight="1" x14ac:dyDescent="0.2">
      <c r="N56" s="37" t="str">
        <f>ListAVS!B190</f>
        <v>Jeżeli chcesz wykorzystać obliczoną wagę, zmaż podaną wartość</v>
      </c>
      <c r="O56" s="118"/>
      <c r="P56" s="37"/>
      <c r="Q56" s="118"/>
      <c r="R56" s="37"/>
      <c r="AK56" s="108"/>
    </row>
    <row r="57" spans="1:37" ht="16.149999999999999" customHeight="1" x14ac:dyDescent="0.2">
      <c r="N57" s="37" t="str">
        <f>ListAVS!B191</f>
        <v>Jeżeli chcesz wykorzystać podaną wagą, wpisz ją w pole</v>
      </c>
      <c r="O57" s="118"/>
      <c r="P57" s="37"/>
      <c r="Q57" s="118"/>
      <c r="R57" s="37"/>
      <c r="AK57" s="108"/>
    </row>
    <row r="58" spans="1:37" ht="16.149999999999999" customHeight="1" x14ac:dyDescent="0.2"/>
    <row r="59" spans="1:37" ht="16.149999999999999" customHeight="1" x14ac:dyDescent="0.2"/>
    <row r="60" spans="1:37" x14ac:dyDescent="0.2">
      <c r="O60" s="118"/>
      <c r="P60" s="37"/>
      <c r="Q60" s="118"/>
      <c r="R60" s="37"/>
      <c r="AK60" s="108"/>
    </row>
    <row r="61" spans="1:37" x14ac:dyDescent="0.2">
      <c r="O61" s="118"/>
      <c r="P61" s="37"/>
      <c r="Q61" s="118"/>
      <c r="R61" s="37"/>
      <c r="AK61" s="108"/>
    </row>
    <row r="63" spans="1:37" ht="12.75" x14ac:dyDescent="0.2">
      <c r="A63" s="255"/>
      <c r="B63" s="255"/>
      <c r="C63" s="255"/>
      <c r="D63" s="255"/>
      <c r="E63" s="255"/>
      <c r="F63" s="255"/>
      <c r="G63" s="255"/>
      <c r="H63" s="255"/>
      <c r="I63" s="255"/>
      <c r="J63" s="255"/>
      <c r="K63" s="255"/>
      <c r="L63" s="255"/>
    </row>
    <row r="64" spans="1:37" ht="12.75" x14ac:dyDescent="0.2">
      <c r="A64" s="255"/>
      <c r="N64" s="517" t="str">
        <f>ListAVS!$B$73</f>
        <v>Obliczanie wagi frontów</v>
      </c>
      <c r="O64" s="517"/>
      <c r="P64" s="518"/>
      <c r="Q64" s="518"/>
      <c r="R64" s="518"/>
      <c r="S64" s="518"/>
      <c r="T64" s="255"/>
      <c r="U64" s="255"/>
      <c r="V64" s="255"/>
      <c r="W64" s="255"/>
      <c r="X64" s="255"/>
      <c r="AB64" s="118"/>
      <c r="AD64" s="118"/>
    </row>
    <row r="65" spans="1:43" ht="15.75" customHeight="1" x14ac:dyDescent="0.2">
      <c r="A65" s="255"/>
      <c r="N65" s="255"/>
      <c r="O65" s="255"/>
      <c r="P65" s="269"/>
      <c r="Q65" s="269" t="str">
        <f>ListAVS!$B$180&amp;"  "</f>
        <v xml:space="preserve">Wykonanie frontów  </v>
      </c>
      <c r="R65" s="255"/>
      <c r="S65" s="255"/>
      <c r="T65" s="255"/>
      <c r="U65" s="833">
        <f>J4</f>
        <v>0</v>
      </c>
      <c r="V65" s="262" t="str">
        <f>IF(AG71=3,IF(U65=0,Z67," "),IF(U65&gt;0,Z68," "))</f>
        <v xml:space="preserve"> </v>
      </c>
      <c r="W65" s="255"/>
      <c r="X65" s="255"/>
      <c r="Z65" s="335" t="str">
        <f>IF($AG$71=1,$AG$92,IF($AG$71=2,$AG$93,$AG$94&amp;" - "&amp;$Z$75&amp;"mm"))</f>
        <v>Ramki aluminiowe z 4mm szkłem</v>
      </c>
      <c r="AA65" s="118"/>
      <c r="AC65" s="118"/>
      <c r="AE65" s="209">
        <f>MenuAVS!$Q$81</f>
        <v>2500</v>
      </c>
    </row>
    <row r="66" spans="1:43" ht="13.5" customHeight="1" x14ac:dyDescent="0.2">
      <c r="A66" s="255"/>
      <c r="N66" s="255"/>
      <c r="O66" s="255"/>
      <c r="P66" s="255"/>
      <c r="Q66" s="1151" t="str">
        <f>IF($AB$72&lt;&gt;3,$AA$66," ")&amp;"      "</f>
        <v xml:space="preserve">      </v>
      </c>
      <c r="R66" s="1151"/>
      <c r="S66" s="1151"/>
      <c r="T66" s="1151"/>
      <c r="U66" s="1151"/>
      <c r="V66" s="255"/>
      <c r="W66" s="255"/>
      <c r="X66" s="255"/>
      <c r="Z66" s="37" t="str">
        <f>" "&amp;ListAVS!$B$410</f>
        <v xml:space="preserve"> Możesz zmienić wartości we Wstępie do planowania</v>
      </c>
      <c r="AA66" s="118"/>
      <c r="AC66" s="118"/>
    </row>
    <row r="67" spans="1:43" ht="15" customHeight="1" x14ac:dyDescent="0.2">
      <c r="A67" s="255"/>
      <c r="N67" s="266"/>
      <c r="O67" s="266"/>
      <c r="P67" s="255"/>
      <c r="Q67" s="255"/>
      <c r="R67" s="255"/>
      <c r="S67" s="255"/>
      <c r="T67" s="255"/>
      <c r="U67" s="255"/>
      <c r="V67" s="255"/>
      <c r="W67" s="255"/>
      <c r="X67" s="255"/>
      <c r="Z67" s="37" t="str">
        <f>" "&amp;ListAVS!$B$246&amp;" [mm]"</f>
        <v xml:space="preserve"> Podaj grubość szkła [mm]</v>
      </c>
      <c r="AA67" s="118"/>
      <c r="AC67" s="118"/>
    </row>
    <row r="68" spans="1:43" ht="15" customHeight="1" x14ac:dyDescent="0.2">
      <c r="A68" s="255"/>
      <c r="N68" s="266"/>
      <c r="O68" s="266"/>
      <c r="P68" s="255"/>
      <c r="Q68" s="255"/>
      <c r="R68" s="255"/>
      <c r="S68" s="255"/>
      <c r="T68" s="255"/>
      <c r="U68" s="255"/>
      <c r="V68" s="255"/>
      <c r="W68" s="255"/>
      <c r="X68" s="255"/>
      <c r="Z68" s="37" t="str">
        <f>" "&amp;ListAVS!$B$241&amp;" '"&amp;ListAVS!$B$95&amp;"'"</f>
        <v xml:space="preserve"> Wartość obowiązuje tylko dla opcji 'Ramki aluminiowe z innym szkłem'</v>
      </c>
      <c r="AA68" s="118"/>
      <c r="AC68" s="118"/>
    </row>
    <row r="69" spans="1:43" ht="15" customHeight="1" x14ac:dyDescent="0.2">
      <c r="A69" s="255"/>
      <c r="N69" s="255"/>
      <c r="O69" s="255"/>
      <c r="P69" s="255"/>
      <c r="Q69" s="255"/>
      <c r="R69" s="255"/>
      <c r="S69" s="255"/>
      <c r="T69" s="255"/>
      <c r="U69" s="255"/>
      <c r="V69" s="255"/>
      <c r="W69" s="255"/>
      <c r="X69" s="255"/>
      <c r="AA69" s="118"/>
      <c r="AC69" s="118"/>
    </row>
    <row r="70" spans="1:43" ht="15" customHeight="1" x14ac:dyDescent="0.2">
      <c r="A70" s="255"/>
      <c r="N70" s="266"/>
      <c r="O70" s="266"/>
      <c r="P70" s="266"/>
      <c r="Q70" s="266"/>
      <c r="R70" s="255"/>
      <c r="S70" s="1148" t="str">
        <f>E9</f>
        <v xml:space="preserve"> </v>
      </c>
      <c r="T70" s="1149"/>
      <c r="U70" s="1150"/>
      <c r="V70" s="255"/>
      <c r="W70" s="255"/>
      <c r="X70" s="255"/>
      <c r="AA70" s="118"/>
      <c r="AC70" s="118"/>
      <c r="AE70" s="208"/>
      <c r="AF70" s="601" t="s">
        <v>68</v>
      </c>
      <c r="AG70" s="601" t="s">
        <v>69</v>
      </c>
      <c r="AH70" s="601" t="s">
        <v>70</v>
      </c>
    </row>
    <row r="71" spans="1:43" s="118" customFormat="1" ht="15" customHeight="1" x14ac:dyDescent="0.2">
      <c r="A71" s="255"/>
      <c r="N71" s="1218" t="str">
        <f>ListAVS!$B$74&amp;" KB [mm]       "</f>
        <v xml:space="preserve">Szerokość korpusu KB [mm]       </v>
      </c>
      <c r="O71" s="1219"/>
      <c r="P71" s="1219"/>
      <c r="Q71" s="1219"/>
      <c r="R71" s="1219"/>
      <c r="S71" s="1219"/>
      <c r="T71" s="1220"/>
      <c r="U71" s="829">
        <f>I10</f>
        <v>0</v>
      </c>
      <c r="V71" s="670"/>
      <c r="W71" s="248"/>
      <c r="X71" s="255"/>
      <c r="Y71" s="37"/>
      <c r="Z71" s="37">
        <f>U71*U72*U73</f>
        <v>0</v>
      </c>
      <c r="AA71" s="37"/>
      <c r="AB71" s="37"/>
      <c r="AD71" s="37"/>
      <c r="AE71" s="325">
        <f>IF($AH$71=1,$Y$92,$Y$93)</f>
        <v>0.62</v>
      </c>
      <c r="AF71" s="325">
        <f>$Y$94</f>
        <v>0.61</v>
      </c>
      <c r="AG71" s="327">
        <v>1</v>
      </c>
      <c r="AH71" s="328">
        <f>$O$4</f>
        <v>1</v>
      </c>
      <c r="AI71" s="37"/>
      <c r="AJ71" s="37"/>
      <c r="AK71" s="37"/>
      <c r="AL71" s="108"/>
      <c r="AM71" s="108"/>
      <c r="AN71" s="137"/>
      <c r="AO71" s="137"/>
      <c r="AP71" s="137"/>
      <c r="AQ71" s="137"/>
    </row>
    <row r="72" spans="1:43" s="118" customFormat="1" ht="15" customHeight="1" x14ac:dyDescent="0.2">
      <c r="A72" s="255"/>
      <c r="N72" s="1218" t="str">
        <f>ListAVS!$B$75&amp;" KH [mm]       "</f>
        <v xml:space="preserve">Wysokość korpusu KH [mm]       </v>
      </c>
      <c r="O72" s="1219"/>
      <c r="P72" s="1219"/>
      <c r="Q72" s="1219"/>
      <c r="R72" s="1219"/>
      <c r="S72" s="1219"/>
      <c r="T72" s="1220"/>
      <c r="U72" s="829">
        <f>I11</f>
        <v>0</v>
      </c>
      <c r="V72" s="670"/>
      <c r="W72" s="248"/>
      <c r="X72" s="255"/>
      <c r="Y72" s="37"/>
      <c r="Z72" s="37">
        <f>Z71/1000000000</f>
        <v>0</v>
      </c>
      <c r="AA72" s="117">
        <v>0</v>
      </c>
      <c r="AD72" s="37"/>
      <c r="AE72" s="153" t="s">
        <v>143</v>
      </c>
      <c r="AF72" s="353">
        <f>SUM(U71*2,(U72-90)*2)*AE71/1000</f>
        <v>-0.11159999999999999</v>
      </c>
      <c r="AG72" s="601" t="s">
        <v>72</v>
      </c>
      <c r="AH72" s="601"/>
      <c r="AI72" s="37"/>
      <c r="AJ72" s="37"/>
      <c r="AK72" s="37"/>
      <c r="AL72" s="108"/>
      <c r="AM72" s="108"/>
      <c r="AN72" s="137"/>
      <c r="AO72" s="137"/>
      <c r="AP72" s="137"/>
      <c r="AQ72" s="137"/>
    </row>
    <row r="73" spans="1:43" s="118" customFormat="1" ht="15" customHeight="1" x14ac:dyDescent="0.2">
      <c r="A73" s="255"/>
      <c r="N73" s="1143"/>
      <c r="O73" s="1144"/>
      <c r="P73" s="1144"/>
      <c r="Q73" s="1144"/>
      <c r="R73" s="1144"/>
      <c r="S73" s="1144"/>
      <c r="T73" s="1145"/>
      <c r="U73" s="829"/>
      <c r="V73" s="256"/>
      <c r="W73" s="248"/>
      <c r="X73" s="255"/>
      <c r="Y73" s="37"/>
      <c r="Z73" s="319">
        <f>MenuAVS!$C$31</f>
        <v>760</v>
      </c>
      <c r="AA73" s="175" t="str">
        <f>ListAVS!$B$90&amp;" ("&amp;Z73&amp;" kg/m3)"</f>
        <v>MDF (760 kg/m3)</v>
      </c>
      <c r="AD73" s="37"/>
      <c r="AE73" s="209">
        <f>$AE$65*4/1000</f>
        <v>10</v>
      </c>
      <c r="AF73" s="330">
        <f>IF($AH$71=1,AG73*AE73,AH73*AE73)</f>
        <v>6.4000000000000001E-2</v>
      </c>
      <c r="AG73" s="209">
        <f>SUM(($U$71-80)*($U$72-80)/1000000)</f>
        <v>6.4000000000000003E-3</v>
      </c>
      <c r="AH73" s="351">
        <f>SUM(($U$71-6)*($U$72-6)/1000000)</f>
        <v>3.6000000000000001E-5</v>
      </c>
      <c r="AI73" s="208" t="s">
        <v>73</v>
      </c>
      <c r="AJ73" s="37"/>
      <c r="AK73" s="37"/>
      <c r="AL73" s="108"/>
      <c r="AM73" s="108"/>
      <c r="AN73" s="137"/>
      <c r="AO73" s="137"/>
      <c r="AP73" s="137"/>
      <c r="AQ73" s="137"/>
    </row>
    <row r="74" spans="1:43" s="118" customFormat="1" ht="15" customHeight="1" x14ac:dyDescent="0.2">
      <c r="A74" s="255"/>
      <c r="N74" s="1143" t="str">
        <f>ListAVS!$B$83&amp;" [kg] "</f>
        <v xml:space="preserve">Waga uchwytu [kg] </v>
      </c>
      <c r="O74" s="1144"/>
      <c r="P74" s="1144"/>
      <c r="Q74" s="1144"/>
      <c r="R74" s="1144"/>
      <c r="S74" s="1144"/>
      <c r="T74" s="1145"/>
      <c r="U74" s="831">
        <f>I14</f>
        <v>0</v>
      </c>
      <c r="V74" s="256" t="str">
        <f>IF($U$16=2," ",IF(SUM(U71,U72)=0," ",IF(U74=0," ● "&amp;ListAVS!$B$130," ")))</f>
        <v xml:space="preserve"> </v>
      </c>
      <c r="W74" s="248"/>
      <c r="X74" s="255"/>
      <c r="Y74" s="37"/>
      <c r="Z74" s="319">
        <f>MenuAVS!$C$32</f>
        <v>680</v>
      </c>
      <c r="AA74" s="175" t="str">
        <f>ListAVS!$B$91&amp;" ("&amp;Z74&amp;" kg/m3)"</f>
        <v>Płyta wiórowa (680 kg/m3)</v>
      </c>
      <c r="AD74" s="37"/>
      <c r="AE74" s="209">
        <f>$AE$65*5/1000</f>
        <v>12.5</v>
      </c>
      <c r="AF74" s="330">
        <f>IF($AH$71=1,AG74*AE74,AH74*AE74)</f>
        <v>0.08</v>
      </c>
      <c r="AG74" s="209">
        <f>SUM(($U$71-80)*($U$72-80)/1000000)</f>
        <v>6.4000000000000003E-3</v>
      </c>
      <c r="AH74" s="351">
        <f>SUM(($U$71-6)*($U$72-6)/1000000)</f>
        <v>3.6000000000000001E-5</v>
      </c>
      <c r="AI74" s="208" t="s">
        <v>74</v>
      </c>
      <c r="AJ74" s="37"/>
      <c r="AK74" s="37"/>
      <c r="AL74" s="108"/>
      <c r="AM74" s="108"/>
      <c r="AN74" s="137"/>
      <c r="AO74" s="137"/>
      <c r="AP74" s="137"/>
      <c r="AQ74" s="137"/>
    </row>
    <row r="75" spans="1:43" s="118" customFormat="1" ht="15" customHeight="1" x14ac:dyDescent="0.2">
      <c r="A75" s="255"/>
      <c r="N75" s="1143" t="str">
        <f>ListAVS!$B$79&amp;" [kg] "</f>
        <v xml:space="preserve">Obliczona waga frontu [kg] </v>
      </c>
      <c r="O75" s="1144"/>
      <c r="P75" s="1144"/>
      <c r="Q75" s="1144"/>
      <c r="R75" s="1144"/>
      <c r="S75" s="1144"/>
      <c r="T75" s="1145"/>
      <c r="U75" s="533">
        <f>IF(AE76=0,0,AE76+2*U74)</f>
        <v>0</v>
      </c>
      <c r="V75" s="227"/>
      <c r="W75" s="248"/>
      <c r="X75" s="255"/>
      <c r="Y75" s="186">
        <f>IF(U71*U72*U73=0,0,IF(AA72=1,Z72*Z73,IF(AA72=2,Z72*Z74,Z72*Z75)))</f>
        <v>0</v>
      </c>
      <c r="Z75" s="319">
        <f>$U$65</f>
        <v>0</v>
      </c>
      <c r="AA75" s="175" t="str">
        <f>ListAVS!$B$92</f>
        <v>Inne – wybrana gęstość materiału</v>
      </c>
      <c r="AD75" s="37"/>
      <c r="AE75" s="209">
        <f>$AE$65*$U$65/1000</f>
        <v>0</v>
      </c>
      <c r="AF75" s="330">
        <f>IF($AH$71=1,AG75*AE75,AH75*AE75)</f>
        <v>0</v>
      </c>
      <c r="AG75" s="209">
        <f>SUM(($U$71-80)*($U$72-80)/1000000)</f>
        <v>6.4000000000000003E-3</v>
      </c>
      <c r="AH75" s="351">
        <f>SUM(($U$71-6)*($U$72-6)/1000000)</f>
        <v>3.6000000000000001E-5</v>
      </c>
      <c r="AI75" s="208" t="s">
        <v>75</v>
      </c>
      <c r="AJ75" s="37"/>
      <c r="AK75" s="37"/>
      <c r="AL75" s="108"/>
      <c r="AM75" s="108"/>
      <c r="AN75" s="137"/>
      <c r="AO75" s="137"/>
      <c r="AP75" s="137"/>
      <c r="AQ75" s="137"/>
    </row>
    <row r="76" spans="1:43" ht="15" customHeight="1" x14ac:dyDescent="0.2">
      <c r="A76" s="255"/>
      <c r="N76" s="255"/>
      <c r="O76" s="255"/>
      <c r="P76" s="273" t="str">
        <f>IF((U16=2)*AND(U75&gt;0)*AND(U74&gt;0),$AB$93&amp;" "&amp;$AB$94,IF((U16&lt;&gt;2)*AND(U75&gt;0),IF(U74=0,$AB$92," ")," "))</f>
        <v xml:space="preserve"> </v>
      </c>
      <c r="Q76" s="255"/>
      <c r="R76" s="255"/>
      <c r="S76" s="255"/>
      <c r="T76" s="255"/>
      <c r="U76" s="255"/>
      <c r="V76" s="255"/>
      <c r="W76" s="255"/>
      <c r="X76" s="255"/>
      <c r="AA76" s="118"/>
      <c r="AC76" s="118"/>
      <c r="AE76" s="332">
        <f>IF(OR(AND(AG71=3, $U$65=0), U71*U72=0), 0, SUM(IF(AG71=1,AF73,IF(AG71=2,AF74,AF75)),AF72,AF71))</f>
        <v>0</v>
      </c>
    </row>
    <row r="77" spans="1:43" ht="15" customHeight="1" x14ac:dyDescent="0.2">
      <c r="A77" s="255"/>
      <c r="N77" s="255"/>
      <c r="O77" s="255"/>
      <c r="P77" s="255"/>
      <c r="Q77" s="255"/>
      <c r="R77" s="255"/>
      <c r="S77" s="255"/>
      <c r="T77" s="255"/>
      <c r="U77" s="255"/>
      <c r="V77" s="255"/>
      <c r="W77" s="255"/>
      <c r="X77" s="255"/>
      <c r="AA77" s="118"/>
      <c r="AC77" s="118"/>
    </row>
    <row r="78" spans="1:43" s="118" customFormat="1" ht="15" customHeight="1" x14ac:dyDescent="0.2">
      <c r="A78" s="255"/>
      <c r="N78" s="255"/>
      <c r="O78" s="255"/>
      <c r="P78" s="255"/>
      <c r="Q78" s="255"/>
      <c r="R78" s="255"/>
      <c r="S78" s="255"/>
      <c r="T78" s="255"/>
      <c r="U78" s="255"/>
      <c r="V78" s="255"/>
      <c r="W78" s="255"/>
      <c r="X78" s="255"/>
      <c r="Y78" s="37"/>
      <c r="Z78" s="37"/>
      <c r="AB78" s="37"/>
      <c r="AD78" s="37"/>
      <c r="AE78" s="37"/>
      <c r="AF78" s="37"/>
      <c r="AG78" s="37"/>
      <c r="AH78" s="37"/>
      <c r="AI78" s="37"/>
      <c r="AJ78" s="37"/>
      <c r="AK78" s="37"/>
      <c r="AL78" s="108"/>
      <c r="AM78" s="108"/>
      <c r="AN78" s="137"/>
      <c r="AO78" s="137"/>
      <c r="AP78" s="137"/>
      <c r="AQ78" s="137"/>
    </row>
    <row r="79" spans="1:43" s="118" customFormat="1" ht="15" customHeight="1" x14ac:dyDescent="0.2">
      <c r="A79" s="255"/>
      <c r="N79" s="248"/>
      <c r="O79" s="248"/>
      <c r="P79" s="248"/>
      <c r="Q79" s="248"/>
      <c r="R79" s="255"/>
      <c r="S79" s="1148" t="str">
        <f>E20</f>
        <v xml:space="preserve"> </v>
      </c>
      <c r="T79" s="1149"/>
      <c r="U79" s="1150"/>
      <c r="V79" s="255"/>
      <c r="W79" s="255"/>
      <c r="X79" s="255"/>
      <c r="Y79" s="37"/>
      <c r="AB79" s="37"/>
      <c r="AD79" s="37"/>
      <c r="AE79" s="208"/>
      <c r="AF79" s="601" t="s">
        <v>68</v>
      </c>
      <c r="AG79" s="601" t="s">
        <v>69</v>
      </c>
      <c r="AH79" s="601" t="s">
        <v>70</v>
      </c>
      <c r="AI79" s="37"/>
      <c r="AJ79" s="37"/>
      <c r="AK79" s="37"/>
      <c r="AL79" s="108"/>
      <c r="AM79" s="108"/>
      <c r="AN79" s="137"/>
      <c r="AO79" s="137"/>
      <c r="AP79" s="137"/>
      <c r="AQ79" s="137"/>
    </row>
    <row r="80" spans="1:43" s="118" customFormat="1" ht="15" customHeight="1" x14ac:dyDescent="0.2">
      <c r="A80" s="255"/>
      <c r="N80" s="1218" t="str">
        <f>ListAVS!$B$74&amp;" KB [mm]       "</f>
        <v xml:space="preserve">Szerokość korpusu KB [mm]       </v>
      </c>
      <c r="O80" s="1219"/>
      <c r="P80" s="1219"/>
      <c r="Q80" s="1219"/>
      <c r="R80" s="1219"/>
      <c r="S80" s="1219"/>
      <c r="T80" s="1220"/>
      <c r="U80" s="829">
        <f>I21</f>
        <v>0</v>
      </c>
      <c r="V80" s="670"/>
      <c r="W80" s="255"/>
      <c r="X80" s="255"/>
      <c r="Y80" s="37"/>
      <c r="Z80" s="37">
        <f>U80*U81*U82</f>
        <v>0</v>
      </c>
      <c r="AA80" s="37"/>
      <c r="AB80" s="37"/>
      <c r="AD80" s="37"/>
      <c r="AE80" s="325">
        <f>IF($AH$71=1,$Y$92,$Y$93)</f>
        <v>0.62</v>
      </c>
      <c r="AF80" s="325">
        <f>$Y$94</f>
        <v>0.61</v>
      </c>
      <c r="AG80" s="333">
        <f>$AG$71</f>
        <v>1</v>
      </c>
      <c r="AH80" s="328">
        <f>$AH$71</f>
        <v>1</v>
      </c>
      <c r="AI80" s="37"/>
      <c r="AJ80" s="37"/>
      <c r="AK80" s="37"/>
      <c r="AL80" s="108"/>
      <c r="AM80" s="108"/>
      <c r="AN80" s="137"/>
      <c r="AO80" s="137"/>
      <c r="AP80" s="137"/>
      <c r="AQ80" s="137"/>
    </row>
    <row r="81" spans="1:43" s="118" customFormat="1" ht="15" customHeight="1" x14ac:dyDescent="0.2">
      <c r="A81" s="255"/>
      <c r="N81" s="1218" t="str">
        <f>ListAVS!$B$75&amp;" KH [mm]       "</f>
        <v xml:space="preserve">Wysokość korpusu KH [mm]       </v>
      </c>
      <c r="O81" s="1219"/>
      <c r="P81" s="1219"/>
      <c r="Q81" s="1219"/>
      <c r="R81" s="1219"/>
      <c r="S81" s="1219"/>
      <c r="T81" s="1220"/>
      <c r="U81" s="829">
        <f>I22</f>
        <v>0</v>
      </c>
      <c r="V81" s="670"/>
      <c r="W81" s="255"/>
      <c r="X81" s="255"/>
      <c r="Y81" s="37"/>
      <c r="Z81" s="37">
        <f>Z80/1000000000</f>
        <v>0</v>
      </c>
      <c r="AA81" s="182">
        <f>AA72</f>
        <v>0</v>
      </c>
      <c r="AD81" s="37"/>
      <c r="AE81" s="153" t="s">
        <v>143</v>
      </c>
      <c r="AF81" s="353">
        <f>SUM(U80*2,(U81-90)*2)*AE80/1000</f>
        <v>-0.11159999999999999</v>
      </c>
      <c r="AG81" s="601" t="s">
        <v>72</v>
      </c>
      <c r="AH81" s="601"/>
      <c r="AI81" s="37"/>
      <c r="AJ81" s="37"/>
      <c r="AK81" s="37"/>
      <c r="AL81" s="108"/>
      <c r="AM81" s="108"/>
      <c r="AN81" s="137"/>
      <c r="AO81" s="137"/>
      <c r="AP81" s="137"/>
      <c r="AQ81" s="137"/>
    </row>
    <row r="82" spans="1:43" s="118" customFormat="1" ht="15" customHeight="1" x14ac:dyDescent="0.2">
      <c r="A82" s="255"/>
      <c r="N82" s="1143"/>
      <c r="O82" s="1144"/>
      <c r="P82" s="1144"/>
      <c r="Q82" s="1144"/>
      <c r="R82" s="1144"/>
      <c r="S82" s="1144"/>
      <c r="T82" s="1145"/>
      <c r="U82" s="829"/>
      <c r="V82" s="256"/>
      <c r="W82" s="248"/>
      <c r="X82" s="248"/>
      <c r="Y82" s="37"/>
      <c r="Z82" s="319">
        <f>$Z$73</f>
        <v>760</v>
      </c>
      <c r="AA82" s="37" t="str">
        <f>$AA$73</f>
        <v>MDF (760 kg/m3)</v>
      </c>
      <c r="AD82" s="37"/>
      <c r="AE82" s="37">
        <f>AE73</f>
        <v>10</v>
      </c>
      <c r="AF82" s="330">
        <f>IF($AH$71=1,AG82*AE82,AH82*AE82)</f>
        <v>6.4000000000000001E-2</v>
      </c>
      <c r="AG82" s="351">
        <f>SUM(($U$80-80)*($U$81-80)/1000000)</f>
        <v>6.4000000000000003E-3</v>
      </c>
      <c r="AH82" s="351">
        <f>SUM(($U$80-6)*($U$81-6)/1000000)</f>
        <v>3.6000000000000001E-5</v>
      </c>
      <c r="AI82" s="208" t="s">
        <v>73</v>
      </c>
      <c r="AJ82" s="37"/>
      <c r="AK82" s="37"/>
      <c r="AL82" s="108"/>
      <c r="AM82" s="108"/>
      <c r="AN82" s="137"/>
      <c r="AO82" s="137"/>
      <c r="AP82" s="137"/>
      <c r="AQ82" s="137"/>
    </row>
    <row r="83" spans="1:43" s="118" customFormat="1" ht="15" customHeight="1" x14ac:dyDescent="0.2">
      <c r="A83" s="255"/>
      <c r="N83" s="1143" t="str">
        <f>ListAVS!$B$83&amp;" [kg] "</f>
        <v xml:space="preserve">Waga uchwytu [kg] </v>
      </c>
      <c r="O83" s="1144"/>
      <c r="P83" s="1144"/>
      <c r="Q83" s="1144"/>
      <c r="R83" s="1144"/>
      <c r="S83" s="1144"/>
      <c r="T83" s="1145"/>
      <c r="U83" s="831">
        <f>I25</f>
        <v>0</v>
      </c>
      <c r="V83" s="256" t="str">
        <f>IF($U$27=2," ",IF(SUM(U80,U81)=0," ",IF(U83=0," ● "&amp;ListAVS!$B$130," ")))</f>
        <v xml:space="preserve"> </v>
      </c>
      <c r="W83" s="248"/>
      <c r="X83" s="248"/>
      <c r="Y83" s="37"/>
      <c r="Z83" s="319">
        <f>$Z$74</f>
        <v>680</v>
      </c>
      <c r="AA83" s="37" t="str">
        <f>$AA$74</f>
        <v>Płyta wiórowa (680 kg/m3)</v>
      </c>
      <c r="AD83" s="37"/>
      <c r="AE83" s="37">
        <f>AE74</f>
        <v>12.5</v>
      </c>
      <c r="AF83" s="330">
        <f>IF($AH$71=1,AG83*AE83,AH83*AE83)</f>
        <v>0.08</v>
      </c>
      <c r="AG83" s="351">
        <f>SUM(($U$80-80)*($U$81-80)/1000000)</f>
        <v>6.4000000000000003E-3</v>
      </c>
      <c r="AH83" s="351">
        <f>SUM(($U$80-6)*($U$81-6)/1000000)</f>
        <v>3.6000000000000001E-5</v>
      </c>
      <c r="AI83" s="208" t="s">
        <v>74</v>
      </c>
      <c r="AJ83" s="37"/>
      <c r="AK83" s="37"/>
      <c r="AL83" s="108"/>
      <c r="AM83" s="108"/>
      <c r="AN83" s="137"/>
      <c r="AO83" s="137"/>
      <c r="AP83" s="137"/>
      <c r="AQ83" s="137"/>
    </row>
    <row r="84" spans="1:43" s="118" customFormat="1" ht="15" customHeight="1" x14ac:dyDescent="0.2">
      <c r="A84" s="255"/>
      <c r="N84" s="1143" t="str">
        <f>ListAVS!$B$79&amp;" [kg] "</f>
        <v xml:space="preserve">Obliczona waga frontu [kg] </v>
      </c>
      <c r="O84" s="1144"/>
      <c r="P84" s="1144"/>
      <c r="Q84" s="1144"/>
      <c r="R84" s="1144"/>
      <c r="S84" s="1144"/>
      <c r="T84" s="1145"/>
      <c r="U84" s="533">
        <f>IF(AE85=0,0,AE85+2*U83)</f>
        <v>0</v>
      </c>
      <c r="V84" s="227"/>
      <c r="W84" s="248"/>
      <c r="X84" s="248"/>
      <c r="Y84" s="186">
        <f>IF(U80*U81*U82=0,0,IF(AA81=1,Z81*Z82,IF(AA81=2,Z81*Z83,Z81*Z84)))</f>
        <v>0</v>
      </c>
      <c r="Z84" s="37">
        <f>$Z$75</f>
        <v>0</v>
      </c>
      <c r="AA84" s="37" t="str">
        <f>$AA$75</f>
        <v>Inne – wybrana gęstość materiału</v>
      </c>
      <c r="AD84" s="37"/>
      <c r="AE84" s="340">
        <f>AE75</f>
        <v>0</v>
      </c>
      <c r="AF84" s="330">
        <f>IF($AH$71=1,AG84*AE84,AH84*AE84)</f>
        <v>0</v>
      </c>
      <c r="AG84" s="351">
        <f>SUM(($U$80-80)*($U$81-80)/1000000)</f>
        <v>6.4000000000000003E-3</v>
      </c>
      <c r="AH84" s="351">
        <f>SUM(($U$80-6)*($U$81-6)/1000000)</f>
        <v>3.6000000000000001E-5</v>
      </c>
      <c r="AI84" s="208" t="s">
        <v>75</v>
      </c>
      <c r="AJ84" s="37"/>
      <c r="AK84" s="37"/>
      <c r="AL84" s="108"/>
      <c r="AM84" s="108"/>
      <c r="AN84" s="137"/>
      <c r="AO84" s="137"/>
      <c r="AP84" s="137"/>
      <c r="AQ84" s="137"/>
    </row>
    <row r="85" spans="1:43" s="118" customFormat="1" ht="15" customHeight="1" x14ac:dyDescent="0.2">
      <c r="A85" s="255"/>
      <c r="N85" s="255"/>
      <c r="O85" s="255"/>
      <c r="P85" s="273" t="str">
        <f>IF((U27=2)*AND(U84&gt;0)*AND(U83&gt;0),$AB$93&amp;" "&amp;$AB$94,IF((U27&lt;&gt;2)*AND(U84&gt;0),IF(U83=0,$AB$92," ")," "))</f>
        <v xml:space="preserve"> </v>
      </c>
      <c r="Q85" s="255"/>
      <c r="R85" s="255"/>
      <c r="S85" s="255"/>
      <c r="T85" s="255"/>
      <c r="U85" s="255"/>
      <c r="V85" s="255"/>
      <c r="W85" s="255"/>
      <c r="X85" s="255"/>
      <c r="Y85" s="37"/>
      <c r="Z85" s="37"/>
      <c r="AB85" s="37"/>
      <c r="AD85" s="37"/>
      <c r="AE85" s="332">
        <f>IF(OR(AND(AG80=3, $U$65=0), U80*U81=0), 0, SUM(IF(AG80=1,AF82,IF(AG80=2,AF83,AF84)),AF81,AF80))</f>
        <v>0</v>
      </c>
      <c r="AF85" s="37"/>
      <c r="AG85" s="37"/>
      <c r="AH85" s="37"/>
      <c r="AI85" s="37"/>
      <c r="AJ85" s="37"/>
      <c r="AK85" s="37"/>
      <c r="AL85" s="108"/>
      <c r="AM85" s="108"/>
      <c r="AN85" s="137"/>
      <c r="AO85" s="137"/>
      <c r="AP85" s="137"/>
      <c r="AQ85" s="137"/>
    </row>
    <row r="86" spans="1:43" s="118" customFormat="1" ht="15" customHeight="1" x14ac:dyDescent="0.2">
      <c r="A86" s="255"/>
      <c r="N86" s="255"/>
      <c r="O86" s="255"/>
      <c r="P86" s="255"/>
      <c r="Q86" s="255"/>
      <c r="R86" s="255"/>
      <c r="S86" s="255"/>
      <c r="T86" s="255"/>
      <c r="U86" s="255"/>
      <c r="V86" s="255"/>
      <c r="W86" s="255"/>
      <c r="X86" s="255"/>
      <c r="Y86" s="37"/>
      <c r="Z86" s="37"/>
      <c r="AB86" s="37"/>
      <c r="AD86" s="37"/>
      <c r="AE86" s="37"/>
      <c r="AF86" s="37"/>
      <c r="AG86" s="37"/>
      <c r="AH86" s="37"/>
      <c r="AI86" s="37"/>
      <c r="AJ86" s="37"/>
      <c r="AK86" s="37"/>
      <c r="AL86" s="108"/>
      <c r="AM86" s="108"/>
      <c r="AN86" s="137"/>
      <c r="AO86" s="137"/>
      <c r="AP86" s="137"/>
      <c r="AQ86" s="137"/>
    </row>
    <row r="87" spans="1:43" s="118" customFormat="1" ht="15" customHeight="1" x14ac:dyDescent="0.2">
      <c r="A87" s="255"/>
      <c r="N87" s="255"/>
      <c r="O87" s="255"/>
      <c r="P87" s="255"/>
      <c r="Q87" s="255"/>
      <c r="R87" s="255"/>
      <c r="S87" s="255"/>
      <c r="T87" s="255"/>
      <c r="U87" s="255"/>
      <c r="V87" s="255"/>
      <c r="W87" s="255"/>
      <c r="X87" s="255"/>
      <c r="Y87" s="37"/>
      <c r="Z87" s="37"/>
      <c r="AB87" s="37"/>
      <c r="AD87" s="37"/>
      <c r="AE87" s="37"/>
      <c r="AF87" s="37"/>
      <c r="AG87" s="37"/>
      <c r="AH87" s="37"/>
      <c r="AI87" s="37"/>
      <c r="AJ87" s="37"/>
      <c r="AK87" s="37"/>
      <c r="AL87" s="108"/>
      <c r="AM87" s="108"/>
      <c r="AN87" s="137"/>
      <c r="AO87" s="137"/>
      <c r="AP87" s="137"/>
      <c r="AQ87" s="137"/>
    </row>
    <row r="88" spans="1:43" s="118" customFormat="1" ht="15" customHeight="1" x14ac:dyDescent="0.2">
      <c r="A88" s="255"/>
      <c r="N88" s="255"/>
      <c r="O88" s="255"/>
      <c r="P88" s="255"/>
      <c r="Q88" s="255"/>
      <c r="R88" s="255"/>
      <c r="S88" s="255"/>
      <c r="T88" s="255"/>
      <c r="U88" s="255"/>
      <c r="V88" s="255"/>
      <c r="W88" s="255"/>
      <c r="X88" s="255"/>
      <c r="Y88" s="37"/>
      <c r="Z88" s="37"/>
      <c r="AB88" s="37"/>
      <c r="AD88" s="37"/>
      <c r="AE88" s="37"/>
      <c r="AF88" s="37"/>
      <c r="AG88" s="37"/>
      <c r="AH88" s="37"/>
      <c r="AI88" s="37"/>
      <c r="AJ88" s="37"/>
      <c r="AK88" s="37"/>
      <c r="AL88" s="108"/>
      <c r="AM88" s="108"/>
      <c r="AN88" s="137"/>
      <c r="AO88" s="137"/>
      <c r="AP88" s="137"/>
      <c r="AQ88" s="137"/>
    </row>
    <row r="89" spans="1:43" s="118" customFormat="1" ht="15" customHeight="1" x14ac:dyDescent="0.2">
      <c r="A89" s="255"/>
      <c r="N89" s="255"/>
      <c r="O89" s="255"/>
      <c r="P89" s="255"/>
      <c r="Q89" s="255"/>
      <c r="R89" s="255"/>
      <c r="S89" s="255"/>
      <c r="T89" s="1128"/>
      <c r="U89" s="1128"/>
      <c r="V89" s="255"/>
      <c r="W89" s="255"/>
      <c r="X89" s="255"/>
      <c r="Y89" s="37"/>
      <c r="Z89" s="37"/>
      <c r="AB89" s="37"/>
      <c r="AD89" s="37"/>
      <c r="AE89" s="37"/>
      <c r="AF89" s="37"/>
      <c r="AG89" s="37"/>
      <c r="AH89" s="37"/>
      <c r="AI89" s="37"/>
      <c r="AJ89" s="37"/>
      <c r="AK89" s="37"/>
      <c r="AL89" s="108"/>
      <c r="AM89" s="108"/>
      <c r="AN89" s="137"/>
      <c r="AO89" s="137"/>
      <c r="AP89" s="137"/>
      <c r="AQ89" s="137"/>
    </row>
    <row r="90" spans="1:43" s="118" customFormat="1" ht="15" customHeight="1" x14ac:dyDescent="0.2">
      <c r="A90" s="255"/>
      <c r="N90" s="255"/>
      <c r="O90" s="255"/>
      <c r="P90" s="255"/>
      <c r="Q90" s="255"/>
      <c r="R90" s="255"/>
      <c r="S90" s="255"/>
      <c r="T90" s="255"/>
      <c r="U90" s="255"/>
      <c r="V90" s="255"/>
      <c r="W90" s="255"/>
      <c r="X90" s="255"/>
      <c r="Y90" s="37"/>
      <c r="Z90" s="37"/>
      <c r="AB90" s="37"/>
      <c r="AD90" s="37"/>
      <c r="AE90" s="37"/>
      <c r="AF90" s="37"/>
      <c r="AG90" s="37"/>
      <c r="AH90" s="37"/>
      <c r="AI90" s="37"/>
      <c r="AJ90" s="37"/>
      <c r="AK90" s="37"/>
      <c r="AL90" s="108"/>
      <c r="AM90" s="108"/>
      <c r="AN90" s="137"/>
      <c r="AO90" s="137"/>
      <c r="AP90" s="137"/>
      <c r="AQ90" s="137"/>
    </row>
    <row r="91" spans="1:43" s="118" customFormat="1" ht="15" customHeight="1" x14ac:dyDescent="0.2">
      <c r="A91" s="255"/>
      <c r="N91" s="255"/>
      <c r="O91" s="255"/>
      <c r="P91" s="255"/>
      <c r="Q91" s="255"/>
      <c r="R91" s="255"/>
      <c r="S91" s="255"/>
      <c r="T91" s="248"/>
      <c r="U91" s="248"/>
      <c r="V91" s="255"/>
      <c r="W91" s="255"/>
      <c r="X91" s="255"/>
      <c r="Y91" s="37"/>
      <c r="Z91" s="37"/>
      <c r="AB91" s="37"/>
      <c r="AD91" s="37"/>
      <c r="AE91" s="37"/>
      <c r="AF91" s="37"/>
      <c r="AG91" s="37"/>
      <c r="AH91" s="37"/>
      <c r="AI91" s="37"/>
      <c r="AJ91" s="37"/>
      <c r="AK91" s="37"/>
      <c r="AL91" s="108"/>
      <c r="AM91" s="108"/>
      <c r="AN91" s="137"/>
      <c r="AO91" s="137"/>
      <c r="AP91" s="137"/>
      <c r="AQ91" s="137"/>
    </row>
    <row r="92" spans="1:43" s="118" customFormat="1" ht="15" customHeight="1" x14ac:dyDescent="0.2">
      <c r="A92" s="255"/>
      <c r="N92" s="255"/>
      <c r="O92" s="255"/>
      <c r="P92" s="442"/>
      <c r="Q92" s="442"/>
      <c r="R92" s="442"/>
      <c r="S92" s="442"/>
      <c r="T92" s="442"/>
      <c r="U92" s="442"/>
      <c r="V92" s="442"/>
      <c r="W92" s="442"/>
      <c r="X92" s="816" t="str">
        <f>ListAVS!$B$422&amp;"  "</f>
        <v xml:space="preserve">z wpuszczanym szkłem  </v>
      </c>
      <c r="Y92" s="711">
        <f>MenuAVS!$I$86</f>
        <v>0.62</v>
      </c>
      <c r="AB92" s="37" t="str">
        <f>ListAVS!$B$103&amp;"!"</f>
        <v>Bez wagi uchwytu!</v>
      </c>
      <c r="AD92" s="37"/>
      <c r="AE92" s="37"/>
      <c r="AF92" s="37"/>
      <c r="AG92" s="335" t="str">
        <f>ListAVS!$B$93</f>
        <v>Ramki aluminiowe z 4mm szkłem</v>
      </c>
      <c r="AH92" s="37"/>
      <c r="AI92" s="37"/>
      <c r="AJ92" s="37"/>
      <c r="AK92" s="37"/>
      <c r="AL92" s="108"/>
      <c r="AM92" s="108"/>
      <c r="AN92" s="137"/>
      <c r="AO92" s="137"/>
      <c r="AP92" s="137"/>
      <c r="AQ92" s="137"/>
    </row>
    <row r="93" spans="1:43" s="118" customFormat="1" ht="15" customHeight="1" x14ac:dyDescent="0.2">
      <c r="A93" s="255"/>
      <c r="N93" s="255"/>
      <c r="O93" s="255"/>
      <c r="P93" s="442"/>
      <c r="Q93" s="442"/>
      <c r="R93" s="442"/>
      <c r="S93" s="442"/>
      <c r="T93" s="442"/>
      <c r="U93" s="442"/>
      <c r="V93" s="442"/>
      <c r="W93" s="442"/>
      <c r="X93" s="816" t="str">
        <f>ListAVS!$B$423&amp;"  "</f>
        <v xml:space="preserve">ze szkłem nakładanym lub przyklejanym  </v>
      </c>
      <c r="Y93" s="711">
        <f>MenuAVS!$I$87</f>
        <v>0.63</v>
      </c>
      <c r="AB93" s="37" t="str">
        <f>ListAVS!B104</f>
        <v>Na pewno masz uchwyt do wersji TIP-ON?</v>
      </c>
      <c r="AD93" s="37"/>
      <c r="AE93" s="37"/>
      <c r="AF93" s="37"/>
      <c r="AG93" s="335" t="str">
        <f>ListAVS!$B$94</f>
        <v>Ramki aluminiowe z 5mm szkłem</v>
      </c>
      <c r="AH93" s="37"/>
      <c r="AI93" s="37"/>
      <c r="AJ93" s="37"/>
      <c r="AK93" s="37"/>
      <c r="AL93" s="108"/>
      <c r="AM93" s="108"/>
      <c r="AN93" s="137"/>
      <c r="AO93" s="137"/>
      <c r="AP93" s="137"/>
      <c r="AQ93" s="137"/>
    </row>
    <row r="94" spans="1:43" s="37" customFormat="1" ht="15" customHeight="1" x14ac:dyDescent="0.2">
      <c r="A94" s="255"/>
      <c r="N94" s="255"/>
      <c r="O94" s="255"/>
      <c r="P94" s="442"/>
      <c r="Q94" s="442"/>
      <c r="R94" s="442"/>
      <c r="S94" s="442"/>
      <c r="T94" s="442"/>
      <c r="U94" s="442"/>
      <c r="V94" s="442"/>
      <c r="W94" s="442"/>
      <c r="X94" s="816" t="str">
        <f>ListAVS!$B$405&amp;" [kg/set] *  "</f>
        <v xml:space="preserve">Waga materiału łączącego  [kg/set] *  </v>
      </c>
      <c r="Y94" s="711">
        <f>MenuAVS!$I$88</f>
        <v>0.61</v>
      </c>
      <c r="AA94" s="118"/>
      <c r="AB94" s="37" t="str">
        <f>ListAVS!B105&amp;"!"</f>
        <v>Jeśli nie wymaż wagę uchwytu!</v>
      </c>
      <c r="AC94" s="118"/>
      <c r="AG94" s="335" t="str">
        <f>ListAVS!$B$95</f>
        <v>Ramki aluminiowe z innym szkłem</v>
      </c>
      <c r="AL94" s="108"/>
      <c r="AM94" s="108"/>
      <c r="AN94" s="137"/>
      <c r="AO94" s="137"/>
      <c r="AP94" s="137"/>
      <c r="AQ94" s="137"/>
    </row>
    <row r="95" spans="1:43" s="37" customFormat="1" ht="15" customHeight="1" x14ac:dyDescent="0.2">
      <c r="A95" s="255"/>
      <c r="N95" s="255"/>
      <c r="O95" s="255"/>
      <c r="P95" s="255"/>
      <c r="Q95" s="255"/>
      <c r="R95" s="255"/>
      <c r="S95" s="255"/>
      <c r="T95" s="255"/>
      <c r="U95" s="255"/>
      <c r="V95" s="255"/>
      <c r="W95" s="255"/>
      <c r="X95" s="255"/>
      <c r="AB95" s="118"/>
      <c r="AD95" s="118"/>
      <c r="AL95" s="108"/>
      <c r="AM95" s="108"/>
      <c r="AN95" s="137"/>
      <c r="AO95" s="137"/>
      <c r="AP95" s="137"/>
      <c r="AQ95" s="137"/>
    </row>
    <row r="96" spans="1:43" s="37" customFormat="1" ht="15" customHeight="1" x14ac:dyDescent="0.2">
      <c r="A96" s="255"/>
      <c r="N96" s="255"/>
      <c r="O96" s="255"/>
      <c r="P96" s="255"/>
      <c r="Q96" s="255"/>
      <c r="R96" s="255"/>
      <c r="S96" s="255"/>
      <c r="T96" s="255"/>
      <c r="U96" s="255"/>
      <c r="V96" s="255"/>
      <c r="W96" s="255"/>
      <c r="X96" s="255"/>
      <c r="AA96" s="118"/>
      <c r="AC96" s="118"/>
      <c r="AJ96" s="137"/>
    </row>
    <row r="97" spans="1:39" s="37" customFormat="1" ht="15" customHeight="1" x14ac:dyDescent="0.2">
      <c r="A97" s="255"/>
      <c r="N97" s="255"/>
      <c r="O97" s="255"/>
      <c r="P97" s="255"/>
      <c r="Q97" s="255"/>
      <c r="R97" s="255"/>
      <c r="S97" s="255"/>
      <c r="T97" s="255"/>
      <c r="U97" s="255"/>
      <c r="V97" s="255"/>
      <c r="W97" s="255"/>
      <c r="X97" s="255"/>
      <c r="AA97" s="118"/>
      <c r="AC97" s="118"/>
      <c r="AJ97" s="137"/>
    </row>
    <row r="98" spans="1:39" s="37" customFormat="1" ht="15" customHeight="1" x14ac:dyDescent="0.2">
      <c r="A98" s="255"/>
      <c r="N98" s="255"/>
      <c r="O98" s="255"/>
      <c r="P98" s="255"/>
      <c r="Q98" s="255"/>
      <c r="R98" s="255"/>
      <c r="S98" s="255"/>
      <c r="T98" s="255"/>
      <c r="U98" s="255"/>
      <c r="V98" s="255"/>
      <c r="W98" s="255"/>
      <c r="X98" s="255"/>
      <c r="AA98" s="118"/>
      <c r="AC98" s="118"/>
      <c r="AJ98" s="137"/>
    </row>
    <row r="99" spans="1:39" ht="12.75" x14ac:dyDescent="0.2">
      <c r="A99" s="1045"/>
      <c r="B99" s="255"/>
      <c r="C99" s="255"/>
      <c r="D99" s="255"/>
      <c r="E99" s="255"/>
      <c r="F99" s="255"/>
      <c r="G99" s="255"/>
      <c r="H99" s="255"/>
      <c r="I99" s="255"/>
      <c r="J99" s="255"/>
      <c r="K99" s="255"/>
      <c r="L99" s="255"/>
      <c r="M99" s="255"/>
    </row>
    <row r="100" spans="1:39" ht="15" customHeight="1" x14ac:dyDescent="0.2">
      <c r="A100" s="1045"/>
      <c r="B100" s="221" t="s">
        <v>142</v>
      </c>
      <c r="C100" s="569"/>
      <c r="D100" s="569"/>
      <c r="E100" s="569"/>
      <c r="F100" s="569"/>
      <c r="G100" s="569"/>
      <c r="H100" s="569"/>
      <c r="I100" s="569"/>
      <c r="J100" s="569"/>
      <c r="K100" s="569"/>
      <c r="L100" s="569"/>
      <c r="M100" s="569"/>
    </row>
    <row r="101" spans="1:39" ht="12.75" x14ac:dyDescent="0.2">
      <c r="A101" s="1045"/>
      <c r="B101" s="255"/>
      <c r="C101" s="255"/>
      <c r="D101" s="255"/>
      <c r="E101" s="255"/>
      <c r="F101" s="255"/>
      <c r="G101" s="255"/>
      <c r="H101" s="255"/>
      <c r="I101" s="255"/>
      <c r="J101" s="255"/>
      <c r="K101" s="255"/>
      <c r="L101" s="255"/>
      <c r="M101" s="255"/>
    </row>
    <row r="102" spans="1:39" ht="15" customHeight="1" x14ac:dyDescent="0.2">
      <c r="A102" s="1045"/>
      <c r="B102" s="255" t="str">
        <f>ListAVS!$B$303</f>
        <v>Odpowiedni siłownik będzie określony za pomocą współczynnika mocy</v>
      </c>
      <c r="C102" s="255"/>
      <c r="D102" s="255"/>
      <c r="E102" s="255"/>
      <c r="F102" s="255"/>
      <c r="G102" s="255"/>
      <c r="H102" s="255"/>
      <c r="I102" s="255"/>
      <c r="J102" s="255"/>
      <c r="K102" s="255"/>
      <c r="L102" s="255"/>
      <c r="M102" s="255"/>
    </row>
    <row r="103" spans="1:39" ht="15" customHeight="1" x14ac:dyDescent="0.2">
      <c r="A103" s="1045"/>
      <c r="B103" s="255" t="str">
        <f>ListAVS!$B$341</f>
        <v>Współczynnik mocy zależy od wagi frontu (wraz z podwójną wagą uchwytu) i od wysokości korpusu.</v>
      </c>
      <c r="C103" s="255"/>
      <c r="D103" s="255"/>
      <c r="E103" s="255"/>
      <c r="F103" s="255"/>
      <c r="G103" s="255"/>
      <c r="H103" s="255"/>
      <c r="I103" s="255"/>
      <c r="J103" s="255"/>
      <c r="K103" s="255"/>
      <c r="L103" s="255"/>
      <c r="M103" s="255"/>
    </row>
    <row r="104" spans="1:39" ht="15" customHeight="1" x14ac:dyDescent="0.2">
      <c r="A104" s="1045"/>
      <c r="B104" s="255"/>
      <c r="C104" s="255"/>
      <c r="D104" s="775"/>
      <c r="E104" s="775"/>
      <c r="F104" s="775"/>
      <c r="G104" s="775"/>
      <c r="H104" s="775"/>
      <c r="I104" s="775"/>
      <c r="J104" s="775"/>
      <c r="K104" s="775"/>
      <c r="L104" s="775"/>
      <c r="M104" s="775"/>
    </row>
    <row r="105" spans="1:39" ht="15" customHeight="1" x14ac:dyDescent="0.2">
      <c r="A105" s="1045"/>
      <c r="B105" s="776"/>
      <c r="C105" s="776"/>
      <c r="D105" s="776"/>
      <c r="E105" s="776"/>
      <c r="F105" s="776"/>
      <c r="G105" s="776"/>
      <c r="H105" s="776"/>
      <c r="I105" s="776"/>
      <c r="J105" s="776"/>
      <c r="K105" s="776"/>
      <c r="L105" s="776"/>
      <c r="M105" s="775"/>
    </row>
    <row r="106" spans="1:39" ht="30" customHeight="1" x14ac:dyDescent="0.2">
      <c r="A106" s="1045"/>
      <c r="B106" s="777"/>
      <c r="C106" s="777"/>
      <c r="D106" s="778" t="str">
        <f>ListAVS!$B$86&amp;" = "</f>
        <v xml:space="preserve">Współczynnik mocy = </v>
      </c>
      <c r="E106" s="1221" t="str">
        <f>ListAVS!$B$342&amp;" [kg]"</f>
        <v>wysokość korpusu (KH) [mm] x waga frontu wraz z podwójną wagą uchwytu [kg]</v>
      </c>
      <c r="F106" s="1221"/>
      <c r="G106" s="1221"/>
      <c r="H106" s="1221"/>
      <c r="I106" s="1221"/>
      <c r="J106" s="1221"/>
      <c r="K106" s="1221"/>
      <c r="L106" s="1221"/>
      <c r="M106" s="137"/>
    </row>
    <row r="107" spans="1:39" s="266" customFormat="1" ht="15" customHeight="1" x14ac:dyDescent="0.2">
      <c r="A107" s="1045"/>
      <c r="B107" s="255"/>
      <c r="C107" s="255"/>
      <c r="D107" s="255"/>
      <c r="E107" s="255"/>
      <c r="F107" s="255"/>
      <c r="G107" s="255"/>
      <c r="H107" s="255"/>
      <c r="I107" s="255"/>
      <c r="J107" s="255"/>
      <c r="K107" s="255"/>
      <c r="L107" s="255"/>
      <c r="M107" s="255"/>
      <c r="N107" s="255"/>
      <c r="O107" s="255"/>
      <c r="P107" s="248"/>
      <c r="Q107" s="255"/>
      <c r="R107" s="248"/>
      <c r="S107" s="255"/>
      <c r="T107" s="255"/>
      <c r="U107" s="255"/>
      <c r="V107" s="255"/>
      <c r="W107" s="255"/>
      <c r="X107" s="255"/>
      <c r="Y107" s="255"/>
      <c r="Z107" s="255"/>
      <c r="AA107" s="255"/>
      <c r="AB107" s="255"/>
      <c r="AC107" s="255"/>
      <c r="AD107" s="255"/>
      <c r="AE107" s="255"/>
      <c r="AF107" s="255"/>
      <c r="AG107" s="255"/>
      <c r="AH107" s="255"/>
      <c r="AI107" s="255"/>
      <c r="AJ107" s="255"/>
      <c r="AK107" s="255"/>
      <c r="AL107" s="670"/>
      <c r="AM107" s="670"/>
    </row>
    <row r="108" spans="1:39" s="266" customFormat="1" ht="15" customHeight="1" x14ac:dyDescent="0.2">
      <c r="A108" s="1045"/>
      <c r="B108" s="255" t="str">
        <f>ListAVS!$B$355</f>
        <v>W razie wykorzystania trzeciego siłownika współczynnik mocy oraz waga frontu mogą się zwiększyć o 50 %.</v>
      </c>
      <c r="C108" s="255"/>
      <c r="D108" s="255"/>
      <c r="E108" s="255"/>
      <c r="F108" s="255"/>
      <c r="G108" s="255"/>
      <c r="H108" s="255"/>
      <c r="I108" s="255"/>
      <c r="J108" s="255"/>
      <c r="K108" s="255"/>
      <c r="L108" s="255"/>
      <c r="M108" s="255"/>
      <c r="N108" s="255"/>
      <c r="O108" s="670"/>
      <c r="P108" s="248"/>
      <c r="Q108" s="255"/>
      <c r="R108" s="248"/>
      <c r="S108" s="255"/>
      <c r="T108" s="255"/>
      <c r="U108" s="255"/>
      <c r="V108" s="255"/>
      <c r="W108" s="255"/>
      <c r="X108" s="255"/>
      <c r="Y108" s="255"/>
      <c r="Z108" s="255"/>
      <c r="AA108" s="255"/>
      <c r="AB108" s="255"/>
      <c r="AC108" s="255"/>
      <c r="AD108" s="255"/>
      <c r="AE108" s="255"/>
      <c r="AF108" s="255"/>
      <c r="AG108" s="255"/>
      <c r="AH108" s="255"/>
      <c r="AI108" s="255"/>
      <c r="AJ108" s="255"/>
      <c r="AK108" s="255"/>
      <c r="AL108" s="670"/>
      <c r="AM108" s="670"/>
    </row>
    <row r="109" spans="1:39" s="266" customFormat="1" ht="15" customHeight="1" x14ac:dyDescent="0.2">
      <c r="A109" s="1045"/>
      <c r="B109" s="255" t="str">
        <f>"("&amp;ListAVS!$B$356&amp;")"</f>
        <v>(Dotyczy tylko siłownika 20K2E00)</v>
      </c>
      <c r="C109" s="255"/>
      <c r="D109" s="255"/>
      <c r="E109" s="255"/>
      <c r="F109" s="255"/>
      <c r="G109" s="255"/>
      <c r="H109" s="255"/>
      <c r="I109" s="255"/>
      <c r="J109" s="255"/>
      <c r="K109" s="255"/>
      <c r="L109" s="255"/>
      <c r="M109" s="255"/>
      <c r="N109" s="255"/>
      <c r="O109" s="255"/>
      <c r="P109" s="248"/>
      <c r="Q109" s="255"/>
      <c r="R109" s="248"/>
      <c r="S109" s="255"/>
      <c r="T109" s="255"/>
      <c r="U109" s="255"/>
      <c r="V109" s="255"/>
      <c r="W109" s="255"/>
      <c r="X109" s="255"/>
      <c r="Y109" s="255"/>
      <c r="Z109" s="255"/>
      <c r="AA109" s="255"/>
      <c r="AB109" s="255"/>
      <c r="AC109" s="255"/>
      <c r="AD109" s="255"/>
      <c r="AE109" s="255"/>
      <c r="AF109" s="255"/>
      <c r="AG109" s="255"/>
      <c r="AH109" s="255"/>
      <c r="AI109" s="255"/>
      <c r="AJ109" s="255"/>
      <c r="AK109" s="255"/>
      <c r="AL109" s="670"/>
      <c r="AM109" s="670"/>
    </row>
    <row r="110" spans="1:39" s="266" customFormat="1" ht="15" customHeight="1" x14ac:dyDescent="0.2">
      <c r="A110" s="1045"/>
      <c r="B110" s="273" t="str">
        <f>ListAVS!$B$183</f>
        <v>Dodatkowy trzeci siłownik można zastosować jedynie z pełnym frontem!</v>
      </c>
      <c r="C110" s="273"/>
      <c r="D110" s="255"/>
      <c r="E110" s="255"/>
      <c r="F110" s="255"/>
      <c r="G110" s="255"/>
      <c r="H110" s="255"/>
      <c r="I110" s="255"/>
      <c r="J110" s="255"/>
      <c r="K110" s="255"/>
      <c r="L110" s="255"/>
      <c r="M110" s="255"/>
      <c r="N110" s="255"/>
      <c r="O110" s="255"/>
      <c r="P110" s="248"/>
      <c r="Q110" s="255"/>
      <c r="R110" s="248"/>
      <c r="S110" s="255"/>
      <c r="T110" s="255"/>
      <c r="U110" s="255"/>
      <c r="V110" s="255"/>
      <c r="W110" s="255"/>
      <c r="X110" s="255"/>
      <c r="Y110" s="255"/>
      <c r="Z110" s="255"/>
      <c r="AA110" s="255"/>
      <c r="AB110" s="255"/>
      <c r="AC110" s="255"/>
      <c r="AD110" s="255"/>
      <c r="AE110" s="255"/>
      <c r="AF110" s="255"/>
      <c r="AG110" s="255"/>
      <c r="AH110" s="255"/>
      <c r="AI110" s="255"/>
      <c r="AJ110" s="255"/>
      <c r="AK110" s="255"/>
      <c r="AL110" s="670"/>
      <c r="AM110" s="670"/>
    </row>
    <row r="111" spans="1:39" s="266" customFormat="1" ht="15" customHeight="1" x14ac:dyDescent="0.2">
      <c r="A111" s="1045"/>
      <c r="B111" s="255"/>
      <c r="C111" s="255"/>
      <c r="D111" s="255"/>
      <c r="E111" s="255"/>
      <c r="F111" s="255"/>
      <c r="G111" s="255"/>
      <c r="H111" s="255"/>
      <c r="I111" s="255"/>
      <c r="J111" s="255"/>
      <c r="K111" s="255"/>
      <c r="L111" s="255"/>
      <c r="M111" s="255"/>
      <c r="N111" s="255"/>
      <c r="O111" s="255"/>
      <c r="P111" s="248"/>
      <c r="Q111" s="255"/>
      <c r="R111" s="248"/>
      <c r="S111" s="255"/>
      <c r="T111" s="255"/>
      <c r="U111" s="255"/>
      <c r="V111" s="255"/>
      <c r="W111" s="255"/>
      <c r="X111" s="255"/>
      <c r="Y111" s="255"/>
      <c r="Z111" s="255"/>
      <c r="AA111" s="255"/>
      <c r="AB111" s="255"/>
      <c r="AC111" s="255"/>
      <c r="AD111" s="255"/>
      <c r="AE111" s="255"/>
      <c r="AF111" s="255"/>
      <c r="AG111" s="255"/>
      <c r="AH111" s="255"/>
      <c r="AI111" s="255"/>
      <c r="AJ111" s="255"/>
      <c r="AK111" s="255"/>
      <c r="AL111" s="670"/>
      <c r="AM111" s="670"/>
    </row>
    <row r="112" spans="1:39" s="266" customFormat="1" ht="15" customHeight="1" x14ac:dyDescent="0.2">
      <c r="A112" s="1045"/>
      <c r="B112" s="255" t="str">
        <f>ListAVS!$B$312</f>
        <v>Jeśli znasz wagę frontu, możesz ją wprowadzić, w przeciwnym razie skorzystaj z „Obliczenia wagi”.</v>
      </c>
      <c r="C112" s="255"/>
      <c r="D112" s="255"/>
      <c r="E112" s="255"/>
      <c r="F112" s="255"/>
      <c r="G112" s="255"/>
      <c r="H112" s="255"/>
      <c r="I112" s="255"/>
      <c r="J112" s="255"/>
      <c r="K112" s="255"/>
      <c r="L112" s="255"/>
      <c r="M112" s="255"/>
      <c r="N112" s="255"/>
      <c r="O112" s="255"/>
      <c r="P112" s="248"/>
      <c r="Q112" s="255"/>
      <c r="R112" s="248"/>
      <c r="S112" s="255"/>
      <c r="T112" s="255"/>
      <c r="U112" s="255"/>
      <c r="V112" s="255"/>
      <c r="W112" s="255"/>
      <c r="X112" s="255"/>
      <c r="Y112" s="255"/>
      <c r="Z112" s="255"/>
      <c r="AA112" s="255"/>
      <c r="AB112" s="255"/>
      <c r="AC112" s="255"/>
      <c r="AD112" s="255"/>
      <c r="AE112" s="255"/>
      <c r="AF112" s="255"/>
      <c r="AG112" s="255"/>
      <c r="AH112" s="255"/>
      <c r="AI112" s="255"/>
      <c r="AJ112" s="255"/>
      <c r="AK112" s="255"/>
      <c r="AL112" s="670"/>
      <c r="AM112" s="670"/>
    </row>
    <row r="113" spans="1:39" s="266" customFormat="1" ht="15" customHeight="1" x14ac:dyDescent="0.2">
      <c r="A113" s="1045"/>
      <c r="B113" s="255" t="str">
        <f>ListAVS!$B$313</f>
        <v>W tabeli wprowadzona wartość ma pierwszeństwo aby skorzystać z wagi obliczeniowej, należy usunąć wprowadzoną wartość.</v>
      </c>
      <c r="C113" s="255"/>
      <c r="D113" s="255"/>
      <c r="E113" s="255"/>
      <c r="F113" s="255"/>
      <c r="G113" s="255"/>
      <c r="H113" s="255"/>
      <c r="I113" s="255"/>
      <c r="J113" s="255"/>
      <c r="K113" s="255"/>
      <c r="L113" s="255"/>
      <c r="M113" s="255"/>
      <c r="N113" s="255"/>
      <c r="O113" s="255"/>
      <c r="P113" s="248"/>
      <c r="Q113" s="255"/>
      <c r="R113" s="248"/>
      <c r="S113" s="255"/>
      <c r="T113" s="255"/>
      <c r="U113" s="255"/>
      <c r="V113" s="255"/>
      <c r="W113" s="255"/>
      <c r="X113" s="255"/>
      <c r="Y113" s="255"/>
      <c r="Z113" s="255"/>
      <c r="AA113" s="255"/>
      <c r="AB113" s="255"/>
      <c r="AC113" s="255"/>
      <c r="AD113" s="255"/>
      <c r="AE113" s="255"/>
      <c r="AF113" s="255"/>
      <c r="AG113" s="255"/>
      <c r="AH113" s="255"/>
      <c r="AI113" s="255"/>
      <c r="AJ113" s="255"/>
      <c r="AK113" s="255"/>
      <c r="AL113" s="670"/>
      <c r="AM113" s="670"/>
    </row>
    <row r="114" spans="1:39" s="266" customFormat="1" ht="15" customHeight="1" x14ac:dyDescent="0.2">
      <c r="A114" s="1045"/>
      <c r="B114" s="255"/>
      <c r="C114" s="255"/>
      <c r="D114" s="255"/>
      <c r="E114" s="255"/>
      <c r="F114" s="255"/>
      <c r="G114" s="255"/>
      <c r="H114" s="255"/>
      <c r="I114" s="255"/>
      <c r="J114" s="255"/>
      <c r="K114" s="255"/>
      <c r="L114" s="255"/>
      <c r="M114" s="255"/>
      <c r="N114" s="255"/>
      <c r="O114" s="255"/>
      <c r="P114" s="248"/>
      <c r="Q114" s="255"/>
      <c r="R114" s="248"/>
      <c r="S114" s="255"/>
      <c r="T114" s="255"/>
      <c r="U114" s="255"/>
      <c r="V114" s="255"/>
      <c r="W114" s="255"/>
      <c r="X114" s="255"/>
      <c r="Y114" s="255"/>
      <c r="Z114" s="255"/>
      <c r="AA114" s="255"/>
      <c r="AB114" s="255"/>
      <c r="AC114" s="255"/>
      <c r="AD114" s="255"/>
      <c r="AE114" s="255"/>
      <c r="AF114" s="255"/>
      <c r="AG114" s="255"/>
      <c r="AH114" s="255"/>
      <c r="AI114" s="255"/>
      <c r="AJ114" s="255"/>
      <c r="AK114" s="255"/>
      <c r="AL114" s="670"/>
      <c r="AM114" s="670"/>
    </row>
    <row r="115" spans="1:39" s="266" customFormat="1" ht="15" customHeight="1" x14ac:dyDescent="0.2">
      <c r="A115" s="1045"/>
      <c r="B115" s="255" t="str">
        <f>ListAVS!$B$306</f>
        <v>Aby zmienić kolor zaślepek przejdź do „Wprowadzenie do planowania”</v>
      </c>
      <c r="C115" s="255"/>
      <c r="D115" s="255"/>
      <c r="E115" s="255"/>
      <c r="F115" s="255"/>
      <c r="G115" s="255"/>
      <c r="H115" s="255"/>
      <c r="I115" s="255"/>
      <c r="J115" s="255"/>
      <c r="K115" s="255"/>
      <c r="L115" s="255"/>
      <c r="M115" s="255"/>
      <c r="N115" s="255"/>
      <c r="O115" s="255"/>
      <c r="P115" s="248"/>
      <c r="Q115" s="255"/>
      <c r="R115" s="248"/>
      <c r="S115" s="255"/>
      <c r="T115" s="255"/>
      <c r="U115" s="255"/>
      <c r="V115" s="255"/>
      <c r="W115" s="255"/>
      <c r="X115" s="255"/>
      <c r="Y115" s="255"/>
      <c r="Z115" s="255"/>
      <c r="AA115" s="255"/>
      <c r="AB115" s="255"/>
      <c r="AC115" s="255"/>
      <c r="AD115" s="255"/>
      <c r="AE115" s="255"/>
      <c r="AF115" s="255"/>
      <c r="AG115" s="255"/>
      <c r="AH115" s="255"/>
      <c r="AI115" s="255"/>
      <c r="AJ115" s="255"/>
      <c r="AK115" s="255"/>
      <c r="AL115" s="670"/>
      <c r="AM115" s="670"/>
    </row>
    <row r="116" spans="1:39" s="266" customFormat="1" ht="15" customHeight="1" x14ac:dyDescent="0.2">
      <c r="A116" s="1045"/>
      <c r="C116" s="255"/>
      <c r="D116" s="255"/>
      <c r="E116" s="255"/>
      <c r="F116" s="255"/>
      <c r="G116" s="255"/>
      <c r="H116" s="255"/>
      <c r="I116" s="255"/>
      <c r="J116" s="255"/>
      <c r="K116" s="255"/>
      <c r="L116" s="255"/>
      <c r="M116" s="255"/>
      <c r="N116" s="255"/>
      <c r="O116" s="255"/>
      <c r="P116" s="248"/>
      <c r="Q116" s="255"/>
      <c r="R116" s="248"/>
      <c r="S116" s="255"/>
      <c r="T116" s="255"/>
      <c r="U116" s="255"/>
      <c r="V116" s="255"/>
      <c r="W116" s="255"/>
      <c r="X116" s="255"/>
      <c r="Y116" s="255"/>
      <c r="Z116" s="255"/>
      <c r="AA116" s="255"/>
      <c r="AB116" s="255"/>
      <c r="AC116" s="255"/>
      <c r="AD116" s="255"/>
      <c r="AE116" s="255"/>
      <c r="AF116" s="255"/>
      <c r="AG116" s="255"/>
      <c r="AH116" s="255"/>
      <c r="AI116" s="255"/>
      <c r="AJ116" s="255"/>
      <c r="AK116" s="255"/>
      <c r="AL116" s="670"/>
      <c r="AM116" s="670"/>
    </row>
    <row r="117" spans="1:39" s="266" customFormat="1" ht="15" customHeight="1" x14ac:dyDescent="0.2">
      <c r="A117" s="1045"/>
      <c r="B117" s="255"/>
      <c r="C117" s="255"/>
      <c r="D117" s="255"/>
      <c r="E117" s="255"/>
      <c r="F117" s="255"/>
      <c r="G117" s="255"/>
      <c r="H117" s="255"/>
      <c r="I117" s="255"/>
      <c r="J117" s="255"/>
      <c r="K117" s="255"/>
      <c r="L117" s="255"/>
      <c r="M117" s="255"/>
      <c r="N117" s="255"/>
      <c r="O117" s="255"/>
      <c r="P117" s="248"/>
      <c r="Q117" s="255"/>
      <c r="R117" s="248"/>
      <c r="S117" s="255"/>
      <c r="T117" s="255"/>
      <c r="U117" s="255"/>
      <c r="V117" s="255"/>
      <c r="W117" s="255"/>
      <c r="X117" s="255"/>
      <c r="Y117" s="255"/>
      <c r="Z117" s="255"/>
      <c r="AA117" s="255"/>
      <c r="AB117" s="255"/>
      <c r="AC117" s="255"/>
      <c r="AD117" s="255"/>
      <c r="AE117" s="255"/>
      <c r="AF117" s="255"/>
      <c r="AG117" s="255"/>
      <c r="AH117" s="255"/>
      <c r="AI117" s="255"/>
      <c r="AJ117" s="255"/>
      <c r="AK117" s="255"/>
      <c r="AL117" s="670"/>
      <c r="AM117" s="670"/>
    </row>
    <row r="118" spans="1:39" s="266" customFormat="1" ht="15" customHeight="1" x14ac:dyDescent="0.2">
      <c r="A118" s="1045"/>
      <c r="B118" s="255"/>
      <c r="C118" s="255"/>
      <c r="D118" s="255"/>
      <c r="E118" s="255"/>
      <c r="F118" s="255"/>
      <c r="G118" s="255"/>
      <c r="H118" s="255"/>
      <c r="I118" s="255"/>
      <c r="J118" s="255"/>
      <c r="K118" s="255"/>
      <c r="L118" s="255"/>
      <c r="M118" s="255"/>
      <c r="N118" s="255"/>
      <c r="O118" s="255"/>
      <c r="P118" s="248"/>
      <c r="Q118" s="255"/>
      <c r="R118" s="248"/>
      <c r="S118" s="255"/>
      <c r="T118" s="255"/>
      <c r="U118" s="255"/>
      <c r="V118" s="255"/>
      <c r="W118" s="255"/>
      <c r="X118" s="255"/>
      <c r="Y118" s="255"/>
      <c r="Z118" s="255"/>
      <c r="AA118" s="255"/>
      <c r="AB118" s="255"/>
      <c r="AC118" s="255"/>
      <c r="AD118" s="255"/>
      <c r="AE118" s="255"/>
      <c r="AF118" s="255"/>
      <c r="AG118" s="255"/>
      <c r="AH118" s="255"/>
      <c r="AI118" s="255"/>
      <c r="AJ118" s="255"/>
      <c r="AK118" s="255"/>
      <c r="AL118" s="670"/>
      <c r="AM118" s="670"/>
    </row>
    <row r="119" spans="1:39" s="266" customFormat="1" ht="15" customHeight="1" x14ac:dyDescent="0.2">
      <c r="A119" s="1045"/>
      <c r="B119" s="255"/>
      <c r="C119" s="255"/>
      <c r="D119" s="255"/>
      <c r="E119" s="255"/>
      <c r="F119" s="255"/>
      <c r="G119" s="255"/>
      <c r="H119" s="255"/>
      <c r="I119" s="255"/>
      <c r="J119" s="255"/>
      <c r="K119" s="255"/>
      <c r="L119" s="255"/>
      <c r="M119" s="255"/>
      <c r="N119" s="255"/>
      <c r="O119" s="255"/>
      <c r="P119" s="248"/>
      <c r="Q119" s="255"/>
      <c r="R119" s="248"/>
      <c r="S119" s="255"/>
      <c r="T119" s="255"/>
      <c r="U119" s="255"/>
      <c r="V119" s="255"/>
      <c r="W119" s="255"/>
      <c r="X119" s="255"/>
      <c r="Y119" s="255"/>
      <c r="Z119" s="255"/>
      <c r="AA119" s="255"/>
      <c r="AB119" s="255"/>
      <c r="AC119" s="255"/>
      <c r="AD119" s="255"/>
      <c r="AE119" s="255"/>
      <c r="AF119" s="255"/>
      <c r="AG119" s="255"/>
      <c r="AH119" s="255"/>
      <c r="AI119" s="255"/>
      <c r="AJ119" s="255"/>
      <c r="AK119" s="255"/>
      <c r="AL119" s="670"/>
      <c r="AM119" s="670"/>
    </row>
    <row r="120" spans="1:39" s="266" customFormat="1" ht="15" customHeight="1" x14ac:dyDescent="0.2">
      <c r="A120" s="1045"/>
      <c r="B120" s="255" t="str">
        <f>ListAVS!$B$411</f>
        <v>Zwróć uwagę na wybór ramek aluminiowych</v>
      </c>
      <c r="C120" s="255"/>
      <c r="D120" s="255"/>
      <c r="E120" s="255"/>
      <c r="F120" s="255"/>
      <c r="G120" s="255"/>
      <c r="H120" s="255"/>
      <c r="I120" s="255"/>
      <c r="J120" s="255"/>
      <c r="K120" s="255"/>
      <c r="L120" s="255"/>
      <c r="M120" s="255"/>
      <c r="N120" s="255"/>
      <c r="O120" s="255"/>
      <c r="P120" s="248"/>
      <c r="Q120" s="255"/>
      <c r="R120" s="248"/>
      <c r="S120" s="255"/>
      <c r="T120" s="255"/>
      <c r="U120" s="255"/>
      <c r="V120" s="255"/>
      <c r="W120" s="255"/>
      <c r="X120" s="255"/>
      <c r="Y120" s="255"/>
      <c r="Z120" s="255"/>
      <c r="AA120" s="255"/>
      <c r="AB120" s="255"/>
      <c r="AC120" s="255"/>
      <c r="AD120" s="255"/>
      <c r="AE120" s="255"/>
      <c r="AF120" s="255"/>
      <c r="AG120" s="255"/>
      <c r="AH120" s="255"/>
      <c r="AI120" s="255"/>
      <c r="AJ120" s="255"/>
      <c r="AK120" s="255"/>
      <c r="AL120" s="670"/>
      <c r="AM120" s="670"/>
    </row>
    <row r="121" spans="1:39" s="266" customFormat="1" ht="15" customHeight="1" x14ac:dyDescent="0.2">
      <c r="A121" s="1045"/>
      <c r="B121" s="255" t="str">
        <f>ListAVS!$B$412</f>
        <v>Wybierz, rodzaj, który lepiej pasuje do kształtu zastosowanej ramki aluminiowej.</v>
      </c>
      <c r="C121" s="255"/>
      <c r="D121" s="255"/>
      <c r="E121" s="255"/>
      <c r="F121" s="255"/>
      <c r="G121" s="255"/>
      <c r="H121" s="255"/>
      <c r="I121" s="255"/>
      <c r="J121" s="255"/>
      <c r="K121" s="255"/>
      <c r="L121" s="255"/>
      <c r="M121" s="255"/>
      <c r="N121" s="255"/>
      <c r="O121" s="255"/>
      <c r="P121" s="248"/>
      <c r="Q121" s="255"/>
      <c r="R121" s="248"/>
      <c r="S121" s="255"/>
      <c r="T121" s="255"/>
      <c r="U121" s="255"/>
      <c r="V121" s="255"/>
      <c r="W121" s="255"/>
      <c r="X121" s="255"/>
      <c r="Y121" s="255"/>
      <c r="Z121" s="255"/>
      <c r="AA121" s="255"/>
      <c r="AB121" s="255"/>
      <c r="AC121" s="255"/>
      <c r="AD121" s="255"/>
      <c r="AE121" s="255"/>
      <c r="AF121" s="255"/>
      <c r="AG121" s="255"/>
      <c r="AH121" s="255"/>
      <c r="AI121" s="255"/>
      <c r="AJ121" s="255"/>
      <c r="AK121" s="255"/>
      <c r="AL121" s="670"/>
      <c r="AM121" s="670"/>
    </row>
    <row r="122" spans="1:39" s="266" customFormat="1" ht="15" customHeight="1" x14ac:dyDescent="0.2">
      <c r="A122" s="1045"/>
      <c r="B122" s="255" t="str">
        <f>ListAVS!$B$413</f>
        <v>Sposób mocowania szkła w ramkę znacząco wpływa na powierzchnię szkła, a co za tym idzie na jego wagę!</v>
      </c>
      <c r="C122" s="255"/>
      <c r="D122" s="255"/>
      <c r="E122" s="255"/>
      <c r="F122" s="255"/>
      <c r="G122" s="255"/>
      <c r="H122" s="255"/>
      <c r="I122" s="255"/>
      <c r="J122" s="255"/>
      <c r="K122" s="255"/>
      <c r="L122" s="255"/>
      <c r="M122" s="255"/>
      <c r="N122" s="255"/>
      <c r="O122" s="255"/>
      <c r="P122" s="248"/>
      <c r="Q122" s="255"/>
      <c r="R122" s="248"/>
      <c r="S122" s="255"/>
      <c r="T122" s="255"/>
      <c r="U122" s="255"/>
      <c r="V122" s="255"/>
      <c r="W122" s="255"/>
      <c r="X122" s="255"/>
      <c r="Y122" s="255"/>
      <c r="Z122" s="255"/>
      <c r="AA122" s="255"/>
      <c r="AB122" s="255"/>
      <c r="AC122" s="255"/>
      <c r="AD122" s="255"/>
      <c r="AE122" s="255"/>
      <c r="AF122" s="255"/>
      <c r="AG122" s="255"/>
      <c r="AH122" s="255"/>
      <c r="AI122" s="255"/>
      <c r="AJ122" s="255"/>
      <c r="AK122" s="255"/>
      <c r="AL122" s="670"/>
      <c r="AM122" s="670"/>
    </row>
    <row r="123" spans="1:39" s="266" customFormat="1" ht="15" customHeight="1" x14ac:dyDescent="0.2">
      <c r="A123" s="1045"/>
      <c r="B123" s="255"/>
      <c r="C123" s="255"/>
      <c r="D123" s="255"/>
      <c r="E123" s="255"/>
      <c r="F123" s="255"/>
      <c r="G123" s="255"/>
      <c r="H123" s="255"/>
      <c r="I123" s="255"/>
      <c r="J123" s="255"/>
      <c r="K123" s="255"/>
      <c r="L123" s="255"/>
      <c r="M123" s="255"/>
      <c r="N123" s="255"/>
      <c r="O123" s="255"/>
      <c r="P123" s="248"/>
      <c r="Q123" s="255"/>
      <c r="R123" s="248"/>
      <c r="S123" s="255"/>
      <c r="T123" s="255"/>
      <c r="U123" s="255"/>
      <c r="V123" s="255"/>
      <c r="W123" s="255"/>
      <c r="X123" s="255"/>
      <c r="Y123" s="255"/>
      <c r="Z123" s="255"/>
      <c r="AA123" s="255"/>
      <c r="AB123" s="255"/>
      <c r="AC123" s="255"/>
      <c r="AD123" s="255"/>
      <c r="AE123" s="255"/>
      <c r="AF123" s="255"/>
      <c r="AG123" s="255"/>
      <c r="AH123" s="255"/>
      <c r="AI123" s="255"/>
      <c r="AJ123" s="255"/>
      <c r="AK123" s="255"/>
      <c r="AL123" s="670"/>
      <c r="AM123" s="670"/>
    </row>
    <row r="124" spans="1:39" s="266" customFormat="1" ht="15" customHeight="1" x14ac:dyDescent="0.2">
      <c r="A124" s="1045"/>
      <c r="B124" s="255"/>
      <c r="C124" s="255"/>
      <c r="D124" s="255"/>
      <c r="E124" s="255"/>
      <c r="F124" s="255"/>
      <c r="G124" s="255"/>
      <c r="H124" s="255"/>
      <c r="I124" s="255"/>
      <c r="J124" s="255"/>
      <c r="K124" s="255"/>
      <c r="L124" s="255"/>
      <c r="M124" s="255"/>
      <c r="N124" s="255"/>
      <c r="O124" s="255"/>
      <c r="P124" s="248"/>
      <c r="Q124" s="255"/>
      <c r="R124" s="248"/>
      <c r="S124" s="255"/>
      <c r="T124" s="255"/>
      <c r="U124" s="255"/>
      <c r="V124" s="255"/>
      <c r="W124" s="255"/>
      <c r="X124" s="255"/>
      <c r="Y124" s="255"/>
      <c r="Z124" s="255"/>
      <c r="AA124" s="255"/>
      <c r="AB124" s="255"/>
      <c r="AC124" s="255"/>
      <c r="AD124" s="255"/>
      <c r="AE124" s="255"/>
      <c r="AF124" s="255"/>
      <c r="AG124" s="255"/>
      <c r="AH124" s="255"/>
      <c r="AI124" s="255"/>
      <c r="AJ124" s="255"/>
      <c r="AK124" s="255"/>
      <c r="AL124" s="670"/>
      <c r="AM124" s="670"/>
    </row>
    <row r="125" spans="1:39" s="266" customFormat="1" ht="15" customHeight="1" x14ac:dyDescent="0.2">
      <c r="A125" s="1045"/>
      <c r="B125" s="255"/>
      <c r="C125" s="796" t="str">
        <f>"  "&amp;ListAVS!$B$422&amp;"  "</f>
        <v xml:space="preserve">  z wpuszczanym szkłem  </v>
      </c>
      <c r="D125" s="255"/>
      <c r="E125" s="255"/>
      <c r="F125" s="255"/>
      <c r="G125" s="255"/>
      <c r="H125" s="255"/>
      <c r="I125" s="255"/>
      <c r="J125" s="255"/>
      <c r="K125" s="255"/>
      <c r="L125" s="255"/>
      <c r="M125" s="255"/>
      <c r="N125" s="255"/>
      <c r="O125" s="255"/>
      <c r="P125" s="248"/>
      <c r="Q125" s="255"/>
      <c r="R125" s="248"/>
      <c r="S125" s="255"/>
      <c r="T125" s="255"/>
      <c r="U125" s="255"/>
      <c r="V125" s="255"/>
      <c r="W125" s="255"/>
      <c r="X125" s="255"/>
      <c r="Y125" s="255"/>
      <c r="Z125" s="255"/>
      <c r="AA125" s="255"/>
      <c r="AB125" s="255"/>
      <c r="AC125" s="255"/>
      <c r="AD125" s="255"/>
      <c r="AE125" s="255"/>
      <c r="AF125" s="255"/>
      <c r="AG125" s="255"/>
      <c r="AH125" s="255"/>
      <c r="AI125" s="255"/>
      <c r="AJ125" s="255"/>
      <c r="AK125" s="255"/>
      <c r="AL125" s="670"/>
      <c r="AM125" s="670"/>
    </row>
    <row r="126" spans="1:39" s="266" customFormat="1" ht="15" customHeight="1" x14ac:dyDescent="0.2">
      <c r="A126" s="1045"/>
      <c r="B126" s="255"/>
      <c r="D126" s="255"/>
      <c r="E126" s="255"/>
      <c r="F126" s="255"/>
      <c r="G126" s="255"/>
      <c r="H126" s="255"/>
      <c r="I126" s="255"/>
      <c r="J126" s="255"/>
      <c r="K126" s="255"/>
      <c r="L126" s="255"/>
      <c r="M126" s="255"/>
      <c r="N126" s="255"/>
      <c r="O126" s="255"/>
      <c r="P126" s="248"/>
      <c r="Q126" s="255"/>
      <c r="R126" s="248"/>
      <c r="S126" s="255"/>
      <c r="T126" s="255"/>
      <c r="U126" s="255"/>
      <c r="V126" s="255"/>
      <c r="W126" s="255"/>
      <c r="X126" s="255"/>
      <c r="Y126" s="255"/>
      <c r="Z126" s="255"/>
      <c r="AA126" s="255"/>
      <c r="AB126" s="255"/>
      <c r="AC126" s="255"/>
      <c r="AD126" s="255"/>
      <c r="AE126" s="255"/>
      <c r="AF126" s="255"/>
      <c r="AG126" s="255"/>
      <c r="AH126" s="255"/>
      <c r="AI126" s="255"/>
      <c r="AJ126" s="255"/>
      <c r="AK126" s="255"/>
      <c r="AL126" s="670"/>
      <c r="AM126" s="670"/>
    </row>
    <row r="127" spans="1:39" s="266" customFormat="1" ht="15" customHeight="1" x14ac:dyDescent="0.2">
      <c r="A127" s="1045"/>
      <c r="B127" s="255"/>
      <c r="C127" s="796" t="str">
        <f>"  "&amp;ListAVS!$B$423&amp;"  "</f>
        <v xml:space="preserve">  ze szkłem nakładanym lub przyklejanym  </v>
      </c>
      <c r="D127" s="255"/>
      <c r="E127" s="255"/>
      <c r="F127" s="255"/>
      <c r="G127" s="255"/>
      <c r="H127" s="255"/>
      <c r="I127" s="255"/>
      <c r="J127" s="255"/>
      <c r="K127" s="255"/>
      <c r="L127" s="255"/>
      <c r="M127" s="255"/>
      <c r="N127" s="255"/>
      <c r="O127" s="255"/>
      <c r="P127" s="248"/>
      <c r="Q127" s="255"/>
      <c r="R127" s="248"/>
      <c r="S127" s="255"/>
      <c r="T127" s="255"/>
      <c r="U127" s="255"/>
      <c r="V127" s="255"/>
      <c r="W127" s="255"/>
      <c r="X127" s="255"/>
      <c r="Y127" s="255"/>
      <c r="Z127" s="255"/>
      <c r="AA127" s="255"/>
      <c r="AB127" s="255"/>
      <c r="AC127" s="255"/>
      <c r="AD127" s="255"/>
      <c r="AE127" s="255"/>
      <c r="AF127" s="255"/>
      <c r="AG127" s="255"/>
      <c r="AH127" s="255"/>
      <c r="AI127" s="255"/>
      <c r="AJ127" s="255"/>
      <c r="AK127" s="255"/>
      <c r="AL127" s="670"/>
      <c r="AM127" s="670"/>
    </row>
    <row r="128" spans="1:39" s="266" customFormat="1" ht="15" customHeight="1" x14ac:dyDescent="0.2">
      <c r="A128" s="1045"/>
      <c r="B128" s="255"/>
      <c r="C128" s="255"/>
      <c r="D128" s="255"/>
      <c r="E128" s="255"/>
      <c r="F128" s="255"/>
      <c r="G128" s="255"/>
      <c r="H128" s="255"/>
      <c r="I128" s="255"/>
      <c r="J128" s="255"/>
      <c r="K128" s="255"/>
      <c r="L128" s="255"/>
      <c r="M128" s="255"/>
      <c r="N128" s="255"/>
      <c r="O128" s="255"/>
      <c r="P128" s="248"/>
      <c r="Q128" s="255"/>
      <c r="R128" s="248"/>
      <c r="S128" s="255"/>
      <c r="T128" s="255"/>
      <c r="U128" s="255"/>
      <c r="V128" s="255"/>
      <c r="W128" s="255"/>
      <c r="X128" s="255"/>
      <c r="Y128" s="255"/>
      <c r="Z128" s="255"/>
      <c r="AA128" s="255"/>
      <c r="AB128" s="255"/>
      <c r="AC128" s="255"/>
      <c r="AD128" s="255"/>
      <c r="AE128" s="255"/>
      <c r="AF128" s="255"/>
      <c r="AG128" s="255"/>
      <c r="AH128" s="255"/>
      <c r="AI128" s="255"/>
      <c r="AJ128" s="255"/>
      <c r="AK128" s="255"/>
      <c r="AL128" s="670"/>
      <c r="AM128" s="670"/>
    </row>
    <row r="129" spans="1:39" s="266" customFormat="1" ht="15" customHeight="1" x14ac:dyDescent="0.2">
      <c r="A129" s="1045"/>
      <c r="B129" s="255"/>
      <c r="C129" s="255"/>
      <c r="D129" s="255"/>
      <c r="E129" s="255"/>
      <c r="F129" s="255"/>
      <c r="G129" s="255"/>
      <c r="H129" s="255"/>
      <c r="I129" s="255"/>
      <c r="J129" s="255"/>
      <c r="K129" s="255"/>
      <c r="L129" s="779" t="str">
        <f>ListAVS!$B$168</f>
        <v>Z powrotem</v>
      </c>
      <c r="M129" s="255"/>
      <c r="N129" s="255"/>
      <c r="O129" s="255"/>
      <c r="P129" s="248"/>
      <c r="Q129" s="255"/>
      <c r="R129" s="248"/>
      <c r="S129" s="255"/>
      <c r="T129" s="255"/>
      <c r="U129" s="255"/>
      <c r="V129" s="255"/>
      <c r="W129" s="255"/>
      <c r="X129" s="255"/>
      <c r="Y129" s="255"/>
      <c r="Z129" s="255"/>
      <c r="AA129" s="255"/>
      <c r="AB129" s="255"/>
      <c r="AC129" s="255"/>
      <c r="AD129" s="255"/>
      <c r="AE129" s="255"/>
      <c r="AF129" s="255"/>
      <c r="AG129" s="255"/>
      <c r="AH129" s="255"/>
      <c r="AI129" s="255"/>
      <c r="AJ129" s="255"/>
      <c r="AK129" s="255"/>
      <c r="AL129" s="670"/>
      <c r="AM129" s="670"/>
    </row>
    <row r="130" spans="1:39" s="266" customFormat="1" ht="15" customHeight="1" x14ac:dyDescent="0.2">
      <c r="A130" s="1045"/>
      <c r="B130" s="255"/>
      <c r="C130" s="255"/>
      <c r="D130" s="255"/>
      <c r="E130" s="255"/>
      <c r="F130" s="255"/>
      <c r="G130" s="255"/>
      <c r="H130" s="255"/>
      <c r="I130" s="255"/>
      <c r="J130" s="255"/>
      <c r="K130" s="255"/>
      <c r="L130" s="255"/>
      <c r="M130" s="255"/>
      <c r="N130" s="255"/>
      <c r="O130" s="255"/>
      <c r="P130" s="248"/>
      <c r="Q130" s="255"/>
      <c r="R130" s="248"/>
      <c r="S130" s="255"/>
      <c r="T130" s="255"/>
      <c r="U130" s="255"/>
      <c r="V130" s="255"/>
      <c r="W130" s="255"/>
      <c r="X130" s="255"/>
      <c r="Y130" s="255"/>
      <c r="Z130" s="255"/>
      <c r="AA130" s="255"/>
      <c r="AB130" s="255"/>
      <c r="AC130" s="255"/>
      <c r="AD130" s="255"/>
      <c r="AE130" s="255"/>
      <c r="AF130" s="255"/>
      <c r="AG130" s="255"/>
      <c r="AH130" s="255"/>
      <c r="AI130" s="255"/>
      <c r="AJ130" s="255"/>
      <c r="AK130" s="255"/>
      <c r="AL130" s="670"/>
      <c r="AM130" s="670"/>
    </row>
    <row r="131" spans="1:39" s="266" customFormat="1" ht="15" customHeight="1" x14ac:dyDescent="0.2">
      <c r="A131" s="1045"/>
      <c r="B131" s="255"/>
      <c r="C131" s="255"/>
      <c r="D131" s="255"/>
      <c r="E131" s="255"/>
      <c r="F131" s="255"/>
      <c r="G131" s="255"/>
      <c r="H131" s="255"/>
      <c r="I131" s="255"/>
      <c r="J131" s="255"/>
      <c r="K131" s="255"/>
      <c r="L131" s="255"/>
      <c r="M131" s="255"/>
      <c r="N131" s="255"/>
      <c r="O131" s="255"/>
      <c r="P131" s="248"/>
      <c r="Q131" s="255"/>
      <c r="R131" s="248"/>
      <c r="S131" s="255"/>
      <c r="T131" s="255"/>
      <c r="U131" s="255"/>
      <c r="V131" s="255"/>
      <c r="W131" s="255"/>
      <c r="X131" s="255"/>
      <c r="Y131" s="255"/>
      <c r="Z131" s="255"/>
      <c r="AA131" s="255"/>
      <c r="AB131" s="255"/>
      <c r="AC131" s="255"/>
      <c r="AD131" s="255"/>
      <c r="AE131" s="255"/>
      <c r="AF131" s="255"/>
      <c r="AG131" s="255"/>
      <c r="AH131" s="255"/>
      <c r="AI131" s="255"/>
      <c r="AJ131" s="255"/>
      <c r="AK131" s="255"/>
      <c r="AL131" s="670"/>
      <c r="AM131" s="670"/>
    </row>
    <row r="132" spans="1:39" s="266" customFormat="1" ht="15" customHeight="1" x14ac:dyDescent="0.2">
      <c r="A132" s="1045"/>
      <c r="B132" s="255"/>
      <c r="C132" s="255"/>
      <c r="D132" s="255"/>
      <c r="E132" s="255"/>
      <c r="F132" s="255"/>
      <c r="G132" s="255"/>
      <c r="H132" s="255"/>
      <c r="I132" s="255"/>
      <c r="J132" s="255"/>
      <c r="K132" s="255"/>
      <c r="L132" s="255"/>
      <c r="N132" s="255"/>
      <c r="O132" s="255"/>
      <c r="P132" s="248"/>
      <c r="Q132" s="255"/>
      <c r="R132" s="248"/>
      <c r="S132" s="255"/>
      <c r="T132" s="255"/>
      <c r="U132" s="255"/>
      <c r="V132" s="255"/>
      <c r="W132" s="255"/>
      <c r="X132" s="255"/>
      <c r="Y132" s="255"/>
      <c r="Z132" s="255"/>
      <c r="AA132" s="255"/>
      <c r="AB132" s="255"/>
      <c r="AC132" s="255"/>
      <c r="AD132" s="255"/>
      <c r="AE132" s="255"/>
      <c r="AF132" s="255"/>
      <c r="AG132" s="255"/>
      <c r="AH132" s="255"/>
      <c r="AI132" s="255"/>
      <c r="AJ132" s="255"/>
      <c r="AK132" s="255"/>
      <c r="AL132" s="670"/>
      <c r="AM132" s="670"/>
    </row>
    <row r="133" spans="1:39" s="266" customFormat="1" ht="15" customHeight="1" x14ac:dyDescent="0.2">
      <c r="A133" s="1045"/>
      <c r="B133" s="255"/>
      <c r="C133" s="255"/>
      <c r="D133" s="255"/>
      <c r="E133" s="255"/>
      <c r="F133" s="255"/>
      <c r="G133" s="255"/>
      <c r="H133" s="255"/>
      <c r="I133" s="255"/>
      <c r="J133" s="255"/>
      <c r="K133" s="255"/>
      <c r="L133" s="255"/>
      <c r="M133" s="255"/>
      <c r="N133" s="255"/>
      <c r="O133" s="255"/>
      <c r="P133" s="248"/>
      <c r="Q133" s="255"/>
      <c r="R133" s="248"/>
      <c r="S133" s="255"/>
      <c r="T133" s="255"/>
      <c r="U133" s="255"/>
      <c r="V133" s="255"/>
      <c r="W133" s="255"/>
      <c r="X133" s="255"/>
      <c r="Y133" s="255"/>
      <c r="Z133" s="255"/>
      <c r="AA133" s="255"/>
      <c r="AB133" s="255"/>
      <c r="AC133" s="255"/>
      <c r="AD133" s="255"/>
      <c r="AE133" s="255"/>
      <c r="AF133" s="255"/>
      <c r="AG133" s="255"/>
      <c r="AH133" s="255"/>
      <c r="AI133" s="255"/>
      <c r="AJ133" s="255"/>
      <c r="AK133" s="255"/>
      <c r="AL133" s="670"/>
      <c r="AM133" s="670"/>
    </row>
    <row r="134" spans="1:39" x14ac:dyDescent="0.2">
      <c r="A134" s="1045"/>
    </row>
    <row r="135" spans="1:39" x14ac:dyDescent="0.2">
      <c r="A135" s="1045"/>
    </row>
    <row r="136" spans="1:39" x14ac:dyDescent="0.2">
      <c r="A136" s="1045"/>
    </row>
    <row r="137" spans="1:39" x14ac:dyDescent="0.2">
      <c r="A137" s="1045"/>
    </row>
    <row r="138" spans="1:39" x14ac:dyDescent="0.2">
      <c r="A138" s="1045"/>
    </row>
    <row r="139" spans="1:39" x14ac:dyDescent="0.2">
      <c r="A139" s="1045"/>
    </row>
    <row r="140" spans="1:39" x14ac:dyDescent="0.2">
      <c r="A140" s="1045"/>
    </row>
    <row r="141" spans="1:39" x14ac:dyDescent="0.2">
      <c r="A141" s="1045"/>
    </row>
    <row r="142" spans="1:39" x14ac:dyDescent="0.2">
      <c r="A142" s="1045"/>
    </row>
    <row r="143" spans="1:39" x14ac:dyDescent="0.2">
      <c r="A143" s="1045"/>
    </row>
    <row r="144" spans="1:39" x14ac:dyDescent="0.2">
      <c r="A144" s="1045"/>
    </row>
    <row r="145" spans="1:1" x14ac:dyDescent="0.2">
      <c r="A145" s="1045"/>
    </row>
    <row r="146" spans="1:1" x14ac:dyDescent="0.2">
      <c r="A146" s="1045"/>
    </row>
    <row r="147" spans="1:1" x14ac:dyDescent="0.2">
      <c r="A147" s="1045"/>
    </row>
  </sheetData>
  <sheetProtection algorithmName="SHA-512" hashValue="UOPcFikVG0mpXykmSyvwla3Bk+q31eLxtel8JpFtFBqpMzxNQnaLSek/WiWm5h/37akaS8YEmtzkhMyQSxsLAQ==" saltValue="z78GDmg1NLYTI4wkdvGTGQ==" spinCount="100000" sheet="1" objects="1" scenarios="1"/>
  <mergeCells count="66">
    <mergeCell ref="A99:A147"/>
    <mergeCell ref="E106:L106"/>
    <mergeCell ref="M42:M43"/>
    <mergeCell ref="M45:M46"/>
    <mergeCell ref="T89:U89"/>
    <mergeCell ref="N73:T73"/>
    <mergeCell ref="N74:T74"/>
    <mergeCell ref="N75:T75"/>
    <mergeCell ref="S79:U79"/>
    <mergeCell ref="N80:T80"/>
    <mergeCell ref="N72:T72"/>
    <mergeCell ref="N81:T81"/>
    <mergeCell ref="N82:T82"/>
    <mergeCell ref="N83:T83"/>
    <mergeCell ref="Q66:U66"/>
    <mergeCell ref="S70:U70"/>
    <mergeCell ref="N84:T84"/>
    <mergeCell ref="B27:D27"/>
    <mergeCell ref="E27:H27"/>
    <mergeCell ref="B28:H28"/>
    <mergeCell ref="B24:C26"/>
    <mergeCell ref="D24:H24"/>
    <mergeCell ref="D25:H25"/>
    <mergeCell ref="D26:H26"/>
    <mergeCell ref="T31:U31"/>
    <mergeCell ref="B23:H23"/>
    <mergeCell ref="B21:H21"/>
    <mergeCell ref="V21:W21"/>
    <mergeCell ref="AP23:AT24"/>
    <mergeCell ref="N71:T71"/>
    <mergeCell ref="B20:C20"/>
    <mergeCell ref="F20:I20"/>
    <mergeCell ref="R20:S20"/>
    <mergeCell ref="V20:W20"/>
    <mergeCell ref="B22:H22"/>
    <mergeCell ref="B17:H17"/>
    <mergeCell ref="B9:C9"/>
    <mergeCell ref="R9:S9"/>
    <mergeCell ref="V9:W9"/>
    <mergeCell ref="B10:H10"/>
    <mergeCell ref="V10:W10"/>
    <mergeCell ref="B11:H11"/>
    <mergeCell ref="B12:H12"/>
    <mergeCell ref="B16:D16"/>
    <mergeCell ref="E16:H16"/>
    <mergeCell ref="B13:C15"/>
    <mergeCell ref="D13:H13"/>
    <mergeCell ref="D14:H14"/>
    <mergeCell ref="D15:H15"/>
    <mergeCell ref="AU1:BC1"/>
    <mergeCell ref="F9:I9"/>
    <mergeCell ref="F5:J5"/>
    <mergeCell ref="K4:L5"/>
    <mergeCell ref="B7:D7"/>
    <mergeCell ref="H7:I7"/>
    <mergeCell ref="AP8:AQ9"/>
    <mergeCell ref="AR8:AR9"/>
    <mergeCell ref="B2:D2"/>
    <mergeCell ref="AP17:AQ17"/>
    <mergeCell ref="AP18:AQ18"/>
    <mergeCell ref="AP20:AT21"/>
    <mergeCell ref="AP10:AQ10"/>
    <mergeCell ref="AP11:AQ11"/>
    <mergeCell ref="AP12:AQ12"/>
    <mergeCell ref="AP14:AQ15"/>
    <mergeCell ref="AP16:AQ16"/>
  </mergeCells>
  <conditionalFormatting sqref="B16:D16">
    <cfRule type="expression" dxfId="103" priority="13" stopIfTrue="1">
      <formula>$V$10=TRUE</formula>
    </cfRule>
  </conditionalFormatting>
  <conditionalFormatting sqref="B27:D27">
    <cfRule type="expression" dxfId="102" priority="14" stopIfTrue="1">
      <formula>$V$21=TRUE</formula>
    </cfRule>
  </conditionalFormatting>
  <conditionalFormatting sqref="E9">
    <cfRule type="expression" dxfId="101" priority="12">
      <formula>$M$17&gt;0</formula>
    </cfRule>
  </conditionalFormatting>
  <conditionalFormatting sqref="E20">
    <cfRule type="expression" dxfId="100" priority="11">
      <formula>$M$28&gt;0</formula>
    </cfRule>
  </conditionalFormatting>
  <conditionalFormatting sqref="J13">
    <cfRule type="containsText" dxfId="99" priority="10" operator="containsText" text="Doplňte">
      <formula>NOT(ISERROR(SEARCH("Doplňte",J13)))</formula>
    </cfRule>
  </conditionalFormatting>
  <conditionalFormatting sqref="J24">
    <cfRule type="containsText" dxfId="98" priority="9" operator="containsText" text="Doplňte">
      <formula>NOT(ISERROR(SEARCH("Doplňte",J24)))</formula>
    </cfRule>
  </conditionalFormatting>
  <conditionalFormatting sqref="J12">
    <cfRule type="expression" dxfId="97" priority="7">
      <formula>$M$17=0</formula>
    </cfRule>
    <cfRule type="containsText" dxfId="96" priority="8" operator="containsText" text="Doplňte">
      <formula>NOT(ISERROR(SEARCH("Doplňte",J12)))</formula>
    </cfRule>
  </conditionalFormatting>
  <conditionalFormatting sqref="J23">
    <cfRule type="containsText" dxfId="95" priority="5" operator="containsText" text="Doplňte">
      <formula>NOT(ISERROR(SEARCH("Doplňte",J23)))</formula>
    </cfRule>
  </conditionalFormatting>
  <conditionalFormatting sqref="J23">
    <cfRule type="expression" dxfId="94" priority="6">
      <formula>$M$28=0</formula>
    </cfRule>
  </conditionalFormatting>
  <conditionalFormatting sqref="J26">
    <cfRule type="containsText" dxfId="93" priority="3" operator="containsText" text="Doplňte">
      <formula>NOT(ISERROR(SEARCH("Doplňte",J26)))</formula>
    </cfRule>
  </conditionalFormatting>
  <conditionalFormatting sqref="J26">
    <cfRule type="expression" dxfId="92" priority="4">
      <formula>$M$28=0</formula>
    </cfRule>
  </conditionalFormatting>
  <conditionalFormatting sqref="J15">
    <cfRule type="expression" dxfId="91" priority="1">
      <formula>$M$17=0</formula>
    </cfRule>
    <cfRule type="containsText" dxfId="90" priority="2" operator="containsText" text="Doplňte">
      <formula>NOT(ISERROR(SEARCH("Doplňte",J15)))</formula>
    </cfRule>
  </conditionalFormatting>
  <hyperlinks>
    <hyperlink ref="N71:T71" location="HKSw!H10" tooltip=" " display="HKSw!H10" xr:uid="{3FC279F9-1609-4B73-A8EF-82B06009D373}"/>
    <hyperlink ref="N72:T72" location="HKSw!H11" tooltip=" " display="HKSw!H11" xr:uid="{E416B7B8-31E5-465A-A00F-661337263D1A}"/>
    <hyperlink ref="N80:T80" location="HKSw!H19" tooltip=" " display="HKSw!H19" xr:uid="{F9A0B286-EA83-4E9B-AD91-40584CA60579}"/>
    <hyperlink ref="N81:T81" location="HKSw!H20" tooltip=" " display="HKSw!H20" xr:uid="{AC2A02B0-FF46-4426-8A38-22607E614E82}"/>
    <hyperlink ref="AM5" location="HKXSwa!A100" tooltip=" " display="HKXSwa!A100" xr:uid="{A10CEE01-6D48-479D-B7BC-78105C220AA6}"/>
    <hyperlink ref="L129" location="HKXSwa!A1" tooltip=" " display="HKXSwa!A1" xr:uid="{5672016C-E751-4525-9887-4A150A0CB2D1}"/>
    <hyperlink ref="AM9" location="SumAVS!A1" tooltip=" " display="SumAVS!A1" xr:uid="{863322DF-AE7E-451F-B60C-37F9E5ECA469}"/>
    <hyperlink ref="AM10" location="OrdAVS!A1" tooltip=" " display="OrdAVS!A1" xr:uid="{CFCAB98F-3E73-4AF5-8F79-F19160E37452}"/>
    <hyperlink ref="AM7" location="AcsAVS!A1" tooltip=" " display="AcsAVS!A1" xr:uid="{DC31632A-B099-4645-B6FC-8C0799CA82A0}"/>
    <hyperlink ref="B7" location="HFW!A100" tooltip=" " display="HFW!A100" xr:uid="{041F43B2-6B4D-4A30-8305-AC5DB60634BE}"/>
    <hyperlink ref="B7:D7" location="HKXSw!A100" tooltip=" " display="HKXSw!A100" xr:uid="{17A27ABA-52FF-4853-86DB-A403E0A204FF}"/>
    <hyperlink ref="AM4" location="MenuAVS!A1" tooltip=" " display="MenuAVS!A1" xr:uid="{648EC94B-02D5-4717-8EAA-A77CBBC404F7}"/>
    <hyperlink ref="B2:C2" location="HK!A1" tooltip=" " display="AVENTOS HK top" xr:uid="{7465161C-99D1-4B3B-8F98-842A1455E84A}"/>
    <hyperlink ref="B2:L2" location="HKXS!A1" tooltip=" " display="AVENTOS HK-XS" xr:uid="{25533B61-2D2E-49BB-9444-46F631282CF6}"/>
  </hyperlinks>
  <pageMargins left="0.62992125984251968" right="0.23622047244094488" top="0.74803149606299213" bottom="0.74803149606299213" header="0.31496062992125984" footer="0.31496062992125984"/>
  <pageSetup paperSize="9" orientation="portrait" horizontalDpi="4294967293"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76129" r:id="rId4" name="Drop Down 1">
              <controlPr defaultSize="0" autoLine="0" autoPict="0">
                <anchor moveWithCells="1">
                  <from>
                    <xdr:col>4</xdr:col>
                    <xdr:colOff>19050</xdr:colOff>
                    <xdr:row>6</xdr:row>
                    <xdr:rowOff>9525</xdr:rowOff>
                  </from>
                  <to>
                    <xdr:col>6</xdr:col>
                    <xdr:colOff>571500</xdr:colOff>
                    <xdr:row>7</xdr:row>
                    <xdr:rowOff>0</xdr:rowOff>
                  </to>
                </anchor>
              </controlPr>
            </control>
          </mc:Choice>
        </mc:AlternateContent>
        <mc:AlternateContent xmlns:mc="http://schemas.openxmlformats.org/markup-compatibility/2006">
          <mc:Choice Requires="x14">
            <control shapeId="176131" r:id="rId5" name="Check Box 3">
              <controlPr defaultSize="0" autoFill="0" autoLine="0" autoPict="0">
                <anchor moveWithCells="1">
                  <from>
                    <xdr:col>3</xdr:col>
                    <xdr:colOff>400050</xdr:colOff>
                    <xdr:row>14</xdr:row>
                    <xdr:rowOff>200025</xdr:rowOff>
                  </from>
                  <to>
                    <xdr:col>4</xdr:col>
                    <xdr:colOff>85725</xdr:colOff>
                    <xdr:row>16</xdr:row>
                    <xdr:rowOff>19050</xdr:rowOff>
                  </to>
                </anchor>
              </controlPr>
            </control>
          </mc:Choice>
        </mc:AlternateContent>
        <mc:AlternateContent xmlns:mc="http://schemas.openxmlformats.org/markup-compatibility/2006">
          <mc:Choice Requires="x14">
            <control shapeId="176132" r:id="rId6" name="Check Box 4">
              <controlPr defaultSize="0" autoFill="0" autoLine="0" autoPict="0">
                <anchor moveWithCells="1">
                  <from>
                    <xdr:col>3</xdr:col>
                    <xdr:colOff>400050</xdr:colOff>
                    <xdr:row>25</xdr:row>
                    <xdr:rowOff>200025</xdr:rowOff>
                  </from>
                  <to>
                    <xdr:col>4</xdr:col>
                    <xdr:colOff>76200</xdr:colOff>
                    <xdr:row>27</xdr:row>
                    <xdr:rowOff>19050</xdr:rowOff>
                  </to>
                </anchor>
              </controlPr>
            </control>
          </mc:Choice>
        </mc:AlternateContent>
        <mc:AlternateContent xmlns:mc="http://schemas.openxmlformats.org/markup-compatibility/2006">
          <mc:Choice Requires="x14">
            <control shapeId="176133" r:id="rId7" name="Drop Down 5">
              <controlPr defaultSize="0" autoLine="0" autoPict="0">
                <anchor moveWithCells="1">
                  <from>
                    <xdr:col>1</xdr:col>
                    <xdr:colOff>0</xdr:colOff>
                    <xdr:row>9</xdr:row>
                    <xdr:rowOff>0</xdr:rowOff>
                  </from>
                  <to>
                    <xdr:col>3</xdr:col>
                    <xdr:colOff>209550</xdr:colOff>
                    <xdr:row>10</xdr:row>
                    <xdr:rowOff>0</xdr:rowOff>
                  </to>
                </anchor>
              </controlPr>
            </control>
          </mc:Choice>
        </mc:AlternateContent>
        <mc:AlternateContent xmlns:mc="http://schemas.openxmlformats.org/markup-compatibility/2006">
          <mc:Choice Requires="x14">
            <control shapeId="176134" r:id="rId8" name="Drop Down 6">
              <controlPr defaultSize="0" autoLine="0" autoPict="0">
                <anchor moveWithCells="1">
                  <from>
                    <xdr:col>1</xdr:col>
                    <xdr:colOff>0</xdr:colOff>
                    <xdr:row>20</xdr:row>
                    <xdr:rowOff>0</xdr:rowOff>
                  </from>
                  <to>
                    <xdr:col>3</xdr:col>
                    <xdr:colOff>209550</xdr:colOff>
                    <xdr:row>21</xdr:row>
                    <xdr:rowOff>0</xdr:rowOff>
                  </to>
                </anchor>
              </controlPr>
            </control>
          </mc:Choice>
        </mc:AlternateContent>
        <mc:AlternateContent xmlns:mc="http://schemas.openxmlformats.org/markup-compatibility/2006">
          <mc:Choice Requires="x14">
            <control shapeId="176135" r:id="rId9" name="Option Button 7">
              <controlPr defaultSize="0" autoFill="0" autoLine="0" autoPict="0">
                <anchor moveWithCells="1">
                  <from>
                    <xdr:col>1</xdr:col>
                    <xdr:colOff>371475</xdr:colOff>
                    <xdr:row>5</xdr:row>
                    <xdr:rowOff>57150</xdr:rowOff>
                  </from>
                  <to>
                    <xdr:col>2</xdr:col>
                    <xdr:colOff>57150</xdr:colOff>
                    <xdr:row>5</xdr:row>
                    <xdr:rowOff>276225</xdr:rowOff>
                  </to>
                </anchor>
              </controlPr>
            </control>
          </mc:Choice>
        </mc:AlternateContent>
        <mc:AlternateContent xmlns:mc="http://schemas.openxmlformats.org/markup-compatibility/2006">
          <mc:Choice Requires="x14">
            <control shapeId="176136" r:id="rId10" name="Option Button 8">
              <controlPr defaultSize="0" autoFill="0" autoLine="0" autoPict="0">
                <anchor moveWithCells="1">
                  <from>
                    <xdr:col>3</xdr:col>
                    <xdr:colOff>400050</xdr:colOff>
                    <xdr:row>5</xdr:row>
                    <xdr:rowOff>57150</xdr:rowOff>
                  </from>
                  <to>
                    <xdr:col>4</xdr:col>
                    <xdr:colOff>76200</xdr:colOff>
                    <xdr:row>5</xdr:row>
                    <xdr:rowOff>276225</xdr:rowOff>
                  </to>
                </anchor>
              </controlPr>
            </control>
          </mc:Choice>
        </mc:AlternateContent>
        <mc:AlternateContent xmlns:mc="http://schemas.openxmlformats.org/markup-compatibility/2006">
          <mc:Choice Requires="x14">
            <control shapeId="176137" r:id="rId11" name="Drop Down 9">
              <controlPr defaultSize="0" autoLine="0" autoPict="0">
                <anchor moveWithCells="1">
                  <from>
                    <xdr:col>5</xdr:col>
                    <xdr:colOff>533400</xdr:colOff>
                    <xdr:row>3</xdr:row>
                    <xdr:rowOff>0</xdr:rowOff>
                  </from>
                  <to>
                    <xdr:col>8</xdr:col>
                    <xdr:colOff>571500</xdr:colOff>
                    <xdr:row>3</xdr:row>
                    <xdr:rowOff>200025</xdr:rowOff>
                  </to>
                </anchor>
              </controlPr>
            </control>
          </mc:Choice>
        </mc:AlternateContent>
      </controls>
    </mc:Choice>
  </mc:AlternateContent>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A0BEF-7CA3-4CBA-B4FA-F93D1C455D9A}">
  <sheetPr codeName="Sheet54">
    <tabColor indexed="63"/>
  </sheetPr>
  <dimension ref="A1:BC140"/>
  <sheetViews>
    <sheetView showGridLines="0" showRowColHeaders="0" workbookViewId="0">
      <selection activeCell="K21" sqref="K21"/>
    </sheetView>
  </sheetViews>
  <sheetFormatPr defaultColWidth="8.28515625" defaultRowHeight="12" x14ac:dyDescent="0.2"/>
  <cols>
    <col min="1" max="1" width="1.28515625" style="37" customWidth="1"/>
    <col min="2" max="9" width="8.5703125" style="37" customWidth="1"/>
    <col min="10" max="10" width="6.7109375" style="37" customWidth="1"/>
    <col min="11" max="11" width="10.42578125" style="37" customWidth="1"/>
    <col min="12" max="12" width="17.28515625" style="37" customWidth="1"/>
    <col min="13" max="15" width="6.42578125" style="37" hidden="1" customWidth="1"/>
    <col min="16" max="16" width="6.42578125" style="118" hidden="1" customWidth="1"/>
    <col min="17" max="17" width="6.42578125" style="37" hidden="1" customWidth="1"/>
    <col min="18" max="18" width="7.28515625" style="118" hidden="1" customWidth="1"/>
    <col min="19" max="19" width="6.42578125" style="37" hidden="1" customWidth="1"/>
    <col min="20" max="20" width="7.7109375" style="37" hidden="1" customWidth="1"/>
    <col min="21" max="21" width="9.5703125" style="37" hidden="1" customWidth="1"/>
    <col min="22" max="22" width="8.5703125" style="37" hidden="1" customWidth="1"/>
    <col min="23" max="26" width="6.42578125" style="37" hidden="1" customWidth="1"/>
    <col min="27" max="27" width="37.28515625" style="37" hidden="1" customWidth="1"/>
    <col min="28" max="28" width="13.5703125" style="37" hidden="1" customWidth="1"/>
    <col min="29" max="31" width="6.7109375" style="37" hidden="1" customWidth="1"/>
    <col min="32" max="32" width="9.42578125" style="37" hidden="1" customWidth="1"/>
    <col min="33" max="36" width="6.7109375" style="37" hidden="1" customWidth="1"/>
    <col min="37" max="37" width="3.28515625" style="37" hidden="1" customWidth="1"/>
    <col min="38" max="38" width="3.28515625" style="108" customWidth="1"/>
    <col min="39" max="39" width="23.42578125" style="108" customWidth="1"/>
    <col min="40" max="41" width="8.28515625" style="137"/>
    <col min="42" max="43" width="17.28515625" style="137" customWidth="1"/>
    <col min="44" max="44" width="22.28515625" style="137" customWidth="1"/>
    <col min="45" max="47" width="8.28515625" style="137"/>
    <col min="48" max="48" width="16.28515625" style="137" customWidth="1"/>
    <col min="49" max="49" width="22.42578125" style="137" customWidth="1"/>
    <col min="50" max="50" width="18.7109375" style="137" customWidth="1"/>
    <col min="51" max="16384" width="8.28515625" style="137"/>
  </cols>
  <sheetData>
    <row r="1" spans="2:55" ht="4.5" customHeight="1" thickBot="1" x14ac:dyDescent="0.25">
      <c r="L1" s="137"/>
      <c r="O1" s="118"/>
      <c r="P1" s="37"/>
      <c r="Q1" s="118"/>
      <c r="R1" s="37"/>
      <c r="AK1" s="108"/>
      <c r="AU1" s="1121"/>
      <c r="AV1" s="1121"/>
      <c r="AW1" s="1121"/>
      <c r="AX1" s="1121"/>
      <c r="AY1" s="1121"/>
      <c r="AZ1" s="1121"/>
      <c r="BA1" s="1121"/>
      <c r="BB1" s="1121"/>
      <c r="BC1" s="1121"/>
    </row>
    <row r="2" spans="2:55" s="108" customFormat="1" ht="19.5" customHeight="1" thickBot="1" x14ac:dyDescent="0.25">
      <c r="B2" s="1048" t="s">
        <v>5</v>
      </c>
      <c r="C2" s="1048"/>
      <c r="D2" s="1048"/>
      <c r="E2" s="886"/>
      <c r="F2" s="886"/>
      <c r="G2" s="886"/>
      <c r="H2" s="886"/>
      <c r="I2" s="886"/>
      <c r="J2" s="886"/>
      <c r="K2" s="886"/>
      <c r="L2" s="886"/>
      <c r="M2" s="759"/>
      <c r="O2" s="108" t="s">
        <v>64</v>
      </c>
      <c r="S2" s="117">
        <v>3</v>
      </c>
      <c r="AM2" s="760" t="str">
        <f>ListAVS!$B$153</f>
        <v>Przejdź do</v>
      </c>
    </row>
    <row r="3" spans="2:55" ht="3.75" customHeight="1" x14ac:dyDescent="0.2">
      <c r="B3" s="210"/>
      <c r="C3" s="211"/>
      <c r="D3" s="211"/>
      <c r="E3" s="211"/>
      <c r="F3" s="211"/>
      <c r="G3" s="211"/>
      <c r="H3" s="211"/>
      <c r="I3" s="211"/>
      <c r="J3" s="211"/>
      <c r="K3" s="211"/>
      <c r="L3" s="137"/>
      <c r="O3" s="118"/>
      <c r="P3" s="37"/>
      <c r="Q3" s="118"/>
      <c r="R3" s="37"/>
      <c r="AK3" s="137"/>
      <c r="AM3" s="670"/>
    </row>
    <row r="4" spans="2:55" ht="16.149999999999999" customHeight="1" thickBot="1" x14ac:dyDescent="0.25">
      <c r="B4" s="314" t="str">
        <f>ListAVS!$B$22&amp;" ***"</f>
        <v>Wąska ramka aluminiowa ***</v>
      </c>
      <c r="C4" s="313"/>
      <c r="D4" s="266"/>
      <c r="E4" s="313"/>
      <c r="F4" s="269" t="str">
        <f>ListAVS!$B$180&amp;"  "</f>
        <v xml:space="preserve">Wykonanie frontów  </v>
      </c>
      <c r="G4" s="255"/>
      <c r="H4" s="255"/>
      <c r="I4" s="255"/>
      <c r="J4" s="260"/>
      <c r="K4" s="1187" t="str">
        <f>V65</f>
        <v xml:space="preserve"> </v>
      </c>
      <c r="L4" s="1187"/>
      <c r="O4" s="117">
        <v>1</v>
      </c>
      <c r="P4" s="37"/>
      <c r="Q4" s="118"/>
      <c r="R4" s="37"/>
      <c r="S4" s="37" t="str">
        <f>" "&amp;ListAVS!$B$41&amp;" A "</f>
        <v xml:space="preserve"> Cena za korpus A </v>
      </c>
      <c r="AK4" s="137"/>
      <c r="AM4" s="383" t="s">
        <v>77</v>
      </c>
    </row>
    <row r="5" spans="2:55" ht="16.149999999999999" customHeight="1" x14ac:dyDescent="0.2">
      <c r="B5" s="266"/>
      <c r="C5" s="313"/>
      <c r="D5" s="313"/>
      <c r="E5" s="313"/>
      <c r="F5" s="1016" t="str">
        <f>IF($AG$71&lt;&gt;3,$Z$66," ")&amp;"      "</f>
        <v xml:space="preserve"> Możesz zmienić wartości we Wstępie do planowania      </v>
      </c>
      <c r="G5" s="1016"/>
      <c r="H5" s="1016"/>
      <c r="I5" s="1016"/>
      <c r="J5" s="1016"/>
      <c r="K5" s="1187"/>
      <c r="L5" s="1187"/>
      <c r="O5" s="118" t="s">
        <v>65</v>
      </c>
      <c r="P5" s="37"/>
      <c r="Q5" s="118"/>
      <c r="R5" s="37"/>
      <c r="S5" s="37" t="str">
        <f>" "&amp;ListAVS!$B$41&amp;" B "</f>
        <v xml:space="preserve"> Cena za korpus B </v>
      </c>
      <c r="AK5" s="137"/>
      <c r="AM5" s="782" t="str">
        <f>" "&amp;ListAVS!$B$155</f>
        <v xml:space="preserve"> Pomoc</v>
      </c>
    </row>
    <row r="6" spans="2:55" ht="25.15" customHeight="1" x14ac:dyDescent="0.2">
      <c r="B6" s="313"/>
      <c r="C6" s="313"/>
      <c r="D6" s="313"/>
      <c r="E6" s="313"/>
      <c r="F6" s="266"/>
      <c r="G6" s="434"/>
      <c r="H6" s="434"/>
      <c r="I6" s="434"/>
      <c r="J6" s="434"/>
      <c r="K6" s="434"/>
      <c r="L6" s="266"/>
      <c r="O6" s="323" t="s">
        <v>66</v>
      </c>
      <c r="P6" s="37"/>
      <c r="Q6" s="118"/>
      <c r="R6" s="37"/>
      <c r="S6" s="37" t="str">
        <f>" "&amp;ListAVS!$B$61</f>
        <v xml:space="preserve"> Cena całkowita bez VAT</v>
      </c>
      <c r="AK6" s="137"/>
      <c r="AM6" s="761"/>
    </row>
    <row r="7" spans="2:55" ht="16.149999999999999" customHeight="1" x14ac:dyDescent="0.2">
      <c r="B7" s="1207" t="str">
        <f>ListAVS!$B$51&amp;":   "</f>
        <v xml:space="preserve">Cena okucia:   </v>
      </c>
      <c r="C7" s="1207"/>
      <c r="D7" s="1207"/>
      <c r="E7" s="255"/>
      <c r="F7" s="266"/>
      <c r="G7" s="266"/>
      <c r="H7" s="1061">
        <f>IF($S$2=1, $AH$50, IF($S$2=2, $AJ$50, IF($S$2=3, $AF$50,0)))</f>
        <v>0</v>
      </c>
      <c r="I7" s="1062"/>
      <c r="J7" s="255"/>
      <c r="K7" s="255"/>
      <c r="L7" s="255"/>
      <c r="O7" s="118"/>
      <c r="P7" s="37"/>
      <c r="Q7" s="118"/>
      <c r="R7" s="37"/>
      <c r="AA7" s="156" t="str">
        <f>$B$2</f>
        <v>AVENTOS HK-XS</v>
      </c>
      <c r="AB7" s="157">
        <f>D5</f>
        <v>0</v>
      </c>
      <c r="AC7" s="157"/>
      <c r="AD7" s="157"/>
      <c r="AE7" s="157"/>
      <c r="AF7" s="158"/>
      <c r="AI7" s="118"/>
      <c r="AK7" s="108"/>
      <c r="AM7" s="675" t="str">
        <f>" "&amp;ListAVS!$B$160</f>
        <v xml:space="preserve"> Dodatki</v>
      </c>
    </row>
    <row r="8" spans="2:55" ht="22.5" customHeight="1" thickBot="1" x14ac:dyDescent="0.25">
      <c r="B8" s="255"/>
      <c r="C8" s="255"/>
      <c r="D8" s="255"/>
      <c r="E8" s="255"/>
      <c r="F8" s="255"/>
      <c r="G8" s="255"/>
      <c r="H8" s="255"/>
      <c r="I8" s="255"/>
      <c r="J8" s="255"/>
      <c r="K8" s="255"/>
      <c r="L8" s="255"/>
      <c r="O8" s="118"/>
      <c r="P8" s="37"/>
      <c r="Q8" s="118"/>
      <c r="R8" s="37"/>
      <c r="AA8" s="159">
        <f>ListAVS!D52</f>
        <v>0</v>
      </c>
      <c r="AB8" s="160" t="str">
        <f>ListAVS!$B$53</f>
        <v>Kod asortymentu</v>
      </c>
      <c r="AC8" s="161">
        <f>ListAVS!D54</f>
        <v>0</v>
      </c>
      <c r="AD8" s="161">
        <f>ListAVS!D56</f>
        <v>0</v>
      </c>
      <c r="AE8" s="162">
        <f>ListAVS!D58</f>
        <v>0</v>
      </c>
      <c r="AF8" s="161">
        <f>ListAVS!D59</f>
        <v>0</v>
      </c>
      <c r="AG8" s="204" t="s">
        <v>29</v>
      </c>
      <c r="AH8" s="163" t="s">
        <v>30</v>
      </c>
      <c r="AI8" s="163" t="s">
        <v>31</v>
      </c>
      <c r="AJ8" s="163" t="s">
        <v>30</v>
      </c>
      <c r="AK8" s="108"/>
      <c r="AM8" s="671"/>
      <c r="AP8" s="1193" t="str">
        <f>"  "&amp;ListAVS!$B$86&amp;" LF "</f>
        <v xml:space="preserve">  Współczynnik mocy LF </v>
      </c>
      <c r="AQ8" s="1193"/>
      <c r="AR8" s="1193" t="str">
        <f>ListAVS!$B$84</f>
        <v>Mechanizm podnoszący</v>
      </c>
      <c r="AS8" s="404"/>
      <c r="AT8" s="404"/>
      <c r="AU8" s="787"/>
      <c r="AV8" s="787"/>
      <c r="AW8" s="787"/>
      <c r="AX8" s="404"/>
      <c r="AY8" s="404"/>
    </row>
    <row r="9" spans="2:55" ht="16.149999999999999" customHeight="1" thickBot="1" x14ac:dyDescent="0.25">
      <c r="B9" s="1051" t="str">
        <f>"▼ "&amp;ListAVS!$B$318</f>
        <v>▼ Sposób otwierania</v>
      </c>
      <c r="C9" s="1052"/>
      <c r="D9" s="406" t="str">
        <f>IF($M$17&gt;0, ListAVS!$B$37&amp;": ", " ")</f>
        <v xml:space="preserve"> </v>
      </c>
      <c r="E9" s="688" t="str">
        <f>IF($AG$9&gt;0,"11",IF($AG$10&gt;0,"13",IF($AG$11&gt;0,"15",IF($AG$15&gt;0,"11T",IF($AG$16&gt;0,"13T", IF($AG$17&gt;0, "15T", " "))))))</f>
        <v xml:space="preserve"> </v>
      </c>
      <c r="F9" s="1056" t="str">
        <f>ListAVS!$B$64&amp;" A"</f>
        <v>Korpus A</v>
      </c>
      <c r="G9" s="1057"/>
      <c r="H9" s="1057"/>
      <c r="I9" s="1058"/>
      <c r="J9" s="273"/>
      <c r="K9" s="255"/>
      <c r="L9" s="255"/>
      <c r="N9" s="119"/>
      <c r="O9" s="132"/>
      <c r="P9" s="119"/>
      <c r="Q9" s="132"/>
      <c r="R9" s="1205" t="s">
        <v>118</v>
      </c>
      <c r="S9" s="1206"/>
      <c r="T9" s="762"/>
      <c r="U9" s="763"/>
      <c r="V9" s="1205" t="s">
        <v>89</v>
      </c>
      <c r="W9" s="1206"/>
      <c r="X9" s="136"/>
      <c r="Y9" s="213" t="s">
        <v>26</v>
      </c>
      <c r="Z9" s="214"/>
      <c r="AA9" s="164" t="str">
        <f>CenAVS!A108</f>
        <v xml:space="preserve">Aventos HK-XS słaby        </v>
      </c>
      <c r="AB9" s="164" t="str">
        <f>CenAVS!B108</f>
        <v>20K1101</v>
      </c>
      <c r="AC9" s="164" t="str">
        <f>CenAVS!C108</f>
        <v>NI</v>
      </c>
      <c r="AD9" s="165">
        <f t="shared" ref="AD9:AD33" si="0">SUM(AG9,AI9)</f>
        <v>0</v>
      </c>
      <c r="AE9" s="395">
        <f>CenAVS!F108</f>
        <v>32.283230000000003</v>
      </c>
      <c r="AF9" s="167">
        <f>AD9*AE9</f>
        <v>0</v>
      </c>
      <c r="AG9" s="407">
        <f>IF($U$16=1,SUM($O$11:$P$11)*$M$17,0)</f>
        <v>0</v>
      </c>
      <c r="AH9" s="168">
        <f>$AE9*AG9</f>
        <v>0</v>
      </c>
      <c r="AI9" s="407">
        <f>IF($U$27=1,SUM($O$22:$P$22)*$M$28,0)</f>
        <v>0</v>
      </c>
      <c r="AJ9" s="168">
        <f>$AE9*AI9</f>
        <v>0</v>
      </c>
      <c r="AK9" s="108"/>
      <c r="AM9" s="383" t="str">
        <f>" "&amp;ListAVS!$B$157</f>
        <v xml:space="preserve"> Rodzaje korpusów</v>
      </c>
      <c r="AP9" s="1193"/>
      <c r="AQ9" s="1193"/>
      <c r="AR9" s="1193"/>
      <c r="AS9" s="404"/>
      <c r="AT9" s="404"/>
      <c r="AU9" s="787"/>
      <c r="AV9" s="787"/>
      <c r="AW9" s="787"/>
      <c r="AX9" s="404"/>
      <c r="AY9" s="404"/>
    </row>
    <row r="10" spans="2:55" s="37" customFormat="1" ht="16.149999999999999" customHeight="1" thickBot="1" x14ac:dyDescent="0.25">
      <c r="B10" s="1011" t="str">
        <f>ListAVS!$B$74&amp;" KB [mm] "</f>
        <v xml:space="preserve">Szerokość korpusu KB [mm] </v>
      </c>
      <c r="C10" s="1012"/>
      <c r="D10" s="1012"/>
      <c r="E10" s="1012"/>
      <c r="F10" s="1012"/>
      <c r="G10" s="1012"/>
      <c r="H10" s="1013"/>
      <c r="I10" s="257"/>
      <c r="J10" s="256" t="str">
        <f>IF($I10=0," ",IF($I10&lt;220," min. 220mm",IF($I10&gt;1800," max. 1 800mm"," ")))&amp;IF(I17&gt;0,IF(I10=0,"● "&amp;ListAVS!$B$129," ")," ")</f>
        <v xml:space="preserve">  </v>
      </c>
      <c r="K10" s="255"/>
      <c r="L10" s="255"/>
      <c r="N10" s="198" t="s">
        <v>32</v>
      </c>
      <c r="O10" s="200" t="s">
        <v>119</v>
      </c>
      <c r="P10" s="200" t="s">
        <v>91</v>
      </c>
      <c r="Q10" s="119"/>
      <c r="R10" s="764" t="s">
        <v>93</v>
      </c>
      <c r="S10" s="764" t="s">
        <v>76</v>
      </c>
      <c r="T10" s="765" t="s">
        <v>94</v>
      </c>
      <c r="U10" s="765" t="s">
        <v>95</v>
      </c>
      <c r="V10" s="1214" t="b">
        <v>0</v>
      </c>
      <c r="W10" s="1215"/>
      <c r="X10" s="215"/>
      <c r="Y10" s="766"/>
      <c r="Z10" s="766"/>
      <c r="AA10" s="164" t="str">
        <f>CenAVS!A109</f>
        <v xml:space="preserve">Aventos HK-XS średni        </v>
      </c>
      <c r="AB10" s="164" t="str">
        <f>CenAVS!B109</f>
        <v>20K1301</v>
      </c>
      <c r="AC10" s="164" t="str">
        <f>CenAVS!C109</f>
        <v>NI</v>
      </c>
      <c r="AD10" s="165">
        <f t="shared" si="0"/>
        <v>0</v>
      </c>
      <c r="AE10" s="395">
        <f>CenAVS!F109</f>
        <v>32.283230000000003</v>
      </c>
      <c r="AF10" s="167">
        <f t="shared" ref="AF10:AF33" si="1">AD10*AE10</f>
        <v>0</v>
      </c>
      <c r="AG10" s="407">
        <f>IF($U$16=1,SUM($O$12:$P$12)*$M$17,0)</f>
        <v>0</v>
      </c>
      <c r="AH10" s="168">
        <f t="shared" ref="AH10:AH33" si="2">$AE10*AG10</f>
        <v>0</v>
      </c>
      <c r="AI10" s="407">
        <f>IF($U$27=1,SUM($O$23:$P$23)*$M$28,0)</f>
        <v>0</v>
      </c>
      <c r="AJ10" s="168">
        <f t="shared" ref="AJ10:AJ33" si="3">$AE10*AI10</f>
        <v>0</v>
      </c>
      <c r="AK10" s="108"/>
      <c r="AL10" s="108"/>
      <c r="AM10" s="383" t="str">
        <f>" "&amp;ListAVS!$B$158</f>
        <v xml:space="preserve"> Zamówienie</v>
      </c>
      <c r="AN10" s="137"/>
      <c r="AO10" s="137"/>
      <c r="AP10" s="1169" t="s">
        <v>120</v>
      </c>
      <c r="AQ10" s="1169"/>
      <c r="AR10" s="753" t="s">
        <v>121</v>
      </c>
      <c r="AS10" s="227"/>
      <c r="AT10" s="227"/>
      <c r="AU10" s="227"/>
      <c r="AV10" s="227"/>
      <c r="AW10" s="268"/>
      <c r="AX10" s="227"/>
      <c r="AY10" s="227"/>
    </row>
    <row r="11" spans="2:55" s="37" customFormat="1" ht="16.149999999999999" customHeight="1" x14ac:dyDescent="0.2">
      <c r="B11" s="1011" t="str">
        <f>ListAVS!$B$75&amp;" KH [mm]  "</f>
        <v xml:space="preserve">Wysokość korpusu KH [mm]  </v>
      </c>
      <c r="C11" s="1012"/>
      <c r="D11" s="1012"/>
      <c r="E11" s="1012"/>
      <c r="F11" s="1012"/>
      <c r="G11" s="1012"/>
      <c r="H11" s="1013"/>
      <c r="I11" s="257"/>
      <c r="J11" s="256" t="str">
        <f>IF($I11=0," ",IF($I11&lt;236," min. 236mm",IF($I11&gt;600," max. 600 mm"," ")))&amp;IF(I17&gt;0,IF(I11=0,"● "&amp;ListAVS!$B$129," ")," ")</f>
        <v xml:space="preserve">  </v>
      </c>
      <c r="K11" s="255"/>
      <c r="L11" s="255"/>
      <c r="N11" s="119" t="s">
        <v>122</v>
      </c>
      <c r="O11" s="132">
        <f>IF($V$10=FALSE,IF($I$16&gt;R11,IF($I$16&lt;S11,1,0),0),0)</f>
        <v>0</v>
      </c>
      <c r="P11" s="206">
        <f>IF($V$10=TRUE,IF($I$16&gt;V11,IF($I$16&lt;W11,2,0),0),0)</f>
        <v>0</v>
      </c>
      <c r="Q11" s="119"/>
      <c r="R11" s="767">
        <f>IF(U16=1,199.99,179.99)</f>
        <v>199.99</v>
      </c>
      <c r="S11" s="767">
        <f>IF(U16=1,750,650)</f>
        <v>750</v>
      </c>
      <c r="T11" s="768"/>
      <c r="U11" s="119"/>
      <c r="V11" s="767">
        <f>IF(U16=1,399.99,359.99)</f>
        <v>399.99</v>
      </c>
      <c r="W11" s="767">
        <f>IF(U16=1,1500,1300)</f>
        <v>1500</v>
      </c>
      <c r="X11" s="767"/>
      <c r="Y11" s="769">
        <f>IF(OR(I10&gt;1199,I16&gt;2699),4,IF(OR(I10&gt;899,I16&gt;1799),3,2))</f>
        <v>2</v>
      </c>
      <c r="Z11" s="767"/>
      <c r="AA11" s="164" t="str">
        <f>CenAVS!A110</f>
        <v xml:space="preserve">Aventos HK-XS mocny        </v>
      </c>
      <c r="AB11" s="164" t="str">
        <f>CenAVS!B110</f>
        <v>20K1501</v>
      </c>
      <c r="AC11" s="164" t="str">
        <f>CenAVS!C110</f>
        <v>NI</v>
      </c>
      <c r="AD11" s="165">
        <f t="shared" si="0"/>
        <v>0</v>
      </c>
      <c r="AE11" s="395">
        <f>CenAVS!F110</f>
        <v>32.283230000000003</v>
      </c>
      <c r="AF11" s="167">
        <f t="shared" si="1"/>
        <v>0</v>
      </c>
      <c r="AG11" s="407">
        <f>IF($U$16=1,SUM($O$13:$P$13)*$M$17,0)</f>
        <v>0</v>
      </c>
      <c r="AH11" s="168">
        <f t="shared" si="2"/>
        <v>0</v>
      </c>
      <c r="AI11" s="407">
        <f>IF($U$27=1,SUM($O$24:$P$24)*$M$28,0)</f>
        <v>0</v>
      </c>
      <c r="AJ11" s="168">
        <f t="shared" si="3"/>
        <v>0</v>
      </c>
      <c r="AK11" s="108"/>
      <c r="AL11" s="108"/>
      <c r="AM11" s="255"/>
      <c r="AN11" s="137"/>
      <c r="AO11" s="137"/>
      <c r="AP11" s="1169" t="s">
        <v>123</v>
      </c>
      <c r="AQ11" s="1169"/>
      <c r="AR11" s="753" t="s">
        <v>124</v>
      </c>
      <c r="AS11" s="227"/>
      <c r="AT11" s="227"/>
      <c r="AU11" s="227"/>
      <c r="AV11" s="227"/>
      <c r="AW11" s="268"/>
      <c r="AX11" s="227"/>
      <c r="AY11" s="227"/>
    </row>
    <row r="12" spans="2:55" s="37" customFormat="1" ht="16.149999999999999" customHeight="1" x14ac:dyDescent="0.2">
      <c r="B12" s="1011" t="str">
        <f>ListAVS!$B$78&amp;" [kg] ** "</f>
        <v xml:space="preserve">Waga frontu wraz z 2 uchwytami [kg] ** </v>
      </c>
      <c r="C12" s="1012"/>
      <c r="D12" s="1012"/>
      <c r="E12" s="1012"/>
      <c r="F12" s="1012"/>
      <c r="G12" s="1012"/>
      <c r="H12" s="1013"/>
      <c r="I12" s="258"/>
      <c r="J12" s="227" t="str">
        <f>IF($I17=0," ",IF(AND($I12=0, AG71=3, $J$4=0), $N$37, " "))&amp;IF($M17&gt;0,IF($I12&gt;0,$N$39," ")," ")</f>
        <v xml:space="preserve">  </v>
      </c>
      <c r="K12" s="255"/>
      <c r="L12" s="255"/>
      <c r="N12" s="119" t="s">
        <v>125</v>
      </c>
      <c r="O12" s="132">
        <f>IF($V$10=FALSE,IF($I$16&gt;R12,IF($I$16&lt;S12,1,0),0),0)</f>
        <v>0</v>
      </c>
      <c r="P12" s="132">
        <f>IF($V$10=TRUE,IF($I$16&gt;V12,IF($I$16&lt;W12,2,0),0),0)</f>
        <v>0</v>
      </c>
      <c r="Q12" s="119"/>
      <c r="R12" s="767">
        <f>IF(U16=1,749.99,649)</f>
        <v>749.99</v>
      </c>
      <c r="S12" s="767">
        <f>IF(U16=1,1150,1000)</f>
        <v>1150</v>
      </c>
      <c r="T12" s="768"/>
      <c r="U12" s="119"/>
      <c r="V12" s="767">
        <f>IF(U16=1,1499.99,1299.99)</f>
        <v>1499.99</v>
      </c>
      <c r="W12" s="767">
        <f>IF(U16=1,2300,2000)</f>
        <v>2300</v>
      </c>
      <c r="X12" s="767"/>
      <c r="Y12" s="767"/>
      <c r="Z12" s="767"/>
      <c r="AA12" s="164"/>
      <c r="AB12" s="164"/>
      <c r="AC12" s="164"/>
      <c r="AD12" s="165"/>
      <c r="AE12" s="395"/>
      <c r="AF12" s="167"/>
      <c r="AG12" s="407"/>
      <c r="AH12" s="168"/>
      <c r="AI12" s="407"/>
      <c r="AJ12" s="168"/>
      <c r="AK12" s="108"/>
      <c r="AL12" s="108"/>
      <c r="AM12" s="670"/>
      <c r="AN12" s="137"/>
      <c r="AO12" s="137"/>
      <c r="AP12" s="1169" t="s">
        <v>126</v>
      </c>
      <c r="AQ12" s="1169"/>
      <c r="AR12" s="753" t="s">
        <v>127</v>
      </c>
      <c r="AS12" s="227"/>
      <c r="AT12" s="227"/>
      <c r="AU12" s="227"/>
      <c r="AV12" s="227"/>
      <c r="AW12" s="268"/>
      <c r="AX12" s="227"/>
      <c r="AY12" s="227"/>
    </row>
    <row r="13" spans="2:55" s="37" customFormat="1" ht="16.149999999999999" customHeight="1" x14ac:dyDescent="0.2">
      <c r="B13" s="1055" t="str">
        <f>ListAVS!$B$293</f>
        <v>Obliczenie wagi</v>
      </c>
      <c r="C13" s="1055"/>
      <c r="D13" s="1222" t="str">
        <f>ListAVS!$B$80&amp;" TS [mm] "</f>
        <v xml:space="preserve">Grubość frontu TS [mm] </v>
      </c>
      <c r="E13" s="1153"/>
      <c r="F13" s="1153"/>
      <c r="G13" s="1153"/>
      <c r="H13" s="1154"/>
      <c r="I13" s="400"/>
      <c r="J13" s="227"/>
      <c r="K13" s="255"/>
      <c r="L13" s="255"/>
      <c r="N13" s="119" t="s">
        <v>128</v>
      </c>
      <c r="O13" s="132">
        <f>IF($V$10=FALSE,IF($I$16&gt;R13,IF($I$16&lt;S13,1,0),0),0)</f>
        <v>0</v>
      </c>
      <c r="P13" s="132">
        <f>IF($V$10=TRUE,IF($I$16&gt;V13,IF($I$16&lt;W13,2,0),0),0)</f>
        <v>0</v>
      </c>
      <c r="Q13" s="119"/>
      <c r="R13" s="767">
        <f>IF(U16=1,1149.99,999.99)</f>
        <v>1149.99</v>
      </c>
      <c r="S13" s="767">
        <f>IF(U16=1,1801,1601)</f>
        <v>1801</v>
      </c>
      <c r="T13" s="768"/>
      <c r="U13" s="119"/>
      <c r="V13" s="767">
        <f>IF(U16=1,2299.99,1999.99)</f>
        <v>2299.9899999999998</v>
      </c>
      <c r="W13" s="767">
        <f>IF(U16=1,3601,3201)</f>
        <v>3601</v>
      </c>
      <c r="X13" s="767"/>
      <c r="Y13" s="767"/>
      <c r="Z13" s="767"/>
      <c r="AA13" s="164"/>
      <c r="AB13" s="164"/>
      <c r="AC13" s="164"/>
      <c r="AD13" s="165"/>
      <c r="AE13" s="395"/>
      <c r="AF13" s="167"/>
      <c r="AG13" s="407"/>
      <c r="AH13" s="168"/>
      <c r="AI13" s="407"/>
      <c r="AJ13" s="168"/>
      <c r="AK13" s="108"/>
      <c r="AL13" s="108"/>
      <c r="AM13" s="670"/>
      <c r="AN13" s="137"/>
      <c r="AO13" s="137"/>
      <c r="AP13" s="268"/>
      <c r="AQ13" s="268"/>
      <c r="AR13" s="268"/>
      <c r="AS13" s="227"/>
      <c r="AT13" s="227"/>
      <c r="AU13" s="268"/>
      <c r="AV13" s="268"/>
      <c r="AW13" s="268"/>
      <c r="AX13" s="227"/>
      <c r="AY13" s="227"/>
    </row>
    <row r="14" spans="2:55" s="37" customFormat="1" ht="16.149999999999999" customHeight="1" x14ac:dyDescent="0.2">
      <c r="B14" s="1055"/>
      <c r="C14" s="1055"/>
      <c r="D14" s="1216" t="str">
        <f>ListAVS!$B$83&amp;" [kg] "</f>
        <v xml:space="preserve">Waga uchwytu [kg] </v>
      </c>
      <c r="E14" s="1053"/>
      <c r="F14" s="1053"/>
      <c r="G14" s="1053"/>
      <c r="H14" s="1054"/>
      <c r="I14" s="258"/>
      <c r="J14" s="256" t="str">
        <f>IF(I17=0, " ", IF(AND(I12=0, U16=1, I14=0), " ● "&amp;ListAVS!$B$130," "))</f>
        <v xml:space="preserve"> </v>
      </c>
      <c r="K14" s="255"/>
      <c r="L14" s="255"/>
      <c r="N14" s="119"/>
      <c r="O14" s="132"/>
      <c r="P14" s="132"/>
      <c r="Q14" s="119"/>
      <c r="R14" s="767"/>
      <c r="S14" s="767"/>
      <c r="T14" s="768"/>
      <c r="U14" s="119"/>
      <c r="V14" s="767"/>
      <c r="W14" s="767"/>
      <c r="X14" s="767"/>
      <c r="Y14" s="767"/>
      <c r="Z14" s="767"/>
      <c r="AA14" s="164"/>
      <c r="AB14" s="164"/>
      <c r="AC14" s="164"/>
      <c r="AD14" s="165"/>
      <c r="AE14" s="395"/>
      <c r="AF14" s="167"/>
      <c r="AG14" s="407"/>
      <c r="AH14" s="168"/>
      <c r="AI14" s="407"/>
      <c r="AJ14" s="168"/>
      <c r="AK14" s="108"/>
      <c r="AL14" s="108"/>
      <c r="AM14" s="670"/>
      <c r="AN14" s="137"/>
      <c r="AO14" s="137"/>
      <c r="AP14" s="1208" t="str">
        <f>"  "&amp;ListAVS!$B$86&amp;" LF "</f>
        <v xml:space="preserve">  Współczynnik mocy LF </v>
      </c>
      <c r="AQ14" s="1209"/>
      <c r="AR14" s="770" t="s">
        <v>107</v>
      </c>
      <c r="AS14" s="227"/>
      <c r="AU14" s="268"/>
      <c r="AV14" s="268"/>
      <c r="AW14" s="268"/>
      <c r="AX14" s="227"/>
      <c r="AY14" s="227"/>
    </row>
    <row r="15" spans="2:55" s="37" customFormat="1" ht="16.149999999999999" customHeight="1" x14ac:dyDescent="0.2">
      <c r="B15" s="1055"/>
      <c r="C15" s="1055"/>
      <c r="D15" s="1216" t="str">
        <f>ListAVS!$B$79&amp;" [kg] "</f>
        <v xml:space="preserve">Obliczona waga frontu [kg] </v>
      </c>
      <c r="E15" s="1053"/>
      <c r="F15" s="1053"/>
      <c r="G15" s="1053"/>
      <c r="H15" s="1054"/>
      <c r="I15" s="259">
        <f>$U$75</f>
        <v>0</v>
      </c>
      <c r="J15" s="227" t="str">
        <f>IF(AND($I17&gt;0,$I15&gt;0,$I12=0,$M17&gt;0), $N$39," ")&amp;IF(AND(I17&gt;0, I12=0, AB72=3, $J$4=0), $N$37, " ")</f>
        <v xml:space="preserve">  </v>
      </c>
      <c r="K15" s="255"/>
      <c r="L15" s="255"/>
      <c r="T15" s="119"/>
      <c r="U15" s="598" t="str">
        <f>IF(U16=1,$V$51,IF(U16=2,$V$52,$V$53))</f>
        <v>Standard</v>
      </c>
      <c r="X15" s="767"/>
      <c r="Y15" s="767"/>
      <c r="Z15" s="767"/>
      <c r="AA15" s="164" t="str">
        <f>CenAVS!A112</f>
        <v xml:space="preserve">Aventos HK-XS Tip-on słaby       </v>
      </c>
      <c r="AB15" s="164" t="str">
        <f>CenAVS!B112</f>
        <v>20K1101T</v>
      </c>
      <c r="AC15" s="164" t="str">
        <f>CenAVS!C112</f>
        <v>NI</v>
      </c>
      <c r="AD15" s="165">
        <f t="shared" si="0"/>
        <v>0</v>
      </c>
      <c r="AE15" s="395">
        <f>CenAVS!F112</f>
        <v>34.735590000000002</v>
      </c>
      <c r="AF15" s="167">
        <f t="shared" si="1"/>
        <v>0</v>
      </c>
      <c r="AG15" s="407">
        <f>IF($U$16=2,SUM($O$11:$P$11)*$M$17,0)</f>
        <v>0</v>
      </c>
      <c r="AH15" s="168">
        <f t="shared" si="2"/>
        <v>0</v>
      </c>
      <c r="AI15" s="407">
        <f>IF($U$27=2,SUM($O$22:$P$22)*$M$28,0)</f>
        <v>0</v>
      </c>
      <c r="AJ15" s="168">
        <f t="shared" si="3"/>
        <v>0</v>
      </c>
      <c r="AK15" s="108"/>
      <c r="AL15" s="108"/>
      <c r="AM15" s="670"/>
      <c r="AN15" s="137"/>
      <c r="AO15" s="137"/>
      <c r="AP15" s="1210"/>
      <c r="AQ15" s="1211"/>
      <c r="AR15" s="771" t="str">
        <f>ListAVS!$B$84</f>
        <v>Mechanizm podnoszący</v>
      </c>
      <c r="AS15" s="227"/>
      <c r="AU15" s="227"/>
      <c r="AV15" s="227"/>
      <c r="AW15" s="268"/>
      <c r="AX15" s="227"/>
      <c r="AY15" s="227"/>
    </row>
    <row r="16" spans="2:55" s="37" customFormat="1" ht="16.149999999999999" customHeight="1" thickBot="1" x14ac:dyDescent="0.25">
      <c r="B16" s="1011" t="str">
        <f>ListAVS!$B$88&amp;" *      "</f>
        <v xml:space="preserve">Drugi podnośnik *      </v>
      </c>
      <c r="C16" s="1012"/>
      <c r="D16" s="1013"/>
      <c r="E16" s="1011" t="str">
        <f>ListAVS!$B$86&amp;" LF "</f>
        <v xml:space="preserve">Współczynnik mocy LF </v>
      </c>
      <c r="F16" s="1012"/>
      <c r="G16" s="1012"/>
      <c r="H16" s="1013"/>
      <c r="I16" s="400">
        <f>IF(I12&gt;0,I11*I12,I11*I15)</f>
        <v>0</v>
      </c>
      <c r="J16" s="593" t="str">
        <f>IF(U16=1,IF($I16&gt;3600,$N$42,IF($I16&gt;1800.5,IF(V10=FALSE,$N$43," ")," ")),IF($I16&gt;3200,$N$42,IF($I16&gt;1600.5,IF(V10=FALSE,$N$43," ")," ")))</f>
        <v xml:space="preserve"> </v>
      </c>
      <c r="K16" s="255"/>
      <c r="L16" s="255"/>
      <c r="N16" s="119"/>
      <c r="O16" s="132"/>
      <c r="P16" s="132"/>
      <c r="Q16" s="119"/>
      <c r="R16" s="767"/>
      <c r="S16" s="767"/>
      <c r="T16" s="756"/>
      <c r="U16" s="207">
        <v>1</v>
      </c>
      <c r="V16" s="767"/>
      <c r="W16" s="767"/>
      <c r="X16" s="767"/>
      <c r="Y16" s="767"/>
      <c r="Z16" s="767"/>
      <c r="AA16" s="164" t="str">
        <f>CenAVS!A113</f>
        <v xml:space="preserve">Aventos HK-XS Tip-on średni       </v>
      </c>
      <c r="AB16" s="164" t="str">
        <f>CenAVS!B113</f>
        <v>20K1301T</v>
      </c>
      <c r="AC16" s="164" t="str">
        <f>CenAVS!C113</f>
        <v>NI</v>
      </c>
      <c r="AD16" s="165">
        <f t="shared" si="0"/>
        <v>0</v>
      </c>
      <c r="AE16" s="395">
        <f>CenAVS!F113</f>
        <v>34.735590000000002</v>
      </c>
      <c r="AF16" s="167">
        <f t="shared" si="1"/>
        <v>0</v>
      </c>
      <c r="AG16" s="407">
        <f>IF($U$16=2,SUM($O$12:$P$12)*$M$17,0)</f>
        <v>0</v>
      </c>
      <c r="AH16" s="168">
        <f t="shared" si="2"/>
        <v>0</v>
      </c>
      <c r="AI16" s="407">
        <f>IF($U$27=2,SUM($O$23:$P$23)*$M$28,0)</f>
        <v>0</v>
      </c>
      <c r="AJ16" s="168">
        <f t="shared" si="3"/>
        <v>0</v>
      </c>
      <c r="AK16" s="108"/>
      <c r="AL16" s="108"/>
      <c r="AM16" s="670"/>
      <c r="AN16" s="137"/>
      <c r="AO16" s="137"/>
      <c r="AP16" s="1212" t="s">
        <v>129</v>
      </c>
      <c r="AQ16" s="1213"/>
      <c r="AR16" s="753" t="s">
        <v>130</v>
      </c>
      <c r="AS16" s="227"/>
      <c r="AU16" s="787"/>
      <c r="AV16" s="787"/>
      <c r="AW16" s="788"/>
      <c r="AX16" s="227"/>
      <c r="AY16" s="227"/>
    </row>
    <row r="17" spans="1:51" s="37" customFormat="1" ht="16.149999999999999" customHeight="1" thickBot="1" x14ac:dyDescent="0.25">
      <c r="B17" s="1011" t="str">
        <f>ListAVS!$B$71&amp;" "</f>
        <v xml:space="preserve">Ilość szafek </v>
      </c>
      <c r="C17" s="1012"/>
      <c r="D17" s="1012"/>
      <c r="E17" s="1012"/>
      <c r="F17" s="1012"/>
      <c r="G17" s="1012"/>
      <c r="H17" s="1012"/>
      <c r="I17" s="261"/>
      <c r="J17" s="256"/>
      <c r="K17" s="255"/>
      <c r="L17" s="255"/>
      <c r="M17" s="315">
        <f>IF(OR($I10*$I11*$T17=0,$I11&lt;236,$I11&gt;600,SUM(O11:P14)=0),0,IF($I16&gt;1800,IF($V10=FALSE,0,$I17),$I17))</f>
        <v>0</v>
      </c>
      <c r="N17" s="130"/>
      <c r="O17" s="132"/>
      <c r="P17" s="132"/>
      <c r="Q17" s="119"/>
      <c r="R17" s="767"/>
      <c r="S17" s="690" t="s">
        <v>51</v>
      </c>
      <c r="T17" s="757">
        <f>IF(I12&gt;0,I12,I15)</f>
        <v>0</v>
      </c>
      <c r="U17" s="37">
        <f>IF(SUM(I12,I15)=0,0,IF(I12&gt;0,1,2))</f>
        <v>0</v>
      </c>
      <c r="V17" s="571" t="s">
        <v>52</v>
      </c>
      <c r="Y17" s="767"/>
      <c r="Z17" s="153"/>
      <c r="AA17" s="164" t="str">
        <f>CenAVS!A114</f>
        <v xml:space="preserve">Aventos HK-XS Tip-on mocny       </v>
      </c>
      <c r="AB17" s="164" t="str">
        <f>CenAVS!B114</f>
        <v>20K1501T</v>
      </c>
      <c r="AC17" s="164" t="str">
        <f>CenAVS!C114</f>
        <v>NI</v>
      </c>
      <c r="AD17" s="165">
        <f t="shared" si="0"/>
        <v>0</v>
      </c>
      <c r="AE17" s="395">
        <f>CenAVS!F114</f>
        <v>34.735590000000002</v>
      </c>
      <c r="AF17" s="167">
        <f t="shared" si="1"/>
        <v>0</v>
      </c>
      <c r="AG17" s="407">
        <f>IF($U$16=2,SUM($O$13:$P$13)*$M$17,0)</f>
        <v>0</v>
      </c>
      <c r="AH17" s="168">
        <f t="shared" si="2"/>
        <v>0</v>
      </c>
      <c r="AI17" s="407">
        <f>IF($U$27=2,SUM($O$24:$P$24)*$M$28,0)</f>
        <v>0</v>
      </c>
      <c r="AJ17" s="168">
        <f t="shared" si="3"/>
        <v>0</v>
      </c>
      <c r="AK17" s="108"/>
      <c r="AL17" s="108"/>
      <c r="AM17" s="255"/>
      <c r="AN17" s="137"/>
      <c r="AO17" s="137"/>
      <c r="AP17" s="1212" t="s">
        <v>131</v>
      </c>
      <c r="AQ17" s="1213"/>
      <c r="AR17" s="753" t="s">
        <v>132</v>
      </c>
      <c r="AS17" s="227"/>
      <c r="AU17" s="787"/>
      <c r="AV17" s="787"/>
      <c r="AW17" s="788"/>
      <c r="AX17" s="227"/>
      <c r="AY17" s="227"/>
    </row>
    <row r="18" spans="1:51" s="37" customFormat="1" ht="16.149999999999999" customHeight="1" x14ac:dyDescent="0.2">
      <c r="B18" s="255" t="str">
        <f>IF(M17&gt;0,IF(U17=0," ",IF(U17=1,$N$54,$N$55))," ")&amp;IF(M17&gt;0,IF(U17=0," ",IF(U17=1,$N$56,$N$57))," ")</f>
        <v xml:space="preserve">  </v>
      </c>
      <c r="C18" s="255"/>
      <c r="D18" s="255"/>
      <c r="E18" s="255"/>
      <c r="F18" s="255"/>
      <c r="G18" s="433"/>
      <c r="H18" s="433"/>
      <c r="I18" s="255"/>
      <c r="J18" s="255"/>
      <c r="K18" s="255"/>
      <c r="L18" s="255"/>
      <c r="M18" s="118"/>
      <c r="N18" s="119"/>
      <c r="O18" s="132"/>
      <c r="P18" s="132"/>
      <c r="Q18" s="119"/>
      <c r="R18" s="767"/>
      <c r="S18" s="767"/>
      <c r="T18" s="119"/>
      <c r="U18" s="151"/>
      <c r="V18" s="767"/>
      <c r="W18" s="767"/>
      <c r="X18" s="767"/>
      <c r="Y18" s="767"/>
      <c r="Z18" s="767"/>
      <c r="AA18" s="164"/>
      <c r="AB18" s="164"/>
      <c r="AC18" s="164"/>
      <c r="AD18" s="165"/>
      <c r="AE18" s="395"/>
      <c r="AF18" s="167"/>
      <c r="AG18" s="407"/>
      <c r="AH18" s="168"/>
      <c r="AI18" s="407"/>
      <c r="AJ18" s="168"/>
      <c r="AK18" s="108"/>
      <c r="AL18" s="108"/>
      <c r="AM18" s="255"/>
      <c r="AN18" s="137"/>
      <c r="AO18" s="137"/>
      <c r="AP18" s="1169" t="s">
        <v>133</v>
      </c>
      <c r="AQ18" s="1169"/>
      <c r="AR18" s="753" t="s">
        <v>134</v>
      </c>
      <c r="AS18" s="227"/>
      <c r="AU18" s="227"/>
      <c r="AV18" s="227"/>
      <c r="AW18" s="268"/>
      <c r="AX18" s="227"/>
      <c r="AY18" s="227"/>
    </row>
    <row r="19" spans="1:51" s="37" customFormat="1" ht="25.15" customHeight="1" thickBot="1" x14ac:dyDescent="0.25">
      <c r="B19" s="255"/>
      <c r="C19" s="255"/>
      <c r="D19" s="255"/>
      <c r="E19" s="255"/>
      <c r="F19" s="255"/>
      <c r="G19" s="433"/>
      <c r="H19" s="433"/>
      <c r="I19" s="255"/>
      <c r="J19" s="255"/>
      <c r="K19" s="255"/>
      <c r="L19" s="255"/>
      <c r="M19" s="118"/>
      <c r="N19" s="119"/>
      <c r="O19" s="132"/>
      <c r="P19" s="132"/>
      <c r="Q19" s="119"/>
      <c r="R19" s="767"/>
      <c r="S19" s="767"/>
      <c r="T19" s="119"/>
      <c r="U19" s="151"/>
      <c r="V19" s="767"/>
      <c r="W19" s="767"/>
      <c r="X19" s="767"/>
      <c r="Y19" s="767"/>
      <c r="Z19" s="767"/>
      <c r="AA19" s="164" t="str">
        <f>CenAVS!A116</f>
        <v xml:space="preserve">czop boczny do korpusu HK-XS wkręt     </v>
      </c>
      <c r="AB19" s="164" t="str">
        <f>CenAVS!B116</f>
        <v>20K5101</v>
      </c>
      <c r="AC19" s="164" t="str">
        <f>CenAVS!C116</f>
        <v>NI</v>
      </c>
      <c r="AD19" s="165">
        <f t="shared" si="0"/>
        <v>0</v>
      </c>
      <c r="AE19" s="395">
        <f>CenAVS!F116</f>
        <v>2.0432700000000001</v>
      </c>
      <c r="AF19" s="167">
        <f t="shared" si="1"/>
        <v>0</v>
      </c>
      <c r="AG19" s="407">
        <f>IF($P$49=2,SUM(AG$9:AG$17),0)</f>
        <v>0</v>
      </c>
      <c r="AH19" s="168">
        <f t="shared" si="2"/>
        <v>0</v>
      </c>
      <c r="AI19" s="407">
        <f>IF($P$49=2,SUM(AI$9:AI$17),0)</f>
        <v>0</v>
      </c>
      <c r="AJ19" s="168">
        <f t="shared" si="3"/>
        <v>0</v>
      </c>
      <c r="AK19" s="108"/>
      <c r="AL19" s="108"/>
      <c r="AM19" s="692"/>
      <c r="AN19" s="137"/>
      <c r="AO19" s="137"/>
      <c r="AS19" s="227"/>
      <c r="AT19" s="227"/>
      <c r="AU19" s="227"/>
      <c r="AV19" s="227"/>
      <c r="AW19" s="268"/>
      <c r="AX19" s="227"/>
      <c r="AY19" s="227"/>
    </row>
    <row r="20" spans="1:51" s="37" customFormat="1" ht="16.149999999999999" customHeight="1" thickBot="1" x14ac:dyDescent="0.25">
      <c r="B20" s="1051" t="str">
        <f>"▼ "&amp;ListAVS!$B$318</f>
        <v>▼ Sposób otwierania</v>
      </c>
      <c r="C20" s="1052"/>
      <c r="D20" s="406" t="str">
        <f>IF($M$28&gt;0, ListAVS!$B$37&amp;": ", " ")</f>
        <v xml:space="preserve"> </v>
      </c>
      <c r="E20" s="688" t="str">
        <f>IF($AI$9&gt;0,"11",IF($AI$10&gt;0,"13",IF($AI$11&gt;0,"15",IF($AI$15&gt;0,"11T",IF($AI$16&gt;0,"13T", IF($AI$17&gt;0, "15T", " "))))))</f>
        <v xml:space="preserve"> </v>
      </c>
      <c r="F20" s="1056" t="str">
        <f>ListAVS!$B$64&amp;" B"</f>
        <v>Korpus B</v>
      </c>
      <c r="G20" s="1057"/>
      <c r="H20" s="1057"/>
      <c r="I20" s="1058"/>
      <c r="J20" s="256"/>
      <c r="K20" s="255"/>
      <c r="L20" s="255"/>
      <c r="N20" s="119"/>
      <c r="O20" s="132"/>
      <c r="P20" s="119"/>
      <c r="Q20" s="132"/>
      <c r="R20" s="1205" t="s">
        <v>118</v>
      </c>
      <c r="S20" s="1206"/>
      <c r="T20" s="762"/>
      <c r="U20" s="763"/>
      <c r="V20" s="1205" t="s">
        <v>89</v>
      </c>
      <c r="W20" s="1206"/>
      <c r="X20" s="136"/>
      <c r="Y20" s="213" t="s">
        <v>26</v>
      </c>
      <c r="Z20" s="214"/>
      <c r="AA20" s="164" t="str">
        <f>CenAVS!A117</f>
        <v xml:space="preserve">czop boczny do korpusu HK-XS Exp     </v>
      </c>
      <c r="AB20" s="164" t="str">
        <f>CenAVS!B117</f>
        <v>20K51E1</v>
      </c>
      <c r="AC20" s="164" t="str">
        <f>CenAVS!C117</f>
        <v>NI</v>
      </c>
      <c r="AD20" s="165">
        <f t="shared" si="0"/>
        <v>0</v>
      </c>
      <c r="AE20" s="395">
        <f>CenAVS!F117</f>
        <v>2.7593999999999999</v>
      </c>
      <c r="AF20" s="167">
        <f t="shared" si="1"/>
        <v>0</v>
      </c>
      <c r="AG20" s="407">
        <f>IF($P$49=1,SUM(AG$9:AG$17),0)</f>
        <v>0</v>
      </c>
      <c r="AH20" s="168">
        <f t="shared" si="2"/>
        <v>0</v>
      </c>
      <c r="AI20" s="407">
        <f>IF($P$49=1,SUM(AI$9:AI$17),0)</f>
        <v>0</v>
      </c>
      <c r="AJ20" s="168">
        <f t="shared" si="3"/>
        <v>0</v>
      </c>
      <c r="AK20" s="108"/>
      <c r="AL20" s="108"/>
      <c r="AM20" s="255"/>
      <c r="AN20" s="137"/>
      <c r="AO20" s="137"/>
      <c r="AP20" s="1101" t="str">
        <f>ListAVS!$B$86&amp;" LF = "&amp;ListAVS!$B$75&amp;" KH [mm] x "&amp;ListAVS!$B$78&amp;" [kg]"</f>
        <v>Współczynnik mocy LF = Wysokość korpusu KH [mm] x Waga frontu wraz z 2 uchwytami [kg]</v>
      </c>
      <c r="AQ20" s="1101"/>
      <c r="AR20" s="1101"/>
      <c r="AS20" s="1101"/>
      <c r="AT20" s="1101"/>
      <c r="AU20" s="227"/>
      <c r="AV20" s="227"/>
      <c r="AW20" s="268"/>
      <c r="AX20" s="227"/>
      <c r="AY20" s="227"/>
    </row>
    <row r="21" spans="1:51" s="37" customFormat="1" ht="16.149999999999999" customHeight="1" x14ac:dyDescent="0.2">
      <c r="B21" s="1011" t="str">
        <f>ListAVS!$B$74&amp;" KB [mm] "</f>
        <v xml:space="preserve">Szerokość korpusu KB [mm] </v>
      </c>
      <c r="C21" s="1012"/>
      <c r="D21" s="1012"/>
      <c r="E21" s="1012"/>
      <c r="F21" s="1012"/>
      <c r="G21" s="1012"/>
      <c r="H21" s="1013"/>
      <c r="I21" s="257"/>
      <c r="J21" s="256" t="str">
        <f>IF($I21=0," ",IF($I21&lt;220," min. 220mm",IF($I21&gt;1800," max. 1 800mm"," ")))&amp;IF(I28&gt;0,IF(I21=0,"● "&amp;ListAVS!$B$129," ")," ")</f>
        <v xml:space="preserve">  </v>
      </c>
      <c r="K21" s="255"/>
      <c r="L21" s="255"/>
      <c r="N21" s="198" t="s">
        <v>53</v>
      </c>
      <c r="O21" s="200" t="s">
        <v>119</v>
      </c>
      <c r="P21" s="200" t="s">
        <v>91</v>
      </c>
      <c r="Q21" s="119"/>
      <c r="R21" s="764" t="s">
        <v>93</v>
      </c>
      <c r="S21" s="764" t="s">
        <v>76</v>
      </c>
      <c r="T21" s="765" t="s">
        <v>94</v>
      </c>
      <c r="U21" s="765" t="s">
        <v>95</v>
      </c>
      <c r="V21" s="1214" t="b">
        <v>0</v>
      </c>
      <c r="W21" s="1215"/>
      <c r="X21" s="215"/>
      <c r="Y21" s="766"/>
      <c r="Z21" s="766"/>
      <c r="AA21" s="164"/>
      <c r="AB21" s="164"/>
      <c r="AC21" s="164"/>
      <c r="AD21" s="165"/>
      <c r="AE21" s="395"/>
      <c r="AF21" s="167"/>
      <c r="AG21" s="407"/>
      <c r="AH21" s="168"/>
      <c r="AI21" s="407"/>
      <c r="AJ21" s="168"/>
      <c r="AK21" s="108"/>
      <c r="AL21" s="108"/>
      <c r="AM21" s="255"/>
      <c r="AN21" s="137"/>
      <c r="AO21" s="137"/>
      <c r="AP21" s="1101"/>
      <c r="AQ21" s="1101"/>
      <c r="AR21" s="1101"/>
      <c r="AS21" s="1101"/>
      <c r="AT21" s="1101"/>
      <c r="AU21" s="227"/>
      <c r="AV21" s="227"/>
      <c r="AW21" s="227"/>
      <c r="AX21" s="227"/>
      <c r="AY21" s="227"/>
    </row>
    <row r="22" spans="1:51" s="37" customFormat="1" ht="16.149999999999999" customHeight="1" x14ac:dyDescent="0.2">
      <c r="B22" s="1011" t="str">
        <f>ListAVS!$B$75&amp;" KH [mm] "</f>
        <v xml:space="preserve">Wysokość korpusu KH [mm] </v>
      </c>
      <c r="C22" s="1012"/>
      <c r="D22" s="1012"/>
      <c r="E22" s="1012"/>
      <c r="F22" s="1012"/>
      <c r="G22" s="1012"/>
      <c r="H22" s="1013"/>
      <c r="I22" s="257"/>
      <c r="J22" s="256" t="str">
        <f>IF($I22=0," ",IF($I22&lt;236," min. 236mm",IF($I22&gt;600," max. 600 mm"," ")))&amp;IF(I28&gt;0,IF(I22=0,"● "&amp;ListAVS!$B$129," ")," ")</f>
        <v xml:space="preserve">  </v>
      </c>
      <c r="K22" s="255"/>
      <c r="L22" s="255"/>
      <c r="N22" s="119" t="s">
        <v>122</v>
      </c>
      <c r="O22" s="132">
        <f>IF($V$21=FALSE,IF($I$27&gt;R22,IF($I$27&lt;S22,1,0),0),0)</f>
        <v>0</v>
      </c>
      <c r="P22" s="206">
        <f>IF($V$21=TRUE,IF($I$27&gt;V22,IF($I$27&lt;W22,2,0),0),0)</f>
        <v>0</v>
      </c>
      <c r="Q22" s="119"/>
      <c r="R22" s="767">
        <f>IF(U27=1,199.99,179.99)</f>
        <v>199.99</v>
      </c>
      <c r="S22" s="767">
        <f>IF(U27=1,750,650)</f>
        <v>750</v>
      </c>
      <c r="T22" s="768"/>
      <c r="U22" s="119"/>
      <c r="V22" s="767">
        <f>IF(U27=1, 399.99, 359.99)</f>
        <v>399.99</v>
      </c>
      <c r="W22" s="767">
        <f>IF(U27=1,1500,1300)</f>
        <v>1500</v>
      </c>
      <c r="X22" s="767"/>
      <c r="Y22" s="769">
        <f>IF(OR(I21&gt;1199,I27&gt;2699),4,IF(OR(I21&gt;899,I27&gt;1799),3,2))</f>
        <v>2</v>
      </c>
      <c r="Z22" s="767"/>
      <c r="AA22" s="164" t="str">
        <f>CenAVS!A119</f>
        <v xml:space="preserve">mocowanie frontu HK-XS wkręt       </v>
      </c>
      <c r="AB22" s="164" t="str">
        <f>CenAVS!B119</f>
        <v>20K4101</v>
      </c>
      <c r="AC22" s="164" t="str">
        <f>CenAVS!C119</f>
        <v>NI</v>
      </c>
      <c r="AD22" s="165">
        <f t="shared" si="0"/>
        <v>0</v>
      </c>
      <c r="AE22" s="395">
        <f>CenAVS!F119</f>
        <v>1.38934</v>
      </c>
      <c r="AF22" s="167">
        <f t="shared" si="1"/>
        <v>0</v>
      </c>
      <c r="AG22" s="407"/>
      <c r="AH22" s="168">
        <f t="shared" si="2"/>
        <v>0</v>
      </c>
      <c r="AI22" s="407"/>
      <c r="AJ22" s="168">
        <f t="shared" si="3"/>
        <v>0</v>
      </c>
      <c r="AK22" s="108"/>
      <c r="AL22" s="108"/>
      <c r="AM22" s="255"/>
      <c r="AN22" s="137"/>
      <c r="AO22" s="137"/>
      <c r="AU22" s="787"/>
      <c r="AV22" s="787"/>
      <c r="AW22" s="787"/>
      <c r="AX22" s="787"/>
      <c r="AY22" s="787"/>
    </row>
    <row r="23" spans="1:51" s="37" customFormat="1" ht="16.149999999999999" customHeight="1" x14ac:dyDescent="0.2">
      <c r="B23" s="1011" t="str">
        <f>ListAVS!$B$78&amp;" [kg] ** "</f>
        <v xml:space="preserve">Waga frontu wraz z 2 uchwytami [kg] ** </v>
      </c>
      <c r="C23" s="1012"/>
      <c r="D23" s="1012"/>
      <c r="E23" s="1012"/>
      <c r="F23" s="1012"/>
      <c r="G23" s="1012"/>
      <c r="H23" s="1013"/>
      <c r="I23" s="258"/>
      <c r="J23" s="227" t="str">
        <f>IF($I28=0," ",IF(AND($I23=0, AG80=3, $J$4=0), $N$37, " "))&amp;IF($M28&gt;0,IF($I23&gt;0,$N$39," ")," ")</f>
        <v xml:space="preserve">  </v>
      </c>
      <c r="K23" s="255"/>
      <c r="L23" s="255"/>
      <c r="N23" s="119" t="s">
        <v>125</v>
      </c>
      <c r="O23" s="132">
        <f>IF($V$21=FALSE,IF($I$27&gt;R23,IF($I$27&lt;S23,1,0),0),0)</f>
        <v>0</v>
      </c>
      <c r="P23" s="132">
        <f>IF($V$21=TRUE,IF($I$27&gt;V23,IF($I$27&lt;W23,2,0),0),0)</f>
        <v>0</v>
      </c>
      <c r="Q23" s="119"/>
      <c r="R23" s="767">
        <f>IF(U27=1,749.99, 649.99)</f>
        <v>749.99</v>
      </c>
      <c r="S23" s="767">
        <f>IF(U27=1,1150,1000)</f>
        <v>1150</v>
      </c>
      <c r="T23" s="768"/>
      <c r="U23" s="119"/>
      <c r="V23" s="767">
        <f>IF(U27=1,1499.99,1299.99)</f>
        <v>1499.99</v>
      </c>
      <c r="W23" s="767">
        <f>IF(U27=1,2300,2000)</f>
        <v>2300</v>
      </c>
      <c r="X23" s="767"/>
      <c r="Y23" s="767"/>
      <c r="Z23" s="767"/>
      <c r="AA23" s="164" t="str">
        <f>CenAVS!A120</f>
        <v xml:space="preserve">mocowanie frontu HK-XS Expando       </v>
      </c>
      <c r="AB23" s="164" t="str">
        <f>CenAVS!B120</f>
        <v>20K41E1</v>
      </c>
      <c r="AC23" s="164" t="str">
        <f>CenAVS!C120</f>
        <v>NI</v>
      </c>
      <c r="AD23" s="165">
        <f t="shared" si="0"/>
        <v>0</v>
      </c>
      <c r="AE23" s="395">
        <f>CenAVS!F120</f>
        <v>2.10547</v>
      </c>
      <c r="AF23" s="167">
        <f t="shared" si="1"/>
        <v>0</v>
      </c>
      <c r="AG23" s="407"/>
      <c r="AH23" s="168">
        <f t="shared" si="2"/>
        <v>0</v>
      </c>
      <c r="AI23" s="407"/>
      <c r="AJ23" s="168">
        <f t="shared" si="3"/>
        <v>0</v>
      </c>
      <c r="AK23" s="108"/>
      <c r="AL23" s="108"/>
      <c r="AM23" s="255"/>
      <c r="AN23" s="137"/>
      <c r="AO23" s="137"/>
      <c r="AP23" s="1101" t="str">
        <f>ListAVS!$B$354</f>
        <v>W razie wykorzystania trzeciego siłownika współczynnik mocy oraz waga frontu mogą się zwiększyć o 50 %.</v>
      </c>
      <c r="AQ23" s="1101"/>
      <c r="AR23" s="1101"/>
      <c r="AS23" s="1101"/>
      <c r="AT23" s="1101"/>
      <c r="AU23" s="787"/>
      <c r="AV23" s="787"/>
      <c r="AW23" s="787"/>
      <c r="AX23" s="787"/>
      <c r="AY23" s="787"/>
    </row>
    <row r="24" spans="1:51" s="37" customFormat="1" ht="16.149999999999999" customHeight="1" x14ac:dyDescent="0.2">
      <c r="B24" s="1055" t="str">
        <f>ListAVS!$B$293</f>
        <v>Obliczenie wagi</v>
      </c>
      <c r="C24" s="1055"/>
      <c r="D24" s="1222" t="str">
        <f>ListAVS!$B$80&amp;" TS [mm] "</f>
        <v xml:space="preserve">Grubość frontu TS [mm] </v>
      </c>
      <c r="E24" s="1153"/>
      <c r="F24" s="1153"/>
      <c r="G24" s="1153"/>
      <c r="H24" s="1154"/>
      <c r="I24" s="400"/>
      <c r="J24" s="227"/>
      <c r="K24" s="255"/>
      <c r="L24" s="255"/>
      <c r="N24" s="119" t="s">
        <v>128</v>
      </c>
      <c r="O24" s="132">
        <f>IF($V$21=FALSE,IF($I$27&gt;R24,IF($I$27&lt;S24,1,0),0),0)</f>
        <v>0</v>
      </c>
      <c r="P24" s="132">
        <f>IF($V$21=TRUE,IF($I$27&gt;V24,IF($I$27&lt;W24,2,0),0),0)</f>
        <v>0</v>
      </c>
      <c r="Q24" s="119"/>
      <c r="R24" s="767">
        <f>IF(U27=1,1149.99, 999.99)</f>
        <v>1149.99</v>
      </c>
      <c r="S24" s="767">
        <f>IF(U27=1,1801,1601)</f>
        <v>1801</v>
      </c>
      <c r="T24" s="768"/>
      <c r="U24" s="119"/>
      <c r="V24" s="767">
        <f>IF(U27=1,2299.99, 1999.99)</f>
        <v>2299.9899999999998</v>
      </c>
      <c r="W24" s="767">
        <f>IF(U27=1,3601,3201)</f>
        <v>3601</v>
      </c>
      <c r="X24" s="767"/>
      <c r="Y24" s="767"/>
      <c r="Z24" s="767"/>
      <c r="AA24" s="164"/>
      <c r="AB24" s="164"/>
      <c r="AC24" s="164"/>
      <c r="AD24" s="165"/>
      <c r="AE24" s="395"/>
      <c r="AF24" s="167"/>
      <c r="AG24" s="407"/>
      <c r="AH24" s="168"/>
      <c r="AI24" s="407"/>
      <c r="AJ24" s="168"/>
      <c r="AK24" s="108"/>
      <c r="AL24" s="108"/>
      <c r="AM24" s="255"/>
      <c r="AN24" s="137"/>
      <c r="AO24" s="137"/>
      <c r="AP24" s="1101"/>
      <c r="AQ24" s="1101"/>
      <c r="AR24" s="1101"/>
      <c r="AS24" s="1101"/>
      <c r="AT24" s="1101"/>
      <c r="AU24" s="772"/>
      <c r="AV24" s="772"/>
      <c r="AW24" s="772"/>
      <c r="AX24" s="772"/>
      <c r="AY24" s="772"/>
    </row>
    <row r="25" spans="1:51" s="37" customFormat="1" ht="16.149999999999999" customHeight="1" x14ac:dyDescent="0.2">
      <c r="B25" s="1055"/>
      <c r="C25" s="1055"/>
      <c r="D25" s="1216" t="str">
        <f>ListAVS!$B$83&amp;" [kg] "</f>
        <v xml:space="preserve">Waga uchwytu [kg] </v>
      </c>
      <c r="E25" s="1053"/>
      <c r="F25" s="1053"/>
      <c r="G25" s="1053"/>
      <c r="H25" s="1054"/>
      <c r="I25" s="258"/>
      <c r="J25" s="256" t="str">
        <f>IF(I28=0, " ", IF(AND(I23=0, U27=1, I25=0), " ● "&amp;ListAVS!$B$130," "))</f>
        <v xml:space="preserve"> </v>
      </c>
      <c r="K25" s="255"/>
      <c r="L25" s="255"/>
      <c r="N25" s="119"/>
      <c r="O25" s="132"/>
      <c r="P25" s="132"/>
      <c r="Q25" s="119"/>
      <c r="R25" s="767"/>
      <c r="S25" s="767"/>
      <c r="T25" s="768"/>
      <c r="U25" s="119"/>
      <c r="V25" s="767"/>
      <c r="W25" s="767"/>
      <c r="X25" s="767"/>
      <c r="Y25" s="767"/>
      <c r="Z25" s="767"/>
      <c r="AA25" s="164"/>
      <c r="AB25" s="164"/>
      <c r="AC25" s="164"/>
      <c r="AD25" s="165"/>
      <c r="AE25" s="395"/>
      <c r="AF25" s="167"/>
      <c r="AG25" s="407"/>
      <c r="AH25" s="168"/>
      <c r="AI25" s="407"/>
      <c r="AJ25" s="168"/>
      <c r="AK25" s="108"/>
      <c r="AL25" s="108"/>
      <c r="AM25" s="255"/>
      <c r="AN25" s="137"/>
      <c r="AO25" s="137"/>
      <c r="AP25" s="137"/>
      <c r="AU25" s="772"/>
      <c r="AV25" s="772"/>
      <c r="AW25" s="772"/>
      <c r="AX25" s="772"/>
      <c r="AY25" s="772"/>
    </row>
    <row r="26" spans="1:51" s="37" customFormat="1" ht="16.149999999999999" customHeight="1" x14ac:dyDescent="0.2">
      <c r="B26" s="1055"/>
      <c r="C26" s="1055"/>
      <c r="D26" s="1216" t="str">
        <f>ListAVS!$B$79&amp;" [kg] "</f>
        <v xml:space="preserve">Obliczona waga frontu [kg] </v>
      </c>
      <c r="E26" s="1053"/>
      <c r="F26" s="1053"/>
      <c r="G26" s="1053"/>
      <c r="H26" s="1054"/>
      <c r="I26" s="259">
        <f>$U$84</f>
        <v>0</v>
      </c>
      <c r="J26" s="227" t="str">
        <f>IF(AND($I28&gt;0,$I26&gt;0,$I23=0,$M28&gt;0), $N$39," ")&amp;IF(AND(I28&gt;0, I23=0, AB72=3, $J$4=0), $N$37, " ")</f>
        <v xml:space="preserve">  </v>
      </c>
      <c r="K26" s="255"/>
      <c r="L26" s="255"/>
      <c r="T26" s="119"/>
      <c r="U26" s="598" t="str">
        <f>IF(U27=1,$V$51,IF(U27=2,$V$52,$V$53))</f>
        <v>Standard</v>
      </c>
      <c r="X26" s="767"/>
      <c r="Y26" s="767"/>
      <c r="Z26" s="767"/>
      <c r="AA26" s="164" t="str">
        <f>CenAVS!A121</f>
        <v xml:space="preserve">mocowanie frontu HK-XS alu ramka      </v>
      </c>
      <c r="AB26" s="164" t="str">
        <f>CenAVS!B121</f>
        <v>20K4101A</v>
      </c>
      <c r="AC26" s="164" t="str">
        <f>CenAVS!C121</f>
        <v>NI</v>
      </c>
      <c r="AD26" s="165">
        <f t="shared" si="0"/>
        <v>0</v>
      </c>
      <c r="AE26" s="395">
        <f>CenAVS!F121</f>
        <v>10.277819999999998</v>
      </c>
      <c r="AF26" s="167">
        <f t="shared" si="1"/>
        <v>0</v>
      </c>
      <c r="AG26" s="407">
        <f>SUM(AG$9:AG$17)</f>
        <v>0</v>
      </c>
      <c r="AH26" s="168">
        <f t="shared" si="2"/>
        <v>0</v>
      </c>
      <c r="AI26" s="407">
        <f>SUM(AI$9:AI$17)</f>
        <v>0</v>
      </c>
      <c r="AJ26" s="168">
        <f t="shared" si="3"/>
        <v>0</v>
      </c>
      <c r="AK26" s="108"/>
      <c r="AL26" s="108"/>
      <c r="AM26" s="255"/>
      <c r="AN26" s="137"/>
      <c r="AO26" s="137"/>
      <c r="AP26" s="137"/>
      <c r="AU26" s="787"/>
      <c r="AV26" s="787"/>
      <c r="AW26" s="787"/>
      <c r="AX26" s="787"/>
      <c r="AY26" s="787"/>
    </row>
    <row r="27" spans="1:51" s="37" customFormat="1" ht="16.149999999999999" customHeight="1" thickBot="1" x14ac:dyDescent="0.25">
      <c r="B27" s="1011" t="str">
        <f>ListAVS!$B$88&amp;" *      "</f>
        <v xml:space="preserve">Drugi podnośnik *      </v>
      </c>
      <c r="C27" s="1012"/>
      <c r="D27" s="1013"/>
      <c r="E27" s="1011" t="str">
        <f>ListAVS!$B$86&amp;" LF "</f>
        <v xml:space="preserve">Współczynnik mocy LF </v>
      </c>
      <c r="F27" s="1012"/>
      <c r="G27" s="1012"/>
      <c r="H27" s="1013"/>
      <c r="I27" s="400">
        <f>IF(I23&gt;0,I22*I23,I22*I26)</f>
        <v>0</v>
      </c>
      <c r="J27" s="593" t="str">
        <f>IF(U27=1,IF($I27&gt;3600,$N$42,IF($I27&gt;1800.5,IF(V21=FALSE,$N$43," ")," ")),IF($I27&gt;3200,$N$42,IF($I27&gt;1600.5,IF(V21=FALSE,$N$43," ")," ")))</f>
        <v xml:space="preserve"> </v>
      </c>
      <c r="K27" s="248"/>
      <c r="L27" s="255"/>
      <c r="M27" s="118"/>
      <c r="N27" s="119"/>
      <c r="O27" s="132"/>
      <c r="P27" s="132"/>
      <c r="Q27" s="119"/>
      <c r="R27" s="767"/>
      <c r="S27" s="767"/>
      <c r="T27" s="756"/>
      <c r="U27" s="207">
        <v>1</v>
      </c>
      <c r="V27" s="767"/>
      <c r="W27" s="767"/>
      <c r="X27" s="767"/>
      <c r="Y27" s="767"/>
      <c r="Z27" s="767"/>
      <c r="AA27" s="164"/>
      <c r="AB27" s="164"/>
      <c r="AC27" s="164"/>
      <c r="AD27" s="165"/>
      <c r="AE27" s="395"/>
      <c r="AF27" s="167"/>
      <c r="AG27" s="407"/>
      <c r="AH27" s="168"/>
      <c r="AI27" s="407"/>
      <c r="AJ27" s="168"/>
      <c r="AK27" s="108"/>
      <c r="AL27" s="108"/>
      <c r="AM27" s="255"/>
      <c r="AU27" s="787"/>
      <c r="AV27" s="787"/>
      <c r="AW27" s="787"/>
      <c r="AX27" s="787"/>
      <c r="AY27" s="787"/>
    </row>
    <row r="28" spans="1:51" ht="16.149999999999999" customHeight="1" thickBot="1" x14ac:dyDescent="0.25">
      <c r="B28" s="1011" t="str">
        <f>ListAVS!$B$71&amp;" "</f>
        <v xml:space="preserve">Ilość szafek </v>
      </c>
      <c r="C28" s="1012"/>
      <c r="D28" s="1012"/>
      <c r="E28" s="1012"/>
      <c r="F28" s="1012"/>
      <c r="G28" s="1012"/>
      <c r="H28" s="1012"/>
      <c r="I28" s="261"/>
      <c r="J28" s="256"/>
      <c r="K28" s="445"/>
      <c r="L28" s="265"/>
      <c r="M28" s="315">
        <f>IF(OR($I21*$I22*$T28=0,$I22&lt;236,$I22&gt;600,SUM(O22:P25)=0),0,IF($I27&gt;1800,IF($V21=FALSE,0,$I28),$I28))</f>
        <v>0</v>
      </c>
      <c r="N28" s="39"/>
      <c r="O28" s="39"/>
      <c r="P28" s="39"/>
      <c r="Q28" s="39"/>
      <c r="R28" s="137"/>
      <c r="S28" s="690" t="s">
        <v>51</v>
      </c>
      <c r="T28" s="691">
        <f>IF(I23&gt;0,I23,I26)</f>
        <v>0</v>
      </c>
      <c r="U28" s="37">
        <f>IF(SUM(I23,I26)=0,0,IF(I23&gt;0,1,2))</f>
        <v>0</v>
      </c>
      <c r="V28" s="571" t="s">
        <v>52</v>
      </c>
      <c r="Y28" s="767"/>
      <c r="Z28" s="153"/>
      <c r="AA28" s="164" t="str">
        <f>CenAVS!A148</f>
        <v xml:space="preserve">nakładany z tłumieniem wkręt 110°      </v>
      </c>
      <c r="AB28" s="164" t="str">
        <f>CenAVS!B148</f>
        <v> 71B3550</v>
      </c>
      <c r="AC28" s="164" t="str">
        <f>CenAVS!C148</f>
        <v>NI</v>
      </c>
      <c r="AD28" s="165">
        <f t="shared" si="0"/>
        <v>0</v>
      </c>
      <c r="AE28" s="395">
        <f>CenAVS!F148</f>
        <v>10.385860000000001</v>
      </c>
      <c r="AF28" s="167">
        <f t="shared" si="1"/>
        <v>0</v>
      </c>
      <c r="AG28" s="407"/>
      <c r="AH28" s="168">
        <f t="shared" si="2"/>
        <v>0</v>
      </c>
      <c r="AI28" s="407"/>
      <c r="AJ28" s="168">
        <f t="shared" si="3"/>
        <v>0</v>
      </c>
      <c r="AK28" s="108"/>
      <c r="AM28" s="137"/>
      <c r="AU28" s="227"/>
      <c r="AV28" s="227"/>
      <c r="AW28" s="227"/>
      <c r="AX28" s="227"/>
      <c r="AY28" s="227"/>
    </row>
    <row r="29" spans="1:51" ht="16.149999999999999" customHeight="1" x14ac:dyDescent="0.2">
      <c r="A29" s="137"/>
      <c r="B29" s="255" t="str">
        <f>IF(M28&gt;0,IF(U28=0," ",IF(U28=1,$N$54,$N$55))," ")&amp;IF(M28&gt;0,IF(U28=0," ",IF(U28=1,$N$56,$N$57))," ")</f>
        <v xml:space="preserve">  </v>
      </c>
      <c r="C29" s="255"/>
      <c r="D29" s="255"/>
      <c r="E29" s="255"/>
      <c r="F29" s="255"/>
      <c r="G29" s="255"/>
      <c r="H29" s="255"/>
      <c r="I29" s="273"/>
      <c r="J29" s="266"/>
      <c r="K29" s="266"/>
      <c r="L29" s="266"/>
      <c r="N29" s="137"/>
      <c r="O29" s="137"/>
      <c r="P29" s="137"/>
      <c r="Q29" s="137"/>
      <c r="R29" s="37"/>
      <c r="AA29" s="164" t="str">
        <f>CenAVS!A149</f>
        <v xml:space="preserve">nakładany z tłumieniem Expando 110°      </v>
      </c>
      <c r="AB29" s="164" t="str">
        <f>CenAVS!B149</f>
        <v> 71B358E</v>
      </c>
      <c r="AC29" s="164" t="str">
        <f>CenAVS!C149</f>
        <v>NI</v>
      </c>
      <c r="AD29" s="165">
        <f t="shared" si="0"/>
        <v>0</v>
      </c>
      <c r="AE29" s="395">
        <f>CenAVS!F149</f>
        <v>10.731</v>
      </c>
      <c r="AF29" s="167">
        <f t="shared" si="1"/>
        <v>0</v>
      </c>
      <c r="AG29" s="407"/>
      <c r="AH29" s="168">
        <f t="shared" si="2"/>
        <v>0</v>
      </c>
      <c r="AI29" s="407"/>
      <c r="AJ29" s="168">
        <f t="shared" si="3"/>
        <v>0</v>
      </c>
      <c r="AK29" s="108"/>
      <c r="AM29" s="137"/>
      <c r="AU29" s="227"/>
      <c r="AV29" s="227"/>
      <c r="AW29" s="227"/>
      <c r="AX29" s="227"/>
      <c r="AY29" s="227"/>
    </row>
    <row r="30" spans="1:51" ht="16.149999999999999" customHeight="1" x14ac:dyDescent="0.2">
      <c r="B30" s="445"/>
      <c r="C30" s="445"/>
      <c r="D30" s="248"/>
      <c r="E30" s="445"/>
      <c r="F30" s="445"/>
      <c r="G30" s="274"/>
      <c r="H30" s="274"/>
      <c r="I30" s="445"/>
      <c r="J30" s="264"/>
      <c r="K30" s="445"/>
      <c r="L30" s="265"/>
      <c r="N30" s="137"/>
      <c r="O30" s="137"/>
      <c r="P30" s="137"/>
      <c r="Q30" s="137"/>
      <c r="R30" s="37"/>
      <c r="AA30" s="164" t="str">
        <f>CenAVS!A150</f>
        <v xml:space="preserve">nakładany Tip-on wkręt 110°       </v>
      </c>
      <c r="AB30" s="164" t="str">
        <f>CenAVS!B150</f>
        <v> 70T3550.TL</v>
      </c>
      <c r="AC30" s="164" t="str">
        <f>CenAVS!C150</f>
        <v>NI</v>
      </c>
      <c r="AD30" s="165">
        <f t="shared" si="0"/>
        <v>0</v>
      </c>
      <c r="AE30" s="395">
        <f>CenAVS!F150</f>
        <v>5.6034400000000009</v>
      </c>
      <c r="AF30" s="167">
        <f t="shared" si="1"/>
        <v>0</v>
      </c>
      <c r="AG30" s="407"/>
      <c r="AH30" s="168">
        <f t="shared" si="2"/>
        <v>0</v>
      </c>
      <c r="AI30" s="407"/>
      <c r="AJ30" s="168">
        <f t="shared" si="3"/>
        <v>0</v>
      </c>
      <c r="AK30" s="108"/>
      <c r="AU30" s="404"/>
      <c r="AV30" s="227"/>
      <c r="AW30" s="227"/>
      <c r="AX30" s="227"/>
      <c r="AY30" s="227"/>
    </row>
    <row r="31" spans="1:51" ht="16.149999999999999" customHeight="1" x14ac:dyDescent="0.2">
      <c r="B31" s="255"/>
      <c r="C31" s="255"/>
      <c r="D31" s="255"/>
      <c r="E31" s="266"/>
      <c r="F31" s="266"/>
      <c r="G31" s="266"/>
      <c r="H31" s="266"/>
      <c r="I31" s="266"/>
      <c r="J31" s="266"/>
      <c r="K31" s="266"/>
      <c r="L31" s="446"/>
      <c r="O31" s="118"/>
      <c r="P31" s="37"/>
      <c r="Q31" s="118"/>
      <c r="R31" s="37"/>
      <c r="S31" s="138">
        <f>IF($T$31=FALSE,2,1)</f>
        <v>2</v>
      </c>
      <c r="T31" s="1063" t="b">
        <v>0</v>
      </c>
      <c r="U31" s="1064"/>
      <c r="V31" s="139" t="s">
        <v>56</v>
      </c>
      <c r="W31" s="140"/>
      <c r="X31" s="118"/>
      <c r="Y31" s="118"/>
      <c r="Z31" s="118"/>
      <c r="AA31" s="164" t="str">
        <f>CenAVS!A151</f>
        <v xml:space="preserve">nakładany Tip-on Expando 110°       </v>
      </c>
      <c r="AB31" s="164" t="str">
        <f>CenAVS!B151</f>
        <v> 70T358E.TL</v>
      </c>
      <c r="AC31" s="164" t="str">
        <f>CenAVS!C151</f>
        <v>NI</v>
      </c>
      <c r="AD31" s="165">
        <f t="shared" si="0"/>
        <v>0</v>
      </c>
      <c r="AE31" s="395">
        <f>CenAVS!F151</f>
        <v>5.5332499999999989</v>
      </c>
      <c r="AF31" s="167">
        <f t="shared" si="1"/>
        <v>0</v>
      </c>
      <c r="AG31" s="407"/>
      <c r="AH31" s="168">
        <f t="shared" si="2"/>
        <v>0</v>
      </c>
      <c r="AI31" s="407"/>
      <c r="AJ31" s="168">
        <f t="shared" si="3"/>
        <v>0</v>
      </c>
      <c r="AK31" s="108"/>
      <c r="AM31" s="773"/>
      <c r="AU31" s="789"/>
      <c r="AV31" s="404"/>
      <c r="AW31" s="404"/>
      <c r="AX31" s="404"/>
      <c r="AY31" s="404"/>
    </row>
    <row r="32" spans="1:51" ht="16.149999999999999" customHeight="1" x14ac:dyDescent="0.2">
      <c r="B32" s="272"/>
      <c r="C32" s="272"/>
      <c r="D32" s="273"/>
      <c r="E32" s="266"/>
      <c r="F32" s="266"/>
      <c r="G32" s="266"/>
      <c r="H32" s="266"/>
      <c r="I32" s="266"/>
      <c r="J32" s="266"/>
      <c r="K32" s="266"/>
      <c r="L32" s="446"/>
      <c r="O32" s="118"/>
      <c r="P32" s="37"/>
      <c r="Q32" s="118"/>
      <c r="R32" s="37"/>
      <c r="AA32" s="164" t="str">
        <f>CenAVS!A152</f>
        <v xml:space="preserve">Zawias do cieńkich materiałów z Blumotion, Expando T, 110°  </v>
      </c>
      <c r="AB32" s="164" t="str">
        <f>CenAVS!B152</f>
        <v xml:space="preserve"> 71B453T</v>
      </c>
      <c r="AC32" s="164" t="str">
        <f>CenAVS!C152</f>
        <v>NI</v>
      </c>
      <c r="AD32" s="165">
        <f t="shared" si="0"/>
        <v>0</v>
      </c>
      <c r="AE32" s="395">
        <f>CenAVS!F152</f>
        <v>41.185140000000004</v>
      </c>
      <c r="AF32" s="167">
        <f t="shared" si="1"/>
        <v>0</v>
      </c>
      <c r="AG32" s="407"/>
      <c r="AH32" s="168">
        <f t="shared" si="2"/>
        <v>0</v>
      </c>
      <c r="AI32" s="407"/>
      <c r="AJ32" s="168">
        <f t="shared" si="3"/>
        <v>0</v>
      </c>
      <c r="AK32" s="108"/>
      <c r="AM32" s="773"/>
    </row>
    <row r="33" spans="2:39" ht="16.149999999999999" customHeight="1" x14ac:dyDescent="0.2">
      <c r="B33" s="272"/>
      <c r="C33" s="272"/>
      <c r="D33" s="255"/>
      <c r="E33" s="255"/>
      <c r="F33" s="255"/>
      <c r="G33" s="255"/>
      <c r="H33" s="255"/>
      <c r="I33" s="255"/>
      <c r="J33" s="255"/>
      <c r="K33" s="255"/>
      <c r="L33" s="255"/>
      <c r="O33" s="118"/>
      <c r="P33" s="37"/>
      <c r="Q33" s="118"/>
      <c r="R33" s="37"/>
      <c r="AA33" s="164" t="str">
        <f>CenAVS!A153</f>
        <v xml:space="preserve">Zawias do cieńkich materiałów, Expando T, 110°    </v>
      </c>
      <c r="AB33" s="164" t="str">
        <f>CenAVS!B153</f>
        <v xml:space="preserve"> 70T453T.TL</v>
      </c>
      <c r="AC33" s="164" t="str">
        <f>CenAVS!C153</f>
        <v>NI</v>
      </c>
      <c r="AD33" s="165">
        <f t="shared" si="0"/>
        <v>0</v>
      </c>
      <c r="AE33" s="395">
        <f>CenAVS!F153</f>
        <v>35.323819999999998</v>
      </c>
      <c r="AF33" s="167">
        <f t="shared" si="1"/>
        <v>0</v>
      </c>
      <c r="AG33" s="407"/>
      <c r="AH33" s="168">
        <f t="shared" si="2"/>
        <v>0</v>
      </c>
      <c r="AI33" s="407"/>
      <c r="AJ33" s="168">
        <f t="shared" si="3"/>
        <v>0</v>
      </c>
      <c r="AK33" s="108"/>
      <c r="AM33" s="773"/>
    </row>
    <row r="34" spans="2:39" ht="16.149999999999999" customHeight="1" x14ac:dyDescent="0.2">
      <c r="B34" s="274"/>
      <c r="C34" s="255" t="str">
        <f>"* "&amp;ListAVS!$B$354</f>
        <v>* W razie wykorzystania trzeciego siłownika współczynnik mocy oraz waga frontu mogą się zwiększyć o 50 %.</v>
      </c>
      <c r="D34" s="276"/>
      <c r="E34" s="276"/>
      <c r="F34" s="276"/>
      <c r="G34" s="276"/>
      <c r="H34" s="276"/>
      <c r="I34" s="276"/>
      <c r="J34" s="276"/>
      <c r="K34" s="276"/>
      <c r="L34" s="255"/>
      <c r="O34" s="118"/>
      <c r="P34" s="37"/>
      <c r="Q34" s="118"/>
      <c r="R34" s="37"/>
      <c r="AA34" s="164" t="str">
        <f>CenAVS!A154</f>
        <v xml:space="preserve">alu nakładany z tłumieniem 95°      </v>
      </c>
      <c r="AB34" s="164" t="str">
        <f>CenAVS!B154</f>
        <v> 71B950A</v>
      </c>
      <c r="AC34" s="164" t="str">
        <f>CenAVS!C154</f>
        <v>NI</v>
      </c>
      <c r="AD34" s="165">
        <f>SUM(AG34,AI34)</f>
        <v>0</v>
      </c>
      <c r="AE34" s="395">
        <f>CenAVS!F154</f>
        <v>19.826509999999999</v>
      </c>
      <c r="AF34" s="167">
        <f>AD34*AE34</f>
        <v>0</v>
      </c>
      <c r="AG34" s="407">
        <f>IF($U$16=1, SUM($Y$11)*$M$17, 0)</f>
        <v>0</v>
      </c>
      <c r="AH34" s="168">
        <f>$AE34*AG34</f>
        <v>0</v>
      </c>
      <c r="AI34" s="407">
        <f>IF($U$27=1, SUM($Y$22)*$M$28, 0)</f>
        <v>0</v>
      </c>
      <c r="AJ34" s="168">
        <f>$AE34*AI34</f>
        <v>0</v>
      </c>
      <c r="AK34" s="108"/>
    </row>
    <row r="35" spans="2:39" ht="16.149999999999999" customHeight="1" x14ac:dyDescent="0.2">
      <c r="B35" s="255"/>
      <c r="C35" s="255" t="str">
        <f>"** "&amp;ListAVS!$B$187</f>
        <v>** Jeżeli znasz wagę i nie chcesz skorzystać z "obliczenie wagi"</v>
      </c>
      <c r="D35" s="276"/>
      <c r="E35" s="276"/>
      <c r="F35" s="276"/>
      <c r="G35" s="276"/>
      <c r="H35" s="276"/>
      <c r="I35" s="276"/>
      <c r="J35" s="276"/>
      <c r="K35" s="276"/>
      <c r="L35" s="255"/>
      <c r="O35" s="118"/>
      <c r="P35" s="37"/>
      <c r="Q35" s="118"/>
      <c r="R35" s="37"/>
      <c r="AA35" s="456" t="str">
        <f>CenAVS!A22</f>
        <v xml:space="preserve">alu nakładany Tip-on 120° Aventos HF     </v>
      </c>
      <c r="AB35" s="456" t="str">
        <f>CenAVS!B22</f>
        <v>72T550A.TL</v>
      </c>
      <c r="AC35" s="456" t="str">
        <f>CenAVS!C22</f>
        <v>NI</v>
      </c>
      <c r="AD35" s="408">
        <f>SUM(AG35,AI35)</f>
        <v>0</v>
      </c>
      <c r="AE35" s="457">
        <f>CenAVS!F22</f>
        <v>8.4674200000000006</v>
      </c>
      <c r="AF35" s="167">
        <f>AD35*AE35</f>
        <v>0</v>
      </c>
      <c r="AG35" s="407">
        <f>IF($U$16=2, SUM($Y$11)*$M$17, 0)</f>
        <v>0</v>
      </c>
      <c r="AH35" s="168">
        <f>$AE35*AG35</f>
        <v>0</v>
      </c>
      <c r="AI35" s="407">
        <f>IF($U$27=2, SUM($Y$22)*$M$28, 0)</f>
        <v>0</v>
      </c>
      <c r="AJ35" s="168">
        <f>$AE35*AI35</f>
        <v>0</v>
      </c>
      <c r="AK35" s="108"/>
      <c r="AM35" s="774"/>
    </row>
    <row r="36" spans="2:39" ht="16.149999999999999" customHeight="1" x14ac:dyDescent="0.2">
      <c r="B36" s="274"/>
      <c r="C36" s="273" t="str">
        <f>"*** "&amp;ListAVS!$B$403</f>
        <v>*** Wybierz rodzaj ramki aluminiowej!</v>
      </c>
      <c r="D36" s="276"/>
      <c r="E36" s="276"/>
      <c r="F36" s="276"/>
      <c r="G36" s="276"/>
      <c r="H36" s="276"/>
      <c r="I36" s="276"/>
      <c r="J36" s="276"/>
      <c r="K36" s="276"/>
      <c r="L36" s="255"/>
      <c r="O36" s="118"/>
      <c r="P36" s="37"/>
      <c r="Q36" s="118"/>
      <c r="R36" s="37"/>
      <c r="AA36" s="164" t="str">
        <f>CenAVS!A123</f>
        <v xml:space="preserve">specjalne wkręty 3.53x9.5mm do szerokich ramek     </v>
      </c>
      <c r="AB36" s="164" t="str">
        <f>CenAVS!B123</f>
        <v>660.0950</v>
      </c>
      <c r="AC36" s="164" t="str">
        <f>CenAVS!C123</f>
        <v>NI</v>
      </c>
      <c r="AD36" s="165">
        <f>SUM(AG36,AI36)</f>
        <v>0</v>
      </c>
      <c r="AE36" s="395">
        <f>CenAVS!F123</f>
        <v>0.18570999999999999</v>
      </c>
      <c r="AF36" s="167">
        <f>AD36*AE36</f>
        <v>0</v>
      </c>
      <c r="AG36" s="407"/>
      <c r="AH36" s="168">
        <f>$AE36*AG36</f>
        <v>0</v>
      </c>
      <c r="AI36" s="407"/>
      <c r="AJ36" s="168">
        <f>$AE36*AI36</f>
        <v>0</v>
      </c>
      <c r="AK36" s="108"/>
    </row>
    <row r="37" spans="2:39" ht="16.149999999999999" customHeight="1" x14ac:dyDescent="0.2">
      <c r="B37" s="255"/>
      <c r="C37" s="670" t="str">
        <f>"      "&amp;ListAVS!$B$404</f>
        <v xml:space="preserve">      Więcej informacji o wyborze ramki aluminiowej w Pomocy</v>
      </c>
      <c r="D37" s="276"/>
      <c r="E37" s="276"/>
      <c r="F37" s="276"/>
      <c r="G37" s="276"/>
      <c r="H37" s="276"/>
      <c r="I37" s="276"/>
      <c r="J37" s="276"/>
      <c r="K37" s="276"/>
      <c r="L37" s="255"/>
      <c r="N37" s="37" t="str">
        <f>" "&amp;ListAVS!$B$117</f>
        <v xml:space="preserve"> Wprowadź wagę lub wypełnij na górze grubość szkła</v>
      </c>
      <c r="O37" s="118"/>
      <c r="P37" s="37"/>
      <c r="Q37" s="118"/>
      <c r="R37" s="37"/>
      <c r="AA37" s="164" t="str">
        <f>CenAVS!A158</f>
        <v xml:space="preserve">kołek Expando T        </v>
      </c>
      <c r="AB37" s="164" t="str">
        <f>CenAVS!B158</f>
        <v>70T4532T</v>
      </c>
      <c r="AC37" s="164" t="str">
        <f>CenAVS!C158</f>
        <v>DGR</v>
      </c>
      <c r="AD37" s="165">
        <f>SUM(AG37,AI37)</f>
        <v>0</v>
      </c>
      <c r="AE37" s="395">
        <f>CenAVS!F158</f>
        <v>6.9475599999999993</v>
      </c>
      <c r="AF37" s="167">
        <f>AD37*AE37</f>
        <v>0</v>
      </c>
      <c r="AG37" s="407"/>
      <c r="AH37" s="168">
        <f>$AE37*AG37</f>
        <v>0</v>
      </c>
      <c r="AI37" s="407"/>
      <c r="AJ37" s="168">
        <f>$AE37*AI37</f>
        <v>0</v>
      </c>
      <c r="AK37" s="108"/>
    </row>
    <row r="38" spans="2:39" ht="16.149999999999999" customHeight="1" x14ac:dyDescent="0.2">
      <c r="B38" s="255"/>
      <c r="C38" s="255"/>
      <c r="D38" s="255"/>
      <c r="E38" s="255"/>
      <c r="F38" s="255"/>
      <c r="G38" s="255"/>
      <c r="H38" s="255"/>
      <c r="I38" s="255"/>
      <c r="J38" s="255"/>
      <c r="K38" s="255"/>
      <c r="L38" s="255"/>
      <c r="N38" s="37" t="str">
        <f>" "&amp;ListAVS!$B$116</f>
        <v xml:space="preserve"> Wprowadź wagę lub wypełnij wszystkie komórki</v>
      </c>
      <c r="O38" s="118"/>
      <c r="P38" s="37"/>
      <c r="Q38" s="118"/>
      <c r="R38" s="37"/>
      <c r="AA38" s="164"/>
      <c r="AB38" s="164"/>
      <c r="AC38" s="164"/>
      <c r="AD38" s="165"/>
      <c r="AE38" s="395"/>
      <c r="AF38" s="167"/>
      <c r="AG38" s="407"/>
      <c r="AH38" s="168"/>
      <c r="AI38" s="407"/>
      <c r="AJ38" s="168"/>
      <c r="AK38" s="108"/>
    </row>
    <row r="39" spans="2:39" ht="16.149999999999999" customHeight="1" x14ac:dyDescent="0.2">
      <c r="B39" s="255"/>
      <c r="C39" s="255"/>
      <c r="D39" s="255"/>
      <c r="E39" s="255"/>
      <c r="F39" s="255"/>
      <c r="G39" s="255"/>
      <c r="H39" s="255"/>
      <c r="I39" s="255"/>
      <c r="J39" s="255"/>
      <c r="K39" s="255"/>
      <c r="L39" s="255"/>
      <c r="N39" s="37" t="str">
        <f>"◄ "&amp;ListAVS!$B$112</f>
        <v>◄ wartość będzie wykorzystana do obliczenia LF</v>
      </c>
      <c r="O39" s="118"/>
      <c r="P39" s="37"/>
      <c r="Q39" s="118"/>
      <c r="R39" s="37"/>
      <c r="AA39" s="164" t="str">
        <f>CenAVS!A166</f>
        <v xml:space="preserve">prowadnik prosty wkręt 8 5mm stal     </v>
      </c>
      <c r="AB39" s="164" t="str">
        <f>CenAVS!B166</f>
        <v>175H3100</v>
      </c>
      <c r="AC39" s="164" t="str">
        <f>CenAVS!C166</f>
        <v>NI</v>
      </c>
      <c r="AD39" s="165">
        <f>SUM(AG39,AI39)</f>
        <v>0</v>
      </c>
      <c r="AE39" s="395">
        <f>CenAVS!F166</f>
        <v>1.65564</v>
      </c>
      <c r="AF39" s="167">
        <f>AD39*AE39</f>
        <v>0</v>
      </c>
      <c r="AG39" s="407">
        <f>IF($O$49=2, $Y$11*$M$17, 0)</f>
        <v>0</v>
      </c>
      <c r="AH39" s="168">
        <f>$AE39*AG39</f>
        <v>0</v>
      </c>
      <c r="AI39" s="407">
        <f>IF($O$49=2, $Y$22*$M$28, 0)</f>
        <v>0</v>
      </c>
      <c r="AJ39" s="168">
        <f>$AE39*AI39</f>
        <v>0</v>
      </c>
      <c r="AK39" s="108"/>
    </row>
    <row r="40" spans="2:39" ht="16.149999999999999" customHeight="1" x14ac:dyDescent="0.2">
      <c r="B40" s="255"/>
      <c r="C40" s="255"/>
      <c r="D40" s="255"/>
      <c r="E40" s="255"/>
      <c r="F40" s="255"/>
      <c r="G40" s="255"/>
      <c r="H40" s="255"/>
      <c r="I40" s="255"/>
      <c r="J40" s="255"/>
      <c r="K40" s="255"/>
      <c r="L40" s="255"/>
      <c r="N40" s="37" t="str">
        <f>" * "&amp;ListAVS!$B$128</f>
        <v xml:space="preserve"> * Wypełnij wartości</v>
      </c>
      <c r="O40" s="118"/>
      <c r="P40" s="37"/>
      <c r="Q40" s="118"/>
      <c r="R40" s="37"/>
      <c r="AA40" s="164" t="str">
        <f>CenAVS!A167</f>
        <v xml:space="preserve">prowadnik prosty Expando 8 5mm stal     </v>
      </c>
      <c r="AB40" s="164" t="str">
        <f>CenAVS!B167</f>
        <v>177H3100E </v>
      </c>
      <c r="AC40" s="164" t="str">
        <f>CenAVS!C167</f>
        <v>NI</v>
      </c>
      <c r="AD40" s="165">
        <f>SUM(AG40,AI40)</f>
        <v>0</v>
      </c>
      <c r="AE40" s="395">
        <f>CenAVS!F167</f>
        <v>1.8724499999999999</v>
      </c>
      <c r="AF40" s="167">
        <f>AD40*AE40</f>
        <v>0</v>
      </c>
      <c r="AG40" s="407">
        <f>IF($O$49=1, $Y$11*$M$17, 0)</f>
        <v>0</v>
      </c>
      <c r="AH40" s="168">
        <f>$AE40*AG40</f>
        <v>0</v>
      </c>
      <c r="AI40" s="407">
        <f>IF($O$49=1, $Y$22*$M$28, 0)</f>
        <v>0</v>
      </c>
      <c r="AJ40" s="168">
        <f>$AE40*AI40</f>
        <v>0</v>
      </c>
      <c r="AK40" s="108"/>
    </row>
    <row r="41" spans="2:39" ht="16.149999999999999" customHeight="1" x14ac:dyDescent="0.2">
      <c r="B41" s="255"/>
      <c r="C41" s="255"/>
      <c r="D41" s="255"/>
      <c r="E41" s="255"/>
      <c r="F41" s="255"/>
      <c r="G41" s="255"/>
      <c r="H41" s="255"/>
      <c r="I41" s="255"/>
      <c r="J41" s="255"/>
      <c r="K41" s="255"/>
      <c r="L41" s="255"/>
      <c r="O41" s="118"/>
      <c r="P41" s="37"/>
      <c r="Q41" s="118"/>
      <c r="R41" s="37"/>
      <c r="AA41" s="164"/>
      <c r="AB41" s="164"/>
      <c r="AC41" s="164"/>
      <c r="AD41" s="165"/>
      <c r="AE41" s="395"/>
      <c r="AF41" s="167"/>
      <c r="AG41" s="407"/>
      <c r="AH41" s="168"/>
      <c r="AI41" s="407"/>
      <c r="AJ41" s="168"/>
      <c r="AK41" s="108"/>
    </row>
    <row r="42" spans="2:39" s="37" customFormat="1" ht="16.149999999999999" customHeight="1" x14ac:dyDescent="0.2">
      <c r="B42" s="255"/>
      <c r="C42" s="255"/>
      <c r="D42" s="255"/>
      <c r="E42" s="255"/>
      <c r="F42" s="255"/>
      <c r="G42" s="255"/>
      <c r="H42" s="255"/>
      <c r="I42" s="255"/>
      <c r="J42" s="255"/>
      <c r="K42" s="255"/>
      <c r="L42" s="255"/>
      <c r="M42" s="1217" t="s">
        <v>135</v>
      </c>
      <c r="N42" s="37" t="str">
        <f>IF(U16=1," max. 3.600! "&amp;ListAVS!$B$122," max. 3.200! "&amp;ListAVS!$B$122)</f>
        <v xml:space="preserve"> max. 3.600! Popraw wagę albo wysokość</v>
      </c>
      <c r="AA42" s="164" t="str">
        <f>CenAVS!A185</f>
        <v xml:space="preserve">Tip-on do zawiasu 50mm PG, szary     </v>
      </c>
      <c r="AB42" s="164" t="str">
        <f>CenAVS!B185</f>
        <v>956.1004</v>
      </c>
      <c r="AC42" s="164" t="str">
        <f>CenAVS!C185</f>
        <v>R7036</v>
      </c>
      <c r="AD42" s="165">
        <f>SUM(AG42,AI42)</f>
        <v>0</v>
      </c>
      <c r="AE42" s="395">
        <f>CenAVS!F185</f>
        <v>12.830769999999999</v>
      </c>
      <c r="AF42" s="167">
        <f>AD42*AE42</f>
        <v>0</v>
      </c>
      <c r="AG42" s="407">
        <f>IF(AND($T$49&lt;3, $U$16=2), $M$17, 0)</f>
        <v>0</v>
      </c>
      <c r="AH42" s="168">
        <f>$AE42*AG42</f>
        <v>0</v>
      </c>
      <c r="AI42" s="407">
        <f>IF(AND($T$49&lt;3, $U$27=2), $M$28, 0)</f>
        <v>0</v>
      </c>
      <c r="AJ42" s="168">
        <f>$AE42*AI42</f>
        <v>0</v>
      </c>
      <c r="AK42" s="108"/>
      <c r="AL42" s="108"/>
      <c r="AM42" s="108"/>
    </row>
    <row r="43" spans="2:39" s="37" customFormat="1" ht="16.149999999999999" customHeight="1" x14ac:dyDescent="0.2">
      <c r="B43" s="440" t="str">
        <f>IF($I$11&gt;600,"***",IF($I$22&gt;600,"***"," "))</f>
        <v xml:space="preserve"> </v>
      </c>
      <c r="C43" s="440"/>
      <c r="D43" s="255"/>
      <c r="E43" s="255"/>
      <c r="F43" s="255"/>
      <c r="G43" s="255"/>
      <c r="H43" s="255"/>
      <c r="I43" s="255"/>
      <c r="J43" s="255"/>
      <c r="K43" s="255"/>
      <c r="L43" s="255"/>
      <c r="M43" s="1217"/>
      <c r="N43" s="37" t="str">
        <f>IF(U16=1," max. 1.800! "&amp;ListAVS!$B$132," max. 1.600! "&amp;ListAVS!$B$132)</f>
        <v xml:space="preserve"> max. 1.800! Dodaj drugi podnośnik</v>
      </c>
      <c r="O43" s="118"/>
      <c r="Q43" s="118"/>
      <c r="AA43" s="164" t="str">
        <f>CenAVS!A186</f>
        <v xml:space="preserve">Tip-on do zawiasu 50mm SW, biały     </v>
      </c>
      <c r="AB43" s="164" t="str">
        <f>CenAVS!B186</f>
        <v>956.1004</v>
      </c>
      <c r="AC43" s="164" t="str">
        <f>CenAVS!C186</f>
        <v>SW</v>
      </c>
      <c r="AD43" s="165">
        <f>SUM(AG43,AI43)</f>
        <v>0</v>
      </c>
      <c r="AE43" s="395">
        <f>CenAVS!F186</f>
        <v>12.830769999999999</v>
      </c>
      <c r="AF43" s="167">
        <f>AD43*AE43</f>
        <v>0</v>
      </c>
      <c r="AG43" s="407">
        <f>IF(AND($T$49=3, $U$16=2), $M$17, 0)</f>
        <v>0</v>
      </c>
      <c r="AH43" s="168">
        <f>$AE43*AG43</f>
        <v>0</v>
      </c>
      <c r="AI43" s="407">
        <f>IF(AND($T$49=3, $U$27=2), $M$28, 0)</f>
        <v>0</v>
      </c>
      <c r="AJ43" s="168">
        <f>$AE43*AI43</f>
        <v>0</v>
      </c>
      <c r="AK43" s="108"/>
      <c r="AL43" s="108"/>
      <c r="AM43" s="108"/>
    </row>
    <row r="44" spans="2:39" s="37" customFormat="1" ht="16.149999999999999" customHeight="1" x14ac:dyDescent="0.2">
      <c r="B44" s="273"/>
      <c r="C44" s="273"/>
      <c r="D44" s="255"/>
      <c r="E44" s="255"/>
      <c r="F44" s="255"/>
      <c r="G44" s="255"/>
      <c r="H44" s="255"/>
      <c r="I44" s="255"/>
      <c r="J44" s="255"/>
      <c r="K44" s="255"/>
      <c r="L44" s="255"/>
      <c r="N44" s="149"/>
      <c r="O44" s="118"/>
      <c r="Q44" s="118"/>
      <c r="AA44" s="164" t="str">
        <f>CenAVS!A187</f>
        <v xml:space="preserve">Tip-on do zawiasu krótki 50mm z magnesem,komplet, karbon czarny CS </v>
      </c>
      <c r="AB44" s="164" t="str">
        <f>CenAVS!B187</f>
        <v>956.1004</v>
      </c>
      <c r="AC44" s="164" t="str">
        <f>CenAVS!C187</f>
        <v>CS</v>
      </c>
      <c r="AD44" s="165">
        <f>SUM(AG44,AI44)</f>
        <v>0</v>
      </c>
      <c r="AE44" s="395">
        <f>CenAVS!F187</f>
        <v>12.830769999999999</v>
      </c>
      <c r="AF44" s="167">
        <f>AD44*AE44</f>
        <v>0</v>
      </c>
      <c r="AG44" s="407"/>
      <c r="AH44" s="168">
        <f>$AE44*AG44</f>
        <v>0</v>
      </c>
      <c r="AI44" s="407"/>
      <c r="AJ44" s="168">
        <f>$AE44*AI44</f>
        <v>0</v>
      </c>
      <c r="AK44" s="108"/>
      <c r="AL44" s="108"/>
      <c r="AM44" s="108"/>
    </row>
    <row r="45" spans="2:39" s="37" customFormat="1" ht="16.149999999999999" customHeight="1" x14ac:dyDescent="0.2">
      <c r="B45" s="273"/>
      <c r="C45" s="273"/>
      <c r="D45" s="255"/>
      <c r="E45" s="255"/>
      <c r="F45" s="255"/>
      <c r="G45" s="255"/>
      <c r="H45" s="255"/>
      <c r="I45" s="255"/>
      <c r="J45" s="255"/>
      <c r="K45" s="255"/>
      <c r="L45" s="255"/>
      <c r="M45" s="1217" t="s">
        <v>136</v>
      </c>
      <c r="N45" s="37" t="str">
        <f>IF(U27=1," max. 3.600! "&amp;ListAVS!$B$122," max. 3.200! "&amp;ListAVS!$B$122)</f>
        <v xml:space="preserve"> max. 3.600! Popraw wagę albo wysokość</v>
      </c>
      <c r="O45" s="118"/>
      <c r="Q45" s="118"/>
      <c r="AA45" s="164"/>
      <c r="AB45" s="164"/>
      <c r="AC45" s="164"/>
      <c r="AD45" s="165"/>
      <c r="AE45" s="395"/>
      <c r="AF45" s="167"/>
      <c r="AG45" s="407"/>
      <c r="AH45" s="168"/>
      <c r="AI45" s="407"/>
      <c r="AJ45" s="168"/>
      <c r="AK45" s="108"/>
      <c r="AL45" s="108"/>
      <c r="AM45" s="108"/>
    </row>
    <row r="46" spans="2:39" s="37" customFormat="1" ht="16.149999999999999" customHeight="1" x14ac:dyDescent="0.2">
      <c r="B46" s="273"/>
      <c r="C46" s="273"/>
      <c r="D46" s="255"/>
      <c r="E46" s="255"/>
      <c r="F46" s="255"/>
      <c r="G46" s="255"/>
      <c r="H46" s="255"/>
      <c r="I46" s="255"/>
      <c r="J46" s="255"/>
      <c r="K46" s="255"/>
      <c r="L46" s="255"/>
      <c r="M46" s="1217"/>
      <c r="N46" s="37" t="str">
        <f>IF(U27=1," max. 1.800! "&amp;ListAVS!$B$132," max. 1.600! "&amp;ListAVS!$B$132)</f>
        <v xml:space="preserve"> max. 1.800! Dodaj drugi podnośnik</v>
      </c>
      <c r="O46" s="118"/>
      <c r="Q46" s="118"/>
      <c r="AA46" s="164"/>
      <c r="AB46" s="164"/>
      <c r="AC46" s="164"/>
      <c r="AD46" s="165"/>
      <c r="AE46" s="395"/>
      <c r="AF46" s="167"/>
      <c r="AG46" s="407"/>
      <c r="AH46" s="168"/>
      <c r="AI46" s="407"/>
      <c r="AJ46" s="168"/>
      <c r="AK46" s="108"/>
      <c r="AL46" s="108"/>
      <c r="AM46" s="108"/>
    </row>
    <row r="47" spans="2:39" s="37" customFormat="1" ht="16.149999999999999" customHeight="1" x14ac:dyDescent="0.2">
      <c r="B47" s="273"/>
      <c r="C47" s="273"/>
      <c r="D47" s="255"/>
      <c r="E47" s="255"/>
      <c r="F47" s="255"/>
      <c r="G47" s="255"/>
      <c r="H47" s="255"/>
      <c r="I47" s="255"/>
      <c r="J47" s="255"/>
      <c r="K47" s="255"/>
      <c r="L47" s="255"/>
      <c r="N47" s="149"/>
      <c r="O47" s="118"/>
      <c r="Q47" s="118"/>
      <c r="AA47" s="164"/>
      <c r="AB47" s="164"/>
      <c r="AC47" s="301"/>
      <c r="AD47" s="165"/>
      <c r="AE47" s="395"/>
      <c r="AF47" s="167"/>
      <c r="AG47" s="407"/>
      <c r="AH47" s="168"/>
      <c r="AI47" s="407"/>
      <c r="AJ47" s="168"/>
      <c r="AK47" s="108"/>
      <c r="AL47" s="108"/>
      <c r="AM47" s="108"/>
    </row>
    <row r="48" spans="2:39" ht="16.149999999999999" customHeight="1" x14ac:dyDescent="0.2">
      <c r="B48" s="216"/>
      <c r="C48" s="216"/>
      <c r="E48" s="148"/>
      <c r="F48" s="148"/>
      <c r="G48" s="148"/>
      <c r="H48" s="148"/>
      <c r="I48" s="148"/>
      <c r="J48" s="148"/>
      <c r="K48" s="148"/>
      <c r="O48" s="118"/>
      <c r="P48" s="37"/>
      <c r="Q48" s="118"/>
      <c r="R48" s="37"/>
      <c r="AA48" s="164"/>
      <c r="AB48" s="164"/>
      <c r="AC48" s="301"/>
      <c r="AD48" s="165"/>
      <c r="AE48" s="395"/>
      <c r="AF48" s="167"/>
      <c r="AG48" s="407"/>
      <c r="AH48" s="168"/>
      <c r="AI48" s="407"/>
      <c r="AJ48" s="168"/>
      <c r="AK48" s="108"/>
    </row>
    <row r="49" spans="1:37" ht="16.149999999999999" customHeight="1" x14ac:dyDescent="0.2">
      <c r="B49" s="217"/>
      <c r="C49" s="217"/>
      <c r="D49" s="148"/>
      <c r="E49" s="148"/>
      <c r="F49" s="148"/>
      <c r="G49" s="148"/>
      <c r="H49" s="148"/>
      <c r="I49" s="148"/>
      <c r="J49" s="148"/>
      <c r="K49" s="148"/>
      <c r="N49" s="352">
        <v>2</v>
      </c>
      <c r="O49" s="117">
        <f>HKXS!Q26</f>
        <v>1</v>
      </c>
      <c r="P49" s="117">
        <f>HKXS!$O$26</f>
        <v>1</v>
      </c>
      <c r="Q49" s="352">
        <v>2</v>
      </c>
      <c r="T49" s="117">
        <f>MenuAVS!$P$28</f>
        <v>1</v>
      </c>
      <c r="AI49" s="118"/>
      <c r="AK49" s="108"/>
    </row>
    <row r="50" spans="1:37" ht="16.149999999999999" customHeight="1" x14ac:dyDescent="0.2">
      <c r="B50" s="218"/>
      <c r="C50" s="218"/>
      <c r="D50" s="219"/>
      <c r="E50" s="219"/>
      <c r="F50" s="219"/>
      <c r="G50" s="219"/>
      <c r="H50" s="219"/>
      <c r="J50" s="219"/>
      <c r="N50" s="220" t="s">
        <v>7</v>
      </c>
      <c r="O50" s="220" t="s">
        <v>137</v>
      </c>
      <c r="P50" s="220" t="s">
        <v>138</v>
      </c>
      <c r="Q50" s="220" t="s">
        <v>84</v>
      </c>
      <c r="S50" s="118"/>
      <c r="T50" s="220" t="s">
        <v>139</v>
      </c>
      <c r="V50" s="208" t="s">
        <v>18</v>
      </c>
      <c r="AE50" s="144" t="str">
        <f>ListAVS!$B$61&amp;" "</f>
        <v xml:space="preserve">Cena całkowita bez VAT </v>
      </c>
      <c r="AF50" s="171">
        <f>SUM(AF9:AF47)</f>
        <v>0</v>
      </c>
      <c r="AH50" s="201">
        <f>SUM(AH9:AH49)</f>
        <v>0</v>
      </c>
      <c r="AJ50" s="201">
        <f>SUM(AJ9:AJ49)</f>
        <v>0</v>
      </c>
      <c r="AK50" s="108"/>
    </row>
    <row r="51" spans="1:37" ht="16.149999999999999" customHeight="1" x14ac:dyDescent="0.2">
      <c r="B51" s="219"/>
      <c r="C51" s="219"/>
      <c r="D51" s="219"/>
      <c r="E51" s="219"/>
      <c r="F51" s="219"/>
      <c r="G51" s="219"/>
      <c r="H51" s="219"/>
      <c r="J51" s="219"/>
      <c r="O51" s="118" t="s">
        <v>140</v>
      </c>
      <c r="P51" s="118" t="str">
        <f>ListAVS!$B$143</f>
        <v>Expando</v>
      </c>
      <c r="Q51" s="118"/>
      <c r="T51" s="37" t="str">
        <f>ListAVS!$B$146</f>
        <v>Jasnoszary (HGR)</v>
      </c>
      <c r="V51" s="209" t="s">
        <v>58</v>
      </c>
      <c r="AK51" s="108"/>
    </row>
    <row r="52" spans="1:37" ht="16.149999999999999" customHeight="1" x14ac:dyDescent="0.2">
      <c r="B52" s="218"/>
      <c r="C52" s="218"/>
      <c r="D52" s="219"/>
      <c r="E52" s="219"/>
      <c r="F52" s="219"/>
      <c r="G52" s="219"/>
      <c r="H52" s="219"/>
      <c r="J52" s="219"/>
      <c r="O52" s="118" t="s">
        <v>141</v>
      </c>
      <c r="P52" s="118" t="str">
        <f>ListAVS!$B$144</f>
        <v>na wkręty</v>
      </c>
      <c r="Q52" s="118"/>
      <c r="T52" s="37" t="str">
        <f>ListAVS!$B$148</f>
        <v>Jedwabiście biały (SW)</v>
      </c>
      <c r="V52" s="209" t="s">
        <v>107</v>
      </c>
      <c r="AK52" s="108"/>
    </row>
    <row r="53" spans="1:37" ht="16.149999999999999" customHeight="1" x14ac:dyDescent="0.2">
      <c r="B53" s="144"/>
      <c r="C53" s="144"/>
      <c r="D53" s="219"/>
      <c r="O53" s="118"/>
      <c r="P53" s="37"/>
      <c r="Q53" s="118"/>
      <c r="R53" s="37"/>
      <c r="AK53" s="108"/>
    </row>
    <row r="54" spans="1:37" ht="16.149999999999999" customHeight="1" x14ac:dyDescent="0.2">
      <c r="B54" s="144"/>
      <c r="C54" s="144"/>
      <c r="N54" s="37" t="str">
        <f>ListAVS!B188&amp;". "</f>
        <v xml:space="preserve">W celu określenia rodzaju siłownika będzie wykorzystana podana waga. </v>
      </c>
      <c r="O54" s="118"/>
      <c r="P54" s="37"/>
      <c r="Q54" s="118"/>
      <c r="R54" s="37"/>
      <c r="AK54" s="108"/>
    </row>
    <row r="55" spans="1:37" ht="16.149999999999999" customHeight="1" x14ac:dyDescent="0.2">
      <c r="B55" s="155"/>
      <c r="C55" s="155"/>
      <c r="E55" s="155"/>
      <c r="F55" s="155"/>
      <c r="G55" s="155"/>
      <c r="H55" s="155"/>
      <c r="J55" s="155"/>
      <c r="N55" s="37" t="str">
        <f>ListAVS!B189&amp;". "</f>
        <v xml:space="preserve">W celu określenia rodzaju siłownika będzie wykorzystana obliczona waga. </v>
      </c>
      <c r="O55" s="118"/>
      <c r="P55" s="37"/>
      <c r="Q55" s="118"/>
      <c r="R55" s="37"/>
      <c r="AK55" s="108"/>
    </row>
    <row r="56" spans="1:37" ht="16.149999999999999" customHeight="1" x14ac:dyDescent="0.2">
      <c r="N56" s="37" t="str">
        <f>ListAVS!B190</f>
        <v>Jeżeli chcesz wykorzystać obliczoną wagę, zmaż podaną wartość</v>
      </c>
      <c r="O56" s="118"/>
      <c r="P56" s="37"/>
      <c r="Q56" s="118"/>
      <c r="R56" s="37"/>
      <c r="AK56" s="108"/>
    </row>
    <row r="57" spans="1:37" ht="16.149999999999999" customHeight="1" x14ac:dyDescent="0.2">
      <c r="N57" s="37" t="str">
        <f>ListAVS!B191</f>
        <v>Jeżeli chcesz wykorzystać podaną wagą, wpisz ją w pole</v>
      </c>
      <c r="O57" s="118"/>
      <c r="P57" s="37"/>
      <c r="Q57" s="118"/>
      <c r="R57" s="37"/>
      <c r="AK57" s="108"/>
    </row>
    <row r="58" spans="1:37" ht="16.149999999999999" customHeight="1" x14ac:dyDescent="0.2"/>
    <row r="59" spans="1:37" ht="16.149999999999999" customHeight="1" x14ac:dyDescent="0.2"/>
    <row r="60" spans="1:37" x14ac:dyDescent="0.2">
      <c r="O60" s="118"/>
      <c r="P60" s="37"/>
      <c r="Q60" s="118"/>
      <c r="R60" s="37"/>
      <c r="AK60" s="108"/>
    </row>
    <row r="61" spans="1:37" x14ac:dyDescent="0.2">
      <c r="O61" s="118"/>
      <c r="P61" s="37"/>
      <c r="Q61" s="118"/>
      <c r="R61" s="37"/>
      <c r="AK61" s="108"/>
    </row>
    <row r="63" spans="1:37" ht="12.75" x14ac:dyDescent="0.2">
      <c r="A63" s="255"/>
      <c r="B63" s="255"/>
      <c r="C63" s="255"/>
      <c r="D63" s="255"/>
      <c r="E63" s="255"/>
      <c r="F63" s="255"/>
      <c r="G63" s="255"/>
      <c r="H63" s="255"/>
      <c r="I63" s="255"/>
      <c r="J63" s="255"/>
      <c r="K63" s="255"/>
      <c r="L63" s="255"/>
    </row>
    <row r="64" spans="1:37" ht="12.75" x14ac:dyDescent="0.2">
      <c r="A64" s="255"/>
      <c r="N64" s="517" t="str">
        <f>ListAVS!$B$73</f>
        <v>Obliczanie wagi frontów</v>
      </c>
      <c r="O64" s="517"/>
      <c r="P64" s="518"/>
      <c r="Q64" s="518"/>
      <c r="R64" s="518"/>
      <c r="S64" s="518"/>
      <c r="T64" s="255"/>
      <c r="U64" s="255"/>
      <c r="V64" s="255"/>
      <c r="W64" s="255"/>
      <c r="X64" s="255"/>
      <c r="AB64" s="118"/>
      <c r="AD64" s="118"/>
    </row>
    <row r="65" spans="1:43" ht="15.75" customHeight="1" x14ac:dyDescent="0.2">
      <c r="A65" s="255"/>
      <c r="N65" s="255"/>
      <c r="O65" s="255"/>
      <c r="P65" s="37"/>
      <c r="Q65" s="269" t="str">
        <f>ListAVS!$B$180&amp;"  "</f>
        <v xml:space="preserve">Wykonanie frontów  </v>
      </c>
      <c r="R65" s="255"/>
      <c r="S65" s="255"/>
      <c r="T65" s="255"/>
      <c r="U65" s="833">
        <f>J4</f>
        <v>0</v>
      </c>
      <c r="V65" s="262" t="str">
        <f>IF(AG71=3,IF(U65=0,Z67," "),IF(U65&gt;0,Z68," "))</f>
        <v xml:space="preserve"> </v>
      </c>
      <c r="W65" s="255"/>
      <c r="X65" s="255"/>
      <c r="Z65" s="335" t="str">
        <f>IF($AG$71=1,$AG$92,IF($AG$71=2,$AG$93,$AG$94&amp;" - "&amp;$Z$75&amp;"mm"))</f>
        <v>Ramki aluminiowe z 4mm szkłem</v>
      </c>
      <c r="AA65" s="118"/>
      <c r="AC65" s="118"/>
      <c r="AE65" s="209">
        <f>MenuAVS!$Q$81</f>
        <v>2500</v>
      </c>
    </row>
    <row r="66" spans="1:43" ht="13.5" customHeight="1" x14ac:dyDescent="0.2">
      <c r="A66" s="255"/>
      <c r="N66" s="255"/>
      <c r="O66" s="255"/>
      <c r="P66" s="255"/>
      <c r="Q66" s="1151" t="str">
        <f>IF($AB$72&lt;&gt;3,$AA$66," ")&amp;"      "</f>
        <v xml:space="preserve">      </v>
      </c>
      <c r="R66" s="1151"/>
      <c r="S66" s="1151"/>
      <c r="T66" s="1151"/>
      <c r="U66" s="1151"/>
      <c r="V66" s="255"/>
      <c r="W66" s="255"/>
      <c r="X66" s="255"/>
      <c r="Z66" s="37" t="str">
        <f>" "&amp;ListAVS!$B$410</f>
        <v xml:space="preserve"> Możesz zmienić wartości we Wstępie do planowania</v>
      </c>
      <c r="AA66" s="118"/>
      <c r="AC66" s="118"/>
    </row>
    <row r="67" spans="1:43" ht="15" customHeight="1" x14ac:dyDescent="0.2">
      <c r="A67" s="255"/>
      <c r="N67" s="266"/>
      <c r="O67" s="266"/>
      <c r="P67" s="255"/>
      <c r="Q67" s="255"/>
      <c r="R67" s="255"/>
      <c r="S67" s="255"/>
      <c r="T67" s="255"/>
      <c r="U67" s="255"/>
      <c r="V67" s="255"/>
      <c r="W67" s="255"/>
      <c r="X67" s="255"/>
      <c r="Z67" s="37" t="str">
        <f>" "&amp;ListAVS!$B$246&amp;" [mm]"</f>
        <v xml:space="preserve"> Podaj grubość szkła [mm]</v>
      </c>
      <c r="AA67" s="118"/>
      <c r="AC67" s="118"/>
    </row>
    <row r="68" spans="1:43" ht="15" customHeight="1" x14ac:dyDescent="0.2">
      <c r="A68" s="255"/>
      <c r="N68" s="266"/>
      <c r="O68" s="266"/>
      <c r="P68" s="255"/>
      <c r="Q68" s="255"/>
      <c r="R68" s="255"/>
      <c r="S68" s="255"/>
      <c r="T68" s="255"/>
      <c r="U68" s="255"/>
      <c r="V68" s="255"/>
      <c r="W68" s="255"/>
      <c r="X68" s="255"/>
      <c r="Z68" s="37" t="str">
        <f>" "&amp;ListAVS!$B$241&amp;" '"&amp;ListAVS!$B$95&amp;"'"</f>
        <v xml:space="preserve"> Wartość obowiązuje tylko dla opcji 'Ramki aluminiowe z innym szkłem'</v>
      </c>
      <c r="AA68" s="118"/>
      <c r="AC68" s="118"/>
    </row>
    <row r="69" spans="1:43" ht="15" customHeight="1" x14ac:dyDescent="0.2">
      <c r="A69" s="255"/>
      <c r="N69" s="255"/>
      <c r="O69" s="255"/>
      <c r="P69" s="255"/>
      <c r="Q69" s="255"/>
      <c r="R69" s="255"/>
      <c r="S69" s="255"/>
      <c r="T69" s="255"/>
      <c r="U69" s="255"/>
      <c r="V69" s="255"/>
      <c r="W69" s="255"/>
      <c r="X69" s="255"/>
      <c r="AA69" s="118"/>
      <c r="AC69" s="118"/>
    </row>
    <row r="70" spans="1:43" ht="15" customHeight="1" x14ac:dyDescent="0.2">
      <c r="A70" s="255"/>
      <c r="N70" s="266"/>
      <c r="O70" s="266"/>
      <c r="P70" s="266"/>
      <c r="Q70" s="266"/>
      <c r="R70" s="255"/>
      <c r="S70" s="1148" t="str">
        <f>E9</f>
        <v xml:space="preserve"> </v>
      </c>
      <c r="T70" s="1149"/>
      <c r="U70" s="1150"/>
      <c r="V70" s="255"/>
      <c r="W70" s="255"/>
      <c r="X70" s="255"/>
      <c r="AA70" s="118"/>
      <c r="AC70" s="118"/>
      <c r="AE70" s="209"/>
      <c r="AF70" s="601" t="s">
        <v>68</v>
      </c>
      <c r="AG70" s="601" t="s">
        <v>69</v>
      </c>
      <c r="AH70" s="601" t="s">
        <v>70</v>
      </c>
    </row>
    <row r="71" spans="1:43" s="118" customFormat="1" ht="15" customHeight="1" x14ac:dyDescent="0.2">
      <c r="A71" s="255"/>
      <c r="N71" s="1218" t="str">
        <f>ListAVS!$B$74&amp;" KB [mm]       "</f>
        <v xml:space="preserve">Szerokość korpusu KB [mm]       </v>
      </c>
      <c r="O71" s="1219"/>
      <c r="P71" s="1219"/>
      <c r="Q71" s="1219"/>
      <c r="R71" s="1219"/>
      <c r="S71" s="1219"/>
      <c r="T71" s="1220"/>
      <c r="U71" s="829">
        <f>I10</f>
        <v>0</v>
      </c>
      <c r="V71" s="670"/>
      <c r="W71" s="248"/>
      <c r="X71" s="255"/>
      <c r="Y71" s="37"/>
      <c r="Z71" s="37">
        <f>U71*U72*U73</f>
        <v>0</v>
      </c>
      <c r="AA71" s="37"/>
      <c r="AB71" s="37"/>
      <c r="AD71" s="37"/>
      <c r="AE71" s="325">
        <f>IF($AH$71=1,$Y$92,$Y$93)</f>
        <v>0.31</v>
      </c>
      <c r="AF71" s="325">
        <f>$Y$94</f>
        <v>0.46</v>
      </c>
      <c r="AG71" s="327">
        <v>1</v>
      </c>
      <c r="AH71" s="328">
        <f>$O$4</f>
        <v>1</v>
      </c>
      <c r="AI71" s="37"/>
      <c r="AJ71" s="37"/>
      <c r="AK71" s="37"/>
      <c r="AL71" s="108"/>
      <c r="AM71" s="108"/>
      <c r="AN71" s="137"/>
      <c r="AO71" s="137"/>
      <c r="AP71" s="137"/>
      <c r="AQ71" s="137"/>
    </row>
    <row r="72" spans="1:43" s="118" customFormat="1" ht="15" customHeight="1" x14ac:dyDescent="0.2">
      <c r="A72" s="255"/>
      <c r="N72" s="1218" t="str">
        <f>ListAVS!$B$75&amp;" KH [mm]       "</f>
        <v xml:space="preserve">Wysokość korpusu KH [mm]       </v>
      </c>
      <c r="O72" s="1219"/>
      <c r="P72" s="1219"/>
      <c r="Q72" s="1219"/>
      <c r="R72" s="1219"/>
      <c r="S72" s="1219"/>
      <c r="T72" s="1220"/>
      <c r="U72" s="829">
        <f>I11</f>
        <v>0</v>
      </c>
      <c r="V72" s="670"/>
      <c r="W72" s="248"/>
      <c r="X72" s="255"/>
      <c r="Y72" s="37"/>
      <c r="Z72" s="37">
        <f>Z71/1000000000</f>
        <v>0</v>
      </c>
      <c r="AA72" s="117">
        <v>0</v>
      </c>
      <c r="AD72" s="37"/>
      <c r="AE72" s="153" t="s">
        <v>143</v>
      </c>
      <c r="AF72" s="353">
        <f>SUM(U71*2,(U72-40)*2)*AE71/1000</f>
        <v>-2.4799999999999999E-2</v>
      </c>
      <c r="AG72" s="601" t="s">
        <v>72</v>
      </c>
      <c r="AH72" s="601"/>
      <c r="AI72" s="37"/>
      <c r="AJ72" s="37"/>
      <c r="AK72" s="37"/>
      <c r="AL72" s="108"/>
      <c r="AM72" s="108"/>
      <c r="AN72" s="137"/>
      <c r="AO72" s="137"/>
      <c r="AP72" s="137"/>
      <c r="AQ72" s="137"/>
    </row>
    <row r="73" spans="1:43" s="118" customFormat="1" ht="15" customHeight="1" x14ac:dyDescent="0.2">
      <c r="A73" s="255"/>
      <c r="N73" s="1143"/>
      <c r="O73" s="1144"/>
      <c r="P73" s="1144"/>
      <c r="Q73" s="1144"/>
      <c r="R73" s="1144"/>
      <c r="S73" s="1144"/>
      <c r="T73" s="1145"/>
      <c r="U73" s="829"/>
      <c r="V73" s="256"/>
      <c r="W73" s="248"/>
      <c r="X73" s="255"/>
      <c r="Y73" s="37"/>
      <c r="Z73" s="319">
        <f>MenuAVS!$C$31</f>
        <v>760</v>
      </c>
      <c r="AA73" s="175" t="str">
        <f>ListAVS!$B$90&amp;" ("&amp;Z73&amp;" kg/m3)"</f>
        <v>MDF (760 kg/m3)</v>
      </c>
      <c r="AD73" s="37"/>
      <c r="AE73" s="209">
        <f>$AE$65*4/1000</f>
        <v>10</v>
      </c>
      <c r="AF73" s="330">
        <f>IF($AH$71=1,AG73*AE73,AH73*AE73)</f>
        <v>8.9999999999999993E-3</v>
      </c>
      <c r="AG73" s="209">
        <f>SUM(($U$71-30)*($U$72-30)/1000000)</f>
        <v>8.9999999999999998E-4</v>
      </c>
      <c r="AH73" s="351">
        <f>SUM(($U$71-6)*($U$72-6)/1000000)</f>
        <v>3.6000000000000001E-5</v>
      </c>
      <c r="AI73" s="208" t="s">
        <v>73</v>
      </c>
      <c r="AJ73" s="37"/>
      <c r="AK73" s="37"/>
      <c r="AL73" s="108"/>
      <c r="AM73" s="108"/>
      <c r="AN73" s="137"/>
      <c r="AO73" s="137"/>
      <c r="AP73" s="137"/>
      <c r="AQ73" s="137"/>
    </row>
    <row r="74" spans="1:43" s="118" customFormat="1" ht="15" customHeight="1" x14ac:dyDescent="0.2">
      <c r="A74" s="255"/>
      <c r="N74" s="1143" t="str">
        <f>ListAVS!$B$83&amp;" [kg] "</f>
        <v xml:space="preserve">Waga uchwytu [kg] </v>
      </c>
      <c r="O74" s="1144"/>
      <c r="P74" s="1144"/>
      <c r="Q74" s="1144"/>
      <c r="R74" s="1144"/>
      <c r="S74" s="1144"/>
      <c r="T74" s="1145"/>
      <c r="U74" s="831">
        <f>I14</f>
        <v>0</v>
      </c>
      <c r="V74" s="256" t="str">
        <f>IF($U$16=2," ",IF(SUM(U71,U72)=0," ",IF(U74=0," ● "&amp;ListAVS!$B$130," ")))</f>
        <v xml:space="preserve"> </v>
      </c>
      <c r="W74" s="248"/>
      <c r="X74" s="255"/>
      <c r="Y74" s="37"/>
      <c r="Z74" s="319">
        <f>MenuAVS!$C$32</f>
        <v>680</v>
      </c>
      <c r="AA74" s="175" t="str">
        <f>ListAVS!$B$91&amp;" ("&amp;Z74&amp;" kg/m3)"</f>
        <v>Płyta wiórowa (680 kg/m3)</v>
      </c>
      <c r="AD74" s="37"/>
      <c r="AE74" s="209">
        <f>$AE$65*5/1000</f>
        <v>12.5</v>
      </c>
      <c r="AF74" s="330">
        <f>IF($AH$71=1,AG74*AE74,AH74*AE74)</f>
        <v>1.125E-2</v>
      </c>
      <c r="AG74" s="209">
        <f>SUM(($U$71-30)*($U$72-30)/1000000)</f>
        <v>8.9999999999999998E-4</v>
      </c>
      <c r="AH74" s="351">
        <f>SUM(($U$71-6)*($U$72-6)/1000000)</f>
        <v>3.6000000000000001E-5</v>
      </c>
      <c r="AI74" s="208" t="s">
        <v>74</v>
      </c>
      <c r="AJ74" s="37"/>
      <c r="AK74" s="37"/>
      <c r="AL74" s="108"/>
      <c r="AM74" s="108"/>
      <c r="AN74" s="137"/>
      <c r="AO74" s="137"/>
      <c r="AP74" s="137"/>
      <c r="AQ74" s="137"/>
    </row>
    <row r="75" spans="1:43" s="118" customFormat="1" ht="15" customHeight="1" x14ac:dyDescent="0.2">
      <c r="A75" s="255"/>
      <c r="N75" s="1143" t="str">
        <f>ListAVS!$B$79&amp;" [kg] "</f>
        <v xml:space="preserve">Obliczona waga frontu [kg] </v>
      </c>
      <c r="O75" s="1144"/>
      <c r="P75" s="1144"/>
      <c r="Q75" s="1144"/>
      <c r="R75" s="1144"/>
      <c r="S75" s="1144"/>
      <c r="T75" s="1145"/>
      <c r="U75" s="533">
        <f>IF(AE76=0,0,AE76+2*U74)</f>
        <v>0</v>
      </c>
      <c r="V75" s="227"/>
      <c r="W75" s="248"/>
      <c r="X75" s="255"/>
      <c r="Y75" s="186">
        <f>IF(U71*U72*U73=0,0,IF(AA72=1,Z72*Z73,IF(AA72=2,Z72*Z74,Z72*Z75)))</f>
        <v>0</v>
      </c>
      <c r="Z75" s="319">
        <f>$U$65</f>
        <v>0</v>
      </c>
      <c r="AA75" s="175" t="str">
        <f>ListAVS!$B$92</f>
        <v>Inne – wybrana gęstość materiału</v>
      </c>
      <c r="AD75" s="37"/>
      <c r="AE75" s="209">
        <f>$AE$65*$U$65/1000</f>
        <v>0</v>
      </c>
      <c r="AF75" s="330">
        <f>IF($AH$71=1,AG75*AE75,AH75*AE75)</f>
        <v>0</v>
      </c>
      <c r="AG75" s="209">
        <f>SUM(($U$71-30)*($U$72-30)/1000000)</f>
        <v>8.9999999999999998E-4</v>
      </c>
      <c r="AH75" s="351">
        <f>SUM(($U$71-6)*($U$72-6)/1000000)</f>
        <v>3.6000000000000001E-5</v>
      </c>
      <c r="AI75" s="208" t="s">
        <v>75</v>
      </c>
      <c r="AJ75" s="37"/>
      <c r="AK75" s="37"/>
      <c r="AL75" s="108"/>
      <c r="AM75" s="108"/>
      <c r="AN75" s="137"/>
      <c r="AO75" s="137"/>
      <c r="AP75" s="137"/>
      <c r="AQ75" s="137"/>
    </row>
    <row r="76" spans="1:43" ht="15" customHeight="1" x14ac:dyDescent="0.2">
      <c r="A76" s="255"/>
      <c r="N76" s="255"/>
      <c r="O76" s="255"/>
      <c r="P76" s="273" t="str">
        <f>IF((U16=2)*AND(U75&gt;0)*AND(U74&gt;0),$AB$93&amp;" "&amp;$AB$94,IF((U16&lt;&gt;2)*AND(U75&gt;0),IF(U74=0,$AB$92," ")," "))</f>
        <v xml:space="preserve"> </v>
      </c>
      <c r="Q76" s="255"/>
      <c r="R76" s="255"/>
      <c r="S76" s="255"/>
      <c r="T76" s="255"/>
      <c r="U76" s="255"/>
      <c r="V76" s="255"/>
      <c r="W76" s="255"/>
      <c r="X76" s="255"/>
      <c r="AA76" s="118"/>
      <c r="AC76" s="118"/>
      <c r="AE76" s="332">
        <f>IF(OR(AND(AG71=3, $U$65=0), U71*U72=0), 0, SUM(IF(AG71=1,AF73,IF(AG71=2,AF74,AF75)),AF72,AF71))</f>
        <v>0</v>
      </c>
    </row>
    <row r="77" spans="1:43" ht="15" customHeight="1" x14ac:dyDescent="0.2">
      <c r="A77" s="255"/>
      <c r="N77" s="255"/>
      <c r="O77" s="255"/>
      <c r="P77" s="255"/>
      <c r="Q77" s="255"/>
      <c r="R77" s="255"/>
      <c r="S77" s="255"/>
      <c r="T77" s="255"/>
      <c r="U77" s="255"/>
      <c r="V77" s="255"/>
      <c r="W77" s="255"/>
      <c r="X77" s="255"/>
      <c r="AA77" s="118"/>
      <c r="AC77" s="118"/>
    </row>
    <row r="78" spans="1:43" s="118" customFormat="1" ht="15" customHeight="1" x14ac:dyDescent="0.2">
      <c r="A78" s="255"/>
      <c r="N78" s="255"/>
      <c r="O78" s="255"/>
      <c r="P78" s="255"/>
      <c r="Q78" s="255"/>
      <c r="R78" s="255"/>
      <c r="S78" s="255"/>
      <c r="T78" s="255"/>
      <c r="U78" s="255"/>
      <c r="V78" s="255"/>
      <c r="W78" s="255"/>
      <c r="X78" s="255"/>
      <c r="Y78" s="37"/>
      <c r="Z78" s="37"/>
      <c r="AB78" s="37"/>
      <c r="AD78" s="37"/>
      <c r="AE78" s="37"/>
      <c r="AF78" s="37"/>
      <c r="AG78" s="37"/>
      <c r="AH78" s="37"/>
      <c r="AI78" s="37"/>
      <c r="AJ78" s="37"/>
      <c r="AK78" s="37"/>
      <c r="AL78" s="108"/>
      <c r="AM78" s="108"/>
      <c r="AN78" s="137"/>
      <c r="AO78" s="137"/>
      <c r="AP78" s="137"/>
      <c r="AQ78" s="137"/>
    </row>
    <row r="79" spans="1:43" s="118" customFormat="1" ht="15" customHeight="1" x14ac:dyDescent="0.2">
      <c r="A79" s="255"/>
      <c r="N79" s="248"/>
      <c r="O79" s="248"/>
      <c r="P79" s="248"/>
      <c r="Q79" s="248"/>
      <c r="R79" s="255"/>
      <c r="S79" s="1148" t="str">
        <f>E20</f>
        <v xml:space="preserve"> </v>
      </c>
      <c r="T79" s="1149"/>
      <c r="U79" s="1150"/>
      <c r="V79" s="255"/>
      <c r="W79" s="255"/>
      <c r="X79" s="255"/>
      <c r="Y79" s="37"/>
      <c r="AB79" s="37"/>
      <c r="AD79" s="37"/>
      <c r="AE79" s="209"/>
      <c r="AF79" s="601" t="s">
        <v>68</v>
      </c>
      <c r="AG79" s="601" t="s">
        <v>69</v>
      </c>
      <c r="AH79" s="601" t="s">
        <v>70</v>
      </c>
      <c r="AI79" s="37"/>
      <c r="AJ79" s="37"/>
      <c r="AK79" s="37"/>
      <c r="AL79" s="108"/>
      <c r="AM79" s="108"/>
      <c r="AN79" s="137"/>
      <c r="AO79" s="137"/>
      <c r="AP79" s="137"/>
      <c r="AQ79" s="137"/>
    </row>
    <row r="80" spans="1:43" s="118" customFormat="1" ht="15" customHeight="1" x14ac:dyDescent="0.2">
      <c r="A80" s="255"/>
      <c r="N80" s="1218" t="str">
        <f>ListAVS!$B$74&amp;" KB [mm]       "</f>
        <v xml:space="preserve">Szerokość korpusu KB [mm]       </v>
      </c>
      <c r="O80" s="1219"/>
      <c r="P80" s="1219"/>
      <c r="Q80" s="1219"/>
      <c r="R80" s="1219"/>
      <c r="S80" s="1219"/>
      <c r="T80" s="1220"/>
      <c r="U80" s="829">
        <f>I21</f>
        <v>0</v>
      </c>
      <c r="V80" s="670"/>
      <c r="W80" s="255"/>
      <c r="X80" s="255"/>
      <c r="Y80" s="37"/>
      <c r="Z80" s="37">
        <f>U80*U81*U82</f>
        <v>0</v>
      </c>
      <c r="AA80" s="37"/>
      <c r="AB80" s="37"/>
      <c r="AD80" s="37"/>
      <c r="AE80" s="325">
        <f>IF($AH$71=1,$Y$92,$Y$93)</f>
        <v>0.31</v>
      </c>
      <c r="AF80" s="325">
        <f>$Y$94</f>
        <v>0.46</v>
      </c>
      <c r="AG80" s="333">
        <f>$AG$71</f>
        <v>1</v>
      </c>
      <c r="AH80" s="328">
        <f>$AH$71</f>
        <v>1</v>
      </c>
      <c r="AI80" s="37"/>
      <c r="AJ80" s="37"/>
      <c r="AK80" s="37"/>
      <c r="AL80" s="108"/>
      <c r="AM80" s="108"/>
      <c r="AN80" s="137"/>
      <c r="AO80" s="137"/>
      <c r="AP80" s="137"/>
      <c r="AQ80" s="137"/>
    </row>
    <row r="81" spans="1:43" s="118" customFormat="1" ht="15" customHeight="1" x14ac:dyDescent="0.2">
      <c r="A81" s="255"/>
      <c r="N81" s="1218" t="str">
        <f>ListAVS!$B$75&amp;" KH [mm]       "</f>
        <v xml:space="preserve">Wysokość korpusu KH [mm]       </v>
      </c>
      <c r="O81" s="1219"/>
      <c r="P81" s="1219"/>
      <c r="Q81" s="1219"/>
      <c r="R81" s="1219"/>
      <c r="S81" s="1219"/>
      <c r="T81" s="1220"/>
      <c r="U81" s="829">
        <f>I22</f>
        <v>0</v>
      </c>
      <c r="V81" s="670"/>
      <c r="W81" s="255"/>
      <c r="X81" s="255"/>
      <c r="Y81" s="37"/>
      <c r="Z81" s="37">
        <f>Z80/1000000000</f>
        <v>0</v>
      </c>
      <c r="AA81" s="182">
        <f>AA72</f>
        <v>0</v>
      </c>
      <c r="AD81" s="37"/>
      <c r="AE81" s="153" t="s">
        <v>143</v>
      </c>
      <c r="AF81" s="353">
        <f>SUM(U80*2,(U81-40)*2)*AE80/1000</f>
        <v>-2.4799999999999999E-2</v>
      </c>
      <c r="AG81" s="601" t="s">
        <v>72</v>
      </c>
      <c r="AH81" s="601"/>
      <c r="AI81" s="37"/>
      <c r="AJ81" s="37"/>
      <c r="AK81" s="37"/>
      <c r="AL81" s="108"/>
      <c r="AM81" s="108"/>
      <c r="AN81" s="137"/>
      <c r="AO81" s="137"/>
      <c r="AP81" s="137"/>
      <c r="AQ81" s="137"/>
    </row>
    <row r="82" spans="1:43" s="118" customFormat="1" ht="15" customHeight="1" x14ac:dyDescent="0.2">
      <c r="A82" s="255"/>
      <c r="N82" s="1143"/>
      <c r="O82" s="1144"/>
      <c r="P82" s="1144"/>
      <c r="Q82" s="1144"/>
      <c r="R82" s="1144"/>
      <c r="S82" s="1144"/>
      <c r="T82" s="1145"/>
      <c r="U82" s="829"/>
      <c r="V82" s="256"/>
      <c r="W82" s="248"/>
      <c r="X82" s="248"/>
      <c r="Y82" s="37"/>
      <c r="Z82" s="319">
        <f>$Z$73</f>
        <v>760</v>
      </c>
      <c r="AA82" s="37" t="str">
        <f>$AA$73</f>
        <v>MDF (760 kg/m3)</v>
      </c>
      <c r="AD82" s="37"/>
      <c r="AE82" s="37">
        <f>AE73</f>
        <v>10</v>
      </c>
      <c r="AF82" s="330">
        <f>IF($AH$71=1,AG82*AE82,AH82*AE82)</f>
        <v>8.9999999999999993E-3</v>
      </c>
      <c r="AG82" s="209">
        <f>SUM(($U$80-30)*($U$81-30)/1000000)</f>
        <v>8.9999999999999998E-4</v>
      </c>
      <c r="AH82" s="351">
        <f>SUM(($U$81-6)*($U$80-6)/1000000)</f>
        <v>3.6000000000000001E-5</v>
      </c>
      <c r="AI82" s="208" t="s">
        <v>73</v>
      </c>
      <c r="AJ82" s="37"/>
      <c r="AK82" s="37"/>
      <c r="AL82" s="108"/>
      <c r="AM82" s="108"/>
      <c r="AN82" s="137"/>
      <c r="AO82" s="137"/>
      <c r="AP82" s="137"/>
      <c r="AQ82" s="137"/>
    </row>
    <row r="83" spans="1:43" s="118" customFormat="1" ht="15" customHeight="1" x14ac:dyDescent="0.2">
      <c r="A83" s="255"/>
      <c r="N83" s="1143" t="str">
        <f>ListAVS!$B$83&amp;" [kg] "</f>
        <v xml:space="preserve">Waga uchwytu [kg] </v>
      </c>
      <c r="O83" s="1144"/>
      <c r="P83" s="1144"/>
      <c r="Q83" s="1144"/>
      <c r="R83" s="1144"/>
      <c r="S83" s="1144"/>
      <c r="T83" s="1145"/>
      <c r="U83" s="831">
        <f>I25</f>
        <v>0</v>
      </c>
      <c r="V83" s="256" t="str">
        <f>IF($U$27=2," ",IF(SUM(U80,U81)=0," ",IF(U83=0," ● "&amp;ListAVS!$B$130," ")))</f>
        <v xml:space="preserve"> </v>
      </c>
      <c r="W83" s="248"/>
      <c r="X83" s="248"/>
      <c r="Y83" s="37"/>
      <c r="Z83" s="319">
        <f>$Z$74</f>
        <v>680</v>
      </c>
      <c r="AA83" s="37" t="str">
        <f>$AA$74</f>
        <v>Płyta wiórowa (680 kg/m3)</v>
      </c>
      <c r="AD83" s="37"/>
      <c r="AE83" s="37">
        <f>AE74</f>
        <v>12.5</v>
      </c>
      <c r="AF83" s="330">
        <f>IF($AH$71=1,AG83*AE83,AH83*AE83)</f>
        <v>1.125E-2</v>
      </c>
      <c r="AG83" s="209">
        <f>SUM(($U$80-30)*($U$81-30)/1000000)</f>
        <v>8.9999999999999998E-4</v>
      </c>
      <c r="AH83" s="351">
        <f>SUM(($U$81-6)*($U$80-6)/1000000)</f>
        <v>3.6000000000000001E-5</v>
      </c>
      <c r="AI83" s="208" t="s">
        <v>74</v>
      </c>
      <c r="AJ83" s="37"/>
      <c r="AK83" s="37"/>
      <c r="AL83" s="108"/>
      <c r="AM83" s="108"/>
      <c r="AN83" s="137"/>
      <c r="AO83" s="137"/>
      <c r="AP83" s="137"/>
      <c r="AQ83" s="137"/>
    </row>
    <row r="84" spans="1:43" s="118" customFormat="1" ht="15" customHeight="1" x14ac:dyDescent="0.2">
      <c r="A84" s="255"/>
      <c r="N84" s="1143" t="str">
        <f>ListAVS!$B$79&amp;" [kg] "</f>
        <v xml:space="preserve">Obliczona waga frontu [kg] </v>
      </c>
      <c r="O84" s="1144"/>
      <c r="P84" s="1144"/>
      <c r="Q84" s="1144"/>
      <c r="R84" s="1144"/>
      <c r="S84" s="1144"/>
      <c r="T84" s="1145"/>
      <c r="U84" s="533">
        <f>IF(AE85=0,0,AE85+2*U83)</f>
        <v>0</v>
      </c>
      <c r="V84" s="227"/>
      <c r="W84" s="248"/>
      <c r="X84" s="248"/>
      <c r="Y84" s="186">
        <f>IF(U80*U81*U82=0,0,IF(AA81=1,Z81*Z82,IF(AA81=2,Z81*Z83,Z81*Z84)))</f>
        <v>0</v>
      </c>
      <c r="Z84" s="37">
        <f>$Z$75</f>
        <v>0</v>
      </c>
      <c r="AA84" s="37" t="str">
        <f>$AA$75</f>
        <v>Inne – wybrana gęstość materiału</v>
      </c>
      <c r="AD84" s="37"/>
      <c r="AE84" s="340">
        <f>AE75</f>
        <v>0</v>
      </c>
      <c r="AF84" s="330">
        <f>IF($AH$71=1,AG84*AE84,AH84*AE84)</f>
        <v>0</v>
      </c>
      <c r="AG84" s="209">
        <f>SUM(($U$80-30)*($U$81-30)/1000000)</f>
        <v>8.9999999999999998E-4</v>
      </c>
      <c r="AH84" s="351">
        <f>SUM(($U$81-6)*($U$80-6)/1000000)</f>
        <v>3.6000000000000001E-5</v>
      </c>
      <c r="AI84" s="208" t="s">
        <v>75</v>
      </c>
      <c r="AJ84" s="37"/>
      <c r="AK84" s="37"/>
      <c r="AL84" s="108"/>
      <c r="AM84" s="108"/>
      <c r="AN84" s="137"/>
      <c r="AO84" s="137"/>
      <c r="AP84" s="137"/>
      <c r="AQ84" s="137"/>
    </row>
    <row r="85" spans="1:43" s="118" customFormat="1" ht="15" customHeight="1" x14ac:dyDescent="0.2">
      <c r="A85" s="255"/>
      <c r="N85" s="255"/>
      <c r="O85" s="255"/>
      <c r="P85" s="273" t="str">
        <f>IF((U27=2)*AND(U84&gt;0)*AND(U83&gt;0),$AB$93&amp;" "&amp;$AB$94,IF((U27&lt;&gt;2)*AND(U84&gt;0),IF(U83=0,$AB$92," ")," "))</f>
        <v xml:space="preserve"> </v>
      </c>
      <c r="Q85" s="255"/>
      <c r="R85" s="255"/>
      <c r="S85" s="255"/>
      <c r="T85" s="255"/>
      <c r="U85" s="255"/>
      <c r="V85" s="255"/>
      <c r="W85" s="255"/>
      <c r="X85" s="255"/>
      <c r="Y85" s="37"/>
      <c r="Z85" s="37"/>
      <c r="AB85" s="37"/>
      <c r="AD85" s="37"/>
      <c r="AE85" s="332">
        <f>IF(OR(AND(AG80=3, $U$65=0), U80*U81=0), 0, SUM(IF(AG80=1,AF82,IF(AG80=2,AF83,AF84)),AF81,AF80))</f>
        <v>0</v>
      </c>
      <c r="AF85" s="37"/>
      <c r="AG85" s="37"/>
      <c r="AH85" s="37"/>
      <c r="AI85" s="37"/>
      <c r="AJ85" s="37"/>
      <c r="AK85" s="37"/>
      <c r="AL85" s="108"/>
      <c r="AM85" s="108"/>
      <c r="AN85" s="137"/>
      <c r="AO85" s="137"/>
      <c r="AP85" s="137"/>
      <c r="AQ85" s="137"/>
    </row>
    <row r="86" spans="1:43" s="118" customFormat="1" ht="15" customHeight="1" x14ac:dyDescent="0.2">
      <c r="A86" s="255"/>
      <c r="N86" s="255"/>
      <c r="O86" s="255"/>
      <c r="P86" s="255"/>
      <c r="Q86" s="255"/>
      <c r="R86" s="255"/>
      <c r="S86" s="255"/>
      <c r="T86" s="255"/>
      <c r="U86" s="255"/>
      <c r="V86" s="255"/>
      <c r="W86" s="255"/>
      <c r="X86" s="255"/>
      <c r="Y86" s="37"/>
      <c r="Z86" s="37"/>
      <c r="AB86" s="37"/>
      <c r="AD86" s="37"/>
      <c r="AE86" s="37"/>
      <c r="AF86" s="37"/>
      <c r="AG86" s="37"/>
      <c r="AH86" s="37"/>
      <c r="AI86" s="37"/>
      <c r="AJ86" s="37"/>
      <c r="AK86" s="37"/>
      <c r="AL86" s="108"/>
      <c r="AM86" s="108"/>
      <c r="AN86" s="137"/>
      <c r="AO86" s="137"/>
      <c r="AP86" s="137"/>
      <c r="AQ86" s="137"/>
    </row>
    <row r="87" spans="1:43" s="118" customFormat="1" ht="15" customHeight="1" x14ac:dyDescent="0.2">
      <c r="A87" s="255"/>
      <c r="N87" s="255"/>
      <c r="O87" s="255"/>
      <c r="P87" s="255"/>
      <c r="Q87" s="255"/>
      <c r="R87" s="255"/>
      <c r="S87" s="255"/>
      <c r="T87" s="255"/>
      <c r="U87" s="255"/>
      <c r="V87" s="255"/>
      <c r="W87" s="255"/>
      <c r="X87" s="255"/>
      <c r="Y87" s="37"/>
      <c r="Z87" s="37"/>
      <c r="AB87" s="37"/>
      <c r="AD87" s="37"/>
      <c r="AE87" s="37"/>
      <c r="AF87" s="37"/>
      <c r="AG87" s="37"/>
      <c r="AH87" s="37"/>
      <c r="AI87" s="37"/>
      <c r="AJ87" s="37"/>
      <c r="AK87" s="37"/>
      <c r="AL87" s="108"/>
      <c r="AM87" s="108"/>
      <c r="AN87" s="137"/>
      <c r="AO87" s="137"/>
      <c r="AP87" s="137"/>
      <c r="AQ87" s="137"/>
    </row>
    <row r="88" spans="1:43" s="118" customFormat="1" ht="15" customHeight="1" x14ac:dyDescent="0.2">
      <c r="A88" s="255"/>
      <c r="N88" s="255"/>
      <c r="O88" s="255"/>
      <c r="P88" s="255"/>
      <c r="Q88" s="255"/>
      <c r="R88" s="255"/>
      <c r="S88" s="255"/>
      <c r="T88" s="255"/>
      <c r="U88" s="255"/>
      <c r="V88" s="255"/>
      <c r="W88" s="255"/>
      <c r="X88" s="255"/>
      <c r="Y88" s="37"/>
      <c r="Z88" s="37"/>
      <c r="AB88" s="37"/>
      <c r="AD88" s="37"/>
      <c r="AE88" s="37"/>
      <c r="AF88" s="37"/>
      <c r="AG88" s="37"/>
      <c r="AH88" s="37"/>
      <c r="AI88" s="37"/>
      <c r="AJ88" s="37"/>
      <c r="AK88" s="37"/>
      <c r="AL88" s="108"/>
      <c r="AM88" s="108"/>
      <c r="AN88" s="137"/>
      <c r="AO88" s="137"/>
      <c r="AP88" s="137"/>
      <c r="AQ88" s="137"/>
    </row>
    <row r="89" spans="1:43" s="118" customFormat="1" ht="15" customHeight="1" x14ac:dyDescent="0.2">
      <c r="A89" s="255"/>
      <c r="N89" s="255"/>
      <c r="O89" s="255"/>
      <c r="P89" s="255"/>
      <c r="Q89" s="255"/>
      <c r="R89" s="255"/>
      <c r="S89" s="255"/>
      <c r="T89" s="1128"/>
      <c r="U89" s="1128"/>
      <c r="V89" s="255"/>
      <c r="W89" s="255"/>
      <c r="X89" s="255"/>
      <c r="Y89" s="37"/>
      <c r="Z89" s="37"/>
      <c r="AB89" s="37"/>
      <c r="AD89" s="37"/>
      <c r="AE89" s="37"/>
      <c r="AF89" s="37"/>
      <c r="AG89" s="37"/>
      <c r="AH89" s="37"/>
      <c r="AI89" s="37"/>
      <c r="AJ89" s="37"/>
      <c r="AK89" s="37"/>
      <c r="AL89" s="108"/>
      <c r="AM89" s="108"/>
      <c r="AN89" s="137"/>
      <c r="AO89" s="137"/>
      <c r="AP89" s="137"/>
      <c r="AQ89" s="137"/>
    </row>
    <row r="90" spans="1:43" s="118" customFormat="1" ht="15" customHeight="1" x14ac:dyDescent="0.2">
      <c r="A90" s="255"/>
      <c r="N90" s="255"/>
      <c r="O90" s="255"/>
      <c r="P90" s="255"/>
      <c r="Q90" s="255"/>
      <c r="R90" s="255"/>
      <c r="S90" s="255"/>
      <c r="T90" s="255"/>
      <c r="U90" s="255"/>
      <c r="V90" s="255"/>
      <c r="W90" s="255"/>
      <c r="X90" s="255"/>
      <c r="Y90" s="37"/>
      <c r="Z90" s="37"/>
      <c r="AB90" s="37"/>
      <c r="AD90" s="37"/>
      <c r="AE90" s="37"/>
      <c r="AF90" s="37"/>
      <c r="AG90" s="37"/>
      <c r="AH90" s="37"/>
      <c r="AI90" s="37"/>
      <c r="AJ90" s="37"/>
      <c r="AK90" s="37"/>
      <c r="AL90" s="108"/>
      <c r="AM90" s="108"/>
      <c r="AN90" s="137"/>
      <c r="AO90" s="137"/>
      <c r="AP90" s="137"/>
      <c r="AQ90" s="137"/>
    </row>
    <row r="91" spans="1:43" s="118" customFormat="1" ht="15" customHeight="1" x14ac:dyDescent="0.2">
      <c r="A91" s="255"/>
      <c r="N91" s="255"/>
      <c r="O91" s="255"/>
      <c r="P91" s="255"/>
      <c r="Q91" s="255"/>
      <c r="R91" s="255"/>
      <c r="S91" s="255"/>
      <c r="T91" s="248"/>
      <c r="U91" s="248"/>
      <c r="V91" s="255"/>
      <c r="W91" s="255"/>
      <c r="X91" s="255"/>
      <c r="Y91" s="37"/>
      <c r="Z91" s="37"/>
      <c r="AB91" s="37"/>
      <c r="AD91" s="37"/>
      <c r="AE91" s="37"/>
      <c r="AF91" s="37"/>
      <c r="AG91" s="37"/>
      <c r="AH91" s="37"/>
      <c r="AI91" s="37"/>
      <c r="AJ91" s="37"/>
      <c r="AK91" s="37"/>
      <c r="AL91" s="108"/>
      <c r="AM91" s="108"/>
      <c r="AN91" s="137"/>
      <c r="AO91" s="137"/>
      <c r="AP91" s="137"/>
      <c r="AQ91" s="137"/>
    </row>
    <row r="92" spans="1:43" s="118" customFormat="1" ht="15" customHeight="1" x14ac:dyDescent="0.2">
      <c r="A92" s="255"/>
      <c r="N92" s="255"/>
      <c r="O92" s="255"/>
      <c r="P92" s="442"/>
      <c r="Q92" s="442"/>
      <c r="R92" s="442"/>
      <c r="S92" s="442"/>
      <c r="T92" s="442"/>
      <c r="U92" s="442"/>
      <c r="V92" s="442"/>
      <c r="W92" s="442"/>
      <c r="X92" s="816" t="str">
        <f>ListAVS!$B$424&amp;"  "</f>
        <v xml:space="preserve">z wpuszczanym szkłem  </v>
      </c>
      <c r="Y92" s="711">
        <f>MenuAVS!$I$91</f>
        <v>0.31</v>
      </c>
      <c r="AB92" s="37" t="str">
        <f>ListAVS!$B$103&amp;"!"</f>
        <v>Bez wagi uchwytu!</v>
      </c>
      <c r="AD92" s="37"/>
      <c r="AE92" s="37"/>
      <c r="AF92" s="37"/>
      <c r="AG92" s="335" t="str">
        <f>ListAVS!$B$93</f>
        <v>Ramki aluminiowe z 4mm szkłem</v>
      </c>
      <c r="AH92" s="37"/>
      <c r="AI92" s="37"/>
      <c r="AJ92" s="37"/>
      <c r="AK92" s="37"/>
      <c r="AL92" s="108"/>
      <c r="AM92" s="108"/>
      <c r="AN92" s="137"/>
      <c r="AO92" s="137"/>
      <c r="AP92" s="137"/>
      <c r="AQ92" s="137"/>
    </row>
    <row r="93" spans="1:43" s="118" customFormat="1" ht="15" customHeight="1" x14ac:dyDescent="0.2">
      <c r="A93" s="255"/>
      <c r="N93" s="255"/>
      <c r="O93" s="255"/>
      <c r="P93" s="442"/>
      <c r="Q93" s="442"/>
      <c r="R93" s="442"/>
      <c r="S93" s="442"/>
      <c r="T93" s="442"/>
      <c r="U93" s="442"/>
      <c r="V93" s="442"/>
      <c r="W93" s="442"/>
      <c r="X93" s="816" t="str">
        <f>ListAVS!$B$425&amp;"  "</f>
        <v xml:space="preserve">ze szkłem nakładanym lub przyklejanym  </v>
      </c>
      <c r="Y93" s="711">
        <f>MenuAVS!$I$92</f>
        <v>0.32</v>
      </c>
      <c r="AB93" s="37" t="str">
        <f>ListAVS!B104</f>
        <v>Na pewno masz uchwyt do wersji TIP-ON?</v>
      </c>
      <c r="AD93" s="37"/>
      <c r="AE93" s="37"/>
      <c r="AF93" s="37"/>
      <c r="AG93" s="335" t="str">
        <f>ListAVS!$B$94</f>
        <v>Ramki aluminiowe z 5mm szkłem</v>
      </c>
      <c r="AH93" s="37"/>
      <c r="AI93" s="37"/>
      <c r="AJ93" s="37"/>
      <c r="AK93" s="37"/>
      <c r="AL93" s="108"/>
      <c r="AM93" s="108"/>
      <c r="AN93" s="137"/>
      <c r="AO93" s="137"/>
      <c r="AP93" s="137"/>
      <c r="AQ93" s="137"/>
    </row>
    <row r="94" spans="1:43" s="37" customFormat="1" ht="15" customHeight="1" x14ac:dyDescent="0.2">
      <c r="A94" s="255"/>
      <c r="N94" s="255"/>
      <c r="O94" s="255"/>
      <c r="P94" s="442"/>
      <c r="Q94" s="442"/>
      <c r="R94" s="442"/>
      <c r="S94" s="442"/>
      <c r="T94" s="442"/>
      <c r="U94" s="442"/>
      <c r="V94" s="442"/>
      <c r="W94" s="442"/>
      <c r="X94" s="816" t="str">
        <f>ListAVS!$B$405&amp;" [kg/set] *  "</f>
        <v xml:space="preserve">Waga materiału łączącego  [kg/set] *  </v>
      </c>
      <c r="Y94" s="711">
        <f>MenuAVS!$I$93</f>
        <v>0.46</v>
      </c>
      <c r="AA94" s="118"/>
      <c r="AB94" s="37" t="str">
        <f>ListAVS!B105&amp;"!"</f>
        <v>Jeśli nie wymaż wagę uchwytu!</v>
      </c>
      <c r="AC94" s="118"/>
      <c r="AG94" s="335" t="str">
        <f>ListAVS!$B$95</f>
        <v>Ramki aluminiowe z innym szkłem</v>
      </c>
      <c r="AL94" s="108"/>
      <c r="AM94" s="108"/>
      <c r="AN94" s="137"/>
      <c r="AO94" s="137"/>
      <c r="AP94" s="137"/>
      <c r="AQ94" s="137"/>
    </row>
    <row r="95" spans="1:43" s="37" customFormat="1" ht="15" customHeight="1" x14ac:dyDescent="0.2">
      <c r="A95" s="255"/>
      <c r="N95" s="255"/>
      <c r="O95" s="255"/>
      <c r="P95" s="255"/>
      <c r="Q95" s="255"/>
      <c r="R95" s="255"/>
      <c r="S95" s="255"/>
      <c r="T95" s="255"/>
      <c r="U95" s="255"/>
      <c r="V95" s="255"/>
      <c r="W95" s="255"/>
      <c r="X95" s="255"/>
      <c r="AB95" s="118"/>
      <c r="AD95" s="118"/>
      <c r="AL95" s="108"/>
      <c r="AM95" s="108"/>
      <c r="AN95" s="137"/>
      <c r="AO95" s="137"/>
      <c r="AP95" s="137"/>
      <c r="AQ95" s="137"/>
    </row>
    <row r="96" spans="1:43" s="37" customFormat="1" ht="15" customHeight="1" x14ac:dyDescent="0.2">
      <c r="A96" s="255"/>
      <c r="N96" s="255"/>
      <c r="O96" s="255"/>
      <c r="P96" s="255"/>
      <c r="Q96" s="255"/>
      <c r="R96" s="255"/>
      <c r="S96" s="255"/>
      <c r="T96" s="255"/>
      <c r="U96" s="255"/>
      <c r="V96" s="255"/>
      <c r="W96" s="255"/>
      <c r="X96" s="255"/>
      <c r="AA96" s="118"/>
      <c r="AC96" s="118"/>
      <c r="AJ96" s="137"/>
    </row>
    <row r="97" spans="1:36" s="37" customFormat="1" ht="15" customHeight="1" x14ac:dyDescent="0.2">
      <c r="A97" s="255"/>
      <c r="N97" s="255"/>
      <c r="O97" s="255"/>
      <c r="P97" s="255"/>
      <c r="Q97" s="255"/>
      <c r="R97" s="255"/>
      <c r="S97" s="255"/>
      <c r="T97" s="255"/>
      <c r="U97" s="255"/>
      <c r="V97" s="255"/>
      <c r="W97" s="255"/>
      <c r="X97" s="255"/>
      <c r="AA97" s="118"/>
      <c r="AC97" s="118"/>
      <c r="AJ97" s="137"/>
    </row>
    <row r="98" spans="1:36" s="37" customFormat="1" ht="15" customHeight="1" x14ac:dyDescent="0.2">
      <c r="A98" s="255"/>
      <c r="N98" s="255"/>
      <c r="O98" s="255"/>
      <c r="P98" s="255"/>
      <c r="Q98" s="255"/>
      <c r="R98" s="255"/>
      <c r="S98" s="255"/>
      <c r="T98" s="255"/>
      <c r="U98" s="255"/>
      <c r="V98" s="255"/>
      <c r="W98" s="255"/>
      <c r="X98" s="255"/>
      <c r="AA98" s="118"/>
      <c r="AC98" s="118"/>
      <c r="AJ98" s="137"/>
    </row>
    <row r="99" spans="1:36" ht="12.75" x14ac:dyDescent="0.2">
      <c r="A99" s="1045"/>
      <c r="B99" s="255"/>
      <c r="C99" s="255"/>
      <c r="D99" s="255"/>
      <c r="E99" s="255"/>
      <c r="F99" s="255"/>
      <c r="G99" s="255"/>
      <c r="H99" s="255"/>
      <c r="I99" s="255"/>
      <c r="J99" s="255"/>
      <c r="K99" s="255"/>
      <c r="L99" s="255"/>
      <c r="M99" s="255"/>
    </row>
    <row r="100" spans="1:36" ht="15" customHeight="1" x14ac:dyDescent="0.2">
      <c r="A100" s="1045"/>
      <c r="B100" s="569" t="s">
        <v>22</v>
      </c>
      <c r="C100" s="569"/>
      <c r="D100" s="569"/>
      <c r="E100" s="569"/>
      <c r="F100" s="569"/>
      <c r="G100" s="569"/>
      <c r="H100" s="569"/>
      <c r="I100" s="569"/>
      <c r="J100" s="569"/>
      <c r="K100" s="569"/>
      <c r="L100" s="569"/>
      <c r="M100" s="569"/>
    </row>
    <row r="101" spans="1:36" ht="12.75" x14ac:dyDescent="0.2">
      <c r="A101" s="1045"/>
      <c r="B101" s="255"/>
      <c r="C101" s="255"/>
      <c r="D101" s="255"/>
      <c r="E101" s="255"/>
      <c r="F101" s="255"/>
      <c r="G101" s="255"/>
      <c r="H101" s="255"/>
      <c r="I101" s="255"/>
      <c r="J101" s="255"/>
      <c r="K101" s="255"/>
      <c r="L101" s="255"/>
      <c r="M101" s="255"/>
    </row>
    <row r="102" spans="1:36" ht="15" customHeight="1" x14ac:dyDescent="0.2">
      <c r="A102" s="1045"/>
      <c r="B102" s="255" t="str">
        <f>ListAVS!$B$303</f>
        <v>Odpowiedni siłownik będzie określony za pomocą współczynnika mocy</v>
      </c>
      <c r="C102" s="255"/>
      <c r="D102" s="255"/>
      <c r="E102" s="255"/>
      <c r="F102" s="255"/>
      <c r="G102" s="255"/>
      <c r="H102" s="255"/>
      <c r="I102" s="255"/>
      <c r="J102" s="255"/>
      <c r="K102" s="255"/>
      <c r="L102" s="255"/>
      <c r="M102" s="255"/>
    </row>
    <row r="103" spans="1:36" ht="15" customHeight="1" x14ac:dyDescent="0.2">
      <c r="A103" s="1045"/>
      <c r="B103" s="255" t="str">
        <f>ListAVS!$B$341</f>
        <v>Współczynnik mocy zależy od wagi frontu (wraz z podwójną wagą uchwytu) i od wysokości korpusu.</v>
      </c>
      <c r="C103" s="255"/>
      <c r="D103" s="255"/>
      <c r="E103" s="255"/>
      <c r="F103" s="255"/>
      <c r="G103" s="255"/>
      <c r="H103" s="255"/>
      <c r="I103" s="255"/>
      <c r="J103" s="255"/>
      <c r="K103" s="255"/>
      <c r="L103" s="255"/>
      <c r="M103" s="255"/>
    </row>
    <row r="104" spans="1:36" ht="15" customHeight="1" x14ac:dyDescent="0.2">
      <c r="A104" s="1045"/>
      <c r="B104" s="255"/>
      <c r="C104" s="255"/>
      <c r="D104" s="775"/>
      <c r="E104" s="775"/>
      <c r="F104" s="775"/>
      <c r="G104" s="775"/>
      <c r="H104" s="775"/>
      <c r="I104" s="775"/>
      <c r="J104" s="775"/>
      <c r="K104" s="775"/>
      <c r="L104" s="775"/>
      <c r="M104" s="775"/>
    </row>
    <row r="105" spans="1:36" ht="15" customHeight="1" x14ac:dyDescent="0.2">
      <c r="A105" s="1045"/>
      <c r="B105" s="776"/>
      <c r="C105" s="776"/>
      <c r="D105" s="776"/>
      <c r="E105" s="776"/>
      <c r="F105" s="776"/>
      <c r="G105" s="776"/>
      <c r="H105" s="776"/>
      <c r="I105" s="776"/>
      <c r="J105" s="776"/>
      <c r="K105" s="776"/>
      <c r="L105" s="776"/>
      <c r="M105" s="775"/>
    </row>
    <row r="106" spans="1:36" ht="30.6" customHeight="1" x14ac:dyDescent="0.2">
      <c r="A106" s="1045"/>
      <c r="B106" s="777"/>
      <c r="C106" s="777"/>
      <c r="D106" s="778" t="str">
        <f>ListAVS!$B$86&amp;" = "</f>
        <v xml:space="preserve">Współczynnik mocy = </v>
      </c>
      <c r="E106" s="1221" t="str">
        <f>ListAVS!$B$342&amp;" [kg]"</f>
        <v>wysokość korpusu (KH) [mm] x waga frontu wraz z podwójną wagą uchwytu [kg]</v>
      </c>
      <c r="F106" s="1221"/>
      <c r="G106" s="1221"/>
      <c r="H106" s="1221"/>
      <c r="I106" s="1221"/>
      <c r="J106" s="1221"/>
      <c r="K106" s="1221"/>
      <c r="L106" s="1221"/>
      <c r="M106" s="775"/>
    </row>
    <row r="107" spans="1:36" ht="15" customHeight="1" x14ac:dyDescent="0.2">
      <c r="A107" s="1045"/>
      <c r="B107" s="255"/>
      <c r="C107" s="255"/>
      <c r="D107" s="255"/>
      <c r="E107" s="255"/>
      <c r="F107" s="255"/>
      <c r="G107" s="255"/>
      <c r="H107" s="255"/>
      <c r="I107" s="255"/>
      <c r="J107" s="255"/>
      <c r="K107" s="255"/>
      <c r="L107" s="255"/>
      <c r="M107" s="255"/>
    </row>
    <row r="108" spans="1:36" ht="15" customHeight="1" x14ac:dyDescent="0.2">
      <c r="A108" s="1045"/>
      <c r="B108" s="255" t="str">
        <f>ListAVS!$B$355</f>
        <v>W razie wykorzystania trzeciego siłownika współczynnik mocy oraz waga frontu mogą się zwiększyć o 50 %.</v>
      </c>
      <c r="C108" s="255"/>
      <c r="D108" s="255"/>
      <c r="E108" s="255"/>
      <c r="F108" s="255"/>
      <c r="G108" s="255"/>
      <c r="H108" s="255"/>
      <c r="I108" s="255"/>
      <c r="J108" s="255"/>
      <c r="K108" s="255"/>
      <c r="L108" s="255"/>
      <c r="M108" s="255"/>
      <c r="O108" s="108"/>
    </row>
    <row r="109" spans="1:36" ht="15" customHeight="1" x14ac:dyDescent="0.2">
      <c r="A109" s="1045"/>
      <c r="B109" s="255" t="str">
        <f>"("&amp;ListAVS!$B$356&amp;")"</f>
        <v>(Dotyczy tylko siłownika 20K2E00)</v>
      </c>
      <c r="C109" s="255"/>
      <c r="D109" s="255"/>
      <c r="E109" s="255"/>
      <c r="F109" s="255"/>
      <c r="G109" s="255"/>
      <c r="H109" s="255"/>
      <c r="I109" s="255"/>
      <c r="J109" s="255"/>
      <c r="K109" s="255"/>
      <c r="L109" s="255"/>
      <c r="M109" s="255"/>
    </row>
    <row r="110" spans="1:36" ht="15" customHeight="1" x14ac:dyDescent="0.2">
      <c r="A110" s="1045"/>
      <c r="B110" s="273" t="str">
        <f>ListAVS!$B$183</f>
        <v>Dodatkowy trzeci siłownik można zastosować jedynie z pełnym frontem!</v>
      </c>
      <c r="C110" s="273"/>
      <c r="D110" s="255"/>
      <c r="E110" s="255"/>
      <c r="F110" s="255"/>
      <c r="G110" s="255"/>
      <c r="H110" s="255"/>
      <c r="I110" s="255"/>
      <c r="J110" s="255"/>
      <c r="K110" s="255"/>
      <c r="L110" s="255"/>
      <c r="M110" s="255"/>
    </row>
    <row r="111" spans="1:36" ht="15" customHeight="1" x14ac:dyDescent="0.2">
      <c r="A111" s="1045"/>
      <c r="B111" s="255"/>
      <c r="C111" s="255"/>
      <c r="D111" s="255"/>
      <c r="E111" s="255"/>
      <c r="F111" s="255"/>
      <c r="G111" s="255"/>
      <c r="H111" s="255"/>
      <c r="I111" s="255"/>
      <c r="J111" s="255"/>
      <c r="K111" s="255"/>
      <c r="L111" s="255"/>
      <c r="M111" s="255"/>
    </row>
    <row r="112" spans="1:36" ht="15" customHeight="1" x14ac:dyDescent="0.2">
      <c r="A112" s="1045"/>
      <c r="B112" s="255" t="str">
        <f>ListAVS!$B$312</f>
        <v>Jeśli znasz wagę frontu, możesz ją wprowadzić, w przeciwnym razie skorzystaj z „Obliczenia wagi”.</v>
      </c>
    </row>
    <row r="113" spans="1:13" ht="15" customHeight="1" x14ac:dyDescent="0.2">
      <c r="A113" s="1045"/>
      <c r="B113" s="255" t="str">
        <f>ListAVS!$B$313</f>
        <v>W tabeli wprowadzona wartość ma pierwszeństwo aby skorzystać z wagi obliczeniowej, należy usunąć wprowadzoną wartość.</v>
      </c>
    </row>
    <row r="114" spans="1:13" ht="15" customHeight="1" x14ac:dyDescent="0.2">
      <c r="A114" s="1045"/>
      <c r="B114" s="255"/>
    </row>
    <row r="115" spans="1:13" ht="15" customHeight="1" x14ac:dyDescent="0.2">
      <c r="A115" s="1045"/>
      <c r="B115" s="255"/>
    </row>
    <row r="116" spans="1:13" ht="15" customHeight="1" x14ac:dyDescent="0.2">
      <c r="A116" s="1045"/>
      <c r="B116" s="255" t="str">
        <f>ListAVS!$B$306</f>
        <v>Aby zmienić kolor zaślepek przejdź do „Wprowadzenie do planowania”</v>
      </c>
    </row>
    <row r="117" spans="1:13" ht="15" customHeight="1" x14ac:dyDescent="0.2">
      <c r="A117" s="1045"/>
    </row>
    <row r="118" spans="1:13" ht="15" customHeight="1" x14ac:dyDescent="0.2">
      <c r="A118" s="1045"/>
    </row>
    <row r="119" spans="1:13" ht="15" customHeight="1" x14ac:dyDescent="0.2">
      <c r="A119" s="1045"/>
      <c r="B119" s="255" t="str">
        <f>ListAVS!$B$411</f>
        <v>Zwróć uwagę na wybór ramek aluminiowych</v>
      </c>
    </row>
    <row r="120" spans="1:13" ht="15" customHeight="1" x14ac:dyDescent="0.2">
      <c r="A120" s="1045"/>
      <c r="B120" s="255" t="str">
        <f>ListAVS!$B$412</f>
        <v>Wybierz, rodzaj, który lepiej pasuje do kształtu zastosowanej ramki aluminiowej.</v>
      </c>
    </row>
    <row r="121" spans="1:13" ht="15" customHeight="1" x14ac:dyDescent="0.2">
      <c r="A121" s="1045"/>
      <c r="B121" s="255" t="str">
        <f>ListAVS!$B$413</f>
        <v>Sposób mocowania szkła w ramkę znacząco wpływa na powierzchnię szkła, a co za tym idzie na jego wagę!</v>
      </c>
    </row>
    <row r="122" spans="1:13" ht="15" customHeight="1" x14ac:dyDescent="0.2">
      <c r="A122" s="1045"/>
      <c r="L122" s="137"/>
    </row>
    <row r="123" spans="1:13" ht="15" customHeight="1" x14ac:dyDescent="0.2">
      <c r="A123" s="1045"/>
      <c r="B123" s="255"/>
      <c r="C123" s="796" t="str">
        <f>"  "&amp;ListAVS!$B$424&amp;"  "</f>
        <v xml:space="preserve">  z wpuszczanym szkłem  </v>
      </c>
    </row>
    <row r="124" spans="1:13" ht="12.75" x14ac:dyDescent="0.2">
      <c r="A124" s="1045"/>
      <c r="B124" s="255"/>
      <c r="C124" s="266"/>
    </row>
    <row r="125" spans="1:13" ht="15" customHeight="1" x14ac:dyDescent="0.2">
      <c r="A125" s="1045"/>
      <c r="B125" s="255"/>
      <c r="C125" s="796" t="str">
        <f>"  "&amp;ListAVS!$B$425&amp;"  "</f>
        <v xml:space="preserve">  ze szkłem nakładanym lub przyklejanym  </v>
      </c>
      <c r="M125" s="137"/>
    </row>
    <row r="126" spans="1:13" x14ac:dyDescent="0.2">
      <c r="A126" s="1045"/>
    </row>
    <row r="127" spans="1:13" ht="14.65" customHeight="1" x14ac:dyDescent="0.2">
      <c r="A127" s="1045"/>
      <c r="L127" s="790" t="str">
        <f>ListAVS!$B$168</f>
        <v>Z powrotem</v>
      </c>
    </row>
    <row r="128" spans="1:13" x14ac:dyDescent="0.2">
      <c r="A128" s="1045"/>
    </row>
    <row r="129" spans="1:1" x14ac:dyDescent="0.2">
      <c r="A129" s="1045"/>
    </row>
    <row r="130" spans="1:1" x14ac:dyDescent="0.2">
      <c r="A130" s="1045"/>
    </row>
    <row r="131" spans="1:1" x14ac:dyDescent="0.2">
      <c r="A131" s="1045"/>
    </row>
    <row r="132" spans="1:1" x14ac:dyDescent="0.2">
      <c r="A132" s="1045"/>
    </row>
    <row r="133" spans="1:1" x14ac:dyDescent="0.2">
      <c r="A133" s="1045"/>
    </row>
    <row r="134" spans="1:1" x14ac:dyDescent="0.2">
      <c r="A134" s="1045"/>
    </row>
    <row r="135" spans="1:1" x14ac:dyDescent="0.2">
      <c r="A135" s="1045"/>
    </row>
    <row r="136" spans="1:1" x14ac:dyDescent="0.2">
      <c r="A136" s="1045"/>
    </row>
    <row r="137" spans="1:1" x14ac:dyDescent="0.2">
      <c r="A137" s="1045"/>
    </row>
    <row r="138" spans="1:1" x14ac:dyDescent="0.2">
      <c r="A138" s="1045"/>
    </row>
    <row r="139" spans="1:1" x14ac:dyDescent="0.2">
      <c r="A139" s="1045"/>
    </row>
    <row r="140" spans="1:1" x14ac:dyDescent="0.2">
      <c r="A140" s="1045"/>
    </row>
  </sheetData>
  <sheetProtection algorithmName="SHA-512" hashValue="Nkr/2bJro0+c/vsYpLYpz/kX/ssjlvnpc++4jkdSZuKhvC4v0THQoOn2Zpxe1HIPX0ptw9cieQaI8M1w0WNhaQ==" saltValue="TzNjR8DN5j/pnk1KgAhWEw==" spinCount="100000" sheet="1" objects="1" scenarios="1"/>
  <mergeCells count="66">
    <mergeCell ref="A99:A140"/>
    <mergeCell ref="T31:U31"/>
    <mergeCell ref="M42:M43"/>
    <mergeCell ref="M45:M46"/>
    <mergeCell ref="T89:U89"/>
    <mergeCell ref="N73:T73"/>
    <mergeCell ref="N74:T74"/>
    <mergeCell ref="N75:T75"/>
    <mergeCell ref="S79:U79"/>
    <mergeCell ref="N80:T80"/>
    <mergeCell ref="N72:T72"/>
    <mergeCell ref="N81:T81"/>
    <mergeCell ref="N82:T82"/>
    <mergeCell ref="N83:T83"/>
    <mergeCell ref="N84:T84"/>
    <mergeCell ref="E106:L106"/>
    <mergeCell ref="B24:C26"/>
    <mergeCell ref="D24:H24"/>
    <mergeCell ref="D25:H25"/>
    <mergeCell ref="D26:H26"/>
    <mergeCell ref="N71:T71"/>
    <mergeCell ref="Q66:U66"/>
    <mergeCell ref="S70:U70"/>
    <mergeCell ref="B27:D27"/>
    <mergeCell ref="E27:H27"/>
    <mergeCell ref="B28:H28"/>
    <mergeCell ref="V21:W21"/>
    <mergeCell ref="B20:C20"/>
    <mergeCell ref="F20:I20"/>
    <mergeCell ref="R20:S20"/>
    <mergeCell ref="V20:W20"/>
    <mergeCell ref="B13:C15"/>
    <mergeCell ref="D13:H13"/>
    <mergeCell ref="D14:H14"/>
    <mergeCell ref="B22:H22"/>
    <mergeCell ref="B23:H23"/>
    <mergeCell ref="B21:H21"/>
    <mergeCell ref="D15:H15"/>
    <mergeCell ref="B17:H17"/>
    <mergeCell ref="B16:D16"/>
    <mergeCell ref="E16:H16"/>
    <mergeCell ref="AU1:BC1"/>
    <mergeCell ref="F5:J5"/>
    <mergeCell ref="K4:L5"/>
    <mergeCell ref="H7:I7"/>
    <mergeCell ref="AP8:AQ9"/>
    <mergeCell ref="AR8:AR9"/>
    <mergeCell ref="F9:I9"/>
    <mergeCell ref="R9:S9"/>
    <mergeCell ref="V9:W9"/>
    <mergeCell ref="B2:D2"/>
    <mergeCell ref="AP17:AQ17"/>
    <mergeCell ref="AP18:AQ18"/>
    <mergeCell ref="AP20:AT21"/>
    <mergeCell ref="AP23:AT24"/>
    <mergeCell ref="AP10:AQ10"/>
    <mergeCell ref="AP11:AQ11"/>
    <mergeCell ref="AP12:AQ12"/>
    <mergeCell ref="AP14:AQ15"/>
    <mergeCell ref="AP16:AQ16"/>
    <mergeCell ref="B10:H10"/>
    <mergeCell ref="V10:W10"/>
    <mergeCell ref="B11:H11"/>
    <mergeCell ref="B12:H12"/>
    <mergeCell ref="B7:D7"/>
    <mergeCell ref="B9:C9"/>
  </mergeCells>
  <conditionalFormatting sqref="B16:D16">
    <cfRule type="expression" dxfId="89" priority="16" stopIfTrue="1">
      <formula>$V$10=TRUE</formula>
    </cfRule>
  </conditionalFormatting>
  <conditionalFormatting sqref="B27:D27">
    <cfRule type="expression" dxfId="88" priority="17" stopIfTrue="1">
      <formula>$V$21=TRUE</formula>
    </cfRule>
  </conditionalFormatting>
  <conditionalFormatting sqref="E9">
    <cfRule type="expression" dxfId="87" priority="15">
      <formula>$M$17&gt;0</formula>
    </cfRule>
  </conditionalFormatting>
  <conditionalFormatting sqref="E20">
    <cfRule type="expression" dxfId="86" priority="14">
      <formula>$M$28&gt;0</formula>
    </cfRule>
  </conditionalFormatting>
  <conditionalFormatting sqref="J13">
    <cfRule type="containsText" dxfId="85" priority="10" operator="containsText" text="Doplňte">
      <formula>NOT(ISERROR(SEARCH("Doplňte",J13)))</formula>
    </cfRule>
  </conditionalFormatting>
  <conditionalFormatting sqref="J12">
    <cfRule type="expression" dxfId="84" priority="8">
      <formula>$M$17=0</formula>
    </cfRule>
    <cfRule type="containsText" dxfId="83" priority="9" operator="containsText" text="Doplňte">
      <formula>NOT(ISERROR(SEARCH("Doplňte",J12)))</formula>
    </cfRule>
  </conditionalFormatting>
  <conditionalFormatting sqref="J15">
    <cfRule type="expression" dxfId="82" priority="6">
      <formula>$M$17=0</formula>
    </cfRule>
    <cfRule type="containsText" dxfId="81" priority="7" operator="containsText" text="Doplňte">
      <formula>NOT(ISERROR(SEARCH("Doplňte",J15)))</formula>
    </cfRule>
  </conditionalFormatting>
  <conditionalFormatting sqref="J24">
    <cfRule type="containsText" dxfId="80" priority="5" operator="containsText" text="Doplňte">
      <formula>NOT(ISERROR(SEARCH("Doplňte",J24)))</formula>
    </cfRule>
  </conditionalFormatting>
  <conditionalFormatting sqref="J23">
    <cfRule type="containsText" dxfId="79" priority="3" operator="containsText" text="Doplňte">
      <formula>NOT(ISERROR(SEARCH("Doplňte",J23)))</formula>
    </cfRule>
  </conditionalFormatting>
  <conditionalFormatting sqref="J23">
    <cfRule type="expression" dxfId="78" priority="4">
      <formula>$M$28=0</formula>
    </cfRule>
  </conditionalFormatting>
  <conditionalFormatting sqref="J26">
    <cfRule type="containsText" dxfId="77" priority="1" operator="containsText" text="Doplňte">
      <formula>NOT(ISERROR(SEARCH("Doplňte",J26)))</formula>
    </cfRule>
  </conditionalFormatting>
  <conditionalFormatting sqref="J26">
    <cfRule type="expression" dxfId="76" priority="2">
      <formula>$M$28=0</formula>
    </cfRule>
  </conditionalFormatting>
  <hyperlinks>
    <hyperlink ref="N71:T71" location="HKSw!H10" tooltip=" " display="HKSw!H10" xr:uid="{2EF07220-92A5-4B40-95D0-B4F68A1F6A40}"/>
    <hyperlink ref="N72:T72" location="HKSw!H11" tooltip=" " display="HKSw!H11" xr:uid="{A6DCD934-6510-4FED-9958-42BF3F96C255}"/>
    <hyperlink ref="N80:T80" location="HKSw!H19" tooltip=" " display="HKSw!H19" xr:uid="{62773799-4117-416D-A471-C4A25449BF70}"/>
    <hyperlink ref="N81:T81" location="HKSw!H20" tooltip=" " display="HKSw!H20" xr:uid="{38ADA353-765D-42DB-AA70-7D01FCC0E57E}"/>
    <hyperlink ref="AM5" location="HKXSna!A100" tooltip=" " display="HKXSna!A100" xr:uid="{EC9D6C8A-E512-49CE-A3CA-D29739755B97}"/>
    <hyperlink ref="L127" location="HKXSna!A1" tooltip=" " display="HKXSna!A1" xr:uid="{E9900FD0-7A07-4DD2-A6B5-907DE5FB6562}"/>
    <hyperlink ref="AM9" location="SumAVS!A1" tooltip=" " display="SumAVS!A1" xr:uid="{555E1D9D-119E-4AED-B956-A714720AD22B}"/>
    <hyperlink ref="AM10" location="OrdAVS!A1" tooltip=" " display="OrdAVS!A1" xr:uid="{01D69105-0545-4B64-84EC-70884EC22E10}"/>
    <hyperlink ref="B7" location="HFW!A100" tooltip=" " display="HFW!A100" xr:uid="{5D33D564-84CE-459F-8551-AC9002985FBA}"/>
    <hyperlink ref="B7:D7" location="HKXSw!A100" tooltip=" " display="HKXSw!A100" xr:uid="{C62324A9-AF10-4754-8DA4-F707FC0E1C7F}"/>
    <hyperlink ref="AM4" location="MenuAVS!A1" tooltip=" " display="MenuAVS!A1" xr:uid="{63294200-58EA-46B7-87F7-B2DEE7B76B78}"/>
    <hyperlink ref="AM7" location="AcsAVS!A1" tooltip=" " display="AcsAVS!A1" xr:uid="{CBDF97ED-C670-40C3-8D58-1D9C25CC3C4C}"/>
    <hyperlink ref="B2:C2" location="HK!A1" tooltip=" " display="AVENTOS HK top" xr:uid="{CD978BC2-6F18-4C63-B14C-329AF3E77CA4}"/>
    <hyperlink ref="B2:L2" location="HKXS!A1" tooltip=" " display="AVENTOS HK-XS" xr:uid="{F126324D-A8E9-4F55-8BA9-23F700452CEB}"/>
  </hyperlinks>
  <pageMargins left="0.62992125984251968" right="0.23622047244094488" top="0.74803149606299213" bottom="0.74803149606299213" header="0.31496062992125984" footer="0.31496062992125984"/>
  <pageSetup paperSize="9" orientation="portrait" horizontalDpi="4294967293"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77153" r:id="rId4" name="Drop Down 1">
              <controlPr defaultSize="0" autoLine="0" autoPict="0">
                <anchor moveWithCells="1">
                  <from>
                    <xdr:col>3</xdr:col>
                    <xdr:colOff>590550</xdr:colOff>
                    <xdr:row>6</xdr:row>
                    <xdr:rowOff>0</xdr:rowOff>
                  </from>
                  <to>
                    <xdr:col>7</xdr:col>
                    <xdr:colOff>0</xdr:colOff>
                    <xdr:row>7</xdr:row>
                    <xdr:rowOff>0</xdr:rowOff>
                  </to>
                </anchor>
              </controlPr>
            </control>
          </mc:Choice>
        </mc:AlternateContent>
        <mc:AlternateContent xmlns:mc="http://schemas.openxmlformats.org/markup-compatibility/2006">
          <mc:Choice Requires="x14">
            <control shapeId="177155" r:id="rId5" name="Check Box 3">
              <controlPr defaultSize="0" autoFill="0" autoLine="0" autoPict="0">
                <anchor moveWithCells="1">
                  <from>
                    <xdr:col>3</xdr:col>
                    <xdr:colOff>390525</xdr:colOff>
                    <xdr:row>15</xdr:row>
                    <xdr:rowOff>0</xdr:rowOff>
                  </from>
                  <to>
                    <xdr:col>4</xdr:col>
                    <xdr:colOff>66675</xdr:colOff>
                    <xdr:row>16</xdr:row>
                    <xdr:rowOff>19050</xdr:rowOff>
                  </to>
                </anchor>
              </controlPr>
            </control>
          </mc:Choice>
        </mc:AlternateContent>
        <mc:AlternateContent xmlns:mc="http://schemas.openxmlformats.org/markup-compatibility/2006">
          <mc:Choice Requires="x14">
            <control shapeId="177156" r:id="rId6" name="Check Box 4">
              <controlPr defaultSize="0" autoFill="0" autoLine="0" autoPict="0">
                <anchor moveWithCells="1">
                  <from>
                    <xdr:col>3</xdr:col>
                    <xdr:colOff>400050</xdr:colOff>
                    <xdr:row>25</xdr:row>
                    <xdr:rowOff>180975</xdr:rowOff>
                  </from>
                  <to>
                    <xdr:col>4</xdr:col>
                    <xdr:colOff>95250</xdr:colOff>
                    <xdr:row>27</xdr:row>
                    <xdr:rowOff>0</xdr:rowOff>
                  </to>
                </anchor>
              </controlPr>
            </control>
          </mc:Choice>
        </mc:AlternateContent>
        <mc:AlternateContent xmlns:mc="http://schemas.openxmlformats.org/markup-compatibility/2006">
          <mc:Choice Requires="x14">
            <control shapeId="177157" r:id="rId7" name="Drop Down 5">
              <controlPr defaultSize="0" autoLine="0" autoPict="0">
                <anchor moveWithCells="1">
                  <from>
                    <xdr:col>1</xdr:col>
                    <xdr:colOff>0</xdr:colOff>
                    <xdr:row>9</xdr:row>
                    <xdr:rowOff>0</xdr:rowOff>
                  </from>
                  <to>
                    <xdr:col>3</xdr:col>
                    <xdr:colOff>209550</xdr:colOff>
                    <xdr:row>10</xdr:row>
                    <xdr:rowOff>0</xdr:rowOff>
                  </to>
                </anchor>
              </controlPr>
            </control>
          </mc:Choice>
        </mc:AlternateContent>
        <mc:AlternateContent xmlns:mc="http://schemas.openxmlformats.org/markup-compatibility/2006">
          <mc:Choice Requires="x14">
            <control shapeId="177158" r:id="rId8" name="Drop Down 6">
              <controlPr defaultSize="0" autoLine="0" autoPict="0">
                <anchor moveWithCells="1">
                  <from>
                    <xdr:col>1</xdr:col>
                    <xdr:colOff>0</xdr:colOff>
                    <xdr:row>20</xdr:row>
                    <xdr:rowOff>0</xdr:rowOff>
                  </from>
                  <to>
                    <xdr:col>3</xdr:col>
                    <xdr:colOff>209550</xdr:colOff>
                    <xdr:row>21</xdr:row>
                    <xdr:rowOff>0</xdr:rowOff>
                  </to>
                </anchor>
              </controlPr>
            </control>
          </mc:Choice>
        </mc:AlternateContent>
        <mc:AlternateContent xmlns:mc="http://schemas.openxmlformats.org/markup-compatibility/2006">
          <mc:Choice Requires="x14">
            <control shapeId="177159" r:id="rId9" name="Option Button 7">
              <controlPr defaultSize="0" autoFill="0" autoLine="0" autoPict="0">
                <anchor moveWithCells="1">
                  <from>
                    <xdr:col>1</xdr:col>
                    <xdr:colOff>390525</xdr:colOff>
                    <xdr:row>5</xdr:row>
                    <xdr:rowOff>57150</xdr:rowOff>
                  </from>
                  <to>
                    <xdr:col>2</xdr:col>
                    <xdr:colOff>76200</xdr:colOff>
                    <xdr:row>5</xdr:row>
                    <xdr:rowOff>266700</xdr:rowOff>
                  </to>
                </anchor>
              </controlPr>
            </control>
          </mc:Choice>
        </mc:AlternateContent>
        <mc:AlternateContent xmlns:mc="http://schemas.openxmlformats.org/markup-compatibility/2006">
          <mc:Choice Requires="x14">
            <control shapeId="177160" r:id="rId10" name="Option Button 8">
              <controlPr defaultSize="0" autoFill="0" autoLine="0" autoPict="0">
                <anchor moveWithCells="1">
                  <from>
                    <xdr:col>3</xdr:col>
                    <xdr:colOff>361950</xdr:colOff>
                    <xdr:row>5</xdr:row>
                    <xdr:rowOff>57150</xdr:rowOff>
                  </from>
                  <to>
                    <xdr:col>4</xdr:col>
                    <xdr:colOff>38100</xdr:colOff>
                    <xdr:row>5</xdr:row>
                    <xdr:rowOff>276225</xdr:rowOff>
                  </to>
                </anchor>
              </controlPr>
            </control>
          </mc:Choice>
        </mc:AlternateContent>
        <mc:AlternateContent xmlns:mc="http://schemas.openxmlformats.org/markup-compatibility/2006">
          <mc:Choice Requires="x14">
            <control shapeId="177161" r:id="rId11" name="Drop Down 9">
              <controlPr defaultSize="0" autoLine="0" autoPict="0">
                <anchor moveWithCells="1">
                  <from>
                    <xdr:col>6</xdr:col>
                    <xdr:colOff>19050</xdr:colOff>
                    <xdr:row>3</xdr:row>
                    <xdr:rowOff>0</xdr:rowOff>
                  </from>
                  <to>
                    <xdr:col>8</xdr:col>
                    <xdr:colOff>571500</xdr:colOff>
                    <xdr:row>4</xdr:row>
                    <xdr:rowOff>0</xdr:rowOff>
                  </to>
                </anchor>
              </controlPr>
            </control>
          </mc:Choice>
        </mc:AlternateContent>
      </controls>
    </mc:Choice>
  </mc:AlternateContent>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33E9D-1563-40CE-8E14-7BB5B1B4EC4A}">
  <sheetPr codeName="Sheet39">
    <tabColor indexed="63"/>
  </sheetPr>
  <dimension ref="A1:BD140"/>
  <sheetViews>
    <sheetView showGridLines="0" showRowColHeaders="0" workbookViewId="0">
      <selection activeCell="L19" sqref="L19"/>
    </sheetView>
  </sheetViews>
  <sheetFormatPr defaultColWidth="8.28515625" defaultRowHeight="12" x14ac:dyDescent="0.2"/>
  <cols>
    <col min="1" max="1" width="1.28515625" style="37" customWidth="1"/>
    <col min="2" max="9" width="8.5703125" style="37" customWidth="1"/>
    <col min="10" max="10" width="6.7109375" style="37" customWidth="1"/>
    <col min="11" max="11" width="10.42578125" style="37" customWidth="1"/>
    <col min="12" max="12" width="17.28515625" style="37" customWidth="1"/>
    <col min="13" max="15" width="6.42578125" style="37" hidden="1" customWidth="1"/>
    <col min="16" max="16" width="6.42578125" style="118" hidden="1" customWidth="1"/>
    <col min="17" max="17" width="6.42578125" style="37" hidden="1" customWidth="1"/>
    <col min="18" max="18" width="7.28515625" style="118" hidden="1" customWidth="1"/>
    <col min="19" max="19" width="6.42578125" style="37" hidden="1" customWidth="1"/>
    <col min="20" max="20" width="7.7109375" style="37" hidden="1" customWidth="1"/>
    <col min="21" max="21" width="9.5703125" style="37" hidden="1" customWidth="1"/>
    <col min="22" max="22" width="8.5703125" style="37" hidden="1" customWidth="1"/>
    <col min="23" max="26" width="6.42578125" style="37" hidden="1" customWidth="1"/>
    <col min="27" max="27" width="37.28515625" style="37" hidden="1" customWidth="1"/>
    <col min="28" max="28" width="13.5703125" style="37" hidden="1" customWidth="1"/>
    <col min="29" max="31" width="6.7109375" style="37" hidden="1" customWidth="1"/>
    <col min="32" max="32" width="9.42578125" style="37" hidden="1" customWidth="1"/>
    <col min="33" max="33" width="6.7109375" style="37" hidden="1" customWidth="1"/>
    <col min="34" max="36" width="6.7109375" style="108" hidden="1" customWidth="1"/>
    <col min="37" max="37" width="3.28515625" style="108" hidden="1" customWidth="1"/>
    <col min="38" max="38" width="3.42578125" style="108" customWidth="1"/>
    <col min="39" max="39" width="23.28515625" style="137" customWidth="1"/>
    <col min="40" max="41" width="8.28515625" style="137"/>
    <col min="42" max="43" width="17.28515625" style="137" customWidth="1"/>
    <col min="44" max="44" width="22.28515625" style="137" customWidth="1"/>
    <col min="45" max="47" width="8.28515625" style="137"/>
    <col min="48" max="48" width="16.28515625" style="137" customWidth="1"/>
    <col min="49" max="49" width="22.42578125" style="137" customWidth="1"/>
    <col min="50" max="50" width="18.7109375" style="137" customWidth="1"/>
    <col min="51" max="257" width="8.28515625" style="137"/>
    <col min="258" max="258" width="1.28515625" style="137" customWidth="1"/>
    <col min="259" max="266" width="7.7109375" style="137" customWidth="1"/>
    <col min="267" max="267" width="6.42578125" style="137" customWidth="1"/>
    <col min="268" max="268" width="9.28515625" style="137" customWidth="1"/>
    <col min="269" max="269" width="15.42578125" style="137" customWidth="1"/>
    <col min="270" max="274" width="6.42578125" style="137" customWidth="1"/>
    <col min="275" max="275" width="7.28515625" style="137" customWidth="1"/>
    <col min="276" max="276" width="6.42578125" style="137" customWidth="1"/>
    <col min="277" max="277" width="7.7109375" style="137" customWidth="1"/>
    <col min="278" max="278" width="9.5703125" style="137" customWidth="1"/>
    <col min="279" max="279" width="8.5703125" style="137" customWidth="1"/>
    <col min="280" max="283" width="6.42578125" style="137" customWidth="1"/>
    <col min="284" max="284" width="7.7109375" style="137" customWidth="1"/>
    <col min="285" max="285" width="3.28515625" style="137" customWidth="1"/>
    <col min="286" max="286" width="3.42578125" style="137" customWidth="1"/>
    <col min="287" max="287" width="23.28515625" style="137" customWidth="1"/>
    <col min="288" max="303" width="8.28515625" style="137"/>
    <col min="304" max="304" width="16.28515625" style="137" customWidth="1"/>
    <col min="305" max="305" width="22.42578125" style="137" customWidth="1"/>
    <col min="306" max="306" width="18.7109375" style="137" customWidth="1"/>
    <col min="307" max="513" width="8.28515625" style="137"/>
    <col min="514" max="514" width="1.28515625" style="137" customWidth="1"/>
    <col min="515" max="522" width="7.7109375" style="137" customWidth="1"/>
    <col min="523" max="523" width="6.42578125" style="137" customWidth="1"/>
    <col min="524" max="524" width="9.28515625" style="137" customWidth="1"/>
    <col min="525" max="525" width="15.42578125" style="137" customWidth="1"/>
    <col min="526" max="530" width="6.42578125" style="137" customWidth="1"/>
    <col min="531" max="531" width="7.28515625" style="137" customWidth="1"/>
    <col min="532" max="532" width="6.42578125" style="137" customWidth="1"/>
    <col min="533" max="533" width="7.7109375" style="137" customWidth="1"/>
    <col min="534" max="534" width="9.5703125" style="137" customWidth="1"/>
    <col min="535" max="535" width="8.5703125" style="137" customWidth="1"/>
    <col min="536" max="539" width="6.42578125" style="137" customWidth="1"/>
    <col min="540" max="540" width="7.7109375" style="137" customWidth="1"/>
    <col min="541" max="541" width="3.28515625" style="137" customWidth="1"/>
    <col min="542" max="542" width="3.42578125" style="137" customWidth="1"/>
    <col min="543" max="543" width="23.28515625" style="137" customWidth="1"/>
    <col min="544" max="559" width="8.28515625" style="137"/>
    <col min="560" max="560" width="16.28515625" style="137" customWidth="1"/>
    <col min="561" max="561" width="22.42578125" style="137" customWidth="1"/>
    <col min="562" max="562" width="18.7109375" style="137" customWidth="1"/>
    <col min="563" max="769" width="8.28515625" style="137"/>
    <col min="770" max="770" width="1.28515625" style="137" customWidth="1"/>
    <col min="771" max="778" width="7.7109375" style="137" customWidth="1"/>
    <col min="779" max="779" width="6.42578125" style="137" customWidth="1"/>
    <col min="780" max="780" width="9.28515625" style="137" customWidth="1"/>
    <col min="781" max="781" width="15.42578125" style="137" customWidth="1"/>
    <col min="782" max="786" width="6.42578125" style="137" customWidth="1"/>
    <col min="787" max="787" width="7.28515625" style="137" customWidth="1"/>
    <col min="788" max="788" width="6.42578125" style="137" customWidth="1"/>
    <col min="789" max="789" width="7.7109375" style="137" customWidth="1"/>
    <col min="790" max="790" width="9.5703125" style="137" customWidth="1"/>
    <col min="791" max="791" width="8.5703125" style="137" customWidth="1"/>
    <col min="792" max="795" width="6.42578125" style="137" customWidth="1"/>
    <col min="796" max="796" width="7.7109375" style="137" customWidth="1"/>
    <col min="797" max="797" width="3.28515625" style="137" customWidth="1"/>
    <col min="798" max="798" width="3.42578125" style="137" customWidth="1"/>
    <col min="799" max="799" width="23.28515625" style="137" customWidth="1"/>
    <col min="800" max="815" width="8.28515625" style="137"/>
    <col min="816" max="816" width="16.28515625" style="137" customWidth="1"/>
    <col min="817" max="817" width="22.42578125" style="137" customWidth="1"/>
    <col min="818" max="818" width="18.7109375" style="137" customWidth="1"/>
    <col min="819" max="1025" width="8.28515625" style="137"/>
    <col min="1026" max="1026" width="1.28515625" style="137" customWidth="1"/>
    <col min="1027" max="1034" width="7.7109375" style="137" customWidth="1"/>
    <col min="1035" max="1035" width="6.42578125" style="137" customWidth="1"/>
    <col min="1036" max="1036" width="9.28515625" style="137" customWidth="1"/>
    <col min="1037" max="1037" width="15.42578125" style="137" customWidth="1"/>
    <col min="1038" max="1042" width="6.42578125" style="137" customWidth="1"/>
    <col min="1043" max="1043" width="7.28515625" style="137" customWidth="1"/>
    <col min="1044" max="1044" width="6.42578125" style="137" customWidth="1"/>
    <col min="1045" max="1045" width="7.7109375" style="137" customWidth="1"/>
    <col min="1046" max="1046" width="9.5703125" style="137" customWidth="1"/>
    <col min="1047" max="1047" width="8.5703125" style="137" customWidth="1"/>
    <col min="1048" max="1051" width="6.42578125" style="137" customWidth="1"/>
    <col min="1052" max="1052" width="7.7109375" style="137" customWidth="1"/>
    <col min="1053" max="1053" width="3.28515625" style="137" customWidth="1"/>
    <col min="1054" max="1054" width="3.42578125" style="137" customWidth="1"/>
    <col min="1055" max="1055" width="23.28515625" style="137" customWidth="1"/>
    <col min="1056" max="1071" width="8.28515625" style="137"/>
    <col min="1072" max="1072" width="16.28515625" style="137" customWidth="1"/>
    <col min="1073" max="1073" width="22.42578125" style="137" customWidth="1"/>
    <col min="1074" max="1074" width="18.7109375" style="137" customWidth="1"/>
    <col min="1075" max="1281" width="8.28515625" style="137"/>
    <col min="1282" max="1282" width="1.28515625" style="137" customWidth="1"/>
    <col min="1283" max="1290" width="7.7109375" style="137" customWidth="1"/>
    <col min="1291" max="1291" width="6.42578125" style="137" customWidth="1"/>
    <col min="1292" max="1292" width="9.28515625" style="137" customWidth="1"/>
    <col min="1293" max="1293" width="15.42578125" style="137" customWidth="1"/>
    <col min="1294" max="1298" width="6.42578125" style="137" customWidth="1"/>
    <col min="1299" max="1299" width="7.28515625" style="137" customWidth="1"/>
    <col min="1300" max="1300" width="6.42578125" style="137" customWidth="1"/>
    <col min="1301" max="1301" width="7.7109375" style="137" customWidth="1"/>
    <col min="1302" max="1302" width="9.5703125" style="137" customWidth="1"/>
    <col min="1303" max="1303" width="8.5703125" style="137" customWidth="1"/>
    <col min="1304" max="1307" width="6.42578125" style="137" customWidth="1"/>
    <col min="1308" max="1308" width="7.7109375" style="137" customWidth="1"/>
    <col min="1309" max="1309" width="3.28515625" style="137" customWidth="1"/>
    <col min="1310" max="1310" width="3.42578125" style="137" customWidth="1"/>
    <col min="1311" max="1311" width="23.28515625" style="137" customWidth="1"/>
    <col min="1312" max="1327" width="8.28515625" style="137"/>
    <col min="1328" max="1328" width="16.28515625" style="137" customWidth="1"/>
    <col min="1329" max="1329" width="22.42578125" style="137" customWidth="1"/>
    <col min="1330" max="1330" width="18.7109375" style="137" customWidth="1"/>
    <col min="1331" max="1537" width="8.28515625" style="137"/>
    <col min="1538" max="1538" width="1.28515625" style="137" customWidth="1"/>
    <col min="1539" max="1546" width="7.7109375" style="137" customWidth="1"/>
    <col min="1547" max="1547" width="6.42578125" style="137" customWidth="1"/>
    <col min="1548" max="1548" width="9.28515625" style="137" customWidth="1"/>
    <col min="1549" max="1549" width="15.42578125" style="137" customWidth="1"/>
    <col min="1550" max="1554" width="6.42578125" style="137" customWidth="1"/>
    <col min="1555" max="1555" width="7.28515625" style="137" customWidth="1"/>
    <col min="1556" max="1556" width="6.42578125" style="137" customWidth="1"/>
    <col min="1557" max="1557" width="7.7109375" style="137" customWidth="1"/>
    <col min="1558" max="1558" width="9.5703125" style="137" customWidth="1"/>
    <col min="1559" max="1559" width="8.5703125" style="137" customWidth="1"/>
    <col min="1560" max="1563" width="6.42578125" style="137" customWidth="1"/>
    <col min="1564" max="1564" width="7.7109375" style="137" customWidth="1"/>
    <col min="1565" max="1565" width="3.28515625" style="137" customWidth="1"/>
    <col min="1566" max="1566" width="3.42578125" style="137" customWidth="1"/>
    <col min="1567" max="1567" width="23.28515625" style="137" customWidth="1"/>
    <col min="1568" max="1583" width="8.28515625" style="137"/>
    <col min="1584" max="1584" width="16.28515625" style="137" customWidth="1"/>
    <col min="1585" max="1585" width="22.42578125" style="137" customWidth="1"/>
    <col min="1586" max="1586" width="18.7109375" style="137" customWidth="1"/>
    <col min="1587" max="1793" width="8.28515625" style="137"/>
    <col min="1794" max="1794" width="1.28515625" style="137" customWidth="1"/>
    <col min="1795" max="1802" width="7.7109375" style="137" customWidth="1"/>
    <col min="1803" max="1803" width="6.42578125" style="137" customWidth="1"/>
    <col min="1804" max="1804" width="9.28515625" style="137" customWidth="1"/>
    <col min="1805" max="1805" width="15.42578125" style="137" customWidth="1"/>
    <col min="1806" max="1810" width="6.42578125" style="137" customWidth="1"/>
    <col min="1811" max="1811" width="7.28515625" style="137" customWidth="1"/>
    <col min="1812" max="1812" width="6.42578125" style="137" customWidth="1"/>
    <col min="1813" max="1813" width="7.7109375" style="137" customWidth="1"/>
    <col min="1814" max="1814" width="9.5703125" style="137" customWidth="1"/>
    <col min="1815" max="1815" width="8.5703125" style="137" customWidth="1"/>
    <col min="1816" max="1819" width="6.42578125" style="137" customWidth="1"/>
    <col min="1820" max="1820" width="7.7109375" style="137" customWidth="1"/>
    <col min="1821" max="1821" width="3.28515625" style="137" customWidth="1"/>
    <col min="1822" max="1822" width="3.42578125" style="137" customWidth="1"/>
    <col min="1823" max="1823" width="23.28515625" style="137" customWidth="1"/>
    <col min="1824" max="1839" width="8.28515625" style="137"/>
    <col min="1840" max="1840" width="16.28515625" style="137" customWidth="1"/>
    <col min="1841" max="1841" width="22.42578125" style="137" customWidth="1"/>
    <col min="1842" max="1842" width="18.7109375" style="137" customWidth="1"/>
    <col min="1843" max="2049" width="8.28515625" style="137"/>
    <col min="2050" max="2050" width="1.28515625" style="137" customWidth="1"/>
    <col min="2051" max="2058" width="7.7109375" style="137" customWidth="1"/>
    <col min="2059" max="2059" width="6.42578125" style="137" customWidth="1"/>
    <col min="2060" max="2060" width="9.28515625" style="137" customWidth="1"/>
    <col min="2061" max="2061" width="15.42578125" style="137" customWidth="1"/>
    <col min="2062" max="2066" width="6.42578125" style="137" customWidth="1"/>
    <col min="2067" max="2067" width="7.28515625" style="137" customWidth="1"/>
    <col min="2068" max="2068" width="6.42578125" style="137" customWidth="1"/>
    <col min="2069" max="2069" width="7.7109375" style="137" customWidth="1"/>
    <col min="2070" max="2070" width="9.5703125" style="137" customWidth="1"/>
    <col min="2071" max="2071" width="8.5703125" style="137" customWidth="1"/>
    <col min="2072" max="2075" width="6.42578125" style="137" customWidth="1"/>
    <col min="2076" max="2076" width="7.7109375" style="137" customWidth="1"/>
    <col min="2077" max="2077" width="3.28515625" style="137" customWidth="1"/>
    <col min="2078" max="2078" width="3.42578125" style="137" customWidth="1"/>
    <col min="2079" max="2079" width="23.28515625" style="137" customWidth="1"/>
    <col min="2080" max="2095" width="8.28515625" style="137"/>
    <col min="2096" max="2096" width="16.28515625" style="137" customWidth="1"/>
    <col min="2097" max="2097" width="22.42578125" style="137" customWidth="1"/>
    <col min="2098" max="2098" width="18.7109375" style="137" customWidth="1"/>
    <col min="2099" max="2305" width="8.28515625" style="137"/>
    <col min="2306" max="2306" width="1.28515625" style="137" customWidth="1"/>
    <col min="2307" max="2314" width="7.7109375" style="137" customWidth="1"/>
    <col min="2315" max="2315" width="6.42578125" style="137" customWidth="1"/>
    <col min="2316" max="2316" width="9.28515625" style="137" customWidth="1"/>
    <col min="2317" max="2317" width="15.42578125" style="137" customWidth="1"/>
    <col min="2318" max="2322" width="6.42578125" style="137" customWidth="1"/>
    <col min="2323" max="2323" width="7.28515625" style="137" customWidth="1"/>
    <col min="2324" max="2324" width="6.42578125" style="137" customWidth="1"/>
    <col min="2325" max="2325" width="7.7109375" style="137" customWidth="1"/>
    <col min="2326" max="2326" width="9.5703125" style="137" customWidth="1"/>
    <col min="2327" max="2327" width="8.5703125" style="137" customWidth="1"/>
    <col min="2328" max="2331" width="6.42578125" style="137" customWidth="1"/>
    <col min="2332" max="2332" width="7.7109375" style="137" customWidth="1"/>
    <col min="2333" max="2333" width="3.28515625" style="137" customWidth="1"/>
    <col min="2334" max="2334" width="3.42578125" style="137" customWidth="1"/>
    <col min="2335" max="2335" width="23.28515625" style="137" customWidth="1"/>
    <col min="2336" max="2351" width="8.28515625" style="137"/>
    <col min="2352" max="2352" width="16.28515625" style="137" customWidth="1"/>
    <col min="2353" max="2353" width="22.42578125" style="137" customWidth="1"/>
    <col min="2354" max="2354" width="18.7109375" style="137" customWidth="1"/>
    <col min="2355" max="2561" width="8.28515625" style="137"/>
    <col min="2562" max="2562" width="1.28515625" style="137" customWidth="1"/>
    <col min="2563" max="2570" width="7.7109375" style="137" customWidth="1"/>
    <col min="2571" max="2571" width="6.42578125" style="137" customWidth="1"/>
    <col min="2572" max="2572" width="9.28515625" style="137" customWidth="1"/>
    <col min="2573" max="2573" width="15.42578125" style="137" customWidth="1"/>
    <col min="2574" max="2578" width="6.42578125" style="137" customWidth="1"/>
    <col min="2579" max="2579" width="7.28515625" style="137" customWidth="1"/>
    <col min="2580" max="2580" width="6.42578125" style="137" customWidth="1"/>
    <col min="2581" max="2581" width="7.7109375" style="137" customWidth="1"/>
    <col min="2582" max="2582" width="9.5703125" style="137" customWidth="1"/>
    <col min="2583" max="2583" width="8.5703125" style="137" customWidth="1"/>
    <col min="2584" max="2587" width="6.42578125" style="137" customWidth="1"/>
    <col min="2588" max="2588" width="7.7109375" style="137" customWidth="1"/>
    <col min="2589" max="2589" width="3.28515625" style="137" customWidth="1"/>
    <col min="2590" max="2590" width="3.42578125" style="137" customWidth="1"/>
    <col min="2591" max="2591" width="23.28515625" style="137" customWidth="1"/>
    <col min="2592" max="2607" width="8.28515625" style="137"/>
    <col min="2608" max="2608" width="16.28515625" style="137" customWidth="1"/>
    <col min="2609" max="2609" width="22.42578125" style="137" customWidth="1"/>
    <col min="2610" max="2610" width="18.7109375" style="137" customWidth="1"/>
    <col min="2611" max="2817" width="8.28515625" style="137"/>
    <col min="2818" max="2818" width="1.28515625" style="137" customWidth="1"/>
    <col min="2819" max="2826" width="7.7109375" style="137" customWidth="1"/>
    <col min="2827" max="2827" width="6.42578125" style="137" customWidth="1"/>
    <col min="2828" max="2828" width="9.28515625" style="137" customWidth="1"/>
    <col min="2829" max="2829" width="15.42578125" style="137" customWidth="1"/>
    <col min="2830" max="2834" width="6.42578125" style="137" customWidth="1"/>
    <col min="2835" max="2835" width="7.28515625" style="137" customWidth="1"/>
    <col min="2836" max="2836" width="6.42578125" style="137" customWidth="1"/>
    <col min="2837" max="2837" width="7.7109375" style="137" customWidth="1"/>
    <col min="2838" max="2838" width="9.5703125" style="137" customWidth="1"/>
    <col min="2839" max="2839" width="8.5703125" style="137" customWidth="1"/>
    <col min="2840" max="2843" width="6.42578125" style="137" customWidth="1"/>
    <col min="2844" max="2844" width="7.7109375" style="137" customWidth="1"/>
    <col min="2845" max="2845" width="3.28515625" style="137" customWidth="1"/>
    <col min="2846" max="2846" width="3.42578125" style="137" customWidth="1"/>
    <col min="2847" max="2847" width="23.28515625" style="137" customWidth="1"/>
    <col min="2848" max="2863" width="8.28515625" style="137"/>
    <col min="2864" max="2864" width="16.28515625" style="137" customWidth="1"/>
    <col min="2865" max="2865" width="22.42578125" style="137" customWidth="1"/>
    <col min="2866" max="2866" width="18.7109375" style="137" customWidth="1"/>
    <col min="2867" max="3073" width="8.28515625" style="137"/>
    <col min="3074" max="3074" width="1.28515625" style="137" customWidth="1"/>
    <col min="3075" max="3082" width="7.7109375" style="137" customWidth="1"/>
    <col min="3083" max="3083" width="6.42578125" style="137" customWidth="1"/>
    <col min="3084" max="3084" width="9.28515625" style="137" customWidth="1"/>
    <col min="3085" max="3085" width="15.42578125" style="137" customWidth="1"/>
    <col min="3086" max="3090" width="6.42578125" style="137" customWidth="1"/>
    <col min="3091" max="3091" width="7.28515625" style="137" customWidth="1"/>
    <col min="3092" max="3092" width="6.42578125" style="137" customWidth="1"/>
    <col min="3093" max="3093" width="7.7109375" style="137" customWidth="1"/>
    <col min="3094" max="3094" width="9.5703125" style="137" customWidth="1"/>
    <col min="3095" max="3095" width="8.5703125" style="137" customWidth="1"/>
    <col min="3096" max="3099" width="6.42578125" style="137" customWidth="1"/>
    <col min="3100" max="3100" width="7.7109375" style="137" customWidth="1"/>
    <col min="3101" max="3101" width="3.28515625" style="137" customWidth="1"/>
    <col min="3102" max="3102" width="3.42578125" style="137" customWidth="1"/>
    <col min="3103" max="3103" width="23.28515625" style="137" customWidth="1"/>
    <col min="3104" max="3119" width="8.28515625" style="137"/>
    <col min="3120" max="3120" width="16.28515625" style="137" customWidth="1"/>
    <col min="3121" max="3121" width="22.42578125" style="137" customWidth="1"/>
    <col min="3122" max="3122" width="18.7109375" style="137" customWidth="1"/>
    <col min="3123" max="3329" width="8.28515625" style="137"/>
    <col min="3330" max="3330" width="1.28515625" style="137" customWidth="1"/>
    <col min="3331" max="3338" width="7.7109375" style="137" customWidth="1"/>
    <col min="3339" max="3339" width="6.42578125" style="137" customWidth="1"/>
    <col min="3340" max="3340" width="9.28515625" style="137" customWidth="1"/>
    <col min="3341" max="3341" width="15.42578125" style="137" customWidth="1"/>
    <col min="3342" max="3346" width="6.42578125" style="137" customWidth="1"/>
    <col min="3347" max="3347" width="7.28515625" style="137" customWidth="1"/>
    <col min="3348" max="3348" width="6.42578125" style="137" customWidth="1"/>
    <col min="3349" max="3349" width="7.7109375" style="137" customWidth="1"/>
    <col min="3350" max="3350" width="9.5703125" style="137" customWidth="1"/>
    <col min="3351" max="3351" width="8.5703125" style="137" customWidth="1"/>
    <col min="3352" max="3355" width="6.42578125" style="137" customWidth="1"/>
    <col min="3356" max="3356" width="7.7109375" style="137" customWidth="1"/>
    <col min="3357" max="3357" width="3.28515625" style="137" customWidth="1"/>
    <col min="3358" max="3358" width="3.42578125" style="137" customWidth="1"/>
    <col min="3359" max="3359" width="23.28515625" style="137" customWidth="1"/>
    <col min="3360" max="3375" width="8.28515625" style="137"/>
    <col min="3376" max="3376" width="16.28515625" style="137" customWidth="1"/>
    <col min="3377" max="3377" width="22.42578125" style="137" customWidth="1"/>
    <col min="3378" max="3378" width="18.7109375" style="137" customWidth="1"/>
    <col min="3379" max="3585" width="8.28515625" style="137"/>
    <col min="3586" max="3586" width="1.28515625" style="137" customWidth="1"/>
    <col min="3587" max="3594" width="7.7109375" style="137" customWidth="1"/>
    <col min="3595" max="3595" width="6.42578125" style="137" customWidth="1"/>
    <col min="3596" max="3596" width="9.28515625" style="137" customWidth="1"/>
    <col min="3597" max="3597" width="15.42578125" style="137" customWidth="1"/>
    <col min="3598" max="3602" width="6.42578125" style="137" customWidth="1"/>
    <col min="3603" max="3603" width="7.28515625" style="137" customWidth="1"/>
    <col min="3604" max="3604" width="6.42578125" style="137" customWidth="1"/>
    <col min="3605" max="3605" width="7.7109375" style="137" customWidth="1"/>
    <col min="3606" max="3606" width="9.5703125" style="137" customWidth="1"/>
    <col min="3607" max="3607" width="8.5703125" style="137" customWidth="1"/>
    <col min="3608" max="3611" width="6.42578125" style="137" customWidth="1"/>
    <col min="3612" max="3612" width="7.7109375" style="137" customWidth="1"/>
    <col min="3613" max="3613" width="3.28515625" style="137" customWidth="1"/>
    <col min="3614" max="3614" width="3.42578125" style="137" customWidth="1"/>
    <col min="3615" max="3615" width="23.28515625" style="137" customWidth="1"/>
    <col min="3616" max="3631" width="8.28515625" style="137"/>
    <col min="3632" max="3632" width="16.28515625" style="137" customWidth="1"/>
    <col min="3633" max="3633" width="22.42578125" style="137" customWidth="1"/>
    <col min="3634" max="3634" width="18.7109375" style="137" customWidth="1"/>
    <col min="3635" max="3841" width="8.28515625" style="137"/>
    <col min="3842" max="3842" width="1.28515625" style="137" customWidth="1"/>
    <col min="3843" max="3850" width="7.7109375" style="137" customWidth="1"/>
    <col min="3851" max="3851" width="6.42578125" style="137" customWidth="1"/>
    <col min="3852" max="3852" width="9.28515625" style="137" customWidth="1"/>
    <col min="3853" max="3853" width="15.42578125" style="137" customWidth="1"/>
    <col min="3854" max="3858" width="6.42578125" style="137" customWidth="1"/>
    <col min="3859" max="3859" width="7.28515625" style="137" customWidth="1"/>
    <col min="3860" max="3860" width="6.42578125" style="137" customWidth="1"/>
    <col min="3861" max="3861" width="7.7109375" style="137" customWidth="1"/>
    <col min="3862" max="3862" width="9.5703125" style="137" customWidth="1"/>
    <col min="3863" max="3863" width="8.5703125" style="137" customWidth="1"/>
    <col min="3864" max="3867" width="6.42578125" style="137" customWidth="1"/>
    <col min="3868" max="3868" width="7.7109375" style="137" customWidth="1"/>
    <col min="3869" max="3869" width="3.28515625" style="137" customWidth="1"/>
    <col min="3870" max="3870" width="3.42578125" style="137" customWidth="1"/>
    <col min="3871" max="3871" width="23.28515625" style="137" customWidth="1"/>
    <col min="3872" max="3887" width="8.28515625" style="137"/>
    <col min="3888" max="3888" width="16.28515625" style="137" customWidth="1"/>
    <col min="3889" max="3889" width="22.42578125" style="137" customWidth="1"/>
    <col min="3890" max="3890" width="18.7109375" style="137" customWidth="1"/>
    <col min="3891" max="4097" width="8.28515625" style="137"/>
    <col min="4098" max="4098" width="1.28515625" style="137" customWidth="1"/>
    <col min="4099" max="4106" width="7.7109375" style="137" customWidth="1"/>
    <col min="4107" max="4107" width="6.42578125" style="137" customWidth="1"/>
    <col min="4108" max="4108" width="9.28515625" style="137" customWidth="1"/>
    <col min="4109" max="4109" width="15.42578125" style="137" customWidth="1"/>
    <col min="4110" max="4114" width="6.42578125" style="137" customWidth="1"/>
    <col min="4115" max="4115" width="7.28515625" style="137" customWidth="1"/>
    <col min="4116" max="4116" width="6.42578125" style="137" customWidth="1"/>
    <col min="4117" max="4117" width="7.7109375" style="137" customWidth="1"/>
    <col min="4118" max="4118" width="9.5703125" style="137" customWidth="1"/>
    <col min="4119" max="4119" width="8.5703125" style="137" customWidth="1"/>
    <col min="4120" max="4123" width="6.42578125" style="137" customWidth="1"/>
    <col min="4124" max="4124" width="7.7109375" style="137" customWidth="1"/>
    <col min="4125" max="4125" width="3.28515625" style="137" customWidth="1"/>
    <col min="4126" max="4126" width="3.42578125" style="137" customWidth="1"/>
    <col min="4127" max="4127" width="23.28515625" style="137" customWidth="1"/>
    <col min="4128" max="4143" width="8.28515625" style="137"/>
    <col min="4144" max="4144" width="16.28515625" style="137" customWidth="1"/>
    <col min="4145" max="4145" width="22.42578125" style="137" customWidth="1"/>
    <col min="4146" max="4146" width="18.7109375" style="137" customWidth="1"/>
    <col min="4147" max="4353" width="8.28515625" style="137"/>
    <col min="4354" max="4354" width="1.28515625" style="137" customWidth="1"/>
    <col min="4355" max="4362" width="7.7109375" style="137" customWidth="1"/>
    <col min="4363" max="4363" width="6.42578125" style="137" customWidth="1"/>
    <col min="4364" max="4364" width="9.28515625" style="137" customWidth="1"/>
    <col min="4365" max="4365" width="15.42578125" style="137" customWidth="1"/>
    <col min="4366" max="4370" width="6.42578125" style="137" customWidth="1"/>
    <col min="4371" max="4371" width="7.28515625" style="137" customWidth="1"/>
    <col min="4372" max="4372" width="6.42578125" style="137" customWidth="1"/>
    <col min="4373" max="4373" width="7.7109375" style="137" customWidth="1"/>
    <col min="4374" max="4374" width="9.5703125" style="137" customWidth="1"/>
    <col min="4375" max="4375" width="8.5703125" style="137" customWidth="1"/>
    <col min="4376" max="4379" width="6.42578125" style="137" customWidth="1"/>
    <col min="4380" max="4380" width="7.7109375" style="137" customWidth="1"/>
    <col min="4381" max="4381" width="3.28515625" style="137" customWidth="1"/>
    <col min="4382" max="4382" width="3.42578125" style="137" customWidth="1"/>
    <col min="4383" max="4383" width="23.28515625" style="137" customWidth="1"/>
    <col min="4384" max="4399" width="8.28515625" style="137"/>
    <col min="4400" max="4400" width="16.28515625" style="137" customWidth="1"/>
    <col min="4401" max="4401" width="22.42578125" style="137" customWidth="1"/>
    <col min="4402" max="4402" width="18.7109375" style="137" customWidth="1"/>
    <col min="4403" max="4609" width="8.28515625" style="137"/>
    <col min="4610" max="4610" width="1.28515625" style="137" customWidth="1"/>
    <col min="4611" max="4618" width="7.7109375" style="137" customWidth="1"/>
    <col min="4619" max="4619" width="6.42578125" style="137" customWidth="1"/>
    <col min="4620" max="4620" width="9.28515625" style="137" customWidth="1"/>
    <col min="4621" max="4621" width="15.42578125" style="137" customWidth="1"/>
    <col min="4622" max="4626" width="6.42578125" style="137" customWidth="1"/>
    <col min="4627" max="4627" width="7.28515625" style="137" customWidth="1"/>
    <col min="4628" max="4628" width="6.42578125" style="137" customWidth="1"/>
    <col min="4629" max="4629" width="7.7109375" style="137" customWidth="1"/>
    <col min="4630" max="4630" width="9.5703125" style="137" customWidth="1"/>
    <col min="4631" max="4631" width="8.5703125" style="137" customWidth="1"/>
    <col min="4632" max="4635" width="6.42578125" style="137" customWidth="1"/>
    <col min="4636" max="4636" width="7.7109375" style="137" customWidth="1"/>
    <col min="4637" max="4637" width="3.28515625" style="137" customWidth="1"/>
    <col min="4638" max="4638" width="3.42578125" style="137" customWidth="1"/>
    <col min="4639" max="4639" width="23.28515625" style="137" customWidth="1"/>
    <col min="4640" max="4655" width="8.28515625" style="137"/>
    <col min="4656" max="4656" width="16.28515625" style="137" customWidth="1"/>
    <col min="4657" max="4657" width="22.42578125" style="137" customWidth="1"/>
    <col min="4658" max="4658" width="18.7109375" style="137" customWidth="1"/>
    <col min="4659" max="4865" width="8.28515625" style="137"/>
    <col min="4866" max="4866" width="1.28515625" style="137" customWidth="1"/>
    <col min="4867" max="4874" width="7.7109375" style="137" customWidth="1"/>
    <col min="4875" max="4875" width="6.42578125" style="137" customWidth="1"/>
    <col min="4876" max="4876" width="9.28515625" style="137" customWidth="1"/>
    <col min="4877" max="4877" width="15.42578125" style="137" customWidth="1"/>
    <col min="4878" max="4882" width="6.42578125" style="137" customWidth="1"/>
    <col min="4883" max="4883" width="7.28515625" style="137" customWidth="1"/>
    <col min="4884" max="4884" width="6.42578125" style="137" customWidth="1"/>
    <col min="4885" max="4885" width="7.7109375" style="137" customWidth="1"/>
    <col min="4886" max="4886" width="9.5703125" style="137" customWidth="1"/>
    <col min="4887" max="4887" width="8.5703125" style="137" customWidth="1"/>
    <col min="4888" max="4891" width="6.42578125" style="137" customWidth="1"/>
    <col min="4892" max="4892" width="7.7109375" style="137" customWidth="1"/>
    <col min="4893" max="4893" width="3.28515625" style="137" customWidth="1"/>
    <col min="4894" max="4894" width="3.42578125" style="137" customWidth="1"/>
    <col min="4895" max="4895" width="23.28515625" style="137" customWidth="1"/>
    <col min="4896" max="4911" width="8.28515625" style="137"/>
    <col min="4912" max="4912" width="16.28515625" style="137" customWidth="1"/>
    <col min="4913" max="4913" width="22.42578125" style="137" customWidth="1"/>
    <col min="4914" max="4914" width="18.7109375" style="137" customWidth="1"/>
    <col min="4915" max="5121" width="8.28515625" style="137"/>
    <col min="5122" max="5122" width="1.28515625" style="137" customWidth="1"/>
    <col min="5123" max="5130" width="7.7109375" style="137" customWidth="1"/>
    <col min="5131" max="5131" width="6.42578125" style="137" customWidth="1"/>
    <col min="5132" max="5132" width="9.28515625" style="137" customWidth="1"/>
    <col min="5133" max="5133" width="15.42578125" style="137" customWidth="1"/>
    <col min="5134" max="5138" width="6.42578125" style="137" customWidth="1"/>
    <col min="5139" max="5139" width="7.28515625" style="137" customWidth="1"/>
    <col min="5140" max="5140" width="6.42578125" style="137" customWidth="1"/>
    <col min="5141" max="5141" width="7.7109375" style="137" customWidth="1"/>
    <col min="5142" max="5142" width="9.5703125" style="137" customWidth="1"/>
    <col min="5143" max="5143" width="8.5703125" style="137" customWidth="1"/>
    <col min="5144" max="5147" width="6.42578125" style="137" customWidth="1"/>
    <col min="5148" max="5148" width="7.7109375" style="137" customWidth="1"/>
    <col min="5149" max="5149" width="3.28515625" style="137" customWidth="1"/>
    <col min="5150" max="5150" width="3.42578125" style="137" customWidth="1"/>
    <col min="5151" max="5151" width="23.28515625" style="137" customWidth="1"/>
    <col min="5152" max="5167" width="8.28515625" style="137"/>
    <col min="5168" max="5168" width="16.28515625" style="137" customWidth="1"/>
    <col min="5169" max="5169" width="22.42578125" style="137" customWidth="1"/>
    <col min="5170" max="5170" width="18.7109375" style="137" customWidth="1"/>
    <col min="5171" max="5377" width="8.28515625" style="137"/>
    <col min="5378" max="5378" width="1.28515625" style="137" customWidth="1"/>
    <col min="5379" max="5386" width="7.7109375" style="137" customWidth="1"/>
    <col min="5387" max="5387" width="6.42578125" style="137" customWidth="1"/>
    <col min="5388" max="5388" width="9.28515625" style="137" customWidth="1"/>
    <col min="5389" max="5389" width="15.42578125" style="137" customWidth="1"/>
    <col min="5390" max="5394" width="6.42578125" style="137" customWidth="1"/>
    <col min="5395" max="5395" width="7.28515625" style="137" customWidth="1"/>
    <col min="5396" max="5396" width="6.42578125" style="137" customWidth="1"/>
    <col min="5397" max="5397" width="7.7109375" style="137" customWidth="1"/>
    <col min="5398" max="5398" width="9.5703125" style="137" customWidth="1"/>
    <col min="5399" max="5399" width="8.5703125" style="137" customWidth="1"/>
    <col min="5400" max="5403" width="6.42578125" style="137" customWidth="1"/>
    <col min="5404" max="5404" width="7.7109375" style="137" customWidth="1"/>
    <col min="5405" max="5405" width="3.28515625" style="137" customWidth="1"/>
    <col min="5406" max="5406" width="3.42578125" style="137" customWidth="1"/>
    <col min="5407" max="5407" width="23.28515625" style="137" customWidth="1"/>
    <col min="5408" max="5423" width="8.28515625" style="137"/>
    <col min="5424" max="5424" width="16.28515625" style="137" customWidth="1"/>
    <col min="5425" max="5425" width="22.42578125" style="137" customWidth="1"/>
    <col min="5426" max="5426" width="18.7109375" style="137" customWidth="1"/>
    <col min="5427" max="5633" width="8.28515625" style="137"/>
    <col min="5634" max="5634" width="1.28515625" style="137" customWidth="1"/>
    <col min="5635" max="5642" width="7.7109375" style="137" customWidth="1"/>
    <col min="5643" max="5643" width="6.42578125" style="137" customWidth="1"/>
    <col min="5644" max="5644" width="9.28515625" style="137" customWidth="1"/>
    <col min="5645" max="5645" width="15.42578125" style="137" customWidth="1"/>
    <col min="5646" max="5650" width="6.42578125" style="137" customWidth="1"/>
    <col min="5651" max="5651" width="7.28515625" style="137" customWidth="1"/>
    <col min="5652" max="5652" width="6.42578125" style="137" customWidth="1"/>
    <col min="5653" max="5653" width="7.7109375" style="137" customWidth="1"/>
    <col min="5654" max="5654" width="9.5703125" style="137" customWidth="1"/>
    <col min="5655" max="5655" width="8.5703125" style="137" customWidth="1"/>
    <col min="5656" max="5659" width="6.42578125" style="137" customWidth="1"/>
    <col min="5660" max="5660" width="7.7109375" style="137" customWidth="1"/>
    <col min="5661" max="5661" width="3.28515625" style="137" customWidth="1"/>
    <col min="5662" max="5662" width="3.42578125" style="137" customWidth="1"/>
    <col min="5663" max="5663" width="23.28515625" style="137" customWidth="1"/>
    <col min="5664" max="5679" width="8.28515625" style="137"/>
    <col min="5680" max="5680" width="16.28515625" style="137" customWidth="1"/>
    <col min="5681" max="5681" width="22.42578125" style="137" customWidth="1"/>
    <col min="5682" max="5682" width="18.7109375" style="137" customWidth="1"/>
    <col min="5683" max="5889" width="8.28515625" style="137"/>
    <col min="5890" max="5890" width="1.28515625" style="137" customWidth="1"/>
    <col min="5891" max="5898" width="7.7109375" style="137" customWidth="1"/>
    <col min="5899" max="5899" width="6.42578125" style="137" customWidth="1"/>
    <col min="5900" max="5900" width="9.28515625" style="137" customWidth="1"/>
    <col min="5901" max="5901" width="15.42578125" style="137" customWidth="1"/>
    <col min="5902" max="5906" width="6.42578125" style="137" customWidth="1"/>
    <col min="5907" max="5907" width="7.28515625" style="137" customWidth="1"/>
    <col min="5908" max="5908" width="6.42578125" style="137" customWidth="1"/>
    <col min="5909" max="5909" width="7.7109375" style="137" customWidth="1"/>
    <col min="5910" max="5910" width="9.5703125" style="137" customWidth="1"/>
    <col min="5911" max="5911" width="8.5703125" style="137" customWidth="1"/>
    <col min="5912" max="5915" width="6.42578125" style="137" customWidth="1"/>
    <col min="5916" max="5916" width="7.7109375" style="137" customWidth="1"/>
    <col min="5917" max="5917" width="3.28515625" style="137" customWidth="1"/>
    <col min="5918" max="5918" width="3.42578125" style="137" customWidth="1"/>
    <col min="5919" max="5919" width="23.28515625" style="137" customWidth="1"/>
    <col min="5920" max="5935" width="8.28515625" style="137"/>
    <col min="5936" max="5936" width="16.28515625" style="137" customWidth="1"/>
    <col min="5937" max="5937" width="22.42578125" style="137" customWidth="1"/>
    <col min="5938" max="5938" width="18.7109375" style="137" customWidth="1"/>
    <col min="5939" max="6145" width="8.28515625" style="137"/>
    <col min="6146" max="6146" width="1.28515625" style="137" customWidth="1"/>
    <col min="6147" max="6154" width="7.7109375" style="137" customWidth="1"/>
    <col min="6155" max="6155" width="6.42578125" style="137" customWidth="1"/>
    <col min="6156" max="6156" width="9.28515625" style="137" customWidth="1"/>
    <col min="6157" max="6157" width="15.42578125" style="137" customWidth="1"/>
    <col min="6158" max="6162" width="6.42578125" style="137" customWidth="1"/>
    <col min="6163" max="6163" width="7.28515625" style="137" customWidth="1"/>
    <col min="6164" max="6164" width="6.42578125" style="137" customWidth="1"/>
    <col min="6165" max="6165" width="7.7109375" style="137" customWidth="1"/>
    <col min="6166" max="6166" width="9.5703125" style="137" customWidth="1"/>
    <col min="6167" max="6167" width="8.5703125" style="137" customWidth="1"/>
    <col min="6168" max="6171" width="6.42578125" style="137" customWidth="1"/>
    <col min="6172" max="6172" width="7.7109375" style="137" customWidth="1"/>
    <col min="6173" max="6173" width="3.28515625" style="137" customWidth="1"/>
    <col min="6174" max="6174" width="3.42578125" style="137" customWidth="1"/>
    <col min="6175" max="6175" width="23.28515625" style="137" customWidth="1"/>
    <col min="6176" max="6191" width="8.28515625" style="137"/>
    <col min="6192" max="6192" width="16.28515625" style="137" customWidth="1"/>
    <col min="6193" max="6193" width="22.42578125" style="137" customWidth="1"/>
    <col min="6194" max="6194" width="18.7109375" style="137" customWidth="1"/>
    <col min="6195" max="6401" width="8.28515625" style="137"/>
    <col min="6402" max="6402" width="1.28515625" style="137" customWidth="1"/>
    <col min="6403" max="6410" width="7.7109375" style="137" customWidth="1"/>
    <col min="6411" max="6411" width="6.42578125" style="137" customWidth="1"/>
    <col min="6412" max="6412" width="9.28515625" style="137" customWidth="1"/>
    <col min="6413" max="6413" width="15.42578125" style="137" customWidth="1"/>
    <col min="6414" max="6418" width="6.42578125" style="137" customWidth="1"/>
    <col min="6419" max="6419" width="7.28515625" style="137" customWidth="1"/>
    <col min="6420" max="6420" width="6.42578125" style="137" customWidth="1"/>
    <col min="6421" max="6421" width="7.7109375" style="137" customWidth="1"/>
    <col min="6422" max="6422" width="9.5703125" style="137" customWidth="1"/>
    <col min="6423" max="6423" width="8.5703125" style="137" customWidth="1"/>
    <col min="6424" max="6427" width="6.42578125" style="137" customWidth="1"/>
    <col min="6428" max="6428" width="7.7109375" style="137" customWidth="1"/>
    <col min="6429" max="6429" width="3.28515625" style="137" customWidth="1"/>
    <col min="6430" max="6430" width="3.42578125" style="137" customWidth="1"/>
    <col min="6431" max="6431" width="23.28515625" style="137" customWidth="1"/>
    <col min="6432" max="6447" width="8.28515625" style="137"/>
    <col min="6448" max="6448" width="16.28515625" style="137" customWidth="1"/>
    <col min="6449" max="6449" width="22.42578125" style="137" customWidth="1"/>
    <col min="6450" max="6450" width="18.7109375" style="137" customWidth="1"/>
    <col min="6451" max="6657" width="8.28515625" style="137"/>
    <col min="6658" max="6658" width="1.28515625" style="137" customWidth="1"/>
    <col min="6659" max="6666" width="7.7109375" style="137" customWidth="1"/>
    <col min="6667" max="6667" width="6.42578125" style="137" customWidth="1"/>
    <col min="6668" max="6668" width="9.28515625" style="137" customWidth="1"/>
    <col min="6669" max="6669" width="15.42578125" style="137" customWidth="1"/>
    <col min="6670" max="6674" width="6.42578125" style="137" customWidth="1"/>
    <col min="6675" max="6675" width="7.28515625" style="137" customWidth="1"/>
    <col min="6676" max="6676" width="6.42578125" style="137" customWidth="1"/>
    <col min="6677" max="6677" width="7.7109375" style="137" customWidth="1"/>
    <col min="6678" max="6678" width="9.5703125" style="137" customWidth="1"/>
    <col min="6679" max="6679" width="8.5703125" style="137" customWidth="1"/>
    <col min="6680" max="6683" width="6.42578125" style="137" customWidth="1"/>
    <col min="6684" max="6684" width="7.7109375" style="137" customWidth="1"/>
    <col min="6685" max="6685" width="3.28515625" style="137" customWidth="1"/>
    <col min="6686" max="6686" width="3.42578125" style="137" customWidth="1"/>
    <col min="6687" max="6687" width="23.28515625" style="137" customWidth="1"/>
    <col min="6688" max="6703" width="8.28515625" style="137"/>
    <col min="6704" max="6704" width="16.28515625" style="137" customWidth="1"/>
    <col min="6705" max="6705" width="22.42578125" style="137" customWidth="1"/>
    <col min="6706" max="6706" width="18.7109375" style="137" customWidth="1"/>
    <col min="6707" max="6913" width="8.28515625" style="137"/>
    <col min="6914" max="6914" width="1.28515625" style="137" customWidth="1"/>
    <col min="6915" max="6922" width="7.7109375" style="137" customWidth="1"/>
    <col min="6923" max="6923" width="6.42578125" style="137" customWidth="1"/>
    <col min="6924" max="6924" width="9.28515625" style="137" customWidth="1"/>
    <col min="6925" max="6925" width="15.42578125" style="137" customWidth="1"/>
    <col min="6926" max="6930" width="6.42578125" style="137" customWidth="1"/>
    <col min="6931" max="6931" width="7.28515625" style="137" customWidth="1"/>
    <col min="6932" max="6932" width="6.42578125" style="137" customWidth="1"/>
    <col min="6933" max="6933" width="7.7109375" style="137" customWidth="1"/>
    <col min="6934" max="6934" width="9.5703125" style="137" customWidth="1"/>
    <col min="6935" max="6935" width="8.5703125" style="137" customWidth="1"/>
    <col min="6936" max="6939" width="6.42578125" style="137" customWidth="1"/>
    <col min="6940" max="6940" width="7.7109375" style="137" customWidth="1"/>
    <col min="6941" max="6941" width="3.28515625" style="137" customWidth="1"/>
    <col min="6942" max="6942" width="3.42578125" style="137" customWidth="1"/>
    <col min="6943" max="6943" width="23.28515625" style="137" customWidth="1"/>
    <col min="6944" max="6959" width="8.28515625" style="137"/>
    <col min="6960" max="6960" width="16.28515625" style="137" customWidth="1"/>
    <col min="6961" max="6961" width="22.42578125" style="137" customWidth="1"/>
    <col min="6962" max="6962" width="18.7109375" style="137" customWidth="1"/>
    <col min="6963" max="7169" width="8.28515625" style="137"/>
    <col min="7170" max="7170" width="1.28515625" style="137" customWidth="1"/>
    <col min="7171" max="7178" width="7.7109375" style="137" customWidth="1"/>
    <col min="7179" max="7179" width="6.42578125" style="137" customWidth="1"/>
    <col min="7180" max="7180" width="9.28515625" style="137" customWidth="1"/>
    <col min="7181" max="7181" width="15.42578125" style="137" customWidth="1"/>
    <col min="7182" max="7186" width="6.42578125" style="137" customWidth="1"/>
    <col min="7187" max="7187" width="7.28515625" style="137" customWidth="1"/>
    <col min="7188" max="7188" width="6.42578125" style="137" customWidth="1"/>
    <col min="7189" max="7189" width="7.7109375" style="137" customWidth="1"/>
    <col min="7190" max="7190" width="9.5703125" style="137" customWidth="1"/>
    <col min="7191" max="7191" width="8.5703125" style="137" customWidth="1"/>
    <col min="7192" max="7195" width="6.42578125" style="137" customWidth="1"/>
    <col min="7196" max="7196" width="7.7109375" style="137" customWidth="1"/>
    <col min="7197" max="7197" width="3.28515625" style="137" customWidth="1"/>
    <col min="7198" max="7198" width="3.42578125" style="137" customWidth="1"/>
    <col min="7199" max="7199" width="23.28515625" style="137" customWidth="1"/>
    <col min="7200" max="7215" width="8.28515625" style="137"/>
    <col min="7216" max="7216" width="16.28515625" style="137" customWidth="1"/>
    <col min="7217" max="7217" width="22.42578125" style="137" customWidth="1"/>
    <col min="7218" max="7218" width="18.7109375" style="137" customWidth="1"/>
    <col min="7219" max="7425" width="8.28515625" style="137"/>
    <col min="7426" max="7426" width="1.28515625" style="137" customWidth="1"/>
    <col min="7427" max="7434" width="7.7109375" style="137" customWidth="1"/>
    <col min="7435" max="7435" width="6.42578125" style="137" customWidth="1"/>
    <col min="7436" max="7436" width="9.28515625" style="137" customWidth="1"/>
    <col min="7437" max="7437" width="15.42578125" style="137" customWidth="1"/>
    <col min="7438" max="7442" width="6.42578125" style="137" customWidth="1"/>
    <col min="7443" max="7443" width="7.28515625" style="137" customWidth="1"/>
    <col min="7444" max="7444" width="6.42578125" style="137" customWidth="1"/>
    <col min="7445" max="7445" width="7.7109375" style="137" customWidth="1"/>
    <col min="7446" max="7446" width="9.5703125" style="137" customWidth="1"/>
    <col min="7447" max="7447" width="8.5703125" style="137" customWidth="1"/>
    <col min="7448" max="7451" width="6.42578125" style="137" customWidth="1"/>
    <col min="7452" max="7452" width="7.7109375" style="137" customWidth="1"/>
    <col min="7453" max="7453" width="3.28515625" style="137" customWidth="1"/>
    <col min="7454" max="7454" width="3.42578125" style="137" customWidth="1"/>
    <col min="7455" max="7455" width="23.28515625" style="137" customWidth="1"/>
    <col min="7456" max="7471" width="8.28515625" style="137"/>
    <col min="7472" max="7472" width="16.28515625" style="137" customWidth="1"/>
    <col min="7473" max="7473" width="22.42578125" style="137" customWidth="1"/>
    <col min="7474" max="7474" width="18.7109375" style="137" customWidth="1"/>
    <col min="7475" max="7681" width="8.28515625" style="137"/>
    <col min="7682" max="7682" width="1.28515625" style="137" customWidth="1"/>
    <col min="7683" max="7690" width="7.7109375" style="137" customWidth="1"/>
    <col min="7691" max="7691" width="6.42578125" style="137" customWidth="1"/>
    <col min="7692" max="7692" width="9.28515625" style="137" customWidth="1"/>
    <col min="7693" max="7693" width="15.42578125" style="137" customWidth="1"/>
    <col min="7694" max="7698" width="6.42578125" style="137" customWidth="1"/>
    <col min="7699" max="7699" width="7.28515625" style="137" customWidth="1"/>
    <col min="7700" max="7700" width="6.42578125" style="137" customWidth="1"/>
    <col min="7701" max="7701" width="7.7109375" style="137" customWidth="1"/>
    <col min="7702" max="7702" width="9.5703125" style="137" customWidth="1"/>
    <col min="7703" max="7703" width="8.5703125" style="137" customWidth="1"/>
    <col min="7704" max="7707" width="6.42578125" style="137" customWidth="1"/>
    <col min="7708" max="7708" width="7.7109375" style="137" customWidth="1"/>
    <col min="7709" max="7709" width="3.28515625" style="137" customWidth="1"/>
    <col min="7710" max="7710" width="3.42578125" style="137" customWidth="1"/>
    <col min="7711" max="7711" width="23.28515625" style="137" customWidth="1"/>
    <col min="7712" max="7727" width="8.28515625" style="137"/>
    <col min="7728" max="7728" width="16.28515625" style="137" customWidth="1"/>
    <col min="7729" max="7729" width="22.42578125" style="137" customWidth="1"/>
    <col min="7730" max="7730" width="18.7109375" style="137" customWidth="1"/>
    <col min="7731" max="7937" width="8.28515625" style="137"/>
    <col min="7938" max="7938" width="1.28515625" style="137" customWidth="1"/>
    <col min="7939" max="7946" width="7.7109375" style="137" customWidth="1"/>
    <col min="7947" max="7947" width="6.42578125" style="137" customWidth="1"/>
    <col min="7948" max="7948" width="9.28515625" style="137" customWidth="1"/>
    <col min="7949" max="7949" width="15.42578125" style="137" customWidth="1"/>
    <col min="7950" max="7954" width="6.42578125" style="137" customWidth="1"/>
    <col min="7955" max="7955" width="7.28515625" style="137" customWidth="1"/>
    <col min="7956" max="7956" width="6.42578125" style="137" customWidth="1"/>
    <col min="7957" max="7957" width="7.7109375" style="137" customWidth="1"/>
    <col min="7958" max="7958" width="9.5703125" style="137" customWidth="1"/>
    <col min="7959" max="7959" width="8.5703125" style="137" customWidth="1"/>
    <col min="7960" max="7963" width="6.42578125" style="137" customWidth="1"/>
    <col min="7964" max="7964" width="7.7109375" style="137" customWidth="1"/>
    <col min="7965" max="7965" width="3.28515625" style="137" customWidth="1"/>
    <col min="7966" max="7966" width="3.42578125" style="137" customWidth="1"/>
    <col min="7967" max="7967" width="23.28515625" style="137" customWidth="1"/>
    <col min="7968" max="7983" width="8.28515625" style="137"/>
    <col min="7984" max="7984" width="16.28515625" style="137" customWidth="1"/>
    <col min="7985" max="7985" width="22.42578125" style="137" customWidth="1"/>
    <col min="7986" max="7986" width="18.7109375" style="137" customWidth="1"/>
    <col min="7987" max="8193" width="8.28515625" style="137"/>
    <col min="8194" max="8194" width="1.28515625" style="137" customWidth="1"/>
    <col min="8195" max="8202" width="7.7109375" style="137" customWidth="1"/>
    <col min="8203" max="8203" width="6.42578125" style="137" customWidth="1"/>
    <col min="8204" max="8204" width="9.28515625" style="137" customWidth="1"/>
    <col min="8205" max="8205" width="15.42578125" style="137" customWidth="1"/>
    <col min="8206" max="8210" width="6.42578125" style="137" customWidth="1"/>
    <col min="8211" max="8211" width="7.28515625" style="137" customWidth="1"/>
    <col min="8212" max="8212" width="6.42578125" style="137" customWidth="1"/>
    <col min="8213" max="8213" width="7.7109375" style="137" customWidth="1"/>
    <col min="8214" max="8214" width="9.5703125" style="137" customWidth="1"/>
    <col min="8215" max="8215" width="8.5703125" style="137" customWidth="1"/>
    <col min="8216" max="8219" width="6.42578125" style="137" customWidth="1"/>
    <col min="8220" max="8220" width="7.7109375" style="137" customWidth="1"/>
    <col min="8221" max="8221" width="3.28515625" style="137" customWidth="1"/>
    <col min="8222" max="8222" width="3.42578125" style="137" customWidth="1"/>
    <col min="8223" max="8223" width="23.28515625" style="137" customWidth="1"/>
    <col min="8224" max="8239" width="8.28515625" style="137"/>
    <col min="8240" max="8240" width="16.28515625" style="137" customWidth="1"/>
    <col min="8241" max="8241" width="22.42578125" style="137" customWidth="1"/>
    <col min="8242" max="8242" width="18.7109375" style="137" customWidth="1"/>
    <col min="8243" max="8449" width="8.28515625" style="137"/>
    <col min="8450" max="8450" width="1.28515625" style="137" customWidth="1"/>
    <col min="8451" max="8458" width="7.7109375" style="137" customWidth="1"/>
    <col min="8459" max="8459" width="6.42578125" style="137" customWidth="1"/>
    <col min="8460" max="8460" width="9.28515625" style="137" customWidth="1"/>
    <col min="8461" max="8461" width="15.42578125" style="137" customWidth="1"/>
    <col min="8462" max="8466" width="6.42578125" style="137" customWidth="1"/>
    <col min="8467" max="8467" width="7.28515625" style="137" customWidth="1"/>
    <col min="8468" max="8468" width="6.42578125" style="137" customWidth="1"/>
    <col min="8469" max="8469" width="7.7109375" style="137" customWidth="1"/>
    <col min="8470" max="8470" width="9.5703125" style="137" customWidth="1"/>
    <col min="8471" max="8471" width="8.5703125" style="137" customWidth="1"/>
    <col min="8472" max="8475" width="6.42578125" style="137" customWidth="1"/>
    <col min="8476" max="8476" width="7.7109375" style="137" customWidth="1"/>
    <col min="8477" max="8477" width="3.28515625" style="137" customWidth="1"/>
    <col min="8478" max="8478" width="3.42578125" style="137" customWidth="1"/>
    <col min="8479" max="8479" width="23.28515625" style="137" customWidth="1"/>
    <col min="8480" max="8495" width="8.28515625" style="137"/>
    <col min="8496" max="8496" width="16.28515625" style="137" customWidth="1"/>
    <col min="8497" max="8497" width="22.42578125" style="137" customWidth="1"/>
    <col min="8498" max="8498" width="18.7109375" style="137" customWidth="1"/>
    <col min="8499" max="8705" width="8.28515625" style="137"/>
    <col min="8706" max="8706" width="1.28515625" style="137" customWidth="1"/>
    <col min="8707" max="8714" width="7.7109375" style="137" customWidth="1"/>
    <col min="8715" max="8715" width="6.42578125" style="137" customWidth="1"/>
    <col min="8716" max="8716" width="9.28515625" style="137" customWidth="1"/>
    <col min="8717" max="8717" width="15.42578125" style="137" customWidth="1"/>
    <col min="8718" max="8722" width="6.42578125" style="137" customWidth="1"/>
    <col min="8723" max="8723" width="7.28515625" style="137" customWidth="1"/>
    <col min="8724" max="8724" width="6.42578125" style="137" customWidth="1"/>
    <col min="8725" max="8725" width="7.7109375" style="137" customWidth="1"/>
    <col min="8726" max="8726" width="9.5703125" style="137" customWidth="1"/>
    <col min="8727" max="8727" width="8.5703125" style="137" customWidth="1"/>
    <col min="8728" max="8731" width="6.42578125" style="137" customWidth="1"/>
    <col min="8732" max="8732" width="7.7109375" style="137" customWidth="1"/>
    <col min="8733" max="8733" width="3.28515625" style="137" customWidth="1"/>
    <col min="8734" max="8734" width="3.42578125" style="137" customWidth="1"/>
    <col min="8735" max="8735" width="23.28515625" style="137" customWidth="1"/>
    <col min="8736" max="8751" width="8.28515625" style="137"/>
    <col min="8752" max="8752" width="16.28515625" style="137" customWidth="1"/>
    <col min="8753" max="8753" width="22.42578125" style="137" customWidth="1"/>
    <col min="8754" max="8754" width="18.7109375" style="137" customWidth="1"/>
    <col min="8755" max="8961" width="8.28515625" style="137"/>
    <col min="8962" max="8962" width="1.28515625" style="137" customWidth="1"/>
    <col min="8963" max="8970" width="7.7109375" style="137" customWidth="1"/>
    <col min="8971" max="8971" width="6.42578125" style="137" customWidth="1"/>
    <col min="8972" max="8972" width="9.28515625" style="137" customWidth="1"/>
    <col min="8973" max="8973" width="15.42578125" style="137" customWidth="1"/>
    <col min="8974" max="8978" width="6.42578125" style="137" customWidth="1"/>
    <col min="8979" max="8979" width="7.28515625" style="137" customWidth="1"/>
    <col min="8980" max="8980" width="6.42578125" style="137" customWidth="1"/>
    <col min="8981" max="8981" width="7.7109375" style="137" customWidth="1"/>
    <col min="8982" max="8982" width="9.5703125" style="137" customWidth="1"/>
    <col min="8983" max="8983" width="8.5703125" style="137" customWidth="1"/>
    <col min="8984" max="8987" width="6.42578125" style="137" customWidth="1"/>
    <col min="8988" max="8988" width="7.7109375" style="137" customWidth="1"/>
    <col min="8989" max="8989" width="3.28515625" style="137" customWidth="1"/>
    <col min="8990" max="8990" width="3.42578125" style="137" customWidth="1"/>
    <col min="8991" max="8991" width="23.28515625" style="137" customWidth="1"/>
    <col min="8992" max="9007" width="8.28515625" style="137"/>
    <col min="9008" max="9008" width="16.28515625" style="137" customWidth="1"/>
    <col min="9009" max="9009" width="22.42578125" style="137" customWidth="1"/>
    <col min="9010" max="9010" width="18.7109375" style="137" customWidth="1"/>
    <col min="9011" max="9217" width="8.28515625" style="137"/>
    <col min="9218" max="9218" width="1.28515625" style="137" customWidth="1"/>
    <col min="9219" max="9226" width="7.7109375" style="137" customWidth="1"/>
    <col min="9227" max="9227" width="6.42578125" style="137" customWidth="1"/>
    <col min="9228" max="9228" width="9.28515625" style="137" customWidth="1"/>
    <col min="9229" max="9229" width="15.42578125" style="137" customWidth="1"/>
    <col min="9230" max="9234" width="6.42578125" style="137" customWidth="1"/>
    <col min="9235" max="9235" width="7.28515625" style="137" customWidth="1"/>
    <col min="9236" max="9236" width="6.42578125" style="137" customWidth="1"/>
    <col min="9237" max="9237" width="7.7109375" style="137" customWidth="1"/>
    <col min="9238" max="9238" width="9.5703125" style="137" customWidth="1"/>
    <col min="9239" max="9239" width="8.5703125" style="137" customWidth="1"/>
    <col min="9240" max="9243" width="6.42578125" style="137" customWidth="1"/>
    <col min="9244" max="9244" width="7.7109375" style="137" customWidth="1"/>
    <col min="9245" max="9245" width="3.28515625" style="137" customWidth="1"/>
    <col min="9246" max="9246" width="3.42578125" style="137" customWidth="1"/>
    <col min="9247" max="9247" width="23.28515625" style="137" customWidth="1"/>
    <col min="9248" max="9263" width="8.28515625" style="137"/>
    <col min="9264" max="9264" width="16.28515625" style="137" customWidth="1"/>
    <col min="9265" max="9265" width="22.42578125" style="137" customWidth="1"/>
    <col min="9266" max="9266" width="18.7109375" style="137" customWidth="1"/>
    <col min="9267" max="9473" width="8.28515625" style="137"/>
    <col min="9474" max="9474" width="1.28515625" style="137" customWidth="1"/>
    <col min="9475" max="9482" width="7.7109375" style="137" customWidth="1"/>
    <col min="9483" max="9483" width="6.42578125" style="137" customWidth="1"/>
    <col min="9484" max="9484" width="9.28515625" style="137" customWidth="1"/>
    <col min="9485" max="9485" width="15.42578125" style="137" customWidth="1"/>
    <col min="9486" max="9490" width="6.42578125" style="137" customWidth="1"/>
    <col min="9491" max="9491" width="7.28515625" style="137" customWidth="1"/>
    <col min="9492" max="9492" width="6.42578125" style="137" customWidth="1"/>
    <col min="9493" max="9493" width="7.7109375" style="137" customWidth="1"/>
    <col min="9494" max="9494" width="9.5703125" style="137" customWidth="1"/>
    <col min="9495" max="9495" width="8.5703125" style="137" customWidth="1"/>
    <col min="9496" max="9499" width="6.42578125" style="137" customWidth="1"/>
    <col min="9500" max="9500" width="7.7109375" style="137" customWidth="1"/>
    <col min="9501" max="9501" width="3.28515625" style="137" customWidth="1"/>
    <col min="9502" max="9502" width="3.42578125" style="137" customWidth="1"/>
    <col min="9503" max="9503" width="23.28515625" style="137" customWidth="1"/>
    <col min="9504" max="9519" width="8.28515625" style="137"/>
    <col min="9520" max="9520" width="16.28515625" style="137" customWidth="1"/>
    <col min="9521" max="9521" width="22.42578125" style="137" customWidth="1"/>
    <col min="9522" max="9522" width="18.7109375" style="137" customWidth="1"/>
    <col min="9523" max="9729" width="8.28515625" style="137"/>
    <col min="9730" max="9730" width="1.28515625" style="137" customWidth="1"/>
    <col min="9731" max="9738" width="7.7109375" style="137" customWidth="1"/>
    <col min="9739" max="9739" width="6.42578125" style="137" customWidth="1"/>
    <col min="9740" max="9740" width="9.28515625" style="137" customWidth="1"/>
    <col min="9741" max="9741" width="15.42578125" style="137" customWidth="1"/>
    <col min="9742" max="9746" width="6.42578125" style="137" customWidth="1"/>
    <col min="9747" max="9747" width="7.28515625" style="137" customWidth="1"/>
    <col min="9748" max="9748" width="6.42578125" style="137" customWidth="1"/>
    <col min="9749" max="9749" width="7.7109375" style="137" customWidth="1"/>
    <col min="9750" max="9750" width="9.5703125" style="137" customWidth="1"/>
    <col min="9751" max="9751" width="8.5703125" style="137" customWidth="1"/>
    <col min="9752" max="9755" width="6.42578125" style="137" customWidth="1"/>
    <col min="9756" max="9756" width="7.7109375" style="137" customWidth="1"/>
    <col min="9757" max="9757" width="3.28515625" style="137" customWidth="1"/>
    <col min="9758" max="9758" width="3.42578125" style="137" customWidth="1"/>
    <col min="9759" max="9759" width="23.28515625" style="137" customWidth="1"/>
    <col min="9760" max="9775" width="8.28515625" style="137"/>
    <col min="9776" max="9776" width="16.28515625" style="137" customWidth="1"/>
    <col min="9777" max="9777" width="22.42578125" style="137" customWidth="1"/>
    <col min="9778" max="9778" width="18.7109375" style="137" customWidth="1"/>
    <col min="9779" max="9985" width="8.28515625" style="137"/>
    <col min="9986" max="9986" width="1.28515625" style="137" customWidth="1"/>
    <col min="9987" max="9994" width="7.7109375" style="137" customWidth="1"/>
    <col min="9995" max="9995" width="6.42578125" style="137" customWidth="1"/>
    <col min="9996" max="9996" width="9.28515625" style="137" customWidth="1"/>
    <col min="9997" max="9997" width="15.42578125" style="137" customWidth="1"/>
    <col min="9998" max="10002" width="6.42578125" style="137" customWidth="1"/>
    <col min="10003" max="10003" width="7.28515625" style="137" customWidth="1"/>
    <col min="10004" max="10004" width="6.42578125" style="137" customWidth="1"/>
    <col min="10005" max="10005" width="7.7109375" style="137" customWidth="1"/>
    <col min="10006" max="10006" width="9.5703125" style="137" customWidth="1"/>
    <col min="10007" max="10007" width="8.5703125" style="137" customWidth="1"/>
    <col min="10008" max="10011" width="6.42578125" style="137" customWidth="1"/>
    <col min="10012" max="10012" width="7.7109375" style="137" customWidth="1"/>
    <col min="10013" max="10013" width="3.28515625" style="137" customWidth="1"/>
    <col min="10014" max="10014" width="3.42578125" style="137" customWidth="1"/>
    <col min="10015" max="10015" width="23.28515625" style="137" customWidth="1"/>
    <col min="10016" max="10031" width="8.28515625" style="137"/>
    <col min="10032" max="10032" width="16.28515625" style="137" customWidth="1"/>
    <col min="10033" max="10033" width="22.42578125" style="137" customWidth="1"/>
    <col min="10034" max="10034" width="18.7109375" style="137" customWidth="1"/>
    <col min="10035" max="10241" width="8.28515625" style="137"/>
    <col min="10242" max="10242" width="1.28515625" style="137" customWidth="1"/>
    <col min="10243" max="10250" width="7.7109375" style="137" customWidth="1"/>
    <col min="10251" max="10251" width="6.42578125" style="137" customWidth="1"/>
    <col min="10252" max="10252" width="9.28515625" style="137" customWidth="1"/>
    <col min="10253" max="10253" width="15.42578125" style="137" customWidth="1"/>
    <col min="10254" max="10258" width="6.42578125" style="137" customWidth="1"/>
    <col min="10259" max="10259" width="7.28515625" style="137" customWidth="1"/>
    <col min="10260" max="10260" width="6.42578125" style="137" customWidth="1"/>
    <col min="10261" max="10261" width="7.7109375" style="137" customWidth="1"/>
    <col min="10262" max="10262" width="9.5703125" style="137" customWidth="1"/>
    <col min="10263" max="10263" width="8.5703125" style="137" customWidth="1"/>
    <col min="10264" max="10267" width="6.42578125" style="137" customWidth="1"/>
    <col min="10268" max="10268" width="7.7109375" style="137" customWidth="1"/>
    <col min="10269" max="10269" width="3.28515625" style="137" customWidth="1"/>
    <col min="10270" max="10270" width="3.42578125" style="137" customWidth="1"/>
    <col min="10271" max="10271" width="23.28515625" style="137" customWidth="1"/>
    <col min="10272" max="10287" width="8.28515625" style="137"/>
    <col min="10288" max="10288" width="16.28515625" style="137" customWidth="1"/>
    <col min="10289" max="10289" width="22.42578125" style="137" customWidth="1"/>
    <col min="10290" max="10290" width="18.7109375" style="137" customWidth="1"/>
    <col min="10291" max="10497" width="8.28515625" style="137"/>
    <col min="10498" max="10498" width="1.28515625" style="137" customWidth="1"/>
    <col min="10499" max="10506" width="7.7109375" style="137" customWidth="1"/>
    <col min="10507" max="10507" width="6.42578125" style="137" customWidth="1"/>
    <col min="10508" max="10508" width="9.28515625" style="137" customWidth="1"/>
    <col min="10509" max="10509" width="15.42578125" style="137" customWidth="1"/>
    <col min="10510" max="10514" width="6.42578125" style="137" customWidth="1"/>
    <col min="10515" max="10515" width="7.28515625" style="137" customWidth="1"/>
    <col min="10516" max="10516" width="6.42578125" style="137" customWidth="1"/>
    <col min="10517" max="10517" width="7.7109375" style="137" customWidth="1"/>
    <col min="10518" max="10518" width="9.5703125" style="137" customWidth="1"/>
    <col min="10519" max="10519" width="8.5703125" style="137" customWidth="1"/>
    <col min="10520" max="10523" width="6.42578125" style="137" customWidth="1"/>
    <col min="10524" max="10524" width="7.7109375" style="137" customWidth="1"/>
    <col min="10525" max="10525" width="3.28515625" style="137" customWidth="1"/>
    <col min="10526" max="10526" width="3.42578125" style="137" customWidth="1"/>
    <col min="10527" max="10527" width="23.28515625" style="137" customWidth="1"/>
    <col min="10528" max="10543" width="8.28515625" style="137"/>
    <col min="10544" max="10544" width="16.28515625" style="137" customWidth="1"/>
    <col min="10545" max="10545" width="22.42578125" style="137" customWidth="1"/>
    <col min="10546" max="10546" width="18.7109375" style="137" customWidth="1"/>
    <col min="10547" max="10753" width="8.28515625" style="137"/>
    <col min="10754" max="10754" width="1.28515625" style="137" customWidth="1"/>
    <col min="10755" max="10762" width="7.7109375" style="137" customWidth="1"/>
    <col min="10763" max="10763" width="6.42578125" style="137" customWidth="1"/>
    <col min="10764" max="10764" width="9.28515625" style="137" customWidth="1"/>
    <col min="10765" max="10765" width="15.42578125" style="137" customWidth="1"/>
    <col min="10766" max="10770" width="6.42578125" style="137" customWidth="1"/>
    <col min="10771" max="10771" width="7.28515625" style="137" customWidth="1"/>
    <col min="10772" max="10772" width="6.42578125" style="137" customWidth="1"/>
    <col min="10773" max="10773" width="7.7109375" style="137" customWidth="1"/>
    <col min="10774" max="10774" width="9.5703125" style="137" customWidth="1"/>
    <col min="10775" max="10775" width="8.5703125" style="137" customWidth="1"/>
    <col min="10776" max="10779" width="6.42578125" style="137" customWidth="1"/>
    <col min="10780" max="10780" width="7.7109375" style="137" customWidth="1"/>
    <col min="10781" max="10781" width="3.28515625" style="137" customWidth="1"/>
    <col min="10782" max="10782" width="3.42578125" style="137" customWidth="1"/>
    <col min="10783" max="10783" width="23.28515625" style="137" customWidth="1"/>
    <col min="10784" max="10799" width="8.28515625" style="137"/>
    <col min="10800" max="10800" width="16.28515625" style="137" customWidth="1"/>
    <col min="10801" max="10801" width="22.42578125" style="137" customWidth="1"/>
    <col min="10802" max="10802" width="18.7109375" style="137" customWidth="1"/>
    <col min="10803" max="11009" width="8.28515625" style="137"/>
    <col min="11010" max="11010" width="1.28515625" style="137" customWidth="1"/>
    <col min="11011" max="11018" width="7.7109375" style="137" customWidth="1"/>
    <col min="11019" max="11019" width="6.42578125" style="137" customWidth="1"/>
    <col min="11020" max="11020" width="9.28515625" style="137" customWidth="1"/>
    <col min="11021" max="11021" width="15.42578125" style="137" customWidth="1"/>
    <col min="11022" max="11026" width="6.42578125" style="137" customWidth="1"/>
    <col min="11027" max="11027" width="7.28515625" style="137" customWidth="1"/>
    <col min="11028" max="11028" width="6.42578125" style="137" customWidth="1"/>
    <col min="11029" max="11029" width="7.7109375" style="137" customWidth="1"/>
    <col min="11030" max="11030" width="9.5703125" style="137" customWidth="1"/>
    <col min="11031" max="11031" width="8.5703125" style="137" customWidth="1"/>
    <col min="11032" max="11035" width="6.42578125" style="137" customWidth="1"/>
    <col min="11036" max="11036" width="7.7109375" style="137" customWidth="1"/>
    <col min="11037" max="11037" width="3.28515625" style="137" customWidth="1"/>
    <col min="11038" max="11038" width="3.42578125" style="137" customWidth="1"/>
    <col min="11039" max="11039" width="23.28515625" style="137" customWidth="1"/>
    <col min="11040" max="11055" width="8.28515625" style="137"/>
    <col min="11056" max="11056" width="16.28515625" style="137" customWidth="1"/>
    <col min="11057" max="11057" width="22.42578125" style="137" customWidth="1"/>
    <col min="11058" max="11058" width="18.7109375" style="137" customWidth="1"/>
    <col min="11059" max="11265" width="8.28515625" style="137"/>
    <col min="11266" max="11266" width="1.28515625" style="137" customWidth="1"/>
    <col min="11267" max="11274" width="7.7109375" style="137" customWidth="1"/>
    <col min="11275" max="11275" width="6.42578125" style="137" customWidth="1"/>
    <col min="11276" max="11276" width="9.28515625" style="137" customWidth="1"/>
    <col min="11277" max="11277" width="15.42578125" style="137" customWidth="1"/>
    <col min="11278" max="11282" width="6.42578125" style="137" customWidth="1"/>
    <col min="11283" max="11283" width="7.28515625" style="137" customWidth="1"/>
    <col min="11284" max="11284" width="6.42578125" style="137" customWidth="1"/>
    <col min="11285" max="11285" width="7.7109375" style="137" customWidth="1"/>
    <col min="11286" max="11286" width="9.5703125" style="137" customWidth="1"/>
    <col min="11287" max="11287" width="8.5703125" style="137" customWidth="1"/>
    <col min="11288" max="11291" width="6.42578125" style="137" customWidth="1"/>
    <col min="11292" max="11292" width="7.7109375" style="137" customWidth="1"/>
    <col min="11293" max="11293" width="3.28515625" style="137" customWidth="1"/>
    <col min="11294" max="11294" width="3.42578125" style="137" customWidth="1"/>
    <col min="11295" max="11295" width="23.28515625" style="137" customWidth="1"/>
    <col min="11296" max="11311" width="8.28515625" style="137"/>
    <col min="11312" max="11312" width="16.28515625" style="137" customWidth="1"/>
    <col min="11313" max="11313" width="22.42578125" style="137" customWidth="1"/>
    <col min="11314" max="11314" width="18.7109375" style="137" customWidth="1"/>
    <col min="11315" max="11521" width="8.28515625" style="137"/>
    <col min="11522" max="11522" width="1.28515625" style="137" customWidth="1"/>
    <col min="11523" max="11530" width="7.7109375" style="137" customWidth="1"/>
    <col min="11531" max="11531" width="6.42578125" style="137" customWidth="1"/>
    <col min="11532" max="11532" width="9.28515625" style="137" customWidth="1"/>
    <col min="11533" max="11533" width="15.42578125" style="137" customWidth="1"/>
    <col min="11534" max="11538" width="6.42578125" style="137" customWidth="1"/>
    <col min="11539" max="11539" width="7.28515625" style="137" customWidth="1"/>
    <col min="11540" max="11540" width="6.42578125" style="137" customWidth="1"/>
    <col min="11541" max="11541" width="7.7109375" style="137" customWidth="1"/>
    <col min="11542" max="11542" width="9.5703125" style="137" customWidth="1"/>
    <col min="11543" max="11543" width="8.5703125" style="137" customWidth="1"/>
    <col min="11544" max="11547" width="6.42578125" style="137" customWidth="1"/>
    <col min="11548" max="11548" width="7.7109375" style="137" customWidth="1"/>
    <col min="11549" max="11549" width="3.28515625" style="137" customWidth="1"/>
    <col min="11550" max="11550" width="3.42578125" style="137" customWidth="1"/>
    <col min="11551" max="11551" width="23.28515625" style="137" customWidth="1"/>
    <col min="11552" max="11567" width="8.28515625" style="137"/>
    <col min="11568" max="11568" width="16.28515625" style="137" customWidth="1"/>
    <col min="11569" max="11569" width="22.42578125" style="137" customWidth="1"/>
    <col min="11570" max="11570" width="18.7109375" style="137" customWidth="1"/>
    <col min="11571" max="11777" width="8.28515625" style="137"/>
    <col min="11778" max="11778" width="1.28515625" style="137" customWidth="1"/>
    <col min="11779" max="11786" width="7.7109375" style="137" customWidth="1"/>
    <col min="11787" max="11787" width="6.42578125" style="137" customWidth="1"/>
    <col min="11788" max="11788" width="9.28515625" style="137" customWidth="1"/>
    <col min="11789" max="11789" width="15.42578125" style="137" customWidth="1"/>
    <col min="11790" max="11794" width="6.42578125" style="137" customWidth="1"/>
    <col min="11795" max="11795" width="7.28515625" style="137" customWidth="1"/>
    <col min="11796" max="11796" width="6.42578125" style="137" customWidth="1"/>
    <col min="11797" max="11797" width="7.7109375" style="137" customWidth="1"/>
    <col min="11798" max="11798" width="9.5703125" style="137" customWidth="1"/>
    <col min="11799" max="11799" width="8.5703125" style="137" customWidth="1"/>
    <col min="11800" max="11803" width="6.42578125" style="137" customWidth="1"/>
    <col min="11804" max="11804" width="7.7109375" style="137" customWidth="1"/>
    <col min="11805" max="11805" width="3.28515625" style="137" customWidth="1"/>
    <col min="11806" max="11806" width="3.42578125" style="137" customWidth="1"/>
    <col min="11807" max="11807" width="23.28515625" style="137" customWidth="1"/>
    <col min="11808" max="11823" width="8.28515625" style="137"/>
    <col min="11824" max="11824" width="16.28515625" style="137" customWidth="1"/>
    <col min="11825" max="11825" width="22.42578125" style="137" customWidth="1"/>
    <col min="11826" max="11826" width="18.7109375" style="137" customWidth="1"/>
    <col min="11827" max="12033" width="8.28515625" style="137"/>
    <col min="12034" max="12034" width="1.28515625" style="137" customWidth="1"/>
    <col min="12035" max="12042" width="7.7109375" style="137" customWidth="1"/>
    <col min="12043" max="12043" width="6.42578125" style="137" customWidth="1"/>
    <col min="12044" max="12044" width="9.28515625" style="137" customWidth="1"/>
    <col min="12045" max="12045" width="15.42578125" style="137" customWidth="1"/>
    <col min="12046" max="12050" width="6.42578125" style="137" customWidth="1"/>
    <col min="12051" max="12051" width="7.28515625" style="137" customWidth="1"/>
    <col min="12052" max="12052" width="6.42578125" style="137" customWidth="1"/>
    <col min="12053" max="12053" width="7.7109375" style="137" customWidth="1"/>
    <col min="12054" max="12054" width="9.5703125" style="137" customWidth="1"/>
    <col min="12055" max="12055" width="8.5703125" style="137" customWidth="1"/>
    <col min="12056" max="12059" width="6.42578125" style="137" customWidth="1"/>
    <col min="12060" max="12060" width="7.7109375" style="137" customWidth="1"/>
    <col min="12061" max="12061" width="3.28515625" style="137" customWidth="1"/>
    <col min="12062" max="12062" width="3.42578125" style="137" customWidth="1"/>
    <col min="12063" max="12063" width="23.28515625" style="137" customWidth="1"/>
    <col min="12064" max="12079" width="8.28515625" style="137"/>
    <col min="12080" max="12080" width="16.28515625" style="137" customWidth="1"/>
    <col min="12081" max="12081" width="22.42578125" style="137" customWidth="1"/>
    <col min="12082" max="12082" width="18.7109375" style="137" customWidth="1"/>
    <col min="12083" max="12289" width="8.28515625" style="137"/>
    <col min="12290" max="12290" width="1.28515625" style="137" customWidth="1"/>
    <col min="12291" max="12298" width="7.7109375" style="137" customWidth="1"/>
    <col min="12299" max="12299" width="6.42578125" style="137" customWidth="1"/>
    <col min="12300" max="12300" width="9.28515625" style="137" customWidth="1"/>
    <col min="12301" max="12301" width="15.42578125" style="137" customWidth="1"/>
    <col min="12302" max="12306" width="6.42578125" style="137" customWidth="1"/>
    <col min="12307" max="12307" width="7.28515625" style="137" customWidth="1"/>
    <col min="12308" max="12308" width="6.42578125" style="137" customWidth="1"/>
    <col min="12309" max="12309" width="7.7109375" style="137" customWidth="1"/>
    <col min="12310" max="12310" width="9.5703125" style="137" customWidth="1"/>
    <col min="12311" max="12311" width="8.5703125" style="137" customWidth="1"/>
    <col min="12312" max="12315" width="6.42578125" style="137" customWidth="1"/>
    <col min="12316" max="12316" width="7.7109375" style="137" customWidth="1"/>
    <col min="12317" max="12317" width="3.28515625" style="137" customWidth="1"/>
    <col min="12318" max="12318" width="3.42578125" style="137" customWidth="1"/>
    <col min="12319" max="12319" width="23.28515625" style="137" customWidth="1"/>
    <col min="12320" max="12335" width="8.28515625" style="137"/>
    <col min="12336" max="12336" width="16.28515625" style="137" customWidth="1"/>
    <col min="12337" max="12337" width="22.42578125" style="137" customWidth="1"/>
    <col min="12338" max="12338" width="18.7109375" style="137" customWidth="1"/>
    <col min="12339" max="12545" width="8.28515625" style="137"/>
    <col min="12546" max="12546" width="1.28515625" style="137" customWidth="1"/>
    <col min="12547" max="12554" width="7.7109375" style="137" customWidth="1"/>
    <col min="12555" max="12555" width="6.42578125" style="137" customWidth="1"/>
    <col min="12556" max="12556" width="9.28515625" style="137" customWidth="1"/>
    <col min="12557" max="12557" width="15.42578125" style="137" customWidth="1"/>
    <col min="12558" max="12562" width="6.42578125" style="137" customWidth="1"/>
    <col min="12563" max="12563" width="7.28515625" style="137" customWidth="1"/>
    <col min="12564" max="12564" width="6.42578125" style="137" customWidth="1"/>
    <col min="12565" max="12565" width="7.7109375" style="137" customWidth="1"/>
    <col min="12566" max="12566" width="9.5703125" style="137" customWidth="1"/>
    <col min="12567" max="12567" width="8.5703125" style="137" customWidth="1"/>
    <col min="12568" max="12571" width="6.42578125" style="137" customWidth="1"/>
    <col min="12572" max="12572" width="7.7109375" style="137" customWidth="1"/>
    <col min="12573" max="12573" width="3.28515625" style="137" customWidth="1"/>
    <col min="12574" max="12574" width="3.42578125" style="137" customWidth="1"/>
    <col min="12575" max="12575" width="23.28515625" style="137" customWidth="1"/>
    <col min="12576" max="12591" width="8.28515625" style="137"/>
    <col min="12592" max="12592" width="16.28515625" style="137" customWidth="1"/>
    <col min="12593" max="12593" width="22.42578125" style="137" customWidth="1"/>
    <col min="12594" max="12594" width="18.7109375" style="137" customWidth="1"/>
    <col min="12595" max="12801" width="8.28515625" style="137"/>
    <col min="12802" max="12802" width="1.28515625" style="137" customWidth="1"/>
    <col min="12803" max="12810" width="7.7109375" style="137" customWidth="1"/>
    <col min="12811" max="12811" width="6.42578125" style="137" customWidth="1"/>
    <col min="12812" max="12812" width="9.28515625" style="137" customWidth="1"/>
    <col min="12813" max="12813" width="15.42578125" style="137" customWidth="1"/>
    <col min="12814" max="12818" width="6.42578125" style="137" customWidth="1"/>
    <col min="12819" max="12819" width="7.28515625" style="137" customWidth="1"/>
    <col min="12820" max="12820" width="6.42578125" style="137" customWidth="1"/>
    <col min="12821" max="12821" width="7.7109375" style="137" customWidth="1"/>
    <col min="12822" max="12822" width="9.5703125" style="137" customWidth="1"/>
    <col min="12823" max="12823" width="8.5703125" style="137" customWidth="1"/>
    <col min="12824" max="12827" width="6.42578125" style="137" customWidth="1"/>
    <col min="12828" max="12828" width="7.7109375" style="137" customWidth="1"/>
    <col min="12829" max="12829" width="3.28515625" style="137" customWidth="1"/>
    <col min="12830" max="12830" width="3.42578125" style="137" customWidth="1"/>
    <col min="12831" max="12831" width="23.28515625" style="137" customWidth="1"/>
    <col min="12832" max="12847" width="8.28515625" style="137"/>
    <col min="12848" max="12848" width="16.28515625" style="137" customWidth="1"/>
    <col min="12849" max="12849" width="22.42578125" style="137" customWidth="1"/>
    <col min="12850" max="12850" width="18.7109375" style="137" customWidth="1"/>
    <col min="12851" max="13057" width="8.28515625" style="137"/>
    <col min="13058" max="13058" width="1.28515625" style="137" customWidth="1"/>
    <col min="13059" max="13066" width="7.7109375" style="137" customWidth="1"/>
    <col min="13067" max="13067" width="6.42578125" style="137" customWidth="1"/>
    <col min="13068" max="13068" width="9.28515625" style="137" customWidth="1"/>
    <col min="13069" max="13069" width="15.42578125" style="137" customWidth="1"/>
    <col min="13070" max="13074" width="6.42578125" style="137" customWidth="1"/>
    <col min="13075" max="13075" width="7.28515625" style="137" customWidth="1"/>
    <col min="13076" max="13076" width="6.42578125" style="137" customWidth="1"/>
    <col min="13077" max="13077" width="7.7109375" style="137" customWidth="1"/>
    <col min="13078" max="13078" width="9.5703125" style="137" customWidth="1"/>
    <col min="13079" max="13079" width="8.5703125" style="137" customWidth="1"/>
    <col min="13080" max="13083" width="6.42578125" style="137" customWidth="1"/>
    <col min="13084" max="13084" width="7.7109375" style="137" customWidth="1"/>
    <col min="13085" max="13085" width="3.28515625" style="137" customWidth="1"/>
    <col min="13086" max="13086" width="3.42578125" style="137" customWidth="1"/>
    <col min="13087" max="13087" width="23.28515625" style="137" customWidth="1"/>
    <col min="13088" max="13103" width="8.28515625" style="137"/>
    <col min="13104" max="13104" width="16.28515625" style="137" customWidth="1"/>
    <col min="13105" max="13105" width="22.42578125" style="137" customWidth="1"/>
    <col min="13106" max="13106" width="18.7109375" style="137" customWidth="1"/>
    <col min="13107" max="13313" width="8.28515625" style="137"/>
    <col min="13314" max="13314" width="1.28515625" style="137" customWidth="1"/>
    <col min="13315" max="13322" width="7.7109375" style="137" customWidth="1"/>
    <col min="13323" max="13323" width="6.42578125" style="137" customWidth="1"/>
    <col min="13324" max="13324" width="9.28515625" style="137" customWidth="1"/>
    <col min="13325" max="13325" width="15.42578125" style="137" customWidth="1"/>
    <col min="13326" max="13330" width="6.42578125" style="137" customWidth="1"/>
    <col min="13331" max="13331" width="7.28515625" style="137" customWidth="1"/>
    <col min="13332" max="13332" width="6.42578125" style="137" customWidth="1"/>
    <col min="13333" max="13333" width="7.7109375" style="137" customWidth="1"/>
    <col min="13334" max="13334" width="9.5703125" style="137" customWidth="1"/>
    <col min="13335" max="13335" width="8.5703125" style="137" customWidth="1"/>
    <col min="13336" max="13339" width="6.42578125" style="137" customWidth="1"/>
    <col min="13340" max="13340" width="7.7109375" style="137" customWidth="1"/>
    <col min="13341" max="13341" width="3.28515625" style="137" customWidth="1"/>
    <col min="13342" max="13342" width="3.42578125" style="137" customWidth="1"/>
    <col min="13343" max="13343" width="23.28515625" style="137" customWidth="1"/>
    <col min="13344" max="13359" width="8.28515625" style="137"/>
    <col min="13360" max="13360" width="16.28515625" style="137" customWidth="1"/>
    <col min="13361" max="13361" width="22.42578125" style="137" customWidth="1"/>
    <col min="13362" max="13362" width="18.7109375" style="137" customWidth="1"/>
    <col min="13363" max="13569" width="8.28515625" style="137"/>
    <col min="13570" max="13570" width="1.28515625" style="137" customWidth="1"/>
    <col min="13571" max="13578" width="7.7109375" style="137" customWidth="1"/>
    <col min="13579" max="13579" width="6.42578125" style="137" customWidth="1"/>
    <col min="13580" max="13580" width="9.28515625" style="137" customWidth="1"/>
    <col min="13581" max="13581" width="15.42578125" style="137" customWidth="1"/>
    <col min="13582" max="13586" width="6.42578125" style="137" customWidth="1"/>
    <col min="13587" max="13587" width="7.28515625" style="137" customWidth="1"/>
    <col min="13588" max="13588" width="6.42578125" style="137" customWidth="1"/>
    <col min="13589" max="13589" width="7.7109375" style="137" customWidth="1"/>
    <col min="13590" max="13590" width="9.5703125" style="137" customWidth="1"/>
    <col min="13591" max="13591" width="8.5703125" style="137" customWidth="1"/>
    <col min="13592" max="13595" width="6.42578125" style="137" customWidth="1"/>
    <col min="13596" max="13596" width="7.7109375" style="137" customWidth="1"/>
    <col min="13597" max="13597" width="3.28515625" style="137" customWidth="1"/>
    <col min="13598" max="13598" width="3.42578125" style="137" customWidth="1"/>
    <col min="13599" max="13599" width="23.28515625" style="137" customWidth="1"/>
    <col min="13600" max="13615" width="8.28515625" style="137"/>
    <col min="13616" max="13616" width="16.28515625" style="137" customWidth="1"/>
    <col min="13617" max="13617" width="22.42578125" style="137" customWidth="1"/>
    <col min="13618" max="13618" width="18.7109375" style="137" customWidth="1"/>
    <col min="13619" max="13825" width="8.28515625" style="137"/>
    <col min="13826" max="13826" width="1.28515625" style="137" customWidth="1"/>
    <col min="13827" max="13834" width="7.7109375" style="137" customWidth="1"/>
    <col min="13835" max="13835" width="6.42578125" style="137" customWidth="1"/>
    <col min="13836" max="13836" width="9.28515625" style="137" customWidth="1"/>
    <col min="13837" max="13837" width="15.42578125" style="137" customWidth="1"/>
    <col min="13838" max="13842" width="6.42578125" style="137" customWidth="1"/>
    <col min="13843" max="13843" width="7.28515625" style="137" customWidth="1"/>
    <col min="13844" max="13844" width="6.42578125" style="137" customWidth="1"/>
    <col min="13845" max="13845" width="7.7109375" style="137" customWidth="1"/>
    <col min="13846" max="13846" width="9.5703125" style="137" customWidth="1"/>
    <col min="13847" max="13847" width="8.5703125" style="137" customWidth="1"/>
    <col min="13848" max="13851" width="6.42578125" style="137" customWidth="1"/>
    <col min="13852" max="13852" width="7.7109375" style="137" customWidth="1"/>
    <col min="13853" max="13853" width="3.28515625" style="137" customWidth="1"/>
    <col min="13854" max="13854" width="3.42578125" style="137" customWidth="1"/>
    <col min="13855" max="13855" width="23.28515625" style="137" customWidth="1"/>
    <col min="13856" max="13871" width="8.28515625" style="137"/>
    <col min="13872" max="13872" width="16.28515625" style="137" customWidth="1"/>
    <col min="13873" max="13873" width="22.42578125" style="137" customWidth="1"/>
    <col min="13874" max="13874" width="18.7109375" style="137" customWidth="1"/>
    <col min="13875" max="14081" width="8.28515625" style="137"/>
    <col min="14082" max="14082" width="1.28515625" style="137" customWidth="1"/>
    <col min="14083" max="14090" width="7.7109375" style="137" customWidth="1"/>
    <col min="14091" max="14091" width="6.42578125" style="137" customWidth="1"/>
    <col min="14092" max="14092" width="9.28515625" style="137" customWidth="1"/>
    <col min="14093" max="14093" width="15.42578125" style="137" customWidth="1"/>
    <col min="14094" max="14098" width="6.42578125" style="137" customWidth="1"/>
    <col min="14099" max="14099" width="7.28515625" style="137" customWidth="1"/>
    <col min="14100" max="14100" width="6.42578125" style="137" customWidth="1"/>
    <col min="14101" max="14101" width="7.7109375" style="137" customWidth="1"/>
    <col min="14102" max="14102" width="9.5703125" style="137" customWidth="1"/>
    <col min="14103" max="14103" width="8.5703125" style="137" customWidth="1"/>
    <col min="14104" max="14107" width="6.42578125" style="137" customWidth="1"/>
    <col min="14108" max="14108" width="7.7109375" style="137" customWidth="1"/>
    <col min="14109" max="14109" width="3.28515625" style="137" customWidth="1"/>
    <col min="14110" max="14110" width="3.42578125" style="137" customWidth="1"/>
    <col min="14111" max="14111" width="23.28515625" style="137" customWidth="1"/>
    <col min="14112" max="14127" width="8.28515625" style="137"/>
    <col min="14128" max="14128" width="16.28515625" style="137" customWidth="1"/>
    <col min="14129" max="14129" width="22.42578125" style="137" customWidth="1"/>
    <col min="14130" max="14130" width="18.7109375" style="137" customWidth="1"/>
    <col min="14131" max="14337" width="8.28515625" style="137"/>
    <col min="14338" max="14338" width="1.28515625" style="137" customWidth="1"/>
    <col min="14339" max="14346" width="7.7109375" style="137" customWidth="1"/>
    <col min="14347" max="14347" width="6.42578125" style="137" customWidth="1"/>
    <col min="14348" max="14348" width="9.28515625" style="137" customWidth="1"/>
    <col min="14349" max="14349" width="15.42578125" style="137" customWidth="1"/>
    <col min="14350" max="14354" width="6.42578125" style="137" customWidth="1"/>
    <col min="14355" max="14355" width="7.28515625" style="137" customWidth="1"/>
    <col min="14356" max="14356" width="6.42578125" style="137" customWidth="1"/>
    <col min="14357" max="14357" width="7.7109375" style="137" customWidth="1"/>
    <col min="14358" max="14358" width="9.5703125" style="137" customWidth="1"/>
    <col min="14359" max="14359" width="8.5703125" style="137" customWidth="1"/>
    <col min="14360" max="14363" width="6.42578125" style="137" customWidth="1"/>
    <col min="14364" max="14364" width="7.7109375" style="137" customWidth="1"/>
    <col min="14365" max="14365" width="3.28515625" style="137" customWidth="1"/>
    <col min="14366" max="14366" width="3.42578125" style="137" customWidth="1"/>
    <col min="14367" max="14367" width="23.28515625" style="137" customWidth="1"/>
    <col min="14368" max="14383" width="8.28515625" style="137"/>
    <col min="14384" max="14384" width="16.28515625" style="137" customWidth="1"/>
    <col min="14385" max="14385" width="22.42578125" style="137" customWidth="1"/>
    <col min="14386" max="14386" width="18.7109375" style="137" customWidth="1"/>
    <col min="14387" max="14593" width="8.28515625" style="137"/>
    <col min="14594" max="14594" width="1.28515625" style="137" customWidth="1"/>
    <col min="14595" max="14602" width="7.7109375" style="137" customWidth="1"/>
    <col min="14603" max="14603" width="6.42578125" style="137" customWidth="1"/>
    <col min="14604" max="14604" width="9.28515625" style="137" customWidth="1"/>
    <col min="14605" max="14605" width="15.42578125" style="137" customWidth="1"/>
    <col min="14606" max="14610" width="6.42578125" style="137" customWidth="1"/>
    <col min="14611" max="14611" width="7.28515625" style="137" customWidth="1"/>
    <col min="14612" max="14612" width="6.42578125" style="137" customWidth="1"/>
    <col min="14613" max="14613" width="7.7109375" style="137" customWidth="1"/>
    <col min="14614" max="14614" width="9.5703125" style="137" customWidth="1"/>
    <col min="14615" max="14615" width="8.5703125" style="137" customWidth="1"/>
    <col min="14616" max="14619" width="6.42578125" style="137" customWidth="1"/>
    <col min="14620" max="14620" width="7.7109375" style="137" customWidth="1"/>
    <col min="14621" max="14621" width="3.28515625" style="137" customWidth="1"/>
    <col min="14622" max="14622" width="3.42578125" style="137" customWidth="1"/>
    <col min="14623" max="14623" width="23.28515625" style="137" customWidth="1"/>
    <col min="14624" max="14639" width="8.28515625" style="137"/>
    <col min="14640" max="14640" width="16.28515625" style="137" customWidth="1"/>
    <col min="14641" max="14641" width="22.42578125" style="137" customWidth="1"/>
    <col min="14642" max="14642" width="18.7109375" style="137" customWidth="1"/>
    <col min="14643" max="14849" width="8.28515625" style="137"/>
    <col min="14850" max="14850" width="1.28515625" style="137" customWidth="1"/>
    <col min="14851" max="14858" width="7.7109375" style="137" customWidth="1"/>
    <col min="14859" max="14859" width="6.42578125" style="137" customWidth="1"/>
    <col min="14860" max="14860" width="9.28515625" style="137" customWidth="1"/>
    <col min="14861" max="14861" width="15.42578125" style="137" customWidth="1"/>
    <col min="14862" max="14866" width="6.42578125" style="137" customWidth="1"/>
    <col min="14867" max="14867" width="7.28515625" style="137" customWidth="1"/>
    <col min="14868" max="14868" width="6.42578125" style="137" customWidth="1"/>
    <col min="14869" max="14869" width="7.7109375" style="137" customWidth="1"/>
    <col min="14870" max="14870" width="9.5703125" style="137" customWidth="1"/>
    <col min="14871" max="14871" width="8.5703125" style="137" customWidth="1"/>
    <col min="14872" max="14875" width="6.42578125" style="137" customWidth="1"/>
    <col min="14876" max="14876" width="7.7109375" style="137" customWidth="1"/>
    <col min="14877" max="14877" width="3.28515625" style="137" customWidth="1"/>
    <col min="14878" max="14878" width="3.42578125" style="137" customWidth="1"/>
    <col min="14879" max="14879" width="23.28515625" style="137" customWidth="1"/>
    <col min="14880" max="14895" width="8.28515625" style="137"/>
    <col min="14896" max="14896" width="16.28515625" style="137" customWidth="1"/>
    <col min="14897" max="14897" width="22.42578125" style="137" customWidth="1"/>
    <col min="14898" max="14898" width="18.7109375" style="137" customWidth="1"/>
    <col min="14899" max="15105" width="8.28515625" style="137"/>
    <col min="15106" max="15106" width="1.28515625" style="137" customWidth="1"/>
    <col min="15107" max="15114" width="7.7109375" style="137" customWidth="1"/>
    <col min="15115" max="15115" width="6.42578125" style="137" customWidth="1"/>
    <col min="15116" max="15116" width="9.28515625" style="137" customWidth="1"/>
    <col min="15117" max="15117" width="15.42578125" style="137" customWidth="1"/>
    <col min="15118" max="15122" width="6.42578125" style="137" customWidth="1"/>
    <col min="15123" max="15123" width="7.28515625" style="137" customWidth="1"/>
    <col min="15124" max="15124" width="6.42578125" style="137" customWidth="1"/>
    <col min="15125" max="15125" width="7.7109375" style="137" customWidth="1"/>
    <col min="15126" max="15126" width="9.5703125" style="137" customWidth="1"/>
    <col min="15127" max="15127" width="8.5703125" style="137" customWidth="1"/>
    <col min="15128" max="15131" width="6.42578125" style="137" customWidth="1"/>
    <col min="15132" max="15132" width="7.7109375" style="137" customWidth="1"/>
    <col min="15133" max="15133" width="3.28515625" style="137" customWidth="1"/>
    <col min="15134" max="15134" width="3.42578125" style="137" customWidth="1"/>
    <col min="15135" max="15135" width="23.28515625" style="137" customWidth="1"/>
    <col min="15136" max="15151" width="8.28515625" style="137"/>
    <col min="15152" max="15152" width="16.28515625" style="137" customWidth="1"/>
    <col min="15153" max="15153" width="22.42578125" style="137" customWidth="1"/>
    <col min="15154" max="15154" width="18.7109375" style="137" customWidth="1"/>
    <col min="15155" max="15361" width="8.28515625" style="137"/>
    <col min="15362" max="15362" width="1.28515625" style="137" customWidth="1"/>
    <col min="15363" max="15370" width="7.7109375" style="137" customWidth="1"/>
    <col min="15371" max="15371" width="6.42578125" style="137" customWidth="1"/>
    <col min="15372" max="15372" width="9.28515625" style="137" customWidth="1"/>
    <col min="15373" max="15373" width="15.42578125" style="137" customWidth="1"/>
    <col min="15374" max="15378" width="6.42578125" style="137" customWidth="1"/>
    <col min="15379" max="15379" width="7.28515625" style="137" customWidth="1"/>
    <col min="15380" max="15380" width="6.42578125" style="137" customWidth="1"/>
    <col min="15381" max="15381" width="7.7109375" style="137" customWidth="1"/>
    <col min="15382" max="15382" width="9.5703125" style="137" customWidth="1"/>
    <col min="15383" max="15383" width="8.5703125" style="137" customWidth="1"/>
    <col min="15384" max="15387" width="6.42578125" style="137" customWidth="1"/>
    <col min="15388" max="15388" width="7.7109375" style="137" customWidth="1"/>
    <col min="15389" max="15389" width="3.28515625" style="137" customWidth="1"/>
    <col min="15390" max="15390" width="3.42578125" style="137" customWidth="1"/>
    <col min="15391" max="15391" width="23.28515625" style="137" customWidth="1"/>
    <col min="15392" max="15407" width="8.28515625" style="137"/>
    <col min="15408" max="15408" width="16.28515625" style="137" customWidth="1"/>
    <col min="15409" max="15409" width="22.42578125" style="137" customWidth="1"/>
    <col min="15410" max="15410" width="18.7109375" style="137" customWidth="1"/>
    <col min="15411" max="15617" width="8.28515625" style="137"/>
    <col min="15618" max="15618" width="1.28515625" style="137" customWidth="1"/>
    <col min="15619" max="15626" width="7.7109375" style="137" customWidth="1"/>
    <col min="15627" max="15627" width="6.42578125" style="137" customWidth="1"/>
    <col min="15628" max="15628" width="9.28515625" style="137" customWidth="1"/>
    <col min="15629" max="15629" width="15.42578125" style="137" customWidth="1"/>
    <col min="15630" max="15634" width="6.42578125" style="137" customWidth="1"/>
    <col min="15635" max="15635" width="7.28515625" style="137" customWidth="1"/>
    <col min="15636" max="15636" width="6.42578125" style="137" customWidth="1"/>
    <col min="15637" max="15637" width="7.7109375" style="137" customWidth="1"/>
    <col min="15638" max="15638" width="9.5703125" style="137" customWidth="1"/>
    <col min="15639" max="15639" width="8.5703125" style="137" customWidth="1"/>
    <col min="15640" max="15643" width="6.42578125" style="137" customWidth="1"/>
    <col min="15644" max="15644" width="7.7109375" style="137" customWidth="1"/>
    <col min="15645" max="15645" width="3.28515625" style="137" customWidth="1"/>
    <col min="15646" max="15646" width="3.42578125" style="137" customWidth="1"/>
    <col min="15647" max="15647" width="23.28515625" style="137" customWidth="1"/>
    <col min="15648" max="15663" width="8.28515625" style="137"/>
    <col min="15664" max="15664" width="16.28515625" style="137" customWidth="1"/>
    <col min="15665" max="15665" width="22.42578125" style="137" customWidth="1"/>
    <col min="15666" max="15666" width="18.7109375" style="137" customWidth="1"/>
    <col min="15667" max="15873" width="8.28515625" style="137"/>
    <col min="15874" max="15874" width="1.28515625" style="137" customWidth="1"/>
    <col min="15875" max="15882" width="7.7109375" style="137" customWidth="1"/>
    <col min="15883" max="15883" width="6.42578125" style="137" customWidth="1"/>
    <col min="15884" max="15884" width="9.28515625" style="137" customWidth="1"/>
    <col min="15885" max="15885" width="15.42578125" style="137" customWidth="1"/>
    <col min="15886" max="15890" width="6.42578125" style="137" customWidth="1"/>
    <col min="15891" max="15891" width="7.28515625" style="137" customWidth="1"/>
    <col min="15892" max="15892" width="6.42578125" style="137" customWidth="1"/>
    <col min="15893" max="15893" width="7.7109375" style="137" customWidth="1"/>
    <col min="15894" max="15894" width="9.5703125" style="137" customWidth="1"/>
    <col min="15895" max="15895" width="8.5703125" style="137" customWidth="1"/>
    <col min="15896" max="15899" width="6.42578125" style="137" customWidth="1"/>
    <col min="15900" max="15900" width="7.7109375" style="137" customWidth="1"/>
    <col min="15901" max="15901" width="3.28515625" style="137" customWidth="1"/>
    <col min="15902" max="15902" width="3.42578125" style="137" customWidth="1"/>
    <col min="15903" max="15903" width="23.28515625" style="137" customWidth="1"/>
    <col min="15904" max="15919" width="8.28515625" style="137"/>
    <col min="15920" max="15920" width="16.28515625" style="137" customWidth="1"/>
    <col min="15921" max="15921" width="22.42578125" style="137" customWidth="1"/>
    <col min="15922" max="15922" width="18.7109375" style="137" customWidth="1"/>
    <col min="15923" max="16129" width="8.28515625" style="137"/>
    <col min="16130" max="16130" width="1.28515625" style="137" customWidth="1"/>
    <col min="16131" max="16138" width="7.7109375" style="137" customWidth="1"/>
    <col min="16139" max="16139" width="6.42578125" style="137" customWidth="1"/>
    <col min="16140" max="16140" width="9.28515625" style="137" customWidth="1"/>
    <col min="16141" max="16141" width="15.42578125" style="137" customWidth="1"/>
    <col min="16142" max="16146" width="6.42578125" style="137" customWidth="1"/>
    <col min="16147" max="16147" width="7.28515625" style="137" customWidth="1"/>
    <col min="16148" max="16148" width="6.42578125" style="137" customWidth="1"/>
    <col min="16149" max="16149" width="7.7109375" style="137" customWidth="1"/>
    <col min="16150" max="16150" width="9.5703125" style="137" customWidth="1"/>
    <col min="16151" max="16151" width="8.5703125" style="137" customWidth="1"/>
    <col min="16152" max="16155" width="6.42578125" style="137" customWidth="1"/>
    <col min="16156" max="16156" width="7.7109375" style="137" customWidth="1"/>
    <col min="16157" max="16157" width="3.28515625" style="137" customWidth="1"/>
    <col min="16158" max="16158" width="3.42578125" style="137" customWidth="1"/>
    <col min="16159" max="16159" width="23.28515625" style="137" customWidth="1"/>
    <col min="16160" max="16175" width="8.28515625" style="137"/>
    <col min="16176" max="16176" width="16.28515625" style="137" customWidth="1"/>
    <col min="16177" max="16177" width="22.42578125" style="137" customWidth="1"/>
    <col min="16178" max="16178" width="18.7109375" style="137" customWidth="1"/>
    <col min="16179" max="16384" width="8.28515625" style="137"/>
  </cols>
  <sheetData>
    <row r="1" spans="2:56" ht="4.5" customHeight="1" thickBot="1" x14ac:dyDescent="0.25">
      <c r="M1" s="137"/>
      <c r="AH1" s="37"/>
      <c r="AI1" s="37"/>
      <c r="AJ1" s="37"/>
      <c r="AK1" s="37"/>
      <c r="AM1" s="108"/>
      <c r="AV1" s="1121"/>
      <c r="AW1" s="1121"/>
      <c r="AX1" s="1121"/>
      <c r="AY1" s="1121"/>
      <c r="AZ1" s="1121"/>
      <c r="BA1" s="1121"/>
      <c r="BB1" s="1121"/>
      <c r="BC1" s="1121"/>
      <c r="BD1" s="1121"/>
    </row>
    <row r="2" spans="2:56" s="108" customFormat="1" ht="19.5" customHeight="1" thickBot="1" x14ac:dyDescent="0.25">
      <c r="B2" s="1048" t="s">
        <v>5</v>
      </c>
      <c r="C2" s="1048"/>
      <c r="D2" s="1048"/>
      <c r="E2" s="886"/>
      <c r="F2" s="886"/>
      <c r="G2" s="886"/>
      <c r="H2" s="886"/>
      <c r="I2" s="886"/>
      <c r="J2" s="886"/>
      <c r="K2" s="886"/>
      <c r="L2" s="886"/>
      <c r="M2" s="759"/>
      <c r="N2" s="759"/>
      <c r="S2" s="117">
        <v>3</v>
      </c>
      <c r="AM2" s="780" t="str">
        <f>ListAVS!$B$153</f>
        <v>Przejdź do</v>
      </c>
    </row>
    <row r="3" spans="2:56" ht="3.75" customHeight="1" x14ac:dyDescent="0.2">
      <c r="B3" s="210"/>
      <c r="C3" s="211"/>
      <c r="D3" s="211"/>
      <c r="E3" s="211"/>
      <c r="F3" s="211"/>
      <c r="G3" s="211"/>
      <c r="H3" s="211"/>
      <c r="I3" s="211"/>
      <c r="J3" s="211"/>
      <c r="K3" s="211"/>
      <c r="L3" s="211"/>
      <c r="M3" s="137"/>
      <c r="AH3" s="37"/>
      <c r="AI3" s="37"/>
      <c r="AJ3" s="37"/>
      <c r="AK3" s="37"/>
      <c r="AM3" s="832"/>
    </row>
    <row r="4" spans="2:56" ht="16.149999999999999" customHeight="1" thickBot="1" x14ac:dyDescent="0.25">
      <c r="B4" s="314" t="str">
        <f>ListAVS!$B$23&amp;" ***"</f>
        <v>Cienkie materiały ***</v>
      </c>
      <c r="C4" s="266"/>
      <c r="D4" s="212"/>
      <c r="E4" s="781"/>
      <c r="F4" s="269" t="str">
        <f>ListAVS!$B$26&amp;":  "</f>
        <v xml:space="preserve">Materiał :  </v>
      </c>
      <c r="G4" s="255"/>
      <c r="H4" s="255"/>
      <c r="I4" s="255"/>
      <c r="J4" s="260"/>
      <c r="K4" s="1047" t="str">
        <f>IF($AA$65=8,IF(J4=0,$Z$61," "),IF(J4&gt;0,$Z$62," "))</f>
        <v xml:space="preserve"> </v>
      </c>
      <c r="L4" s="1047"/>
      <c r="O4" s="118"/>
      <c r="P4" s="37"/>
      <c r="Q4" s="118"/>
      <c r="R4" s="37"/>
      <c r="S4" s="37" t="str">
        <f>" "&amp;ListAVS!$B$41&amp;" A "</f>
        <v xml:space="preserve"> Cena za korpus A </v>
      </c>
      <c r="AH4" s="37"/>
      <c r="AI4" s="37"/>
      <c r="AJ4" s="37"/>
      <c r="AK4" s="37"/>
      <c r="AM4" s="383" t="s">
        <v>77</v>
      </c>
    </row>
    <row r="5" spans="2:56" ht="16.149999999999999" customHeight="1" x14ac:dyDescent="0.2">
      <c r="B5" s="266"/>
      <c r="C5" s="212"/>
      <c r="D5" s="212"/>
      <c r="E5" s="255"/>
      <c r="F5" s="1016" t="str">
        <f>IF($AA$66&lt;&gt;3,$Z$60," ")&amp;"      "</f>
        <v xml:space="preserve"> Możesz zmienić wartości we Wstępie do planowania      </v>
      </c>
      <c r="G5" s="1016"/>
      <c r="H5" s="1016"/>
      <c r="I5" s="1016"/>
      <c r="J5" s="1016"/>
      <c r="K5" s="1047"/>
      <c r="L5" s="1047"/>
      <c r="O5" s="118"/>
      <c r="P5" s="37"/>
      <c r="Q5" s="118"/>
      <c r="R5" s="37"/>
      <c r="S5" s="37" t="str">
        <f>" "&amp;ListAVS!$B$41&amp;" B "</f>
        <v xml:space="preserve"> Cena za korpus B </v>
      </c>
      <c r="AH5" s="37"/>
      <c r="AI5" s="37"/>
      <c r="AJ5" s="37"/>
      <c r="AK5" s="37"/>
      <c r="AM5" s="782" t="str">
        <f>" "&amp;ListAVS!$B$155</f>
        <v xml:space="preserve"> Pomoc</v>
      </c>
    </row>
    <row r="6" spans="2:56" ht="25.15" customHeight="1" x14ac:dyDescent="0.2">
      <c r="B6" s="273"/>
      <c r="C6" s="212"/>
      <c r="D6" s="212"/>
      <c r="E6" s="212"/>
      <c r="F6" s="266"/>
      <c r="I6" s="212"/>
      <c r="J6" s="212"/>
      <c r="K6" s="266"/>
      <c r="L6" s="266"/>
      <c r="O6" s="118"/>
      <c r="P6" s="37"/>
      <c r="Q6" s="118"/>
      <c r="R6" s="37"/>
      <c r="S6" s="37" t="str">
        <f>" "&amp;ListAVS!$B$61</f>
        <v xml:space="preserve"> Cena całkowita bez VAT</v>
      </c>
      <c r="AH6" s="37"/>
      <c r="AI6" s="37"/>
      <c r="AJ6" s="37"/>
      <c r="AK6" s="37"/>
      <c r="AM6" s="783"/>
    </row>
    <row r="7" spans="2:56" ht="16.149999999999999" customHeight="1" x14ac:dyDescent="0.2">
      <c r="B7" s="1207" t="str">
        <f>ListAVS!$B$51&amp;":   "</f>
        <v xml:space="preserve">Cena okucia:   </v>
      </c>
      <c r="C7" s="1207"/>
      <c r="D7" s="1207"/>
      <c r="E7" s="266"/>
      <c r="F7" s="266"/>
      <c r="H7" s="1061">
        <f>IF($S$2=1, $AH$50, IF($S$2=2, $AJ$50, IF($S$2=3, $AF$50,0)))</f>
        <v>0</v>
      </c>
      <c r="I7" s="1062"/>
      <c r="J7" s="255"/>
      <c r="K7" s="255"/>
      <c r="L7" s="255"/>
      <c r="O7" s="118"/>
      <c r="P7" s="37"/>
      <c r="Q7" s="118"/>
      <c r="R7" s="37"/>
      <c r="AA7" s="156" t="str">
        <f>$B$2</f>
        <v>AVENTOS HK-XS</v>
      </c>
      <c r="AB7" s="157">
        <f>D5</f>
        <v>0</v>
      </c>
      <c r="AC7" s="157"/>
      <c r="AD7" s="157"/>
      <c r="AE7" s="157"/>
      <c r="AF7" s="158"/>
      <c r="AH7" s="37"/>
      <c r="AI7" s="118"/>
      <c r="AJ7" s="37"/>
      <c r="AM7" s="675" t="str">
        <f>" "&amp;ListAVS!$B$160</f>
        <v xml:space="preserve"> Dodatki</v>
      </c>
    </row>
    <row r="8" spans="2:56" ht="22.5" customHeight="1" thickBot="1" x14ac:dyDescent="0.25">
      <c r="B8" s="255"/>
      <c r="C8" s="255"/>
      <c r="D8" s="255"/>
      <c r="E8" s="255"/>
      <c r="F8" s="255"/>
      <c r="G8" s="255"/>
      <c r="H8" s="255"/>
      <c r="I8" s="255"/>
      <c r="J8" s="255"/>
      <c r="K8" s="255"/>
      <c r="L8" s="255"/>
      <c r="O8" s="118"/>
      <c r="P8" s="37"/>
      <c r="Q8" s="118"/>
      <c r="R8" s="37"/>
      <c r="AA8" s="159">
        <f>ListAVS!D52</f>
        <v>0</v>
      </c>
      <c r="AB8" s="160" t="str">
        <f>ListAVS!$B$53</f>
        <v>Kod asortymentu</v>
      </c>
      <c r="AC8" s="161">
        <f>ListAVS!D54</f>
        <v>0</v>
      </c>
      <c r="AD8" s="161">
        <f>ListAVS!D56</f>
        <v>0</v>
      </c>
      <c r="AE8" s="162">
        <f>ListAVS!D58</f>
        <v>0</v>
      </c>
      <c r="AF8" s="161">
        <f>ListAVS!D59</f>
        <v>0</v>
      </c>
      <c r="AG8" s="204" t="s">
        <v>29</v>
      </c>
      <c r="AH8" s="163" t="s">
        <v>30</v>
      </c>
      <c r="AI8" s="163" t="s">
        <v>31</v>
      </c>
      <c r="AJ8" s="163" t="s">
        <v>30</v>
      </c>
      <c r="AM8" s="671"/>
      <c r="AP8" s="1193" t="str">
        <f>"  "&amp;ListAVS!$B$86&amp;" LF "</f>
        <v xml:space="preserve">  Współczynnik mocy LF </v>
      </c>
      <c r="AQ8" s="1193"/>
      <c r="AR8" s="1193" t="str">
        <f>ListAVS!$B$84</f>
        <v>Mechanizm podnoszący</v>
      </c>
      <c r="AS8" s="404"/>
      <c r="AT8" s="404"/>
      <c r="AV8" s="227"/>
      <c r="AW8" s="227"/>
      <c r="AX8" s="227"/>
      <c r="AY8" s="404"/>
      <c r="AZ8" s="404"/>
    </row>
    <row r="9" spans="2:56" ht="16.149999999999999" customHeight="1" thickBot="1" x14ac:dyDescent="0.25">
      <c r="B9" s="1051" t="str">
        <f>"▼ "&amp;ListAVS!$B$318</f>
        <v>▼ Sposób otwierania</v>
      </c>
      <c r="C9" s="1052"/>
      <c r="D9" s="406" t="str">
        <f>IF($M$17&gt;0, ListAVS!$B$37&amp;": ", " ")</f>
        <v xml:space="preserve"> </v>
      </c>
      <c r="E9" s="688" t="str">
        <f>IF($AG$9&gt;0,"11",IF($AG$10&gt;0,"13",IF($AG$11&gt;0,"15",IF($AG$15&gt;0,"11T",IF($AG$16&gt;0,"13T", IF($AG$17&gt;0, "15T", " "))))))</f>
        <v xml:space="preserve"> </v>
      </c>
      <c r="F9" s="1056" t="str">
        <f>ListAVS!$B$64&amp;" A"</f>
        <v>Korpus A</v>
      </c>
      <c r="G9" s="1057"/>
      <c r="H9" s="1057"/>
      <c r="I9" s="1058"/>
      <c r="J9" s="256"/>
      <c r="K9" s="255"/>
      <c r="L9" s="255"/>
      <c r="N9" s="119"/>
      <c r="O9" s="132"/>
      <c r="P9" s="119"/>
      <c r="Q9" s="132"/>
      <c r="R9" s="1205" t="s">
        <v>118</v>
      </c>
      <c r="S9" s="1206"/>
      <c r="T9" s="762"/>
      <c r="U9" s="763"/>
      <c r="V9" s="1205" t="s">
        <v>89</v>
      </c>
      <c r="W9" s="1206"/>
      <c r="X9" s="136"/>
      <c r="Y9" s="213" t="s">
        <v>26</v>
      </c>
      <c r="Z9" s="214"/>
      <c r="AA9" s="164" t="str">
        <f>CenAVS!A108</f>
        <v xml:space="preserve">Aventos HK-XS słaby        </v>
      </c>
      <c r="AB9" s="164" t="str">
        <f>CenAVS!B108</f>
        <v>20K1101</v>
      </c>
      <c r="AC9" s="164" t="str">
        <f>CenAVS!C108</f>
        <v>NI</v>
      </c>
      <c r="AD9" s="165">
        <f t="shared" ref="AD9:AD33" si="0">SUM(AG9,AI9)</f>
        <v>0</v>
      </c>
      <c r="AE9" s="395">
        <f>CenAVS!F108</f>
        <v>32.283230000000003</v>
      </c>
      <c r="AF9" s="167">
        <f>AD9*AE9</f>
        <v>0</v>
      </c>
      <c r="AG9" s="407">
        <f>IF($U$16=1,SUM($O$11:$P$11)*$M$17,0)</f>
        <v>0</v>
      </c>
      <c r="AH9" s="168">
        <f>$AE9*AG9</f>
        <v>0</v>
      </c>
      <c r="AI9" s="407">
        <f>IF($U$27=1,SUM($O$22:$P$22)*$M$28,0)</f>
        <v>0</v>
      </c>
      <c r="AJ9" s="168">
        <f>$AE9*AI9</f>
        <v>0</v>
      </c>
      <c r="AM9" s="383" t="str">
        <f>" "&amp;ListAVS!$B$157</f>
        <v xml:space="preserve"> Rodzaje korpusów</v>
      </c>
      <c r="AP9" s="1193"/>
      <c r="AQ9" s="1193"/>
      <c r="AR9" s="1193"/>
      <c r="AS9" s="404"/>
      <c r="AT9" s="404"/>
      <c r="AV9" s="227"/>
      <c r="AW9" s="227"/>
      <c r="AX9" s="227"/>
      <c r="AY9" s="404"/>
      <c r="AZ9" s="404"/>
    </row>
    <row r="10" spans="2:56" s="37" customFormat="1" ht="16.149999999999999" customHeight="1" thickBot="1" x14ac:dyDescent="0.25">
      <c r="B10" s="1011" t="str">
        <f>ListAVS!$B$74&amp;" KB [mm] "</f>
        <v xml:space="preserve">Szerokość korpusu KB [mm] </v>
      </c>
      <c r="C10" s="1012"/>
      <c r="D10" s="1012"/>
      <c r="E10" s="1012"/>
      <c r="F10" s="1012"/>
      <c r="G10" s="1012"/>
      <c r="H10" s="1013"/>
      <c r="I10" s="257"/>
      <c r="J10" s="256" t="str">
        <f>IF($I10=0," ",IF($I10&lt;220," min. 220mm",IF($I10&gt;1800," max. 1 800mm"," ")))&amp;IF(I17&gt;0,IF(I10=0,"● "&amp;ListAVS!$B$129," ")," ")</f>
        <v xml:space="preserve">  </v>
      </c>
      <c r="K10" s="255"/>
      <c r="L10" s="255"/>
      <c r="N10" s="198" t="s">
        <v>32</v>
      </c>
      <c r="O10" s="200" t="s">
        <v>119</v>
      </c>
      <c r="P10" s="200" t="s">
        <v>91</v>
      </c>
      <c r="Q10" s="119"/>
      <c r="R10" s="764" t="s">
        <v>93</v>
      </c>
      <c r="S10" s="764" t="s">
        <v>76</v>
      </c>
      <c r="T10" s="765" t="s">
        <v>94</v>
      </c>
      <c r="U10" s="765" t="s">
        <v>95</v>
      </c>
      <c r="V10" s="1214" t="b">
        <v>0</v>
      </c>
      <c r="W10" s="1215"/>
      <c r="X10" s="215"/>
      <c r="Y10" s="766"/>
      <c r="Z10" s="766"/>
      <c r="AA10" s="164" t="str">
        <f>CenAVS!A109</f>
        <v xml:space="preserve">Aventos HK-XS średni        </v>
      </c>
      <c r="AB10" s="164" t="str">
        <f>CenAVS!B109</f>
        <v>20K1301</v>
      </c>
      <c r="AC10" s="164" t="str">
        <f>CenAVS!C109</f>
        <v>NI</v>
      </c>
      <c r="AD10" s="165">
        <f t="shared" si="0"/>
        <v>0</v>
      </c>
      <c r="AE10" s="395">
        <f>CenAVS!F109</f>
        <v>32.283230000000003</v>
      </c>
      <c r="AF10" s="167">
        <f t="shared" ref="AF10:AF33" si="1">AD10*AE10</f>
        <v>0</v>
      </c>
      <c r="AG10" s="407">
        <f>IF($U$16=1,SUM($O$12:$P$12)*$M$17,0)</f>
        <v>0</v>
      </c>
      <c r="AH10" s="168">
        <f>$AE10*AG10</f>
        <v>0</v>
      </c>
      <c r="AI10" s="407">
        <f>IF($U$27=1,SUM($O$23:$P$23)*$M$28,0)</f>
        <v>0</v>
      </c>
      <c r="AJ10" s="168">
        <f>$AE10*AI10</f>
        <v>0</v>
      </c>
      <c r="AK10" s="108"/>
      <c r="AL10" s="108"/>
      <c r="AM10" s="383" t="str">
        <f>" "&amp;ListAVS!$B$158</f>
        <v xml:space="preserve"> Zamówienie</v>
      </c>
      <c r="AN10" s="137"/>
      <c r="AO10" s="137"/>
      <c r="AP10" s="1169" t="s">
        <v>120</v>
      </c>
      <c r="AQ10" s="1169"/>
      <c r="AR10" s="753" t="s">
        <v>121</v>
      </c>
      <c r="AS10" s="227"/>
      <c r="AT10" s="227"/>
      <c r="AV10" s="227"/>
      <c r="AW10" s="227"/>
      <c r="AX10" s="268"/>
      <c r="AY10" s="227"/>
      <c r="AZ10" s="227"/>
    </row>
    <row r="11" spans="2:56" s="37" customFormat="1" ht="16.149999999999999" customHeight="1" x14ac:dyDescent="0.2">
      <c r="B11" s="1011" t="str">
        <f>ListAVS!$B$75&amp;" KH [mm]  "</f>
        <v xml:space="preserve">Wysokość korpusu KH [mm]  </v>
      </c>
      <c r="C11" s="1012"/>
      <c r="D11" s="1012"/>
      <c r="E11" s="1012"/>
      <c r="F11" s="1012"/>
      <c r="G11" s="1012"/>
      <c r="H11" s="1013"/>
      <c r="I11" s="257"/>
      <c r="J11" s="256" t="str">
        <f>IF($I11=0," ",IF($I11&lt;236," min. 236mm",IF($I11&gt;600," max. 600 mm"," ")))&amp;IF(I17&gt;0,IF(I11=0,"● "&amp;ListAVS!$B$129," ")," ")</f>
        <v xml:space="preserve">  </v>
      </c>
      <c r="K11" s="255"/>
      <c r="L11" s="255"/>
      <c r="N11" s="119" t="s">
        <v>122</v>
      </c>
      <c r="O11" s="132">
        <f>IF($V$10=FALSE,IF($I$16&gt;R11,IF($I$16&lt;S11,1,0),0),0)</f>
        <v>0</v>
      </c>
      <c r="P11" s="206">
        <f>IF($V$10=TRUE,IF($I$16&gt;V11,IF($I$16&lt;W11,2,0),0),0)</f>
        <v>0</v>
      </c>
      <c r="Q11" s="119"/>
      <c r="R11" s="767">
        <f>IF(U16=1,199.99,179.99)</f>
        <v>199.99</v>
      </c>
      <c r="S11" s="767">
        <f>IF(U16=1,750,650)</f>
        <v>750</v>
      </c>
      <c r="T11" s="768"/>
      <c r="U11" s="119"/>
      <c r="V11" s="767">
        <f>IF(U16=1,399.99,359.99)</f>
        <v>399.99</v>
      </c>
      <c r="W11" s="767">
        <f>IF(U16=1,1500,1300)</f>
        <v>1500</v>
      </c>
      <c r="X11" s="767"/>
      <c r="Y11" s="769">
        <f>IF(OR(I10&gt;1199,I16&gt;2699),4,IF(OR(I10&gt;899,I16&gt;1799),3,2))</f>
        <v>2</v>
      </c>
      <c r="Z11" s="767"/>
      <c r="AA11" s="164" t="str">
        <f>CenAVS!A110</f>
        <v xml:space="preserve">Aventos HK-XS mocny        </v>
      </c>
      <c r="AB11" s="164" t="str">
        <f>CenAVS!B110</f>
        <v>20K1501</v>
      </c>
      <c r="AC11" s="164" t="str">
        <f>CenAVS!C110</f>
        <v>NI</v>
      </c>
      <c r="AD11" s="165">
        <f t="shared" si="0"/>
        <v>0</v>
      </c>
      <c r="AE11" s="395">
        <f>CenAVS!F110</f>
        <v>32.283230000000003</v>
      </c>
      <c r="AF11" s="167">
        <f t="shared" si="1"/>
        <v>0</v>
      </c>
      <c r="AG11" s="407">
        <f>IF($U$16=1,SUM($O$13:$P$13)*$M$17,0)</f>
        <v>0</v>
      </c>
      <c r="AH11" s="168">
        <f>$AE11*AG11</f>
        <v>0</v>
      </c>
      <c r="AI11" s="407">
        <f>IF($U$27=1,SUM($O$24:$P$24)*$M$28,0)</f>
        <v>0</v>
      </c>
      <c r="AJ11" s="168">
        <f>$AE11*AI11</f>
        <v>0</v>
      </c>
      <c r="AK11" s="108"/>
      <c r="AL11" s="108"/>
      <c r="AM11" s="227"/>
      <c r="AN11" s="137"/>
      <c r="AO11" s="137"/>
      <c r="AP11" s="1169" t="s">
        <v>123</v>
      </c>
      <c r="AQ11" s="1169"/>
      <c r="AR11" s="753" t="s">
        <v>124</v>
      </c>
      <c r="AS11" s="227"/>
      <c r="AT11" s="227"/>
      <c r="AV11" s="227"/>
      <c r="AW11" s="227"/>
      <c r="AX11" s="268"/>
      <c r="AY11" s="227"/>
      <c r="AZ11" s="227"/>
    </row>
    <row r="12" spans="2:56" s="37" customFormat="1" ht="16.149999999999999" customHeight="1" x14ac:dyDescent="0.2">
      <c r="B12" s="1011" t="str">
        <f>ListAVS!$B$78&amp;" [kg] ** "</f>
        <v xml:space="preserve">Waga frontu wraz z 2 uchwytami [kg] ** </v>
      </c>
      <c r="C12" s="1012"/>
      <c r="D12" s="1012"/>
      <c r="E12" s="1012"/>
      <c r="F12" s="1012"/>
      <c r="G12" s="1012"/>
      <c r="H12" s="1013"/>
      <c r="I12" s="258"/>
      <c r="J12" s="227" t="str">
        <f>IF($I17=0," ",IF(SUM($I12,$I15)=0,$N$38," "))&amp;IF($M17&gt;0,IF($I12&gt;0,$N$39," ")," ")</f>
        <v xml:space="preserve">  </v>
      </c>
      <c r="K12" s="255"/>
      <c r="L12" s="255"/>
      <c r="N12" s="119" t="s">
        <v>125</v>
      </c>
      <c r="O12" s="132">
        <f>IF($V$10=FALSE,IF($I$16&gt;R12,IF($I$16&lt;S12,1,0),0),0)</f>
        <v>0</v>
      </c>
      <c r="P12" s="132">
        <f>IF($V$10=TRUE,IF($I$16&gt;V12,IF($I$16&lt;W12,2,0),0),0)</f>
        <v>0</v>
      </c>
      <c r="Q12" s="119"/>
      <c r="R12" s="767">
        <f>IF(U16=1,749.99,649)</f>
        <v>749.99</v>
      </c>
      <c r="S12" s="767">
        <f>IF(U16=1,1150,1000)</f>
        <v>1150</v>
      </c>
      <c r="T12" s="768"/>
      <c r="U12" s="119"/>
      <c r="V12" s="767">
        <f>IF(U16=1,1499.99,1299.99)</f>
        <v>1499.99</v>
      </c>
      <c r="W12" s="767">
        <f>IF(U16=1,2300,2000)</f>
        <v>2300</v>
      </c>
      <c r="X12" s="767"/>
      <c r="Y12" s="767"/>
      <c r="Z12" s="767"/>
      <c r="AA12" s="164"/>
      <c r="AB12" s="164"/>
      <c r="AC12" s="164"/>
      <c r="AD12" s="165"/>
      <c r="AE12" s="395"/>
      <c r="AF12" s="167"/>
      <c r="AG12" s="407"/>
      <c r="AH12" s="168"/>
      <c r="AI12" s="407"/>
      <c r="AJ12" s="168"/>
      <c r="AK12" s="108"/>
      <c r="AL12" s="108"/>
      <c r="AM12" s="784"/>
      <c r="AN12" s="137"/>
      <c r="AO12" s="137"/>
      <c r="AP12" s="1169" t="s">
        <v>126</v>
      </c>
      <c r="AQ12" s="1169"/>
      <c r="AR12" s="753" t="s">
        <v>127</v>
      </c>
      <c r="AS12" s="227"/>
      <c r="AT12" s="227"/>
      <c r="AV12" s="227"/>
      <c r="AW12" s="227"/>
      <c r="AX12" s="268"/>
      <c r="AY12" s="227"/>
      <c r="AZ12" s="227"/>
    </row>
    <row r="13" spans="2:56" s="37" customFormat="1" ht="16.149999999999999" customHeight="1" x14ac:dyDescent="0.2">
      <c r="B13" s="1055" t="str">
        <f>ListAVS!$B$293</f>
        <v>Obliczenie wagi</v>
      </c>
      <c r="C13" s="1055"/>
      <c r="D13" s="1216" t="str">
        <f>ListAVS!$B$80&amp;" TS [mm] "</f>
        <v xml:space="preserve">Grubość frontu TS [mm] </v>
      </c>
      <c r="E13" s="1053"/>
      <c r="F13" s="1053"/>
      <c r="G13" s="1053"/>
      <c r="H13" s="1054"/>
      <c r="I13" s="258"/>
      <c r="J13" s="256" t="str">
        <f>IF(I17=0," ",IF(AND(I12=0, I13=0)," ● "&amp;ListAVS!$B$129," "))&amp;IF(I17=0," ",IF(AND(I12=0, I13&lt;8), " min. 8 mm", " "))</f>
        <v xml:space="preserve">  </v>
      </c>
      <c r="K13" s="255"/>
      <c r="L13" s="255"/>
      <c r="N13" s="119" t="s">
        <v>128</v>
      </c>
      <c r="O13" s="132">
        <f>IF($V$10=FALSE,IF($I$16&gt;R13,IF($I$16&lt;S13,1,0),0),0)</f>
        <v>0</v>
      </c>
      <c r="P13" s="132">
        <f>IF($V$10=TRUE,IF($I$16&gt;V13,IF($I$16&lt;W13,2,0),0),0)</f>
        <v>0</v>
      </c>
      <c r="Q13" s="119"/>
      <c r="R13" s="767">
        <f>IF(U16=1,1149.99,999.99)</f>
        <v>1149.99</v>
      </c>
      <c r="S13" s="767">
        <f>IF(U16=1,1801,1601)</f>
        <v>1801</v>
      </c>
      <c r="T13" s="768"/>
      <c r="U13" s="119"/>
      <c r="V13" s="767">
        <f>IF(U16=1,2299.99,1999.99)</f>
        <v>2299.9899999999998</v>
      </c>
      <c r="W13" s="767">
        <f>IF(U16=1,3601,3201)</f>
        <v>3601</v>
      </c>
      <c r="X13" s="767"/>
      <c r="Y13" s="767"/>
      <c r="Z13" s="767"/>
      <c r="AA13" s="164"/>
      <c r="AB13" s="164"/>
      <c r="AC13" s="164"/>
      <c r="AD13" s="165"/>
      <c r="AE13" s="395"/>
      <c r="AF13" s="167"/>
      <c r="AG13" s="407"/>
      <c r="AH13" s="168"/>
      <c r="AI13" s="407"/>
      <c r="AJ13" s="168"/>
      <c r="AK13" s="108"/>
      <c r="AL13" s="108"/>
      <c r="AM13" s="784"/>
      <c r="AN13" s="137"/>
      <c r="AO13" s="137"/>
      <c r="AP13" s="268"/>
      <c r="AQ13" s="268"/>
      <c r="AR13" s="268"/>
      <c r="AS13" s="227"/>
      <c r="AT13" s="227"/>
      <c r="AV13" s="268"/>
      <c r="AW13" s="268"/>
      <c r="AX13" s="268"/>
      <c r="AY13" s="227"/>
      <c r="AZ13" s="227"/>
    </row>
    <row r="14" spans="2:56" s="37" customFormat="1" ht="16.149999999999999" customHeight="1" x14ac:dyDescent="0.2">
      <c r="B14" s="1055"/>
      <c r="C14" s="1055"/>
      <c r="D14" s="1216" t="str">
        <f>ListAVS!$B$83&amp;" [kg] "</f>
        <v xml:space="preserve">Waga uchwytu [kg] </v>
      </c>
      <c r="E14" s="1053"/>
      <c r="F14" s="1053"/>
      <c r="G14" s="1053"/>
      <c r="H14" s="1054"/>
      <c r="I14" s="258"/>
      <c r="J14" s="256" t="str">
        <f>IF(I17=0, " ", IF(AND(I12=0, U16=1, I14=0), " ● "&amp;ListAVS!$B$130," "))</f>
        <v xml:space="preserve"> </v>
      </c>
      <c r="K14" s="255"/>
      <c r="L14" s="255"/>
      <c r="N14" s="119"/>
      <c r="O14" s="132"/>
      <c r="P14" s="132"/>
      <c r="Q14" s="119"/>
      <c r="R14" s="767"/>
      <c r="S14" s="767"/>
      <c r="T14" s="768"/>
      <c r="U14" s="119"/>
      <c r="V14" s="767"/>
      <c r="W14" s="767"/>
      <c r="X14" s="767"/>
      <c r="Y14" s="767"/>
      <c r="Z14" s="767"/>
      <c r="AA14" s="164"/>
      <c r="AB14" s="164"/>
      <c r="AC14" s="164"/>
      <c r="AD14" s="165"/>
      <c r="AE14" s="395"/>
      <c r="AF14" s="167"/>
      <c r="AG14" s="407"/>
      <c r="AH14" s="168"/>
      <c r="AI14" s="407"/>
      <c r="AJ14" s="168"/>
      <c r="AK14" s="108"/>
      <c r="AL14" s="108"/>
      <c r="AM14" s="784"/>
      <c r="AN14" s="137"/>
      <c r="AO14" s="137"/>
      <c r="AP14" s="1208" t="str">
        <f>"  "&amp;ListAVS!$B$86&amp;" LF "</f>
        <v xml:space="preserve">  Współczynnik mocy LF </v>
      </c>
      <c r="AQ14" s="1209"/>
      <c r="AR14" s="770" t="s">
        <v>107</v>
      </c>
      <c r="AS14" s="227"/>
      <c r="AV14" s="268"/>
      <c r="AW14" s="268"/>
      <c r="AX14" s="268"/>
      <c r="AY14" s="227"/>
      <c r="AZ14" s="227"/>
    </row>
    <row r="15" spans="2:56" s="37" customFormat="1" ht="16.149999999999999" customHeight="1" x14ac:dyDescent="0.2">
      <c r="B15" s="1055"/>
      <c r="C15" s="1055"/>
      <c r="D15" s="1216" t="str">
        <f>ListAVS!$B$79&amp;" [kg] "</f>
        <v xml:space="preserve">Obliczona waga frontu [kg] </v>
      </c>
      <c r="E15" s="1053"/>
      <c r="F15" s="1053"/>
      <c r="G15" s="1053"/>
      <c r="H15" s="1054"/>
      <c r="I15" s="259">
        <f>$T$73</f>
        <v>0</v>
      </c>
      <c r="J15" s="227" t="str">
        <f>IF(AND($I17&gt;0,$I15&gt;0,$I12=0,$M17&gt;0), $N$39," ")&amp;IF(AND(I17&gt;0, I12=0, AB68=3, $J$4=0), $N$37, " ")</f>
        <v xml:space="preserve">  </v>
      </c>
      <c r="K15" s="255"/>
      <c r="L15" s="255"/>
      <c r="T15" s="119"/>
      <c r="U15" s="598" t="str">
        <f>IF(U16=1,$V$51,IF(U16=2,$V$52,$V$53))</f>
        <v>Standard</v>
      </c>
      <c r="X15" s="767"/>
      <c r="Y15" s="767"/>
      <c r="Z15" s="767"/>
      <c r="AA15" s="164" t="str">
        <f>CenAVS!A112</f>
        <v xml:space="preserve">Aventos HK-XS Tip-on słaby       </v>
      </c>
      <c r="AB15" s="164" t="str">
        <f>CenAVS!B112</f>
        <v>20K1101T</v>
      </c>
      <c r="AC15" s="164" t="str">
        <f>CenAVS!C112</f>
        <v>NI</v>
      </c>
      <c r="AD15" s="165">
        <f t="shared" si="0"/>
        <v>0</v>
      </c>
      <c r="AE15" s="395">
        <f>CenAVS!F112</f>
        <v>34.735590000000002</v>
      </c>
      <c r="AF15" s="167">
        <f t="shared" si="1"/>
        <v>0</v>
      </c>
      <c r="AG15" s="407">
        <f>IF($U$16=2,SUM($O$11:$P$11)*$M$17,0)</f>
        <v>0</v>
      </c>
      <c r="AH15" s="168">
        <f>$AE15*AG15</f>
        <v>0</v>
      </c>
      <c r="AI15" s="407">
        <f>IF($U$27=2,SUM($O$22:$P$22)*$M$28,0)</f>
        <v>0</v>
      </c>
      <c r="AJ15" s="168">
        <f>$AE15*AI15</f>
        <v>0</v>
      </c>
      <c r="AK15" s="108"/>
      <c r="AL15" s="108"/>
      <c r="AM15" s="784"/>
      <c r="AN15" s="137"/>
      <c r="AO15" s="137"/>
      <c r="AP15" s="1210"/>
      <c r="AQ15" s="1211"/>
      <c r="AR15" s="771" t="str">
        <f>ListAVS!$B$84</f>
        <v>Mechanizm podnoszący</v>
      </c>
      <c r="AS15" s="227"/>
      <c r="AV15" s="227"/>
      <c r="AW15" s="227"/>
      <c r="AX15" s="268"/>
      <c r="AY15" s="227"/>
      <c r="AZ15" s="227"/>
    </row>
    <row r="16" spans="2:56" s="37" customFormat="1" ht="16.149999999999999" customHeight="1" thickBot="1" x14ac:dyDescent="0.25">
      <c r="B16" s="1011" t="str">
        <f>ListAVS!$B$88&amp;" *      "</f>
        <v xml:space="preserve">Drugi podnośnik *      </v>
      </c>
      <c r="C16" s="1012"/>
      <c r="D16" s="1013"/>
      <c r="E16" s="1011" t="str">
        <f>ListAVS!$B$86&amp;" LF "</f>
        <v xml:space="preserve">Współczynnik mocy LF </v>
      </c>
      <c r="F16" s="1012"/>
      <c r="G16" s="1012"/>
      <c r="H16" s="1013"/>
      <c r="I16" s="400">
        <f>IF(I12&gt;0,I11*I12,I11*I15)</f>
        <v>0</v>
      </c>
      <c r="J16" s="593" t="str">
        <f>IF(U16=1,IF($I16&gt;3600,$N$42,IF($I16&gt;1800.5,IF(V10=FALSE,$N$43," ")," ")),IF($I16&gt;3200,$N$42,IF($I16&gt;1600.5,IF(V10=FALSE,$N$43," ")," ")))</f>
        <v xml:space="preserve"> </v>
      </c>
      <c r="K16" s="255"/>
      <c r="L16" s="255"/>
      <c r="N16" s="119"/>
      <c r="O16" s="132"/>
      <c r="P16" s="132"/>
      <c r="Q16" s="119"/>
      <c r="R16" s="767"/>
      <c r="S16" s="767"/>
      <c r="T16" s="756"/>
      <c r="U16" s="207">
        <v>1</v>
      </c>
      <c r="V16" s="767"/>
      <c r="W16" s="767"/>
      <c r="X16" s="767"/>
      <c r="Y16" s="767"/>
      <c r="Z16" s="767"/>
      <c r="AA16" s="164" t="str">
        <f>CenAVS!A113</f>
        <v xml:space="preserve">Aventos HK-XS Tip-on średni       </v>
      </c>
      <c r="AB16" s="164" t="str">
        <f>CenAVS!B113</f>
        <v>20K1301T</v>
      </c>
      <c r="AC16" s="164" t="str">
        <f>CenAVS!C113</f>
        <v>NI</v>
      </c>
      <c r="AD16" s="165">
        <f t="shared" si="0"/>
        <v>0</v>
      </c>
      <c r="AE16" s="395">
        <f>CenAVS!F113</f>
        <v>34.735590000000002</v>
      </c>
      <c r="AF16" s="167">
        <f t="shared" si="1"/>
        <v>0</v>
      </c>
      <c r="AG16" s="407">
        <f>IF($U$16=2,SUM($O$12:$P$12)*$M$17,0)</f>
        <v>0</v>
      </c>
      <c r="AH16" s="168">
        <f>$AE16*AG16</f>
        <v>0</v>
      </c>
      <c r="AI16" s="407">
        <f>IF($U$27=2,SUM($O$23:$P$23)*$M$28,0)</f>
        <v>0</v>
      </c>
      <c r="AJ16" s="168">
        <f>$AE16*AI16</f>
        <v>0</v>
      </c>
      <c r="AK16" s="108"/>
      <c r="AL16" s="108"/>
      <c r="AM16" s="784"/>
      <c r="AN16" s="137"/>
      <c r="AO16" s="137"/>
      <c r="AP16" s="1212" t="s">
        <v>129</v>
      </c>
      <c r="AQ16" s="1213"/>
      <c r="AR16" s="753" t="s">
        <v>130</v>
      </c>
      <c r="AS16" s="227"/>
      <c r="AV16" s="227"/>
      <c r="AW16" s="227"/>
      <c r="AX16" s="268"/>
      <c r="AY16" s="227"/>
      <c r="AZ16" s="227"/>
    </row>
    <row r="17" spans="1:52" s="37" customFormat="1" ht="16.149999999999999" customHeight="1" thickBot="1" x14ac:dyDescent="0.25">
      <c r="B17" s="1011" t="str">
        <f>ListAVS!$B$71&amp;" "</f>
        <v xml:space="preserve">Ilość szafek </v>
      </c>
      <c r="C17" s="1012"/>
      <c r="D17" s="1012"/>
      <c r="E17" s="1012"/>
      <c r="F17" s="1012"/>
      <c r="G17" s="1012"/>
      <c r="H17" s="1176"/>
      <c r="I17" s="261"/>
      <c r="J17" s="256"/>
      <c r="K17" s="255"/>
      <c r="L17" s="255"/>
      <c r="M17" s="315">
        <f>IF(OR($I10*$I11*$T17=0,$I11&lt;236,$I11&gt;600, AND(I12=0,I13&lt;8), SUM(O11:P14)=0),0,IF($I16&gt;1800,IF($V10=FALSE,0,$I17),$I17))</f>
        <v>0</v>
      </c>
      <c r="N17" s="130"/>
      <c r="O17" s="132"/>
      <c r="P17" s="132"/>
      <c r="Q17" s="119"/>
      <c r="R17" s="767"/>
      <c r="S17" s="690" t="s">
        <v>51</v>
      </c>
      <c r="T17" s="757">
        <f>IF(I12&gt;0,I12,I15)</f>
        <v>0</v>
      </c>
      <c r="U17" s="37">
        <f>IF(SUM(I12,I15)=0,0,IF(I12&gt;0,1,2))</f>
        <v>0</v>
      </c>
      <c r="V17" s="571" t="s">
        <v>52</v>
      </c>
      <c r="Y17" s="767"/>
      <c r="Z17" s="153"/>
      <c r="AA17" s="164" t="str">
        <f>CenAVS!A114</f>
        <v xml:space="preserve">Aventos HK-XS Tip-on mocny       </v>
      </c>
      <c r="AB17" s="164" t="str">
        <f>CenAVS!B114</f>
        <v>20K1501T</v>
      </c>
      <c r="AC17" s="164" t="str">
        <f>CenAVS!C114</f>
        <v>NI</v>
      </c>
      <c r="AD17" s="165">
        <f t="shared" si="0"/>
        <v>0</v>
      </c>
      <c r="AE17" s="395">
        <f>CenAVS!F114</f>
        <v>34.735590000000002</v>
      </c>
      <c r="AF17" s="167">
        <f t="shared" si="1"/>
        <v>0</v>
      </c>
      <c r="AG17" s="407">
        <f>IF($U$16=2,SUM($O$13:$P$13)*$M$17,0)</f>
        <v>0</v>
      </c>
      <c r="AH17" s="168">
        <f>$AE17*AG17</f>
        <v>0</v>
      </c>
      <c r="AI17" s="407">
        <f>IF($U$27=2,SUM($O$24:$P$24)*$M$28,0)</f>
        <v>0</v>
      </c>
      <c r="AJ17" s="168">
        <f>$AE17*AI17</f>
        <v>0</v>
      </c>
      <c r="AK17" s="108"/>
      <c r="AL17" s="108"/>
      <c r="AM17" s="745"/>
      <c r="AN17" s="137"/>
      <c r="AO17" s="137"/>
      <c r="AP17" s="1212" t="s">
        <v>131</v>
      </c>
      <c r="AQ17" s="1213"/>
      <c r="AR17" s="753" t="s">
        <v>132</v>
      </c>
      <c r="AS17" s="227"/>
      <c r="AV17" s="227"/>
      <c r="AW17" s="227"/>
      <c r="AX17" s="268"/>
      <c r="AY17" s="227"/>
      <c r="AZ17" s="227"/>
    </row>
    <row r="18" spans="1:52" s="37" customFormat="1" ht="16.149999999999999" customHeight="1" x14ac:dyDescent="0.2">
      <c r="B18" s="255" t="str">
        <f>IF(I17&gt;0,IF(U17=0," ",IF(U17=1,$N$54,$N$55))," ")&amp;IF(I17&gt;0,IF(U17=0," ",IF(U17=1,$N$56,$N$57))," ")</f>
        <v xml:space="preserve">  </v>
      </c>
      <c r="C18" s="255"/>
      <c r="D18" s="255"/>
      <c r="E18" s="255"/>
      <c r="F18" s="255"/>
      <c r="G18" s="433"/>
      <c r="H18" s="433"/>
      <c r="I18" s="255"/>
      <c r="J18" s="255"/>
      <c r="K18" s="255"/>
      <c r="L18" s="255"/>
      <c r="M18" s="118"/>
      <c r="N18" s="119"/>
      <c r="O18" s="132"/>
      <c r="P18" s="132"/>
      <c r="Q18" s="119"/>
      <c r="R18" s="767"/>
      <c r="S18" s="767"/>
      <c r="T18" s="119"/>
      <c r="U18" s="151"/>
      <c r="V18" s="767"/>
      <c r="W18" s="767"/>
      <c r="X18" s="767"/>
      <c r="Y18" s="767"/>
      <c r="Z18" s="767"/>
      <c r="AA18" s="164"/>
      <c r="AB18" s="164"/>
      <c r="AC18" s="164"/>
      <c r="AD18" s="165"/>
      <c r="AE18" s="395"/>
      <c r="AF18" s="167"/>
      <c r="AG18" s="407"/>
      <c r="AH18" s="168"/>
      <c r="AI18" s="407"/>
      <c r="AJ18" s="168"/>
      <c r="AK18" s="108"/>
      <c r="AL18" s="108"/>
      <c r="AM18" s="745"/>
      <c r="AN18" s="137"/>
      <c r="AO18" s="137"/>
      <c r="AP18" s="1169" t="s">
        <v>133</v>
      </c>
      <c r="AQ18" s="1169"/>
      <c r="AR18" s="753" t="s">
        <v>134</v>
      </c>
      <c r="AS18" s="227"/>
      <c r="AV18" s="227"/>
      <c r="AW18" s="227"/>
      <c r="AX18" s="268"/>
      <c r="AY18" s="227"/>
      <c r="AZ18" s="227"/>
    </row>
    <row r="19" spans="1:52" s="37" customFormat="1" ht="25.15" customHeight="1" thickBot="1" x14ac:dyDescent="0.25">
      <c r="B19" s="255"/>
      <c r="C19" s="255"/>
      <c r="D19" s="255"/>
      <c r="E19" s="255"/>
      <c r="F19" s="255"/>
      <c r="G19" s="433"/>
      <c r="H19" s="433"/>
      <c r="I19" s="255"/>
      <c r="J19" s="255"/>
      <c r="K19" s="255"/>
      <c r="L19" s="255"/>
      <c r="M19" s="118"/>
      <c r="N19" s="119"/>
      <c r="O19" s="132"/>
      <c r="P19" s="132"/>
      <c r="Q19" s="119"/>
      <c r="R19" s="767"/>
      <c r="S19" s="767"/>
      <c r="T19" s="119"/>
      <c r="U19" s="151"/>
      <c r="V19" s="767"/>
      <c r="W19" s="767"/>
      <c r="X19" s="767"/>
      <c r="Y19" s="767"/>
      <c r="Z19" s="767"/>
      <c r="AA19" s="164" t="str">
        <f>CenAVS!A116</f>
        <v xml:space="preserve">czop boczny do korpusu HK-XS wkręt     </v>
      </c>
      <c r="AB19" s="164" t="str">
        <f>CenAVS!B116</f>
        <v>20K5101</v>
      </c>
      <c r="AC19" s="164" t="str">
        <f>CenAVS!C116</f>
        <v>NI</v>
      </c>
      <c r="AD19" s="165">
        <f t="shared" si="0"/>
        <v>0</v>
      </c>
      <c r="AE19" s="395">
        <f>CenAVS!F116</f>
        <v>2.0432700000000001</v>
      </c>
      <c r="AF19" s="167">
        <f t="shared" si="1"/>
        <v>0</v>
      </c>
      <c r="AG19" s="407">
        <f>IF($P$49=2,SUM(AG$9:AG$17),0)</f>
        <v>0</v>
      </c>
      <c r="AH19" s="168">
        <f>$AE19*AG19</f>
        <v>0</v>
      </c>
      <c r="AI19" s="407">
        <f>IF($P$49=2,SUM(AI$9:AI$17),0)</f>
        <v>0</v>
      </c>
      <c r="AJ19" s="168">
        <f>$AE19*AI19</f>
        <v>0</v>
      </c>
      <c r="AK19" s="108"/>
      <c r="AL19" s="108"/>
      <c r="AM19" s="785"/>
      <c r="AN19" s="137"/>
      <c r="AO19" s="137"/>
      <c r="AS19" s="227"/>
      <c r="AT19" s="227"/>
      <c r="AV19" s="227"/>
      <c r="AW19" s="227"/>
      <c r="AX19" s="268"/>
      <c r="AY19" s="227"/>
      <c r="AZ19" s="227"/>
    </row>
    <row r="20" spans="1:52" s="37" customFormat="1" ht="16.149999999999999" customHeight="1" thickBot="1" x14ac:dyDescent="0.25">
      <c r="B20" s="1051" t="str">
        <f>"▼ "&amp;ListAVS!$B$318</f>
        <v>▼ Sposób otwierania</v>
      </c>
      <c r="C20" s="1052"/>
      <c r="D20" s="406" t="str">
        <f>IF($M$28&gt;0, ListAVS!$B$37&amp;": ", " ")</f>
        <v xml:space="preserve"> </v>
      </c>
      <c r="E20" s="688" t="str">
        <f>IF($AI$9&gt;0,"11",IF($AI$10&gt;0,"13",IF($AI$11&gt;0,"15",IF($AI$15&gt;0,"11T",IF($AI$16&gt;0,"13T", IF($AI$17&gt;0, "15T", " "))))))</f>
        <v xml:space="preserve"> </v>
      </c>
      <c r="F20" s="1056" t="str">
        <f>ListAVS!$B$64&amp;" B"</f>
        <v>Korpus B</v>
      </c>
      <c r="G20" s="1057"/>
      <c r="H20" s="1057"/>
      <c r="I20" s="1058"/>
      <c r="J20" s="256"/>
      <c r="K20" s="255"/>
      <c r="L20" s="255"/>
      <c r="N20" s="119"/>
      <c r="O20" s="132"/>
      <c r="P20" s="119"/>
      <c r="Q20" s="132"/>
      <c r="R20" s="1205" t="s">
        <v>118</v>
      </c>
      <c r="S20" s="1206"/>
      <c r="T20" s="762"/>
      <c r="U20" s="763"/>
      <c r="V20" s="1205" t="s">
        <v>89</v>
      </c>
      <c r="W20" s="1206"/>
      <c r="X20" s="136"/>
      <c r="Y20" s="213" t="s">
        <v>26</v>
      </c>
      <c r="Z20" s="214"/>
      <c r="AA20" s="164" t="str">
        <f>CenAVS!A117</f>
        <v xml:space="preserve">czop boczny do korpusu HK-XS Exp     </v>
      </c>
      <c r="AB20" s="164" t="str">
        <f>CenAVS!B117</f>
        <v>20K51E1</v>
      </c>
      <c r="AC20" s="164" t="str">
        <f>CenAVS!C117</f>
        <v>NI</v>
      </c>
      <c r="AD20" s="165">
        <f t="shared" si="0"/>
        <v>0</v>
      </c>
      <c r="AE20" s="395">
        <f>CenAVS!F117</f>
        <v>2.7593999999999999</v>
      </c>
      <c r="AF20" s="167">
        <f t="shared" si="1"/>
        <v>0</v>
      </c>
      <c r="AG20" s="407">
        <f>IF($P$49=1,SUM(AG$9:AG$17),0)</f>
        <v>0</v>
      </c>
      <c r="AH20" s="168">
        <f>$AE20*AG20</f>
        <v>0</v>
      </c>
      <c r="AI20" s="407">
        <f>IF($P$49=1,SUM(AI$9:AI$17),0)</f>
        <v>0</v>
      </c>
      <c r="AJ20" s="168">
        <f>$AE20*AI20</f>
        <v>0</v>
      </c>
      <c r="AK20" s="108"/>
      <c r="AL20" s="108"/>
      <c r="AM20" s="745"/>
      <c r="AN20" s="137"/>
      <c r="AO20" s="137"/>
      <c r="AP20" s="1101" t="str">
        <f>ListAVS!$B$86&amp;" LF = "&amp;ListAVS!$B$75&amp;" KH [mm] x "&amp;ListAVS!$B$78&amp;" [kg]"</f>
        <v>Współczynnik mocy LF = Wysokość korpusu KH [mm] x Waga frontu wraz z 2 uchwytami [kg]</v>
      </c>
      <c r="AQ20" s="1101"/>
      <c r="AR20" s="1101"/>
      <c r="AS20" s="1101"/>
      <c r="AT20" s="1101"/>
      <c r="AV20" s="227"/>
      <c r="AW20" s="227"/>
      <c r="AX20" s="268"/>
      <c r="AY20" s="227"/>
      <c r="AZ20" s="227"/>
    </row>
    <row r="21" spans="1:52" s="37" customFormat="1" ht="16.149999999999999" customHeight="1" x14ac:dyDescent="0.2">
      <c r="B21" s="1011" t="str">
        <f>ListAVS!$B$74&amp;" KB [mm] "</f>
        <v xml:space="preserve">Szerokość korpusu KB [mm] </v>
      </c>
      <c r="C21" s="1012"/>
      <c r="D21" s="1012"/>
      <c r="E21" s="1012"/>
      <c r="F21" s="1012"/>
      <c r="G21" s="1012"/>
      <c r="H21" s="1013"/>
      <c r="I21" s="257"/>
      <c r="J21" s="256" t="str">
        <f>IF($I21=0," ",IF($I21&lt;220," min. 220mm",IF($I21&gt;1800," max. 1 800mm"," ")))&amp;IF(I28&gt;0,IF(I21=0,"● "&amp;ListAVS!$B$129," ")," ")</f>
        <v xml:space="preserve">  </v>
      </c>
      <c r="K21" s="255"/>
      <c r="L21" s="255"/>
      <c r="N21" s="198" t="s">
        <v>53</v>
      </c>
      <c r="O21" s="200" t="s">
        <v>119</v>
      </c>
      <c r="P21" s="200" t="s">
        <v>91</v>
      </c>
      <c r="Q21" s="119"/>
      <c r="R21" s="764" t="s">
        <v>93</v>
      </c>
      <c r="S21" s="764" t="s">
        <v>76</v>
      </c>
      <c r="T21" s="765" t="s">
        <v>94</v>
      </c>
      <c r="U21" s="765" t="s">
        <v>95</v>
      </c>
      <c r="V21" s="1214" t="b">
        <v>0</v>
      </c>
      <c r="W21" s="1215"/>
      <c r="X21" s="215"/>
      <c r="Y21" s="766"/>
      <c r="Z21" s="766"/>
      <c r="AA21" s="164"/>
      <c r="AB21" s="164"/>
      <c r="AC21" s="164"/>
      <c r="AD21" s="165"/>
      <c r="AE21" s="395"/>
      <c r="AF21" s="167"/>
      <c r="AG21" s="407"/>
      <c r="AH21" s="168"/>
      <c r="AI21" s="407"/>
      <c r="AJ21" s="168"/>
      <c r="AK21" s="108"/>
      <c r="AL21" s="108"/>
      <c r="AM21" s="745"/>
      <c r="AN21" s="137"/>
      <c r="AO21" s="137"/>
      <c r="AP21" s="1101"/>
      <c r="AQ21" s="1101"/>
      <c r="AR21" s="1101"/>
      <c r="AS21" s="1101"/>
      <c r="AT21" s="1101"/>
      <c r="AV21" s="227"/>
      <c r="AW21" s="227"/>
      <c r="AX21" s="227"/>
      <c r="AY21" s="227"/>
      <c r="AZ21" s="227"/>
    </row>
    <row r="22" spans="1:52" s="37" customFormat="1" ht="16.149999999999999" customHeight="1" x14ac:dyDescent="0.2">
      <c r="B22" s="1011" t="str">
        <f>ListAVS!$B$75&amp;" KH [mm] "</f>
        <v xml:space="preserve">Wysokość korpusu KH [mm] </v>
      </c>
      <c r="C22" s="1012"/>
      <c r="D22" s="1012"/>
      <c r="E22" s="1012"/>
      <c r="F22" s="1012"/>
      <c r="G22" s="1012"/>
      <c r="H22" s="1013"/>
      <c r="I22" s="257"/>
      <c r="J22" s="256" t="str">
        <f>IF($I22=0," ",IF($I22&lt;236," min. 236 mm",IF($I22&gt;600," max. 600 mm"," ")))&amp;IF(I28&gt;0,IF(I22=0,"● "&amp;ListAVS!$B$129," ")," ")</f>
        <v xml:space="preserve">  </v>
      </c>
      <c r="K22" s="255"/>
      <c r="L22" s="255"/>
      <c r="N22" s="119" t="s">
        <v>122</v>
      </c>
      <c r="O22" s="132">
        <f>IF($V$21=FALSE,IF($I$27&gt;R22,IF($I$27&lt;S22,1,0),0),0)</f>
        <v>0</v>
      </c>
      <c r="P22" s="206">
        <f>IF($V$21=TRUE,IF($I$27&gt;V22,IF($I$27&lt;W22,2,0),0),0)</f>
        <v>0</v>
      </c>
      <c r="Q22" s="119"/>
      <c r="R22" s="767">
        <f>IF(U27=1,199.99,179.99)</f>
        <v>199.99</v>
      </c>
      <c r="S22" s="767">
        <f>IF(U27=1,750,650)</f>
        <v>750</v>
      </c>
      <c r="T22" s="768"/>
      <c r="U22" s="119"/>
      <c r="V22" s="767">
        <f>IF(U27=1, 399.99, 359.99)</f>
        <v>399.99</v>
      </c>
      <c r="W22" s="767">
        <f>IF(U27=1,1500,1300)</f>
        <v>1500</v>
      </c>
      <c r="X22" s="767"/>
      <c r="Y22" s="769">
        <f>IF(OR(I21&gt;1199,I27&gt;2699),4,IF(OR(I21&gt;899,I27&gt;1799),3,2))</f>
        <v>2</v>
      </c>
      <c r="Z22" s="767"/>
      <c r="AA22" s="164" t="str">
        <f>CenAVS!A119</f>
        <v xml:space="preserve">mocowanie frontu HK-XS wkręt       </v>
      </c>
      <c r="AB22" s="164" t="str">
        <f>CenAVS!B119</f>
        <v>20K4101</v>
      </c>
      <c r="AC22" s="164" t="str">
        <f>CenAVS!C119</f>
        <v>NI</v>
      </c>
      <c r="AD22" s="165">
        <f t="shared" si="0"/>
        <v>0</v>
      </c>
      <c r="AE22" s="395">
        <f>CenAVS!F119</f>
        <v>1.38934</v>
      </c>
      <c r="AF22" s="167">
        <f t="shared" si="1"/>
        <v>0</v>
      </c>
      <c r="AG22" s="407">
        <f>SUM(AG$9:AG$17)</f>
        <v>0</v>
      </c>
      <c r="AH22" s="168">
        <f>$AE22*AG22</f>
        <v>0</v>
      </c>
      <c r="AI22" s="407">
        <f>SUM(AI$9:AI$17)</f>
        <v>0</v>
      </c>
      <c r="AJ22" s="168">
        <f>$AE22*AI22</f>
        <v>0</v>
      </c>
      <c r="AK22" s="108"/>
      <c r="AL22" s="108"/>
      <c r="AM22" s="745"/>
      <c r="AN22" s="137"/>
      <c r="AO22" s="137"/>
      <c r="AV22" s="227"/>
      <c r="AW22" s="227"/>
      <c r="AX22" s="227"/>
      <c r="AY22" s="227"/>
      <c r="AZ22" s="227"/>
    </row>
    <row r="23" spans="1:52" s="37" customFormat="1" ht="16.149999999999999" customHeight="1" x14ac:dyDescent="0.2">
      <c r="B23" s="1011" t="str">
        <f>ListAVS!$B$78&amp;" [kg] ** "</f>
        <v xml:space="preserve">Waga frontu wraz z 2 uchwytami [kg] ** </v>
      </c>
      <c r="C23" s="1012"/>
      <c r="D23" s="1012"/>
      <c r="E23" s="1012"/>
      <c r="F23" s="1012"/>
      <c r="G23" s="1012"/>
      <c r="H23" s="1013"/>
      <c r="I23" s="258"/>
      <c r="J23" s="227" t="str">
        <f>IF($I28=0," ",IF(SUM($I23,$I26)=0,$N$38," "))&amp;IF($M28&gt;0,IF($I23&gt;0,$N$39," ")," ")</f>
        <v xml:space="preserve">  </v>
      </c>
      <c r="K23" s="255"/>
      <c r="L23" s="255"/>
      <c r="N23" s="119" t="s">
        <v>125</v>
      </c>
      <c r="O23" s="132">
        <f>IF($V$21=FALSE,IF($I$27&gt;R23,IF($I$27&lt;S23,1,0),0),0)</f>
        <v>0</v>
      </c>
      <c r="P23" s="132">
        <f>IF($V$21=TRUE,IF($I$27&gt;V23,IF($I$27&lt;W23,2,0),0),0)</f>
        <v>0</v>
      </c>
      <c r="Q23" s="119"/>
      <c r="R23" s="767">
        <f>IF(U27=1,749.99, 649.99)</f>
        <v>749.99</v>
      </c>
      <c r="S23" s="767">
        <f>IF(U27=1,1150,1000)</f>
        <v>1150</v>
      </c>
      <c r="T23" s="768"/>
      <c r="U23" s="119"/>
      <c r="V23" s="767">
        <f>IF(U27=1,1499.99,1299.99)</f>
        <v>1499.99</v>
      </c>
      <c r="W23" s="767">
        <f>IF(U27=1,2300,2000)</f>
        <v>2300</v>
      </c>
      <c r="X23" s="767"/>
      <c r="Y23" s="767"/>
      <c r="Z23" s="767"/>
      <c r="AA23" s="164" t="str">
        <f>CenAVS!A120</f>
        <v xml:space="preserve">mocowanie frontu HK-XS Expando       </v>
      </c>
      <c r="AB23" s="164" t="str">
        <f>CenAVS!B120</f>
        <v>20K41E1</v>
      </c>
      <c r="AC23" s="164" t="str">
        <f>CenAVS!C120</f>
        <v>NI</v>
      </c>
      <c r="AD23" s="165">
        <f t="shared" si="0"/>
        <v>0</v>
      </c>
      <c r="AE23" s="395">
        <f>CenAVS!F120</f>
        <v>2.10547</v>
      </c>
      <c r="AF23" s="167">
        <f t="shared" si="1"/>
        <v>0</v>
      </c>
      <c r="AG23" s="407"/>
      <c r="AH23" s="168">
        <f>$AE23*AG23</f>
        <v>0</v>
      </c>
      <c r="AI23" s="407"/>
      <c r="AJ23" s="168">
        <f>$AE23*AI23</f>
        <v>0</v>
      </c>
      <c r="AK23" s="108"/>
      <c r="AL23" s="108"/>
      <c r="AM23" s="745"/>
      <c r="AN23" s="137"/>
      <c r="AO23" s="137"/>
      <c r="AP23" s="1101" t="str">
        <f>ListAVS!$B$354</f>
        <v>W razie wykorzystania trzeciego siłownika współczynnik mocy oraz waga frontu mogą się zwiększyć o 50 %.</v>
      </c>
      <c r="AQ23" s="1101"/>
      <c r="AR23" s="1101"/>
      <c r="AS23" s="1101"/>
      <c r="AT23" s="1101"/>
      <c r="AV23" s="227"/>
      <c r="AW23" s="227"/>
      <c r="AX23" s="227"/>
      <c r="AY23" s="227"/>
      <c r="AZ23" s="227"/>
    </row>
    <row r="24" spans="1:52" s="37" customFormat="1" ht="16.149999999999999" customHeight="1" x14ac:dyDescent="0.2">
      <c r="B24" s="1055" t="str">
        <f>ListAVS!$B$293</f>
        <v>Obliczenie wagi</v>
      </c>
      <c r="C24" s="1055"/>
      <c r="D24" s="1216" t="str">
        <f>ListAVS!$B$80&amp;" TS [mm] "</f>
        <v xml:space="preserve">Grubość frontu TS [mm] </v>
      </c>
      <c r="E24" s="1053"/>
      <c r="F24" s="1053"/>
      <c r="G24" s="1053"/>
      <c r="H24" s="1054"/>
      <c r="I24" s="258"/>
      <c r="J24" s="256" t="str">
        <f>IF(I28=0," ",IF(AND(I23=0, I24=0)," ● "&amp;ListAVS!$B$129," "))&amp;IF(I28=0," ",IF(AND(I23=0, I24&lt;8), " min. 8 mm", " "))</f>
        <v xml:space="preserve">  </v>
      </c>
      <c r="K24" s="255"/>
      <c r="L24" s="255"/>
      <c r="N24" s="119" t="s">
        <v>128</v>
      </c>
      <c r="O24" s="132">
        <f>IF($V$21=FALSE,IF($I$27&gt;R24,IF($I$27&lt;S24,1,0),0),0)</f>
        <v>0</v>
      </c>
      <c r="P24" s="132">
        <f>IF($V$21=TRUE,IF($I$27&gt;V24,IF($I$27&lt;W24,2,0),0),0)</f>
        <v>0</v>
      </c>
      <c r="Q24" s="119"/>
      <c r="R24" s="767">
        <f>IF(U27=1,1149.99, 999.99)</f>
        <v>1149.99</v>
      </c>
      <c r="S24" s="767">
        <f>IF(U27=1,1801,1601)</f>
        <v>1801</v>
      </c>
      <c r="T24" s="768"/>
      <c r="U24" s="119"/>
      <c r="V24" s="767">
        <f>IF(U27=1,2299.99, 1999.99)</f>
        <v>2299.9899999999998</v>
      </c>
      <c r="W24" s="767">
        <f>IF(U27=1,3601,3201)</f>
        <v>3601</v>
      </c>
      <c r="X24" s="767"/>
      <c r="Y24" s="767"/>
      <c r="Z24" s="767"/>
      <c r="AA24" s="164"/>
      <c r="AB24" s="164"/>
      <c r="AC24" s="164"/>
      <c r="AD24" s="165"/>
      <c r="AE24" s="395"/>
      <c r="AF24" s="167"/>
      <c r="AG24" s="407"/>
      <c r="AH24" s="168"/>
      <c r="AI24" s="407"/>
      <c r="AJ24" s="168"/>
      <c r="AK24" s="108"/>
      <c r="AL24" s="108"/>
      <c r="AM24" s="745"/>
      <c r="AN24" s="137"/>
      <c r="AO24" s="137"/>
      <c r="AP24" s="1101"/>
      <c r="AQ24" s="1101"/>
      <c r="AR24" s="1101"/>
      <c r="AS24" s="1101"/>
      <c r="AT24" s="1101"/>
      <c r="AV24" s="262"/>
      <c r="AW24" s="262"/>
      <c r="AX24" s="262"/>
      <c r="AY24" s="262"/>
      <c r="AZ24" s="262"/>
    </row>
    <row r="25" spans="1:52" s="37" customFormat="1" ht="16.149999999999999" customHeight="1" x14ac:dyDescent="0.2">
      <c r="B25" s="1055"/>
      <c r="C25" s="1055"/>
      <c r="D25" s="1216" t="str">
        <f>ListAVS!$B$83&amp;" [kg] "</f>
        <v xml:space="preserve">Waga uchwytu [kg] </v>
      </c>
      <c r="E25" s="1053"/>
      <c r="F25" s="1053"/>
      <c r="G25" s="1053"/>
      <c r="H25" s="1054"/>
      <c r="I25" s="258"/>
      <c r="J25" s="256" t="str">
        <f>IF(I28=0, " ", IF(AND(I23=0, U27=1, I25=0), " ● "&amp;ListAVS!$B$130," "))</f>
        <v xml:space="preserve"> </v>
      </c>
      <c r="K25" s="255"/>
      <c r="L25" s="255"/>
      <c r="N25" s="119"/>
      <c r="O25" s="132"/>
      <c r="P25" s="132"/>
      <c r="Q25" s="119"/>
      <c r="R25" s="767"/>
      <c r="S25" s="767"/>
      <c r="T25" s="768"/>
      <c r="U25" s="119"/>
      <c r="V25" s="767"/>
      <c r="W25" s="767"/>
      <c r="X25" s="767"/>
      <c r="Y25" s="767"/>
      <c r="Z25" s="767"/>
      <c r="AA25" s="164"/>
      <c r="AB25" s="164"/>
      <c r="AC25" s="164"/>
      <c r="AD25" s="165"/>
      <c r="AE25" s="395"/>
      <c r="AF25" s="167"/>
      <c r="AG25" s="407"/>
      <c r="AH25" s="168"/>
      <c r="AI25" s="407"/>
      <c r="AJ25" s="168"/>
      <c r="AK25" s="108"/>
      <c r="AL25" s="108"/>
      <c r="AM25" s="745"/>
      <c r="AN25" s="137"/>
      <c r="AO25" s="137"/>
      <c r="AP25" s="137"/>
      <c r="AV25" s="262"/>
      <c r="AW25" s="262"/>
      <c r="AX25" s="262"/>
      <c r="AY25" s="262"/>
      <c r="AZ25" s="262"/>
    </row>
    <row r="26" spans="1:52" s="37" customFormat="1" ht="16.149999999999999" customHeight="1" x14ac:dyDescent="0.2">
      <c r="B26" s="1055"/>
      <c r="C26" s="1055"/>
      <c r="D26" s="1216" t="str">
        <f>ListAVS!$B$79&amp;" [kg] "</f>
        <v xml:space="preserve">Obliczona waga frontu [kg] </v>
      </c>
      <c r="E26" s="1053"/>
      <c r="F26" s="1053"/>
      <c r="G26" s="1053"/>
      <c r="H26" s="1054"/>
      <c r="I26" s="259">
        <f>$T$84</f>
        <v>0</v>
      </c>
      <c r="J26" s="227" t="str">
        <f>IF(AND($I28&gt;0,$I26&gt;0,$I23=0,$M28&gt;0), $N$39," ")&amp;IF(AND(I28&gt;0, I23=0, AB68=3, $J$4=0), $N$37, " ")</f>
        <v xml:space="preserve">  </v>
      </c>
      <c r="K26" s="255"/>
      <c r="L26" s="255"/>
      <c r="T26" s="119"/>
      <c r="U26" s="598" t="str">
        <f>IF(U27=1,$V$51,IF(U27=2,$V$52,$V$53))</f>
        <v>Standard</v>
      </c>
      <c r="X26" s="767"/>
      <c r="Y26" s="767"/>
      <c r="Z26" s="767"/>
      <c r="AA26" s="164" t="str">
        <f>CenAVS!A121</f>
        <v xml:space="preserve">mocowanie frontu HK-XS alu ramka      </v>
      </c>
      <c r="AB26" s="164" t="str">
        <f>CenAVS!B121</f>
        <v>20K4101A</v>
      </c>
      <c r="AC26" s="164" t="str">
        <f>CenAVS!C121</f>
        <v>NI</v>
      </c>
      <c r="AD26" s="165">
        <f t="shared" si="0"/>
        <v>0</v>
      </c>
      <c r="AE26" s="395">
        <f>CenAVS!F121</f>
        <v>10.277819999999998</v>
      </c>
      <c r="AF26" s="167">
        <f t="shared" si="1"/>
        <v>0</v>
      </c>
      <c r="AG26" s="407"/>
      <c r="AH26" s="168">
        <f>$AE26*AG26</f>
        <v>0</v>
      </c>
      <c r="AI26" s="407"/>
      <c r="AJ26" s="168">
        <f>$AE26*AI26</f>
        <v>0</v>
      </c>
      <c r="AK26" s="108"/>
      <c r="AL26" s="108"/>
      <c r="AM26" s="745"/>
      <c r="AN26" s="137"/>
      <c r="AO26" s="137"/>
      <c r="AP26" s="137"/>
      <c r="AV26" s="227"/>
      <c r="AW26" s="227"/>
      <c r="AX26" s="227"/>
      <c r="AY26" s="227"/>
      <c r="AZ26" s="227"/>
    </row>
    <row r="27" spans="1:52" s="37" customFormat="1" ht="16.149999999999999" customHeight="1" thickBot="1" x14ac:dyDescent="0.25">
      <c r="B27" s="1011" t="str">
        <f>ListAVS!$B$88&amp;" *      "</f>
        <v xml:space="preserve">Drugi podnośnik *      </v>
      </c>
      <c r="C27" s="1012"/>
      <c r="D27" s="1013"/>
      <c r="E27" s="1011" t="str">
        <f>ListAVS!$B$86&amp;" LF "</f>
        <v xml:space="preserve">Współczynnik mocy LF </v>
      </c>
      <c r="F27" s="1012"/>
      <c r="G27" s="1012"/>
      <c r="H27" s="1013"/>
      <c r="I27" s="400">
        <f>IF(I23&gt;0,I22*I23,I22*I26)</f>
        <v>0</v>
      </c>
      <c r="J27" s="593" t="str">
        <f>IF(U27=1,IF($I27&gt;3600,$N$42,IF($I27&gt;1800.5,IF(V21=FALSE,$N$43," ")," ")),IF($I27&gt;3200,$N$42,IF($I27&gt;1600.5,IF(V21=FALSE,$N$43," ")," ")))</f>
        <v xml:space="preserve"> </v>
      </c>
      <c r="K27" s="248"/>
      <c r="L27" s="255"/>
      <c r="M27" s="118"/>
      <c r="N27" s="119"/>
      <c r="O27" s="132"/>
      <c r="P27" s="132"/>
      <c r="Q27" s="119"/>
      <c r="R27" s="767"/>
      <c r="S27" s="767"/>
      <c r="T27" s="756"/>
      <c r="U27" s="207">
        <v>1</v>
      </c>
      <c r="V27" s="767"/>
      <c r="W27" s="767"/>
      <c r="X27" s="767"/>
      <c r="Y27" s="767"/>
      <c r="Z27" s="767"/>
      <c r="AA27" s="164"/>
      <c r="AB27" s="164"/>
      <c r="AC27" s="164"/>
      <c r="AD27" s="165"/>
      <c r="AE27" s="395"/>
      <c r="AF27" s="167"/>
      <c r="AG27" s="407"/>
      <c r="AH27" s="168"/>
      <c r="AI27" s="407"/>
      <c r="AJ27" s="168"/>
      <c r="AK27" s="108"/>
      <c r="AL27" s="108"/>
      <c r="AM27" s="745"/>
      <c r="AV27" s="227"/>
      <c r="AW27" s="227"/>
      <c r="AX27" s="227"/>
      <c r="AY27" s="227"/>
      <c r="AZ27" s="227"/>
    </row>
    <row r="28" spans="1:52" ht="16.149999999999999" customHeight="1" thickBot="1" x14ac:dyDescent="0.25">
      <c r="B28" s="1011" t="str">
        <f>ListAVS!$B$71&amp;" "</f>
        <v xml:space="preserve">Ilość szafek </v>
      </c>
      <c r="C28" s="1012"/>
      <c r="D28" s="1012"/>
      <c r="E28" s="1012"/>
      <c r="F28" s="1012"/>
      <c r="G28" s="1012"/>
      <c r="H28" s="1176"/>
      <c r="I28" s="261"/>
      <c r="J28" s="256"/>
      <c r="K28" s="445"/>
      <c r="L28" s="265"/>
      <c r="M28" s="315">
        <f>IF(OR($I21*$I22*$T28=0,$I22&lt;236,$I22&gt;600, AND(I23=0, I24&lt;8), SUM(O22:P25)=0),0,IF($I27&gt;1800,IF($V21=FALSE,0,$I28),$I28))</f>
        <v>0</v>
      </c>
      <c r="N28" s="39"/>
      <c r="O28" s="39"/>
      <c r="P28" s="39"/>
      <c r="Q28" s="39"/>
      <c r="R28" s="137"/>
      <c r="S28" s="690" t="s">
        <v>51</v>
      </c>
      <c r="T28" s="691">
        <f>IF(I23&gt;0,I23,I26)</f>
        <v>0</v>
      </c>
      <c r="U28" s="37">
        <f>IF(SUM(I23,I26)=0,0,IF(I23&gt;0,1,2))</f>
        <v>0</v>
      </c>
      <c r="V28" s="571" t="s">
        <v>52</v>
      </c>
      <c r="Y28" s="767"/>
      <c r="Z28" s="153"/>
      <c r="AA28" s="164" t="str">
        <f>CenAVS!A148</f>
        <v xml:space="preserve">nakładany z tłumieniem wkręt 110°      </v>
      </c>
      <c r="AB28" s="164" t="str">
        <f>CenAVS!B148</f>
        <v> 71B3550</v>
      </c>
      <c r="AC28" s="164" t="str">
        <f>CenAVS!C148</f>
        <v>NI</v>
      </c>
      <c r="AD28" s="165">
        <f t="shared" si="0"/>
        <v>0</v>
      </c>
      <c r="AE28" s="395">
        <f>CenAVS!F148</f>
        <v>10.385860000000001</v>
      </c>
      <c r="AF28" s="167">
        <f t="shared" si="1"/>
        <v>0</v>
      </c>
      <c r="AG28" s="407"/>
      <c r="AH28" s="168">
        <f t="shared" ref="AH28:AH37" si="2">$AE28*AG28</f>
        <v>0</v>
      </c>
      <c r="AI28" s="407"/>
      <c r="AJ28" s="168">
        <f t="shared" ref="AJ28:AJ37" si="3">$AE28*AI28</f>
        <v>0</v>
      </c>
      <c r="AV28" s="227"/>
      <c r="AW28" s="227"/>
      <c r="AX28" s="227"/>
      <c r="AY28" s="227"/>
      <c r="AZ28" s="227"/>
    </row>
    <row r="29" spans="1:52" ht="16.149999999999999" customHeight="1" x14ac:dyDescent="0.2">
      <c r="A29" s="137"/>
      <c r="B29" s="255" t="str">
        <f>IF(I28&gt;0,IF(U28=0," ",IF(U28=1,$N$54,$N$55))," ")&amp;IF(I28&gt;0,IF(U28=0," ",IF(U28=1,$N$56,$N$57))," ")</f>
        <v xml:space="preserve">  </v>
      </c>
      <c r="C29" s="255"/>
      <c r="D29" s="255"/>
      <c r="E29" s="255"/>
      <c r="F29" s="255"/>
      <c r="G29" s="255"/>
      <c r="H29" s="255"/>
      <c r="I29" s="273"/>
      <c r="J29" s="266"/>
      <c r="K29" s="266"/>
      <c r="L29" s="266"/>
      <c r="N29" s="137"/>
      <c r="O29" s="137"/>
      <c r="P29" s="137"/>
      <c r="Q29" s="137"/>
      <c r="R29" s="37"/>
      <c r="AA29" s="164" t="str">
        <f>CenAVS!A149</f>
        <v xml:space="preserve">nakładany z tłumieniem Expando 110°      </v>
      </c>
      <c r="AB29" s="164" t="str">
        <f>CenAVS!B149</f>
        <v> 71B358E</v>
      </c>
      <c r="AC29" s="164" t="str">
        <f>CenAVS!C149</f>
        <v>NI</v>
      </c>
      <c r="AD29" s="165">
        <f t="shared" si="0"/>
        <v>0</v>
      </c>
      <c r="AE29" s="395">
        <f>CenAVS!F149</f>
        <v>10.731</v>
      </c>
      <c r="AF29" s="167">
        <f t="shared" si="1"/>
        <v>0</v>
      </c>
      <c r="AG29" s="407"/>
      <c r="AH29" s="168">
        <f t="shared" si="2"/>
        <v>0</v>
      </c>
      <c r="AI29" s="407"/>
      <c r="AJ29" s="168">
        <f t="shared" si="3"/>
        <v>0</v>
      </c>
      <c r="AV29" s="227"/>
      <c r="AW29" s="227"/>
      <c r="AX29" s="227"/>
      <c r="AY29" s="227"/>
      <c r="AZ29" s="227"/>
    </row>
    <row r="30" spans="1:52" ht="16.149999999999999" customHeight="1" x14ac:dyDescent="0.2">
      <c r="B30" s="445"/>
      <c r="C30" s="445"/>
      <c r="D30" s="248"/>
      <c r="E30" s="445"/>
      <c r="F30" s="445"/>
      <c r="G30" s="274"/>
      <c r="H30" s="274"/>
      <c r="I30" s="445"/>
      <c r="J30" s="264"/>
      <c r="K30" s="445"/>
      <c r="L30" s="265"/>
      <c r="N30" s="137"/>
      <c r="O30" s="137"/>
      <c r="P30" s="137"/>
      <c r="Q30" s="137"/>
      <c r="R30" s="37"/>
      <c r="AA30" s="164" t="str">
        <f>CenAVS!A150</f>
        <v xml:space="preserve">nakładany Tip-on wkręt 110°       </v>
      </c>
      <c r="AB30" s="164" t="str">
        <f>CenAVS!B150</f>
        <v> 70T3550.TL</v>
      </c>
      <c r="AC30" s="164" t="str">
        <f>CenAVS!C150</f>
        <v>NI</v>
      </c>
      <c r="AD30" s="165">
        <f t="shared" si="0"/>
        <v>0</v>
      </c>
      <c r="AE30" s="395">
        <f>CenAVS!F150</f>
        <v>5.6034400000000009</v>
      </c>
      <c r="AF30" s="167">
        <f t="shared" si="1"/>
        <v>0</v>
      </c>
      <c r="AG30" s="407"/>
      <c r="AH30" s="168">
        <f t="shared" si="2"/>
        <v>0</v>
      </c>
      <c r="AI30" s="407"/>
      <c r="AJ30" s="168">
        <f t="shared" si="3"/>
        <v>0</v>
      </c>
      <c r="AM30" s="108"/>
      <c r="AV30" s="404"/>
      <c r="AW30" s="227"/>
      <c r="AX30" s="227"/>
      <c r="AY30" s="227"/>
      <c r="AZ30" s="227"/>
    </row>
    <row r="31" spans="1:52" ht="16.149999999999999" customHeight="1" x14ac:dyDescent="0.2">
      <c r="B31" s="255"/>
      <c r="C31" s="255"/>
      <c r="D31" s="255"/>
      <c r="E31" s="447"/>
      <c r="F31" s="266"/>
      <c r="G31" s="266"/>
      <c r="H31" s="266"/>
      <c r="I31" s="266"/>
      <c r="J31" s="266"/>
      <c r="K31" s="266"/>
      <c r="L31" s="446"/>
      <c r="M31" s="446"/>
      <c r="T31" s="138">
        <f>IF($U$31=FALSE,2,1)</f>
        <v>2</v>
      </c>
      <c r="U31" s="1063" t="b">
        <v>0</v>
      </c>
      <c r="V31" s="1064"/>
      <c r="W31" s="139" t="s">
        <v>56</v>
      </c>
      <c r="X31" s="118"/>
      <c r="Y31" s="118"/>
      <c r="Z31" s="118"/>
      <c r="AA31" s="164" t="str">
        <f>CenAVS!A151</f>
        <v xml:space="preserve">nakładany Tip-on Expando 110°       </v>
      </c>
      <c r="AB31" s="164" t="str">
        <f>CenAVS!B151</f>
        <v> 70T358E.TL</v>
      </c>
      <c r="AC31" s="164" t="str">
        <f>CenAVS!C151</f>
        <v>NI</v>
      </c>
      <c r="AD31" s="165">
        <f t="shared" si="0"/>
        <v>0</v>
      </c>
      <c r="AE31" s="395">
        <f>CenAVS!F151</f>
        <v>5.5332499999999989</v>
      </c>
      <c r="AF31" s="167">
        <f t="shared" si="1"/>
        <v>0</v>
      </c>
      <c r="AG31" s="407"/>
      <c r="AH31" s="168">
        <f t="shared" si="2"/>
        <v>0</v>
      </c>
      <c r="AI31" s="407"/>
      <c r="AJ31" s="168">
        <f t="shared" si="3"/>
        <v>0</v>
      </c>
      <c r="AM31" s="773"/>
      <c r="AV31" s="786"/>
      <c r="AW31" s="404"/>
      <c r="AX31" s="404"/>
      <c r="AY31" s="404"/>
      <c r="AZ31" s="404"/>
    </row>
    <row r="32" spans="1:52" ht="16.149999999999999" customHeight="1" x14ac:dyDescent="0.2">
      <c r="B32" s="272"/>
      <c r="C32" s="273"/>
      <c r="D32" s="447"/>
      <c r="E32" s="266"/>
      <c r="F32" s="266"/>
      <c r="G32" s="266"/>
      <c r="H32" s="266"/>
      <c r="I32" s="266"/>
      <c r="J32" s="266"/>
      <c r="K32" s="446"/>
      <c r="L32" s="446"/>
      <c r="O32" s="118"/>
      <c r="P32" s="37"/>
      <c r="Q32" s="118"/>
      <c r="R32" s="37"/>
      <c r="AA32" s="164" t="str">
        <f>CenAVS!A152</f>
        <v xml:space="preserve">Zawias do cieńkich materiałów z Blumotion, Expando T, 110°  </v>
      </c>
      <c r="AB32" s="164" t="str">
        <f>CenAVS!B152</f>
        <v xml:space="preserve"> 71B453T</v>
      </c>
      <c r="AC32" s="164" t="str">
        <f>CenAVS!C152</f>
        <v>NI</v>
      </c>
      <c r="AD32" s="165">
        <f t="shared" si="0"/>
        <v>0</v>
      </c>
      <c r="AE32" s="395">
        <f>CenAVS!F152</f>
        <v>41.185140000000004</v>
      </c>
      <c r="AF32" s="167">
        <f t="shared" si="1"/>
        <v>0</v>
      </c>
      <c r="AG32" s="407">
        <f>IF($U$16=1, SUM($Y$11)*$M$17, 0)</f>
        <v>0</v>
      </c>
      <c r="AH32" s="168">
        <f t="shared" si="2"/>
        <v>0</v>
      </c>
      <c r="AI32" s="407">
        <f>IF($U$27=1, SUM($Y$22)*$M$28, 0)</f>
        <v>0</v>
      </c>
      <c r="AJ32" s="168">
        <f t="shared" si="3"/>
        <v>0</v>
      </c>
      <c r="AM32" s="773"/>
    </row>
    <row r="33" spans="2:39" ht="16.149999999999999" customHeight="1" x14ac:dyDescent="0.2">
      <c r="B33" s="272"/>
      <c r="C33" s="255"/>
      <c r="D33" s="255"/>
      <c r="E33" s="255"/>
      <c r="F33" s="255"/>
      <c r="G33" s="255"/>
      <c r="H33" s="255"/>
      <c r="I33" s="255"/>
      <c r="J33" s="255"/>
      <c r="K33" s="255"/>
      <c r="L33" s="255"/>
      <c r="O33" s="118"/>
      <c r="P33" s="37"/>
      <c r="Q33" s="118"/>
      <c r="R33" s="37"/>
      <c r="AA33" s="164" t="str">
        <f>CenAVS!A153</f>
        <v xml:space="preserve">Zawias do cieńkich materiałów, Expando T, 110°    </v>
      </c>
      <c r="AB33" s="164" t="str">
        <f>CenAVS!B153</f>
        <v xml:space="preserve"> 70T453T.TL</v>
      </c>
      <c r="AC33" s="164" t="str">
        <f>CenAVS!C153</f>
        <v>NI</v>
      </c>
      <c r="AD33" s="165">
        <f t="shared" si="0"/>
        <v>0</v>
      </c>
      <c r="AE33" s="395">
        <f>CenAVS!F153</f>
        <v>35.323819999999998</v>
      </c>
      <c r="AF33" s="167">
        <f t="shared" si="1"/>
        <v>0</v>
      </c>
      <c r="AG33" s="407">
        <f>IF($U$16=2, SUM($Y$11)*$M$17, 0)</f>
        <v>0</v>
      </c>
      <c r="AH33" s="168">
        <f t="shared" si="2"/>
        <v>0</v>
      </c>
      <c r="AI33" s="407">
        <f>IF($U$27=2, SUM($Y$22)*$M$28, 0)</f>
        <v>0</v>
      </c>
      <c r="AJ33" s="168">
        <f t="shared" si="3"/>
        <v>0</v>
      </c>
      <c r="AM33" s="773"/>
    </row>
    <row r="34" spans="2:39" ht="16.149999999999999" customHeight="1" x14ac:dyDescent="0.2">
      <c r="B34" s="274" t="s">
        <v>63</v>
      </c>
      <c r="C34" s="255" t="str">
        <f>ListAVS!$B$354</f>
        <v>W razie wykorzystania trzeciego siłownika współczynnik mocy oraz waga frontu mogą się zwiększyć o 50 %.</v>
      </c>
      <c r="D34" s="276"/>
      <c r="E34" s="276"/>
      <c r="F34" s="276"/>
      <c r="G34" s="276"/>
      <c r="H34" s="276"/>
      <c r="I34" s="276"/>
      <c r="J34" s="276"/>
      <c r="K34" s="255"/>
      <c r="L34" s="255"/>
      <c r="O34" s="118"/>
      <c r="P34" s="37"/>
      <c r="Q34" s="118"/>
      <c r="R34" s="37"/>
      <c r="AA34" s="164" t="str">
        <f>CenAVS!A154</f>
        <v xml:space="preserve">alu nakładany z tłumieniem 95°      </v>
      </c>
      <c r="AB34" s="164" t="str">
        <f>CenAVS!B154</f>
        <v> 71B950A</v>
      </c>
      <c r="AC34" s="164" t="str">
        <f>CenAVS!C154</f>
        <v>NI</v>
      </c>
      <c r="AD34" s="165">
        <f>SUM(AG34,AI34)</f>
        <v>0</v>
      </c>
      <c r="AE34" s="395">
        <f>CenAVS!F154</f>
        <v>19.826509999999999</v>
      </c>
      <c r="AF34" s="167">
        <f>AD34*AE34</f>
        <v>0</v>
      </c>
      <c r="AG34" s="407"/>
      <c r="AH34" s="168">
        <f t="shared" si="2"/>
        <v>0</v>
      </c>
      <c r="AI34" s="407"/>
      <c r="AJ34" s="168">
        <f t="shared" si="3"/>
        <v>0</v>
      </c>
      <c r="AM34" s="108"/>
    </row>
    <row r="35" spans="2:39" ht="16.149999999999999" customHeight="1" x14ac:dyDescent="0.2">
      <c r="B35" s="255"/>
      <c r="C35" s="276"/>
      <c r="D35" s="276"/>
      <c r="E35" s="276"/>
      <c r="F35" s="276"/>
      <c r="G35" s="276"/>
      <c r="H35" s="276"/>
      <c r="I35" s="276"/>
      <c r="J35" s="276"/>
      <c r="K35" s="255"/>
      <c r="L35" s="255"/>
      <c r="O35" s="118"/>
      <c r="P35" s="37"/>
      <c r="Q35" s="118"/>
      <c r="R35" s="37"/>
      <c r="AA35" s="456" t="str">
        <f>CenAVS!A22</f>
        <v xml:space="preserve">alu nakładany Tip-on 120° Aventos HF     </v>
      </c>
      <c r="AB35" s="456" t="str">
        <f>CenAVS!B22</f>
        <v>72T550A.TL</v>
      </c>
      <c r="AC35" s="456" t="str">
        <f>CenAVS!C22</f>
        <v>NI</v>
      </c>
      <c r="AD35" s="408">
        <f>SUM(AG35,AI35)</f>
        <v>0</v>
      </c>
      <c r="AE35" s="457">
        <f>CenAVS!F22</f>
        <v>8.4674200000000006</v>
      </c>
      <c r="AF35" s="167">
        <f>AD35*AE35</f>
        <v>0</v>
      </c>
      <c r="AG35" s="407"/>
      <c r="AH35" s="168">
        <f t="shared" si="2"/>
        <v>0</v>
      </c>
      <c r="AI35" s="407"/>
      <c r="AJ35" s="168">
        <f t="shared" si="3"/>
        <v>0</v>
      </c>
      <c r="AM35" s="774"/>
    </row>
    <row r="36" spans="2:39" ht="16.149999999999999" customHeight="1" x14ac:dyDescent="0.2">
      <c r="B36" s="274" t="s">
        <v>83</v>
      </c>
      <c r="C36" s="255" t="str">
        <f>ListAVS!$B$187</f>
        <v>Jeżeli znasz wagę i nie chcesz skorzystać z "obliczenie wagi"</v>
      </c>
      <c r="D36" s="276"/>
      <c r="E36" s="276"/>
      <c r="F36" s="276"/>
      <c r="G36" s="276"/>
      <c r="H36" s="276"/>
      <c r="I36" s="276"/>
      <c r="J36" s="276"/>
      <c r="K36" s="255"/>
      <c r="L36" s="255"/>
      <c r="O36" s="118"/>
      <c r="P36" s="37"/>
      <c r="Q36" s="118"/>
      <c r="R36" s="37"/>
      <c r="AA36" s="164" t="str">
        <f>CenAVS!A123</f>
        <v xml:space="preserve">specjalne wkręty 3.53x9.5mm do szerokich ramek     </v>
      </c>
      <c r="AB36" s="164" t="str">
        <f>CenAVS!B123</f>
        <v>660.0950</v>
      </c>
      <c r="AC36" s="164" t="str">
        <f>CenAVS!C123</f>
        <v>NI</v>
      </c>
      <c r="AD36" s="165">
        <f>SUM(AG36,AI36)</f>
        <v>0</v>
      </c>
      <c r="AE36" s="395">
        <f>CenAVS!F123</f>
        <v>0.18570999999999999</v>
      </c>
      <c r="AF36" s="167">
        <f>AD36*AE36</f>
        <v>0</v>
      </c>
      <c r="AG36" s="407"/>
      <c r="AH36" s="168">
        <f t="shared" si="2"/>
        <v>0</v>
      </c>
      <c r="AI36" s="407"/>
      <c r="AJ36" s="168">
        <f t="shared" si="3"/>
        <v>0</v>
      </c>
      <c r="AM36" s="108"/>
    </row>
    <row r="37" spans="2:39" ht="16.149999999999999" customHeight="1" x14ac:dyDescent="0.2">
      <c r="B37" s="274" t="s">
        <v>85</v>
      </c>
      <c r="C37" s="255" t="str">
        <f>ListAVS!$B$25</f>
        <v>Materiały o grubości od 8 do 14 mm</v>
      </c>
      <c r="D37" s="276"/>
      <c r="E37" s="276"/>
      <c r="F37" s="276"/>
      <c r="G37" s="276"/>
      <c r="H37" s="276"/>
      <c r="I37" s="276"/>
      <c r="J37" s="276"/>
      <c r="K37" s="255"/>
      <c r="L37" s="255"/>
      <c r="N37" s="37" t="str">
        <f>" "&amp;ListAVS!$B$118</f>
        <v xml:space="preserve"> Wprowadź na górze masę objętościową </v>
      </c>
      <c r="O37" s="118"/>
      <c r="P37" s="37"/>
      <c r="Q37" s="118"/>
      <c r="R37" s="37"/>
      <c r="AA37" s="164" t="str">
        <f>CenAVS!A158</f>
        <v xml:space="preserve">kołek Expando T        </v>
      </c>
      <c r="AB37" s="164" t="str">
        <f>CenAVS!B158</f>
        <v>70T4532T</v>
      </c>
      <c r="AC37" s="164" t="str">
        <f>CenAVS!C158</f>
        <v>DGR</v>
      </c>
      <c r="AD37" s="165">
        <f>SUM(AG37,AI37)</f>
        <v>0</v>
      </c>
      <c r="AE37" s="395">
        <f>CenAVS!F158</f>
        <v>6.9475599999999993</v>
      </c>
      <c r="AF37" s="167">
        <f>AD37*AE37</f>
        <v>0</v>
      </c>
      <c r="AG37" s="407">
        <f>AG$22*2</f>
        <v>0</v>
      </c>
      <c r="AH37" s="168">
        <f t="shared" si="2"/>
        <v>0</v>
      </c>
      <c r="AI37" s="407">
        <f>AI$22*2</f>
        <v>0</v>
      </c>
      <c r="AJ37" s="168">
        <f t="shared" si="3"/>
        <v>0</v>
      </c>
      <c r="AM37" s="108"/>
    </row>
    <row r="38" spans="2:39" ht="16.149999999999999" customHeight="1" x14ac:dyDescent="0.2">
      <c r="B38" s="255"/>
      <c r="C38" s="255"/>
      <c r="D38" s="255"/>
      <c r="E38" s="255"/>
      <c r="F38" s="255"/>
      <c r="G38" s="255"/>
      <c r="H38" s="255"/>
      <c r="I38" s="255"/>
      <c r="J38" s="255"/>
      <c r="K38" s="255"/>
      <c r="L38" s="255"/>
      <c r="N38" s="37" t="str">
        <f>" "&amp;ListAVS!$B$116</f>
        <v xml:space="preserve"> Wprowadź wagę lub wypełnij wszystkie komórki</v>
      </c>
      <c r="O38" s="118"/>
      <c r="P38" s="37"/>
      <c r="Q38" s="118"/>
      <c r="R38" s="37"/>
      <c r="AA38" s="164"/>
      <c r="AB38" s="164"/>
      <c r="AC38" s="164"/>
      <c r="AD38" s="165"/>
      <c r="AE38" s="395"/>
      <c r="AF38" s="167"/>
      <c r="AG38" s="407"/>
      <c r="AH38" s="168"/>
      <c r="AI38" s="407"/>
      <c r="AJ38" s="168"/>
      <c r="AM38" s="108"/>
    </row>
    <row r="39" spans="2:39" ht="16.149999999999999" customHeight="1" x14ac:dyDescent="0.2">
      <c r="B39" s="1020" t="str">
        <f>ListAVS!$B$420</f>
        <v xml:space="preserve">Należy pamiętać, że istnieje wiele różnych materiałów. Ze względu na różne gęstości  nie ma gwarancji, że wszystkie materiały będą nadawały się do każdego rozmiaru korpusu. Szczególnie w przypadku lżejszych materiałów ciężar frontu może nie osiągnąć wartości minimalnej dla danego wymiaru. Jeśli po prawidłowym wprowadzeniu wszystkich parametrów, na liście zamówienia nie wyświetlą się żadne wartości, prawdopodobnie waga frontu jest poniżej wartości minimalnej. W takim przypadku wyliczenie podnośników nie może być wykonane. </v>
      </c>
      <c r="C39" s="1020"/>
      <c r="D39" s="1020"/>
      <c r="E39" s="1020"/>
      <c r="F39" s="1020"/>
      <c r="G39" s="1020"/>
      <c r="H39" s="1020"/>
      <c r="I39" s="1020"/>
      <c r="J39" s="1020"/>
      <c r="K39" s="1020"/>
      <c r="L39" s="1020"/>
      <c r="N39" s="37" t="str">
        <f>"◄ "&amp;ListAVS!$B$112</f>
        <v>◄ wartość będzie wykorzystana do obliczenia LF</v>
      </c>
      <c r="O39" s="118"/>
      <c r="P39" s="37"/>
      <c r="Q39" s="118"/>
      <c r="R39" s="37"/>
      <c r="AA39" s="164" t="str">
        <f>CenAVS!A166</f>
        <v xml:space="preserve">prowadnik prosty wkręt 8 5mm stal     </v>
      </c>
      <c r="AB39" s="164" t="str">
        <f>CenAVS!B166</f>
        <v>175H3100</v>
      </c>
      <c r="AC39" s="164" t="str">
        <f>CenAVS!C166</f>
        <v>NI</v>
      </c>
      <c r="AD39" s="165">
        <f>SUM(AG39,AI39)</f>
        <v>0</v>
      </c>
      <c r="AE39" s="395">
        <f>CenAVS!F166</f>
        <v>1.65564</v>
      </c>
      <c r="AF39" s="167">
        <f>AD39*AE39</f>
        <v>0</v>
      </c>
      <c r="AG39" s="407">
        <f>IF($O$49=2, $Y$11*$M$17, 0)</f>
        <v>0</v>
      </c>
      <c r="AH39" s="168">
        <f>$AE39*AG39</f>
        <v>0</v>
      </c>
      <c r="AI39" s="407">
        <f>IF($O$49=2, $Y$22*$M$28, 0)</f>
        <v>0</v>
      </c>
      <c r="AJ39" s="168">
        <f>$AE39*AI39</f>
        <v>0</v>
      </c>
      <c r="AM39" s="108"/>
    </row>
    <row r="40" spans="2:39" ht="16.149999999999999" customHeight="1" x14ac:dyDescent="0.2">
      <c r="B40" s="1020"/>
      <c r="C40" s="1020"/>
      <c r="D40" s="1020"/>
      <c r="E40" s="1020"/>
      <c r="F40" s="1020"/>
      <c r="G40" s="1020"/>
      <c r="H40" s="1020"/>
      <c r="I40" s="1020"/>
      <c r="J40" s="1020"/>
      <c r="K40" s="1020"/>
      <c r="L40" s="1020"/>
      <c r="N40" s="37" t="str">
        <f>" * "&amp;ListAVS!$B$128</f>
        <v xml:space="preserve"> * Wypełnij wartości</v>
      </c>
      <c r="O40" s="118"/>
      <c r="P40" s="37"/>
      <c r="Q40" s="118"/>
      <c r="R40" s="37"/>
      <c r="AA40" s="164" t="str">
        <f>CenAVS!A167</f>
        <v xml:space="preserve">prowadnik prosty Expando 8 5mm stal     </v>
      </c>
      <c r="AB40" s="164" t="str">
        <f>CenAVS!B167</f>
        <v>177H3100E </v>
      </c>
      <c r="AC40" s="164" t="str">
        <f>CenAVS!C167</f>
        <v>NI</v>
      </c>
      <c r="AD40" s="165">
        <f>SUM(AG40,AI40)</f>
        <v>0</v>
      </c>
      <c r="AE40" s="395">
        <f>CenAVS!F167</f>
        <v>1.8724499999999999</v>
      </c>
      <c r="AF40" s="167">
        <f>AD40*AE40</f>
        <v>0</v>
      </c>
      <c r="AG40" s="407">
        <f>IF($O$49=1, $Y$11*$M$17, 0)</f>
        <v>0</v>
      </c>
      <c r="AH40" s="168">
        <f>$AE40*AG40</f>
        <v>0</v>
      </c>
      <c r="AI40" s="407">
        <f>IF($O$49=1, $Y$22*$M$28, 0)</f>
        <v>0</v>
      </c>
      <c r="AJ40" s="168">
        <f>$AE40*AI40</f>
        <v>0</v>
      </c>
      <c r="AM40" s="108"/>
    </row>
    <row r="41" spans="2:39" ht="16.149999999999999" customHeight="1" x14ac:dyDescent="0.2">
      <c r="B41" s="1020"/>
      <c r="C41" s="1020"/>
      <c r="D41" s="1020"/>
      <c r="E41" s="1020"/>
      <c r="F41" s="1020"/>
      <c r="G41" s="1020"/>
      <c r="H41" s="1020"/>
      <c r="I41" s="1020"/>
      <c r="J41" s="1020"/>
      <c r="K41" s="1020"/>
      <c r="L41" s="1020"/>
      <c r="O41" s="118"/>
      <c r="P41" s="37"/>
      <c r="Q41" s="118"/>
      <c r="R41" s="37"/>
      <c r="AA41" s="164"/>
      <c r="AB41" s="164"/>
      <c r="AC41" s="164"/>
      <c r="AD41" s="165"/>
      <c r="AE41" s="395"/>
      <c r="AF41" s="167"/>
      <c r="AG41" s="407"/>
      <c r="AH41" s="168"/>
      <c r="AI41" s="407"/>
      <c r="AJ41" s="168"/>
      <c r="AM41" s="108"/>
    </row>
    <row r="42" spans="2:39" s="37" customFormat="1" ht="16.149999999999999" customHeight="1" x14ac:dyDescent="0.2">
      <c r="B42" s="1020"/>
      <c r="C42" s="1020"/>
      <c r="D42" s="1020"/>
      <c r="E42" s="1020"/>
      <c r="F42" s="1020"/>
      <c r="G42" s="1020"/>
      <c r="H42" s="1020"/>
      <c r="I42" s="1020"/>
      <c r="J42" s="1020"/>
      <c r="K42" s="1020"/>
      <c r="L42" s="1020"/>
      <c r="M42" s="1217" t="s">
        <v>135</v>
      </c>
      <c r="N42" s="37" t="str">
        <f>IF(U16=1," max. 3.600! "&amp;ListAVS!$B$122," max. 3.200! "&amp;ListAVS!$B$122)</f>
        <v xml:space="preserve"> max. 3.600! Popraw wagę albo wysokość</v>
      </c>
      <c r="AA42" s="164" t="str">
        <f>CenAVS!A185</f>
        <v xml:space="preserve">Tip-on do zawiasu 50mm PG, szary     </v>
      </c>
      <c r="AB42" s="164" t="str">
        <f>CenAVS!B185</f>
        <v>956.1004</v>
      </c>
      <c r="AC42" s="164" t="str">
        <f>CenAVS!C185</f>
        <v>R7036</v>
      </c>
      <c r="AD42" s="165">
        <f>SUM(AG42,AI42)</f>
        <v>0</v>
      </c>
      <c r="AE42" s="395">
        <f>CenAVS!F185</f>
        <v>12.830769999999999</v>
      </c>
      <c r="AF42" s="167">
        <f>AD42*AE42</f>
        <v>0</v>
      </c>
      <c r="AG42" s="407">
        <f>IF(AND($T$49&lt;3, $U$16=2), $M$17, 0)</f>
        <v>0</v>
      </c>
      <c r="AH42" s="168">
        <f>$AE42*AG42</f>
        <v>0</v>
      </c>
      <c r="AI42" s="407">
        <f>IF(AND($T$49&lt;3, $U$27=2), $M$28, 0)</f>
        <v>0</v>
      </c>
      <c r="AJ42" s="168">
        <f>$AE42*AI42</f>
        <v>0</v>
      </c>
      <c r="AK42" s="108"/>
      <c r="AL42" s="108"/>
      <c r="AM42" s="108"/>
    </row>
    <row r="43" spans="2:39" s="37" customFormat="1" ht="16.149999999999999" customHeight="1" x14ac:dyDescent="0.2">
      <c r="B43" s="1020"/>
      <c r="C43" s="1020"/>
      <c r="D43" s="1020"/>
      <c r="E43" s="1020"/>
      <c r="F43" s="1020"/>
      <c r="G43" s="1020"/>
      <c r="H43" s="1020"/>
      <c r="I43" s="1020"/>
      <c r="J43" s="1020"/>
      <c r="K43" s="1020"/>
      <c r="L43" s="1020"/>
      <c r="M43" s="1217"/>
      <c r="N43" s="37" t="str">
        <f>IF(U16=1," max. 1.800! "&amp;ListAVS!$B$132," max. 1.600! "&amp;ListAVS!$B$132)</f>
        <v xml:space="preserve"> max. 1.800! Dodaj drugi podnośnik</v>
      </c>
      <c r="O43" s="118"/>
      <c r="Q43" s="118"/>
      <c r="AA43" s="164" t="str">
        <f>CenAVS!A186</f>
        <v xml:space="preserve">Tip-on do zawiasu 50mm SW, biały     </v>
      </c>
      <c r="AB43" s="164" t="str">
        <f>CenAVS!B186</f>
        <v>956.1004</v>
      </c>
      <c r="AC43" s="164" t="str">
        <f>CenAVS!C186</f>
        <v>SW</v>
      </c>
      <c r="AD43" s="165">
        <f>SUM(AG43,AI43)</f>
        <v>0</v>
      </c>
      <c r="AE43" s="395">
        <f>CenAVS!F186</f>
        <v>12.830769999999999</v>
      </c>
      <c r="AF43" s="167">
        <f>AD43*AE43</f>
        <v>0</v>
      </c>
      <c r="AG43" s="407">
        <f>IF(AND($T$49=3, $U$16=2), $M$17, 0)</f>
        <v>0</v>
      </c>
      <c r="AH43" s="168">
        <f>$AE43*AG43</f>
        <v>0</v>
      </c>
      <c r="AI43" s="407">
        <f>IF(AND($T$49=3, $U$27=2), $M$28, 0)</f>
        <v>0</v>
      </c>
      <c r="AJ43" s="168">
        <f>$AE43*AI43</f>
        <v>0</v>
      </c>
      <c r="AK43" s="108"/>
      <c r="AL43" s="108"/>
      <c r="AM43" s="108"/>
    </row>
    <row r="44" spans="2:39" s="37" customFormat="1" ht="16.149999999999999" customHeight="1" x14ac:dyDescent="0.2">
      <c r="B44" s="273"/>
      <c r="C44" s="255"/>
      <c r="D44" s="255"/>
      <c r="E44" s="255"/>
      <c r="F44" s="255"/>
      <c r="G44" s="255"/>
      <c r="H44" s="255"/>
      <c r="I44" s="255"/>
      <c r="J44" s="255"/>
      <c r="K44" s="255"/>
      <c r="L44" s="255"/>
      <c r="N44" s="149"/>
      <c r="O44" s="118"/>
      <c r="Q44" s="118"/>
      <c r="AA44" s="164" t="str">
        <f>CenAVS!A187</f>
        <v xml:space="preserve">Tip-on do zawiasu krótki 50mm z magnesem,komplet, karbon czarny CS </v>
      </c>
      <c r="AB44" s="164" t="str">
        <f>CenAVS!B187</f>
        <v>956.1004</v>
      </c>
      <c r="AC44" s="164" t="str">
        <f>CenAVS!C187</f>
        <v>CS</v>
      </c>
      <c r="AD44" s="165">
        <f>SUM(AG44,AI44)</f>
        <v>0</v>
      </c>
      <c r="AE44" s="395">
        <f>CenAVS!F187</f>
        <v>12.830769999999999</v>
      </c>
      <c r="AF44" s="167">
        <f>AD44*AE44</f>
        <v>0</v>
      </c>
      <c r="AG44" s="407"/>
      <c r="AH44" s="168">
        <f>$AE44*AG44</f>
        <v>0</v>
      </c>
      <c r="AI44" s="407"/>
      <c r="AJ44" s="168">
        <f>$AE44*AI44</f>
        <v>0</v>
      </c>
      <c r="AK44" s="108"/>
      <c r="AL44" s="108"/>
      <c r="AM44" s="108"/>
    </row>
    <row r="45" spans="2:39" s="37" customFormat="1" ht="16.149999999999999" customHeight="1" x14ac:dyDescent="0.2">
      <c r="B45" s="273"/>
      <c r="C45" s="255"/>
      <c r="D45" s="255"/>
      <c r="E45" s="255"/>
      <c r="F45" s="255"/>
      <c r="G45" s="255"/>
      <c r="H45" s="255"/>
      <c r="I45" s="255"/>
      <c r="J45" s="255"/>
      <c r="K45" s="255"/>
      <c r="L45" s="255"/>
      <c r="M45" s="1217" t="s">
        <v>136</v>
      </c>
      <c r="N45" s="37" t="str">
        <f>IF(U27=1," max. 3.600! "&amp;ListAVS!$B$122," max. 3.200! "&amp;ListAVS!$B$122)</f>
        <v xml:space="preserve"> max. 3.600! Popraw wagę albo wysokość</v>
      </c>
      <c r="O45" s="118"/>
      <c r="Q45" s="118"/>
      <c r="AA45" s="164"/>
      <c r="AB45" s="164"/>
      <c r="AC45" s="164"/>
      <c r="AD45" s="165"/>
      <c r="AE45" s="395"/>
      <c r="AF45" s="167"/>
      <c r="AG45" s="407"/>
      <c r="AH45" s="168"/>
      <c r="AI45" s="407"/>
      <c r="AJ45" s="168"/>
      <c r="AK45" s="108"/>
      <c r="AL45" s="108"/>
      <c r="AM45" s="108"/>
    </row>
    <row r="46" spans="2:39" s="37" customFormat="1" ht="16.149999999999999" customHeight="1" x14ac:dyDescent="0.2">
      <c r="B46" s="273"/>
      <c r="C46" s="255"/>
      <c r="D46" s="255"/>
      <c r="E46" s="255"/>
      <c r="F46" s="255"/>
      <c r="G46" s="255"/>
      <c r="H46" s="255"/>
      <c r="I46" s="255"/>
      <c r="J46" s="255"/>
      <c r="K46" s="255"/>
      <c r="L46" s="255"/>
      <c r="M46" s="1217"/>
      <c r="N46" s="37" t="str">
        <f>IF(U27=1," max. 1.800! "&amp;ListAVS!$B$132," max. 1.600! "&amp;ListAVS!$B$132)</f>
        <v xml:space="preserve"> max. 1.800! Dodaj drugi podnośnik</v>
      </c>
      <c r="O46" s="118"/>
      <c r="Q46" s="118"/>
      <c r="AA46" s="164"/>
      <c r="AB46" s="164"/>
      <c r="AC46" s="164"/>
      <c r="AD46" s="165"/>
      <c r="AE46" s="395"/>
      <c r="AF46" s="167"/>
      <c r="AG46" s="407"/>
      <c r="AH46" s="168"/>
      <c r="AI46" s="407"/>
      <c r="AJ46" s="168"/>
      <c r="AK46" s="108"/>
      <c r="AL46" s="108"/>
      <c r="AM46" s="108"/>
    </row>
    <row r="47" spans="2:39" s="37" customFormat="1" ht="16.149999999999999" customHeight="1" x14ac:dyDescent="0.2">
      <c r="B47" s="273"/>
      <c r="C47" s="255"/>
      <c r="D47" s="255"/>
      <c r="E47" s="255"/>
      <c r="F47" s="255"/>
      <c r="G47" s="255"/>
      <c r="H47" s="255"/>
      <c r="I47" s="255"/>
      <c r="J47" s="255"/>
      <c r="K47" s="255"/>
      <c r="L47" s="255"/>
      <c r="N47" s="149"/>
      <c r="O47" s="118"/>
      <c r="Q47" s="118"/>
      <c r="AA47" s="164"/>
      <c r="AB47" s="164"/>
      <c r="AC47" s="301"/>
      <c r="AD47" s="165"/>
      <c r="AE47" s="395"/>
      <c r="AF47" s="167"/>
      <c r="AG47" s="407"/>
      <c r="AH47" s="168"/>
      <c r="AI47" s="407"/>
      <c r="AJ47" s="168"/>
      <c r="AK47" s="108"/>
      <c r="AL47" s="108"/>
      <c r="AM47" s="108"/>
    </row>
    <row r="48" spans="2:39" ht="16.149999999999999" customHeight="1" x14ac:dyDescent="0.2">
      <c r="B48" s="216"/>
      <c r="D48" s="148"/>
      <c r="E48" s="148"/>
      <c r="F48" s="148"/>
      <c r="G48" s="148"/>
      <c r="H48" s="148"/>
      <c r="I48" s="148"/>
      <c r="J48" s="148"/>
      <c r="O48" s="118"/>
      <c r="P48" s="37"/>
      <c r="Q48" s="118"/>
      <c r="R48" s="37"/>
      <c r="AA48" s="164"/>
      <c r="AB48" s="164"/>
      <c r="AC48" s="301"/>
      <c r="AD48" s="165"/>
      <c r="AE48" s="395"/>
      <c r="AF48" s="167"/>
      <c r="AG48" s="407"/>
      <c r="AH48" s="168"/>
      <c r="AI48" s="407"/>
      <c r="AJ48" s="168"/>
      <c r="AM48" s="108"/>
    </row>
    <row r="49" spans="1:39" ht="16.149999999999999" customHeight="1" x14ac:dyDescent="0.2">
      <c r="B49" s="217"/>
      <c r="C49" s="148"/>
      <c r="D49" s="148"/>
      <c r="E49" s="148"/>
      <c r="F49" s="148"/>
      <c r="G49" s="148"/>
      <c r="H49" s="148"/>
      <c r="I49" s="148"/>
      <c r="J49" s="148"/>
      <c r="N49" s="117"/>
      <c r="O49" s="117">
        <f>HKXS!Q26</f>
        <v>1</v>
      </c>
      <c r="P49" s="117">
        <f>HKXS!$O$26</f>
        <v>1</v>
      </c>
      <c r="Q49" s="117"/>
      <c r="T49" s="117">
        <f>MenuAVS!$U$28</f>
        <v>1</v>
      </c>
      <c r="AH49" s="37"/>
      <c r="AI49" s="118"/>
      <c r="AJ49" s="37"/>
      <c r="AM49" s="108"/>
    </row>
    <row r="50" spans="1:39" ht="16.149999999999999" customHeight="1" x14ac:dyDescent="0.2">
      <c r="B50" s="218"/>
      <c r="C50" s="219"/>
      <c r="D50" s="219"/>
      <c r="E50" s="219"/>
      <c r="F50" s="219"/>
      <c r="G50" s="219"/>
      <c r="I50" s="219"/>
      <c r="N50" s="220" t="s">
        <v>7</v>
      </c>
      <c r="O50" s="220" t="s">
        <v>137</v>
      </c>
      <c r="P50" s="220" t="s">
        <v>138</v>
      </c>
      <c r="Q50" s="220" t="s">
        <v>84</v>
      </c>
      <c r="S50" s="118"/>
      <c r="T50" s="220" t="s">
        <v>139</v>
      </c>
      <c r="V50" s="208" t="s">
        <v>18</v>
      </c>
      <c r="AE50" s="144" t="str">
        <f>ListAVS!$B$61&amp;" "</f>
        <v xml:space="preserve">Cena całkowita bez VAT </v>
      </c>
      <c r="AF50" s="171">
        <f>SUM(AF9:AF47)</f>
        <v>0</v>
      </c>
      <c r="AH50" s="201">
        <f>SUM(AH9:AH49)</f>
        <v>0</v>
      </c>
      <c r="AI50" s="37"/>
      <c r="AJ50" s="201">
        <f>SUM(AJ9:AJ49)</f>
        <v>0</v>
      </c>
      <c r="AM50" s="108"/>
    </row>
    <row r="51" spans="1:39" ht="16.149999999999999" customHeight="1" x14ac:dyDescent="0.2">
      <c r="B51" s="219"/>
      <c r="C51" s="219"/>
      <c r="D51" s="219"/>
      <c r="E51" s="219"/>
      <c r="F51" s="219"/>
      <c r="G51" s="219"/>
      <c r="I51" s="219"/>
      <c r="O51" s="118" t="s">
        <v>140</v>
      </c>
      <c r="P51" s="118">
        <f>ListAVS!$D$143</f>
        <v>0</v>
      </c>
      <c r="Q51" s="118"/>
      <c r="T51" s="37" t="str">
        <f>ListAVS!$B$146</f>
        <v>Jasnoszary (HGR)</v>
      </c>
      <c r="V51" s="209" t="s">
        <v>58</v>
      </c>
      <c r="AH51" s="37"/>
      <c r="AI51" s="37"/>
      <c r="AJ51" s="37"/>
      <c r="AK51" s="37"/>
      <c r="AM51" s="108"/>
    </row>
    <row r="52" spans="1:39" ht="16.149999999999999" customHeight="1" x14ac:dyDescent="0.2">
      <c r="B52" s="218"/>
      <c r="C52" s="219"/>
      <c r="D52" s="219"/>
      <c r="E52" s="219"/>
      <c r="F52" s="219"/>
      <c r="G52" s="219"/>
      <c r="I52" s="219"/>
      <c r="O52" s="118" t="s">
        <v>141</v>
      </c>
      <c r="P52" s="118" t="str">
        <f>ListAVS!$B$144</f>
        <v>na wkręty</v>
      </c>
      <c r="Q52" s="118"/>
      <c r="T52" s="37" t="str">
        <f>ListAVS!$B$148</f>
        <v>Jedwabiście biały (SW)</v>
      </c>
      <c r="V52" s="209" t="s">
        <v>107</v>
      </c>
      <c r="AH52" s="37"/>
      <c r="AI52" s="37"/>
      <c r="AJ52" s="37"/>
      <c r="AK52" s="37"/>
      <c r="AM52" s="108"/>
    </row>
    <row r="53" spans="1:39" ht="16.149999999999999" customHeight="1" x14ac:dyDescent="0.2">
      <c r="B53" s="144"/>
      <c r="C53" s="219"/>
      <c r="O53" s="118"/>
      <c r="P53" s="37"/>
      <c r="Q53" s="118"/>
      <c r="R53" s="37"/>
      <c r="AH53" s="37"/>
      <c r="AI53" s="37"/>
      <c r="AJ53" s="37"/>
      <c r="AK53" s="37"/>
      <c r="AM53" s="108"/>
    </row>
    <row r="54" spans="1:39" ht="16.149999999999999" customHeight="1" x14ac:dyDescent="0.2">
      <c r="B54" s="144"/>
      <c r="N54" s="37" t="str">
        <f>ListAVS!B188&amp;". "</f>
        <v xml:space="preserve">W celu określenia rodzaju siłownika będzie wykorzystana podana waga. </v>
      </c>
      <c r="O54" s="118"/>
      <c r="P54" s="37"/>
      <c r="Q54" s="118"/>
      <c r="R54" s="37"/>
      <c r="AH54" s="37"/>
      <c r="AI54" s="37"/>
      <c r="AJ54" s="37"/>
      <c r="AK54" s="37"/>
      <c r="AM54" s="108"/>
    </row>
    <row r="55" spans="1:39" ht="16.149999999999999" customHeight="1" x14ac:dyDescent="0.2">
      <c r="B55" s="155"/>
      <c r="D55" s="155"/>
      <c r="E55" s="155"/>
      <c r="F55" s="155"/>
      <c r="G55" s="155"/>
      <c r="I55" s="155"/>
      <c r="N55" s="37" t="str">
        <f>ListAVS!B189&amp;". "</f>
        <v xml:space="preserve">W celu określenia rodzaju siłownika będzie wykorzystana obliczona waga. </v>
      </c>
      <c r="O55" s="118"/>
      <c r="P55" s="37"/>
      <c r="Q55" s="118"/>
      <c r="R55" s="37"/>
      <c r="AH55" s="37"/>
      <c r="AI55" s="37"/>
      <c r="AJ55" s="37"/>
      <c r="AK55" s="37"/>
      <c r="AM55" s="108"/>
    </row>
    <row r="56" spans="1:39" ht="16.149999999999999" customHeight="1" x14ac:dyDescent="0.2">
      <c r="N56" s="37" t="str">
        <f>ListAVS!B190</f>
        <v>Jeżeli chcesz wykorzystać obliczoną wagę, zmaż podaną wartość</v>
      </c>
      <c r="O56" s="118"/>
      <c r="P56" s="37"/>
      <c r="Q56" s="118"/>
      <c r="R56" s="37"/>
      <c r="AH56" s="37"/>
      <c r="AI56" s="37"/>
      <c r="AJ56" s="37"/>
      <c r="AK56" s="37"/>
      <c r="AM56" s="108"/>
    </row>
    <row r="57" spans="1:39" ht="16.149999999999999" customHeight="1" x14ac:dyDescent="0.2">
      <c r="N57" s="37" t="str">
        <f>ListAVS!B191</f>
        <v>Jeżeli chcesz wykorzystać podaną wagą, wpisz ją w pole</v>
      </c>
      <c r="O57" s="118"/>
      <c r="P57" s="37"/>
      <c r="Q57" s="118"/>
      <c r="R57" s="37"/>
      <c r="AH57" s="37"/>
      <c r="AI57" s="37"/>
      <c r="AJ57" s="37"/>
      <c r="AK57" s="37"/>
      <c r="AM57" s="108"/>
    </row>
    <row r="58" spans="1:39" ht="16.149999999999999" customHeight="1" x14ac:dyDescent="0.2">
      <c r="AH58" s="37"/>
      <c r="AI58" s="37"/>
      <c r="AJ58" s="37"/>
      <c r="AK58" s="37"/>
      <c r="AM58" s="108"/>
    </row>
    <row r="59" spans="1:39" ht="16.149999999999999" customHeight="1" x14ac:dyDescent="0.2">
      <c r="P59" s="37"/>
      <c r="Q59" s="118"/>
      <c r="R59" s="37"/>
      <c r="S59" s="118"/>
      <c r="Z59" s="758" t="str">
        <f>IF($AA$65=1,$AA$66,IF($AA$65=2,$AA$67,IF($AA$65=3,$AA$68,IF($AA$65=4,$AA$69,IF($AA$65=5,$AA$70,IF($AA$65=6,$AA$71,IF($AA$65=7,$AA$72,$AA$73&amp;" "&amp;$Z$73&amp;"kg/m3")))))))&amp;" A~"&amp;$T$71&amp;"/ B~"&amp;$T$82&amp;"mm"</f>
        <v>Płyta kompaktowa (1350 kg/m3) A~0/ B~0mm</v>
      </c>
      <c r="AA59" s="118"/>
      <c r="AC59" s="118"/>
      <c r="AH59" s="37"/>
      <c r="AI59" s="37"/>
      <c r="AJ59" s="37"/>
      <c r="AK59" s="37"/>
      <c r="AM59" s="108"/>
    </row>
    <row r="60" spans="1:39" x14ac:dyDescent="0.2">
      <c r="O60" s="118"/>
      <c r="P60" s="37"/>
      <c r="Q60" s="118"/>
      <c r="R60" s="37"/>
      <c r="Z60" s="37" t="str">
        <f>" "&amp;ListAVS!$B$410</f>
        <v xml:space="preserve"> Możesz zmienić wartości we Wstępie do planowania</v>
      </c>
      <c r="AA60" s="118"/>
      <c r="AC60" s="118"/>
      <c r="AL60" s="137"/>
    </row>
    <row r="61" spans="1:39" x14ac:dyDescent="0.2">
      <c r="O61" s="118"/>
      <c r="P61" s="37"/>
      <c r="Q61" s="118"/>
      <c r="R61" s="37"/>
      <c r="Z61" s="37" t="str">
        <f>" "&amp;ListAVS!$B$245&amp;" [kg/m3]"</f>
        <v xml:space="preserve"> Podaj masę objętościową [kg/m3]</v>
      </c>
      <c r="AA61" s="118"/>
      <c r="AC61" s="118"/>
      <c r="AL61" s="137"/>
    </row>
    <row r="62" spans="1:39" ht="15" customHeight="1" x14ac:dyDescent="0.2">
      <c r="N62" s="172" t="str">
        <f>ListAVS!$B$73</f>
        <v>Obliczanie wagi frontów</v>
      </c>
      <c r="O62" s="172"/>
      <c r="P62" s="173"/>
      <c r="Q62" s="173"/>
      <c r="R62" s="173"/>
      <c r="Z62" s="37" t="str">
        <f>" "&amp;ListAVS!$B$241&amp;" '"&amp;ListAVS!$B$92&amp;"'"</f>
        <v xml:space="preserve"> Wartość obowiązuje tylko dla opcji 'Inne – wybrana gęstość materiału'</v>
      </c>
      <c r="AA62" s="118"/>
      <c r="AC62" s="118"/>
      <c r="AH62" s="37"/>
      <c r="AI62" s="37"/>
      <c r="AJ62" s="37"/>
      <c r="AK62" s="37"/>
      <c r="AL62" s="37"/>
    </row>
    <row r="63" spans="1:39" ht="15" customHeight="1" x14ac:dyDescent="0.2">
      <c r="A63" s="255"/>
      <c r="N63" s="255"/>
      <c r="O63" s="255"/>
      <c r="P63" s="269" t="str">
        <f>ListAVS!$B$26&amp;":  "</f>
        <v xml:space="preserve">Materiał :  </v>
      </c>
      <c r="Q63" s="255"/>
      <c r="R63" s="255"/>
      <c r="S63" s="255"/>
      <c r="T63" s="813">
        <f>J4</f>
        <v>0</v>
      </c>
      <c r="U63" s="262" t="str">
        <f>IF(AA66=3,IF(T63=0,Z61," "),IF(T63&gt;0,Z62," "))</f>
        <v xml:space="preserve"> </v>
      </c>
      <c r="V63" s="255"/>
      <c r="W63" s="255"/>
      <c r="X63" s="255"/>
      <c r="AA63" s="118"/>
      <c r="AC63" s="118"/>
      <c r="AH63" s="37"/>
      <c r="AI63" s="37"/>
      <c r="AJ63" s="37"/>
      <c r="AK63" s="37"/>
      <c r="AL63" s="37"/>
    </row>
    <row r="64" spans="1:39" ht="15" customHeight="1" x14ac:dyDescent="0.2">
      <c r="A64" s="255"/>
      <c r="N64" s="255"/>
      <c r="O64" s="255"/>
      <c r="P64" s="1167" t="str">
        <f>IF($AA$66&lt;&gt;3,$Z$60," ")&amp;"      "</f>
        <v xml:space="preserve"> Możesz zmienić wartości we Wstępie do planowania      </v>
      </c>
      <c r="Q64" s="1167"/>
      <c r="R64" s="1167"/>
      <c r="S64" s="1167"/>
      <c r="T64" s="1167"/>
      <c r="U64" s="255"/>
      <c r="V64" s="255"/>
      <c r="W64" s="255"/>
      <c r="X64" s="255"/>
      <c r="AB64" s="176">
        <f>IF(OR(T71&lt;8, T71&gt;14), 0, 1)</f>
        <v>0</v>
      </c>
      <c r="AC64" s="176"/>
      <c r="AD64" s="177"/>
      <c r="AH64" s="37"/>
      <c r="AI64" s="37"/>
      <c r="AJ64" s="37"/>
      <c r="AK64" s="37"/>
      <c r="AL64" s="37"/>
    </row>
    <row r="65" spans="1:41" ht="15" customHeight="1" x14ac:dyDescent="0.2">
      <c r="A65" s="255"/>
      <c r="N65" s="266"/>
      <c r="O65" s="266"/>
      <c r="P65" s="255"/>
      <c r="Q65" s="255"/>
      <c r="R65" s="255"/>
      <c r="S65" s="255"/>
      <c r="T65" s="255"/>
      <c r="U65" s="255"/>
      <c r="V65" s="255"/>
      <c r="W65" s="255"/>
      <c r="X65" s="255"/>
      <c r="Z65" s="37">
        <f>IF(AB$64=1, T69*T70*T71/1000000000, 0)</f>
        <v>0</v>
      </c>
      <c r="AA65" s="117">
        <v>3</v>
      </c>
      <c r="AB65" s="180" t="s">
        <v>88</v>
      </c>
      <c r="AC65" s="176"/>
      <c r="AD65" s="177"/>
      <c r="AH65" s="37"/>
      <c r="AI65" s="37"/>
      <c r="AJ65" s="37"/>
      <c r="AK65" s="37"/>
      <c r="AL65" s="37"/>
    </row>
    <row r="66" spans="1:41" ht="15" customHeight="1" x14ac:dyDescent="0.2">
      <c r="A66" s="255"/>
      <c r="N66" s="266"/>
      <c r="O66" s="266"/>
      <c r="P66" s="255"/>
      <c r="Q66" s="255"/>
      <c r="R66" s="255"/>
      <c r="S66" s="255"/>
      <c r="T66" s="255"/>
      <c r="U66" s="255"/>
      <c r="V66" s="255"/>
      <c r="W66" s="255"/>
      <c r="X66" s="255"/>
      <c r="Z66" s="183">
        <f>MenuAVS!$C31</f>
        <v>760</v>
      </c>
      <c r="AA66" s="175" t="str">
        <f>ListAVS!$B$90&amp;" ("&amp;Z66&amp;" kg/m3)"</f>
        <v>MDF (760 kg/m3)</v>
      </c>
      <c r="AB66" s="149"/>
      <c r="AC66" s="118"/>
      <c r="AH66" s="37"/>
      <c r="AI66" s="37"/>
      <c r="AJ66" s="37"/>
      <c r="AK66" s="37"/>
      <c r="AL66" s="37"/>
    </row>
    <row r="67" spans="1:41" ht="15" customHeight="1" x14ac:dyDescent="0.2">
      <c r="A67" s="255"/>
      <c r="N67" s="255"/>
      <c r="O67" s="255"/>
      <c r="P67" s="255"/>
      <c r="Q67" s="255"/>
      <c r="R67" s="255"/>
      <c r="S67" s="255"/>
      <c r="T67" s="255"/>
      <c r="U67" s="255"/>
      <c r="V67" s="255"/>
      <c r="W67" s="255"/>
      <c r="X67" s="255"/>
      <c r="Z67" s="183">
        <f>MenuAVS!$C32</f>
        <v>680</v>
      </c>
      <c r="AA67" s="175" t="str">
        <f>ListAVS!$B$91&amp;" ("&amp;Z67&amp;" kg/m3)"</f>
        <v>Płyta wiórowa (680 kg/m3)</v>
      </c>
      <c r="AB67" s="149"/>
      <c r="AC67" s="118"/>
      <c r="AH67" s="37"/>
      <c r="AI67" s="37"/>
      <c r="AJ67" s="37"/>
      <c r="AK67" s="37"/>
      <c r="AL67" s="37"/>
    </row>
    <row r="68" spans="1:41" ht="15" customHeight="1" x14ac:dyDescent="0.2">
      <c r="A68" s="255"/>
      <c r="N68" s="266"/>
      <c r="O68" s="266"/>
      <c r="P68" s="266"/>
      <c r="Q68" s="255"/>
      <c r="R68" s="1148" t="str">
        <f>E9</f>
        <v xml:space="preserve"> </v>
      </c>
      <c r="S68" s="1149"/>
      <c r="T68" s="1150"/>
      <c r="U68" s="255"/>
      <c r="V68" s="255"/>
      <c r="W68" s="255"/>
      <c r="X68" s="255"/>
      <c r="Z68" s="183">
        <f>MenuAVS!$F31</f>
        <v>1350</v>
      </c>
      <c r="AA68" s="175" t="str">
        <f>ListAVS!$B$96&amp;" ("&amp;Z68&amp;" kg/m3)"</f>
        <v>Płyta kompaktowa (1350 kg/m3)</v>
      </c>
      <c r="AB68" s="184"/>
      <c r="AC68" s="184"/>
      <c r="AD68" s="178"/>
      <c r="AE68" s="178"/>
      <c r="AF68" s="179"/>
    </row>
    <row r="69" spans="1:41" s="118" customFormat="1" ht="15" customHeight="1" x14ac:dyDescent="0.2">
      <c r="A69" s="255"/>
      <c r="N69" s="1223" t="str">
        <f>ListAVS!$B$74&amp;" KB [mm]       "</f>
        <v xml:space="preserve">Szerokość korpusu KB [mm]       </v>
      </c>
      <c r="O69" s="1224"/>
      <c r="P69" s="1224"/>
      <c r="Q69" s="1224"/>
      <c r="R69" s="1224"/>
      <c r="S69" s="1225"/>
      <c r="T69" s="818">
        <f>I10</f>
        <v>0</v>
      </c>
      <c r="U69" s="670"/>
      <c r="V69" s="248"/>
      <c r="W69" s="255"/>
      <c r="X69" s="255"/>
      <c r="Y69" s="37"/>
      <c r="Z69" s="183">
        <f>MenuAVS!$F32</f>
        <v>1700</v>
      </c>
      <c r="AA69" s="175" t="str">
        <f>ListAVS!$B$97&amp;" ("&amp;Z69&amp;" kg/m3)"</f>
        <v>Płyta kompozytowa (1700 kg/m3)</v>
      </c>
      <c r="AB69" s="184"/>
      <c r="AC69" s="184"/>
      <c r="AD69" s="178"/>
      <c r="AE69" s="181"/>
      <c r="AF69" s="178"/>
      <c r="AM69" s="137"/>
      <c r="AN69" s="137"/>
      <c r="AO69" s="137"/>
    </row>
    <row r="70" spans="1:41" s="118" customFormat="1" ht="15" customHeight="1" x14ac:dyDescent="0.2">
      <c r="A70" s="255"/>
      <c r="N70" s="1223" t="str">
        <f>ListAVS!$B$75&amp;" KH [mm]       "</f>
        <v xml:space="preserve">Wysokość korpusu KH [mm]       </v>
      </c>
      <c r="O70" s="1224"/>
      <c r="P70" s="1224"/>
      <c r="Q70" s="1224"/>
      <c r="R70" s="1224"/>
      <c r="S70" s="1225"/>
      <c r="T70" s="818">
        <f>I11</f>
        <v>0</v>
      </c>
      <c r="U70" s="670"/>
      <c r="V70" s="248"/>
      <c r="W70" s="255"/>
      <c r="X70" s="255"/>
      <c r="Y70" s="37"/>
      <c r="Z70" s="183">
        <f>MenuAVS!$F33</f>
        <v>2600</v>
      </c>
      <c r="AA70" s="175" t="str">
        <f>ListAVS!$B$98&amp;" ("&amp;Z70&amp;" kg/m3)"</f>
        <v>Kamień (2600 kg/m3)</v>
      </c>
      <c r="AB70" s="184"/>
      <c r="AC70" s="184"/>
      <c r="AD70" s="178"/>
      <c r="AE70" s="181"/>
      <c r="AF70" s="178"/>
      <c r="AM70" s="137"/>
      <c r="AN70" s="137"/>
      <c r="AO70" s="137"/>
    </row>
    <row r="71" spans="1:41" s="118" customFormat="1" ht="15" customHeight="1" x14ac:dyDescent="0.2">
      <c r="A71" s="255"/>
      <c r="N71" s="1226" t="str">
        <f>ListAVS!$B$80&amp;" TS [mm] "</f>
        <v xml:space="preserve">Grubość frontu TS [mm] </v>
      </c>
      <c r="O71" s="1227"/>
      <c r="P71" s="1227"/>
      <c r="Q71" s="1227"/>
      <c r="R71" s="1227"/>
      <c r="S71" s="1228"/>
      <c r="T71" s="836">
        <f>I13</f>
        <v>0</v>
      </c>
      <c r="U71" s="256" t="str">
        <f>IF(SUM(T69,T70)=0," ",IF(T71=0," ● "&amp;ListAVS!$B$129, IF(T71&lt;8," min 8 mm!",IF(T71&gt;14," max. 14 mm!"," "))))</f>
        <v xml:space="preserve"> </v>
      </c>
      <c r="V71" s="248"/>
      <c r="W71" s="255"/>
      <c r="X71" s="255"/>
      <c r="Y71" s="37"/>
      <c r="Z71" s="183">
        <f>MenuAVS!$I31</f>
        <v>2400</v>
      </c>
      <c r="AA71" s="175" t="str">
        <f>ListAVS!$B$99&amp;" ("&amp;Z71&amp;" kg/m3)"</f>
        <v>Ceramika (2400 kg/m3)</v>
      </c>
      <c r="AB71" s="184"/>
      <c r="AC71" s="184"/>
      <c r="AD71" s="178"/>
      <c r="AE71" s="181"/>
      <c r="AF71" s="178"/>
      <c r="AM71" s="137"/>
      <c r="AN71" s="137"/>
      <c r="AO71" s="137"/>
    </row>
    <row r="72" spans="1:41" s="118" customFormat="1" ht="15" customHeight="1" x14ac:dyDescent="0.2">
      <c r="A72" s="255"/>
      <c r="N72" s="1226" t="str">
        <f>ListAVS!$B$83&amp;" [kg] "</f>
        <v xml:space="preserve">Waga uchwytu [kg] </v>
      </c>
      <c r="O72" s="1227"/>
      <c r="P72" s="1227"/>
      <c r="Q72" s="1227"/>
      <c r="R72" s="1227"/>
      <c r="S72" s="1228"/>
      <c r="T72" s="836">
        <f>I14</f>
        <v>0</v>
      </c>
      <c r="U72" s="256" t="str">
        <f>IF($U$16=2," ",IF(SUM(T69,T70)=0," ",IF(T72=0," ● "&amp;ListAVS!$B$130," ")))</f>
        <v xml:space="preserve"> </v>
      </c>
      <c r="V72" s="248"/>
      <c r="W72" s="255"/>
      <c r="X72" s="255"/>
      <c r="Y72" s="37"/>
      <c r="Z72" s="183">
        <f>MenuAVS!$I32</f>
        <v>2300</v>
      </c>
      <c r="AA72" s="175" t="str">
        <f>ListAVS!$B$100&amp;" ("&amp;Z72&amp;" kg/m3)"</f>
        <v>Beton (2300 kg/m3)</v>
      </c>
      <c r="AB72" s="184"/>
      <c r="AC72" s="184"/>
      <c r="AD72" s="178"/>
      <c r="AE72" s="178"/>
      <c r="AF72" s="178"/>
      <c r="AM72" s="137"/>
      <c r="AN72" s="137"/>
      <c r="AO72" s="137"/>
    </row>
    <row r="73" spans="1:41" s="118" customFormat="1" ht="15" customHeight="1" x14ac:dyDescent="0.2">
      <c r="A73" s="255"/>
      <c r="N73" s="1226" t="str">
        <f>ListAVS!$B$79&amp;" [kg] "</f>
        <v xml:space="preserve">Obliczona waga frontu [kg] </v>
      </c>
      <c r="O73" s="1227"/>
      <c r="P73" s="1227"/>
      <c r="Q73" s="1227"/>
      <c r="R73" s="1227"/>
      <c r="S73" s="1228"/>
      <c r="T73" s="533">
        <f>IF(Y73=0,0,Y73+2*T72)</f>
        <v>0</v>
      </c>
      <c r="U73" s="227"/>
      <c r="V73" s="248"/>
      <c r="W73" s="255"/>
      <c r="X73" s="255"/>
      <c r="Y73" s="186">
        <f>IF(T69*T70*T71=0,0,IF(AA65=1,Z65*Z66,IF(AA65=2,Z65*Z67, IF(AA65=3,Z65*Z68, IF(AA65=4, Z65*Z69, IF(AA65=5, Z65*Z70, IF(AA65=6, Z65*Z71, IF(AA65=7, Z65*Z72, Z65*Z73))))))))</f>
        <v>0</v>
      </c>
      <c r="Z73" s="118">
        <f>$T$63</f>
        <v>0</v>
      </c>
      <c r="AA73" s="175" t="str">
        <f>ListAVS!$B$92</f>
        <v>Inne – wybrana gęstość materiału</v>
      </c>
      <c r="AD73" s="37"/>
      <c r="AE73" s="178"/>
      <c r="AF73" s="178"/>
      <c r="AM73" s="137"/>
      <c r="AN73" s="137"/>
      <c r="AO73" s="137"/>
    </row>
    <row r="74" spans="1:41" ht="15" customHeight="1" x14ac:dyDescent="0.2">
      <c r="A74" s="255"/>
      <c r="N74" s="227"/>
      <c r="O74" s="227"/>
      <c r="P74" s="227"/>
      <c r="Q74" s="227"/>
      <c r="R74" s="227"/>
      <c r="S74" s="227"/>
      <c r="T74" s="227"/>
      <c r="U74" s="255"/>
      <c r="V74" s="255"/>
      <c r="W74" s="255"/>
      <c r="X74" s="255"/>
      <c r="AE74" s="178"/>
      <c r="AF74" s="178"/>
    </row>
    <row r="75" spans="1:41" ht="15" customHeight="1" x14ac:dyDescent="0.2">
      <c r="A75" s="255"/>
      <c r="N75" s="227"/>
      <c r="O75" s="227"/>
      <c r="P75" s="227"/>
      <c r="Q75" s="227"/>
      <c r="R75" s="227"/>
      <c r="S75" s="227"/>
      <c r="T75" s="227"/>
      <c r="U75" s="255"/>
      <c r="V75" s="255"/>
      <c r="W75" s="255"/>
      <c r="X75" s="255"/>
      <c r="AB75" s="176">
        <f>IF(OR(T82&lt;8, T82&gt;14), 0, 1)</f>
        <v>0</v>
      </c>
      <c r="AC75" s="176"/>
      <c r="AD75" s="177"/>
      <c r="AE75" s="178"/>
      <c r="AF75" s="178"/>
    </row>
    <row r="76" spans="1:41" s="118" customFormat="1" ht="15" customHeight="1" x14ac:dyDescent="0.2">
      <c r="A76" s="255"/>
      <c r="N76" s="227"/>
      <c r="O76" s="227"/>
      <c r="P76" s="227"/>
      <c r="Q76" s="227"/>
      <c r="R76" s="227"/>
      <c r="S76" s="227"/>
      <c r="T76" s="227"/>
      <c r="U76" s="255"/>
      <c r="V76" s="255"/>
      <c r="W76" s="255"/>
      <c r="X76" s="255"/>
      <c r="Y76" s="37"/>
      <c r="Z76" s="37">
        <f>IF(AB$75=1, T80*T81*T82/1000000000, 0)</f>
        <v>0</v>
      </c>
      <c r="AA76" s="182">
        <f>AA65</f>
        <v>3</v>
      </c>
      <c r="AB76" s="180" t="s">
        <v>88</v>
      </c>
      <c r="AC76" s="176"/>
      <c r="AD76" s="177"/>
      <c r="AE76" s="178"/>
      <c r="AF76" s="178"/>
      <c r="AM76" s="137"/>
      <c r="AN76" s="137"/>
      <c r="AO76" s="137"/>
    </row>
    <row r="77" spans="1:41" s="118" customFormat="1" ht="15" customHeight="1" x14ac:dyDescent="0.2">
      <c r="A77" s="255"/>
      <c r="N77" s="227"/>
      <c r="O77" s="227"/>
      <c r="P77" s="227"/>
      <c r="Q77" s="227"/>
      <c r="R77" s="227"/>
      <c r="S77" s="227"/>
      <c r="T77" s="227"/>
      <c r="U77" s="255"/>
      <c r="V77" s="255"/>
      <c r="W77" s="255"/>
      <c r="X77" s="255"/>
      <c r="Y77" s="37"/>
      <c r="Z77" s="183">
        <f>$Z$66</f>
        <v>760</v>
      </c>
      <c r="AA77" s="37" t="str">
        <f>$AA$66</f>
        <v>MDF (760 kg/m3)</v>
      </c>
      <c r="AD77" s="37"/>
      <c r="AE77" s="187"/>
      <c r="AF77" s="178"/>
      <c r="AM77" s="137"/>
      <c r="AN77" s="137"/>
      <c r="AO77" s="137"/>
    </row>
    <row r="78" spans="1:41" s="118" customFormat="1" ht="15" customHeight="1" x14ac:dyDescent="0.2">
      <c r="A78" s="255"/>
      <c r="N78" s="227"/>
      <c r="O78" s="227"/>
      <c r="P78" s="227"/>
      <c r="Q78" s="227"/>
      <c r="R78" s="227"/>
      <c r="S78" s="227"/>
      <c r="T78" s="227"/>
      <c r="U78" s="255"/>
      <c r="V78" s="255"/>
      <c r="W78" s="255"/>
      <c r="X78" s="255"/>
      <c r="Y78" s="37"/>
      <c r="Z78" s="183">
        <f>$Z$67</f>
        <v>680</v>
      </c>
      <c r="AA78" s="37" t="str">
        <f>$AA$67</f>
        <v>Płyta wiórowa (680 kg/m3)</v>
      </c>
      <c r="AD78" s="37"/>
      <c r="AE78" s="187"/>
      <c r="AF78" s="178"/>
      <c r="AG78" s="37"/>
      <c r="AH78" s="37"/>
      <c r="AJ78" s="37"/>
      <c r="AL78" s="37"/>
      <c r="AM78" s="137"/>
      <c r="AN78" s="137"/>
      <c r="AO78" s="137"/>
    </row>
    <row r="79" spans="1:41" s="118" customFormat="1" ht="15" customHeight="1" x14ac:dyDescent="0.2">
      <c r="A79" s="255"/>
      <c r="N79" s="268"/>
      <c r="O79" s="268"/>
      <c r="P79" s="268"/>
      <c r="Q79" s="227"/>
      <c r="R79" s="1148" t="str">
        <f>E20</f>
        <v xml:space="preserve"> </v>
      </c>
      <c r="S79" s="1149"/>
      <c r="T79" s="1150"/>
      <c r="U79" s="255"/>
      <c r="V79" s="255"/>
      <c r="W79" s="255"/>
      <c r="X79" s="255"/>
      <c r="Y79" s="37"/>
      <c r="Z79" s="183">
        <f>$Z$68</f>
        <v>1350</v>
      </c>
      <c r="AA79" s="37" t="str">
        <f>$AA$68</f>
        <v>Płyta kompaktowa (1350 kg/m3)</v>
      </c>
      <c r="AB79" s="184"/>
      <c r="AC79" s="184"/>
      <c r="AD79" s="178"/>
      <c r="AE79" s="187"/>
      <c r="AF79" s="178"/>
      <c r="AG79" s="178"/>
      <c r="AH79" s="178"/>
      <c r="AI79" s="178"/>
      <c r="AJ79" s="37"/>
      <c r="AK79" s="37"/>
      <c r="AL79" s="37"/>
      <c r="AM79" s="137"/>
      <c r="AN79" s="137"/>
      <c r="AO79" s="137"/>
    </row>
    <row r="80" spans="1:41" s="118" customFormat="1" ht="15" customHeight="1" x14ac:dyDescent="0.2">
      <c r="A80" s="255"/>
      <c r="N80" s="1223" t="str">
        <f>ListAVS!$B$74&amp;" KB [mm]       "</f>
        <v xml:space="preserve">Szerokość korpusu KB [mm]       </v>
      </c>
      <c r="O80" s="1224"/>
      <c r="P80" s="1224"/>
      <c r="Q80" s="1224"/>
      <c r="R80" s="1224"/>
      <c r="S80" s="1225"/>
      <c r="T80" s="818">
        <f>I21</f>
        <v>0</v>
      </c>
      <c r="U80" s="670"/>
      <c r="V80" s="255"/>
      <c r="W80" s="255"/>
      <c r="X80" s="255"/>
      <c r="Y80" s="37"/>
      <c r="Z80" s="183">
        <f>$Z$69</f>
        <v>1700</v>
      </c>
      <c r="AA80" s="37" t="str">
        <f>$AA$69</f>
        <v>Płyta kompozytowa (1700 kg/m3)</v>
      </c>
      <c r="AB80" s="184"/>
      <c r="AC80" s="184"/>
      <c r="AD80" s="178"/>
      <c r="AG80" s="178"/>
      <c r="AH80" s="178"/>
      <c r="AI80" s="178"/>
      <c r="AJ80" s="37"/>
      <c r="AK80" s="37"/>
      <c r="AL80" s="37"/>
      <c r="AM80" s="137"/>
      <c r="AN80" s="137"/>
      <c r="AO80" s="137"/>
    </row>
    <row r="81" spans="1:42" s="118" customFormat="1" ht="15" customHeight="1" x14ac:dyDescent="0.2">
      <c r="A81" s="255"/>
      <c r="N81" s="1223" t="str">
        <f>ListAVS!$B$75&amp;" KH [mm]       "</f>
        <v xml:space="preserve">Wysokość korpusu KH [mm]       </v>
      </c>
      <c r="O81" s="1224"/>
      <c r="P81" s="1224"/>
      <c r="Q81" s="1224"/>
      <c r="R81" s="1224"/>
      <c r="S81" s="1225"/>
      <c r="T81" s="818">
        <f>I22</f>
        <v>0</v>
      </c>
      <c r="U81" s="670"/>
      <c r="V81" s="255"/>
      <c r="W81" s="255"/>
      <c r="X81" s="255"/>
      <c r="Y81" s="37"/>
      <c r="Z81" s="183">
        <f>$Z$70</f>
        <v>2600</v>
      </c>
      <c r="AA81" s="37" t="str">
        <f>$AA$70</f>
        <v>Kamień (2600 kg/m3)</v>
      </c>
      <c r="AB81" s="184"/>
      <c r="AC81" s="184"/>
      <c r="AD81" s="178"/>
      <c r="AG81" s="188"/>
      <c r="AH81" s="178"/>
      <c r="AI81" s="178"/>
      <c r="AJ81" s="37"/>
      <c r="AK81" s="37"/>
      <c r="AL81" s="37"/>
      <c r="AM81" s="137"/>
      <c r="AN81" s="137"/>
      <c r="AO81" s="137"/>
    </row>
    <row r="82" spans="1:42" s="118" customFormat="1" ht="15" customHeight="1" x14ac:dyDescent="0.2">
      <c r="A82" s="255"/>
      <c r="N82" s="1226" t="str">
        <f>ListAVS!$B$80&amp;" TS [mm] "</f>
        <v xml:space="preserve">Grubość frontu TS [mm] </v>
      </c>
      <c r="O82" s="1227"/>
      <c r="P82" s="1227"/>
      <c r="Q82" s="1227"/>
      <c r="R82" s="1227"/>
      <c r="S82" s="1228"/>
      <c r="T82" s="836">
        <f>I24</f>
        <v>0</v>
      </c>
      <c r="U82" s="256" t="str">
        <f>IF(SUM(T80,T81)=0," ",IF(T82=0," ● "&amp;ListAVS!$B$129, IF(T82&lt;8," min 8 mm!",IF(T82&gt;14," max. 14 mm!"," "))))</f>
        <v xml:space="preserve"> </v>
      </c>
      <c r="V82" s="248"/>
      <c r="W82" s="248"/>
      <c r="X82" s="255"/>
      <c r="Y82" s="37"/>
      <c r="Z82" s="183">
        <f>$Z$71</f>
        <v>2400</v>
      </c>
      <c r="AA82" s="37" t="str">
        <f>$AA$71</f>
        <v>Ceramika (2400 kg/m3)</v>
      </c>
      <c r="AB82" s="184"/>
      <c r="AC82" s="184"/>
      <c r="AD82" s="178"/>
      <c r="AG82" s="179"/>
      <c r="AH82" s="178"/>
      <c r="AI82" s="178"/>
      <c r="AJ82" s="37"/>
      <c r="AK82" s="37"/>
      <c r="AL82" s="37"/>
      <c r="AM82" s="137"/>
      <c r="AN82" s="137"/>
      <c r="AO82" s="137"/>
    </row>
    <row r="83" spans="1:42" s="118" customFormat="1" ht="15" customHeight="1" x14ac:dyDescent="0.2">
      <c r="A83" s="255"/>
      <c r="N83" s="1226" t="str">
        <f>ListAVS!$B$83&amp;" [kg] "</f>
        <v xml:space="preserve">Waga uchwytu [kg] </v>
      </c>
      <c r="O83" s="1227"/>
      <c r="P83" s="1227"/>
      <c r="Q83" s="1227"/>
      <c r="R83" s="1227"/>
      <c r="S83" s="1228"/>
      <c r="T83" s="836">
        <f>I25</f>
        <v>0</v>
      </c>
      <c r="U83" s="256" t="str">
        <f>IF($U$27=2," ",IF(SUM(T80,T81)=0," ",IF(T83=0," ● "&amp;ListAVS!$B$130," ")))</f>
        <v xml:space="preserve"> </v>
      </c>
      <c r="V83" s="248"/>
      <c r="W83" s="248"/>
      <c r="X83" s="255"/>
      <c r="Y83" s="37"/>
      <c r="Z83" s="183">
        <f>$Z$72</f>
        <v>2300</v>
      </c>
      <c r="AA83" s="37" t="str">
        <f>$AA$72</f>
        <v>Beton (2300 kg/m3)</v>
      </c>
      <c r="AB83" s="184"/>
      <c r="AC83" s="184"/>
      <c r="AD83" s="178"/>
      <c r="AE83" s="193"/>
      <c r="AF83" s="37"/>
      <c r="AG83" s="37"/>
      <c r="AH83" s="37"/>
      <c r="AI83" s="37"/>
      <c r="AJ83" s="37"/>
      <c r="AK83" s="37"/>
      <c r="AL83" s="37"/>
      <c r="AM83" s="137"/>
      <c r="AN83" s="137"/>
      <c r="AO83" s="137"/>
    </row>
    <row r="84" spans="1:42" s="118" customFormat="1" ht="15" customHeight="1" x14ac:dyDescent="0.2">
      <c r="A84" s="255"/>
      <c r="N84" s="1226" t="str">
        <f>ListAVS!$B$79&amp;" [kg] "</f>
        <v xml:space="preserve">Obliczona waga frontu [kg] </v>
      </c>
      <c r="O84" s="1227"/>
      <c r="P84" s="1227"/>
      <c r="Q84" s="1227"/>
      <c r="R84" s="1227"/>
      <c r="S84" s="1228"/>
      <c r="T84" s="533">
        <f>IF(Y84=0,0,Y84+2*T83)</f>
        <v>0</v>
      </c>
      <c r="U84" s="227"/>
      <c r="V84" s="248"/>
      <c r="W84" s="248"/>
      <c r="X84" s="255"/>
      <c r="Y84" s="186">
        <f>IF(T80*T81*T82=0,0,IF(AA76=1,Z76*Z77,IF(AA76=2,Z76*Z78, IF(AA76=3,Z76*Z79, IF(AA76=4, Z76*Z80, IF(AA76=5, Z76*Z81, IF(AA76=6, Z76*Z82, IF(AA76=7, Z76*Z83, Z76*Z84))))))))</f>
        <v>0</v>
      </c>
      <c r="Z84" s="118">
        <f>$Z$73</f>
        <v>0</v>
      </c>
      <c r="AA84" s="37" t="str">
        <f>$AA$73</f>
        <v>Inne – wybrana gęstość materiału</v>
      </c>
      <c r="AD84" s="37"/>
      <c r="AE84" s="37"/>
      <c r="AF84" s="37"/>
      <c r="AG84" s="37"/>
      <c r="AH84" s="37"/>
      <c r="AI84" s="37"/>
      <c r="AJ84" s="37"/>
      <c r="AK84" s="37"/>
      <c r="AL84" s="37"/>
      <c r="AM84" s="137"/>
      <c r="AN84" s="137"/>
      <c r="AO84" s="137"/>
    </row>
    <row r="85" spans="1:42" s="118" customFormat="1" ht="15" customHeight="1" x14ac:dyDescent="0.2">
      <c r="A85" s="255"/>
      <c r="N85" s="255"/>
      <c r="O85" s="255"/>
      <c r="P85" s="255"/>
      <c r="Q85" s="255"/>
      <c r="R85" s="255"/>
      <c r="S85" s="255"/>
      <c r="T85" s="255"/>
      <c r="U85" s="255"/>
      <c r="V85" s="255"/>
      <c r="W85" s="255"/>
      <c r="X85" s="255"/>
      <c r="Y85" s="37"/>
      <c r="Z85" s="37"/>
      <c r="AB85" s="37"/>
      <c r="AD85" s="37"/>
      <c r="AE85" s="37"/>
      <c r="AF85" s="37"/>
      <c r="AG85" s="37"/>
      <c r="AH85" s="37"/>
      <c r="AI85" s="37"/>
      <c r="AJ85" s="37"/>
      <c r="AK85" s="37"/>
      <c r="AL85" s="37"/>
      <c r="AM85" s="137"/>
      <c r="AN85" s="137"/>
      <c r="AO85" s="137"/>
    </row>
    <row r="86" spans="1:42" s="118" customFormat="1" ht="15" customHeight="1" x14ac:dyDescent="0.2">
      <c r="A86" s="255"/>
      <c r="N86" s="255"/>
      <c r="O86" s="255"/>
      <c r="P86" s="255"/>
      <c r="Q86" s="255"/>
      <c r="R86" s="255"/>
      <c r="S86" s="255"/>
      <c r="T86" s="255"/>
      <c r="U86" s="255"/>
      <c r="V86" s="255"/>
      <c r="W86" s="255"/>
      <c r="X86" s="255"/>
      <c r="Y86" s="37"/>
      <c r="Z86" s="37"/>
      <c r="AB86" s="37"/>
      <c r="AD86" s="37"/>
      <c r="AE86" s="37"/>
      <c r="AF86" s="37"/>
      <c r="AG86" s="37"/>
      <c r="AH86" s="37"/>
      <c r="AI86" s="37"/>
      <c r="AJ86" s="37"/>
      <c r="AK86" s="37"/>
      <c r="AL86" s="37"/>
      <c r="AM86" s="137"/>
      <c r="AN86" s="137"/>
      <c r="AO86" s="137"/>
    </row>
    <row r="87" spans="1:42" s="118" customFormat="1" ht="15" customHeight="1" x14ac:dyDescent="0.2">
      <c r="A87" s="255"/>
      <c r="N87" s="255"/>
      <c r="O87" s="255"/>
      <c r="P87" s="255"/>
      <c r="Q87" s="255"/>
      <c r="R87" s="255"/>
      <c r="S87" s="255"/>
      <c r="T87" s="255"/>
      <c r="U87" s="255"/>
      <c r="V87" s="255"/>
      <c r="W87" s="255"/>
      <c r="X87" s="255"/>
      <c r="Y87" s="37"/>
      <c r="Z87" s="37"/>
      <c r="AB87" s="37"/>
      <c r="AD87" s="37"/>
      <c r="AE87" s="37"/>
      <c r="AF87" s="37"/>
      <c r="AG87" s="37"/>
      <c r="AH87" s="37"/>
      <c r="AI87" s="37"/>
      <c r="AJ87" s="37"/>
      <c r="AK87" s="37"/>
      <c r="AL87" s="37"/>
      <c r="AM87" s="137"/>
      <c r="AN87" s="137"/>
      <c r="AO87" s="137"/>
    </row>
    <row r="88" spans="1:42" s="118" customFormat="1" ht="15" customHeight="1" x14ac:dyDescent="0.2">
      <c r="A88" s="255"/>
      <c r="N88" s="255"/>
      <c r="O88" s="255"/>
      <c r="P88" s="255"/>
      <c r="Q88" s="255"/>
      <c r="R88" s="255"/>
      <c r="S88" s="255"/>
      <c r="T88" s="255"/>
      <c r="U88" s="255"/>
      <c r="V88" s="255"/>
      <c r="W88" s="255"/>
      <c r="X88" s="255"/>
      <c r="Y88" s="37"/>
      <c r="Z88" s="37"/>
      <c r="AB88" s="37"/>
      <c r="AD88" s="37"/>
      <c r="AE88" s="37"/>
      <c r="AF88" s="37"/>
      <c r="AG88" s="37"/>
      <c r="AH88" s="37"/>
      <c r="AI88" s="37"/>
      <c r="AJ88" s="37"/>
      <c r="AK88" s="37"/>
      <c r="AL88" s="37"/>
      <c r="AM88" s="137"/>
      <c r="AN88" s="137"/>
      <c r="AO88" s="137"/>
    </row>
    <row r="89" spans="1:42" s="118" customFormat="1" ht="15" customHeight="1" x14ac:dyDescent="0.2">
      <c r="A89" s="255"/>
      <c r="N89" s="255"/>
      <c r="O89" s="255"/>
      <c r="P89" s="255"/>
      <c r="Q89" s="255"/>
      <c r="R89" s="255"/>
      <c r="S89" s="255"/>
      <c r="T89" s="255"/>
      <c r="U89" s="255"/>
      <c r="V89" s="255"/>
      <c r="W89" s="255"/>
      <c r="X89" s="255"/>
      <c r="Y89" s="37"/>
      <c r="Z89" s="37"/>
      <c r="AA89" s="37"/>
      <c r="AC89" s="37"/>
      <c r="AE89" s="37"/>
      <c r="AF89" s="37"/>
      <c r="AG89" s="37"/>
      <c r="AH89" s="37"/>
      <c r="AI89" s="37"/>
      <c r="AJ89" s="37"/>
      <c r="AK89" s="37"/>
      <c r="AL89" s="37"/>
      <c r="AM89" s="137"/>
      <c r="AN89" s="137"/>
      <c r="AO89" s="137"/>
      <c r="AP89" s="137"/>
    </row>
    <row r="90" spans="1:42" s="118" customFormat="1" ht="15" customHeight="1" x14ac:dyDescent="0.2">
      <c r="A90" s="255"/>
      <c r="N90" s="255"/>
      <c r="O90" s="255"/>
      <c r="P90" s="255"/>
      <c r="Q90" s="255"/>
      <c r="R90" s="255"/>
      <c r="S90" s="255"/>
      <c r="T90" s="255"/>
      <c r="U90" s="255"/>
      <c r="V90" s="255"/>
      <c r="W90" s="255"/>
      <c r="X90" s="255"/>
      <c r="Y90" s="37"/>
      <c r="Z90" s="37"/>
      <c r="AA90" s="37" t="str">
        <f>ListAVS!$B$103&amp;"!"</f>
        <v>Bez wagi uchwytu!</v>
      </c>
      <c r="AC90" s="37"/>
      <c r="AE90" s="37"/>
      <c r="AF90" s="37"/>
      <c r="AG90" s="37"/>
      <c r="AH90" s="37"/>
      <c r="AI90" s="37"/>
      <c r="AJ90" s="37"/>
      <c r="AK90" s="37"/>
      <c r="AL90" s="37"/>
      <c r="AM90" s="137"/>
      <c r="AN90" s="137"/>
      <c r="AO90" s="137"/>
      <c r="AP90" s="137"/>
    </row>
    <row r="91" spans="1:42" s="118" customFormat="1" ht="15" customHeight="1" x14ac:dyDescent="0.2">
      <c r="A91" s="255"/>
      <c r="N91" s="255"/>
      <c r="O91" s="255"/>
      <c r="P91" s="255"/>
      <c r="Q91" s="255"/>
      <c r="R91" s="255"/>
      <c r="S91" s="255"/>
      <c r="T91" s="248"/>
      <c r="U91" s="248"/>
      <c r="V91" s="255"/>
      <c r="W91" s="255"/>
      <c r="X91" s="255"/>
      <c r="Y91" s="37"/>
      <c r="Z91" s="37"/>
      <c r="AA91" s="37" t="str">
        <f>ListAVS!B104</f>
        <v>Na pewno masz uchwyt do wersji TIP-ON?</v>
      </c>
      <c r="AC91" s="37"/>
      <c r="AE91" s="37"/>
      <c r="AF91" s="37"/>
      <c r="AG91" s="37"/>
      <c r="AH91" s="37"/>
      <c r="AI91" s="37"/>
      <c r="AJ91" s="37"/>
      <c r="AK91" s="37"/>
      <c r="AL91" s="37"/>
      <c r="AM91" s="137"/>
      <c r="AN91" s="137"/>
      <c r="AO91" s="137"/>
      <c r="AP91" s="137"/>
    </row>
    <row r="92" spans="1:42" s="37" customFormat="1" ht="15" customHeight="1" x14ac:dyDescent="0.2">
      <c r="A92" s="255"/>
      <c r="N92" s="255"/>
      <c r="O92" s="442"/>
      <c r="P92" s="442"/>
      <c r="Q92" s="442"/>
      <c r="R92" s="442"/>
      <c r="S92" s="442"/>
      <c r="T92" s="442"/>
      <c r="U92" s="442"/>
      <c r="V92" s="442"/>
      <c r="W92" s="442"/>
      <c r="X92" s="248"/>
      <c r="AA92" s="37" t="str">
        <f>ListAVS!B105&amp;"!"</f>
        <v>Jeśli nie wymaż wagę uchwytu!</v>
      </c>
      <c r="AB92" s="118"/>
      <c r="AD92" s="118"/>
      <c r="AM92" s="137"/>
      <c r="AN92" s="137"/>
      <c r="AO92" s="137"/>
      <c r="AP92" s="137"/>
    </row>
    <row r="93" spans="1:42" s="37" customFormat="1" ht="15" customHeight="1" x14ac:dyDescent="0.2">
      <c r="A93" s="255"/>
      <c r="N93" s="255"/>
      <c r="O93" s="442"/>
      <c r="P93" s="442"/>
      <c r="Q93" s="442"/>
      <c r="R93" s="442"/>
      <c r="S93" s="442"/>
      <c r="T93" s="442"/>
      <c r="U93" s="442"/>
      <c r="V93" s="442"/>
      <c r="W93" s="442"/>
      <c r="X93" s="248"/>
      <c r="AB93" s="118"/>
      <c r="AD93" s="118"/>
      <c r="AM93" s="137"/>
      <c r="AN93" s="137"/>
      <c r="AO93" s="137"/>
      <c r="AP93" s="137"/>
    </row>
    <row r="94" spans="1:42" s="37" customFormat="1" ht="15" customHeight="1" x14ac:dyDescent="0.2">
      <c r="A94" s="255"/>
      <c r="N94" s="255"/>
      <c r="O94" s="442"/>
      <c r="P94" s="442"/>
      <c r="Q94" s="442"/>
      <c r="R94" s="442"/>
      <c r="S94" s="442"/>
      <c r="T94" s="442"/>
      <c r="U94" s="442"/>
      <c r="V94" s="442"/>
      <c r="W94" s="442"/>
      <c r="X94" s="255"/>
      <c r="AB94" s="118"/>
      <c r="AD94" s="118"/>
      <c r="AM94" s="137"/>
      <c r="AN94" s="137"/>
      <c r="AO94" s="137"/>
      <c r="AP94" s="137"/>
    </row>
    <row r="95" spans="1:42" s="37" customFormat="1" ht="15" customHeight="1" x14ac:dyDescent="0.2">
      <c r="A95" s="255"/>
      <c r="B95" s="255"/>
      <c r="C95" s="255"/>
      <c r="D95" s="255"/>
      <c r="E95" s="255"/>
      <c r="F95" s="255"/>
      <c r="G95" s="255"/>
      <c r="H95" s="255"/>
      <c r="I95" s="255"/>
      <c r="J95" s="255"/>
      <c r="K95" s="255"/>
      <c r="L95" s="255"/>
      <c r="N95" s="255"/>
      <c r="O95" s="255"/>
      <c r="P95" s="255"/>
      <c r="Q95" s="255"/>
      <c r="R95" s="255"/>
      <c r="S95" s="255"/>
      <c r="T95" s="255"/>
      <c r="U95" s="255"/>
      <c r="V95" s="255"/>
      <c r="W95" s="255"/>
      <c r="X95" s="255"/>
      <c r="AH95" s="108"/>
      <c r="AI95" s="108"/>
      <c r="AJ95" s="108"/>
      <c r="AK95" s="108"/>
      <c r="AL95" s="108"/>
      <c r="AM95" s="137"/>
      <c r="AN95" s="137"/>
      <c r="AO95" s="137"/>
      <c r="AP95" s="137"/>
    </row>
    <row r="96" spans="1:42" s="37" customFormat="1" ht="15" customHeight="1" x14ac:dyDescent="0.2">
      <c r="A96" s="255"/>
      <c r="B96" s="255"/>
      <c r="C96" s="255"/>
      <c r="D96" s="255"/>
      <c r="E96" s="255"/>
      <c r="F96" s="255"/>
      <c r="G96" s="255"/>
      <c r="H96" s="255"/>
      <c r="I96" s="255"/>
      <c r="J96" s="255"/>
      <c r="K96" s="255"/>
      <c r="L96" s="255"/>
      <c r="N96" s="255"/>
      <c r="O96" s="255"/>
      <c r="P96" s="255"/>
      <c r="Q96" s="255"/>
      <c r="R96" s="255"/>
      <c r="S96" s="255"/>
      <c r="T96" s="255"/>
      <c r="U96" s="255"/>
      <c r="V96" s="255"/>
      <c r="W96" s="255"/>
      <c r="X96" s="255"/>
      <c r="AH96" s="108"/>
      <c r="AI96" s="108"/>
      <c r="AJ96" s="108"/>
      <c r="AK96" s="108"/>
      <c r="AL96" s="108"/>
      <c r="AM96" s="137"/>
      <c r="AN96" s="137"/>
      <c r="AO96" s="137"/>
      <c r="AP96" s="137"/>
    </row>
    <row r="97" spans="1:42" s="37" customFormat="1" ht="15" customHeight="1" x14ac:dyDescent="0.2">
      <c r="A97" s="255"/>
      <c r="B97" s="255"/>
      <c r="C97" s="255"/>
      <c r="D97" s="255"/>
      <c r="E97" s="255"/>
      <c r="F97" s="255"/>
      <c r="G97" s="255"/>
      <c r="H97" s="255"/>
      <c r="I97" s="255"/>
      <c r="J97" s="255"/>
      <c r="K97" s="255"/>
      <c r="L97" s="255"/>
      <c r="P97" s="118"/>
      <c r="R97" s="118"/>
      <c r="AH97" s="108"/>
      <c r="AI97" s="108"/>
      <c r="AJ97" s="108"/>
      <c r="AK97" s="108"/>
      <c r="AL97" s="108"/>
      <c r="AM97" s="137"/>
      <c r="AN97" s="137"/>
      <c r="AO97" s="137"/>
      <c r="AP97" s="137"/>
    </row>
    <row r="98" spans="1:42" s="37" customFormat="1" ht="15" customHeight="1" x14ac:dyDescent="0.2">
      <c r="A98" s="255"/>
      <c r="B98" s="255"/>
      <c r="C98" s="255"/>
      <c r="D98" s="255"/>
      <c r="E98" s="255"/>
      <c r="F98" s="255"/>
      <c r="G98" s="255"/>
      <c r="H98" s="255"/>
      <c r="I98" s="255"/>
      <c r="J98" s="255"/>
      <c r="K98" s="255"/>
      <c r="L98" s="255"/>
      <c r="P98" s="118"/>
      <c r="R98" s="118"/>
      <c r="AH98" s="108"/>
      <c r="AI98" s="108"/>
      <c r="AJ98" s="108"/>
      <c r="AK98" s="108"/>
      <c r="AL98" s="108"/>
      <c r="AM98" s="137"/>
      <c r="AN98" s="137"/>
      <c r="AO98" s="137"/>
      <c r="AP98" s="137"/>
    </row>
    <row r="99" spans="1:42" x14ac:dyDescent="0.2">
      <c r="A99" s="1045"/>
    </row>
    <row r="100" spans="1:42" ht="15" customHeight="1" x14ac:dyDescent="0.2">
      <c r="A100" s="1045"/>
      <c r="B100" s="221" t="s">
        <v>142</v>
      </c>
      <c r="C100" s="221"/>
      <c r="D100" s="222"/>
      <c r="E100" s="221"/>
      <c r="F100" s="221"/>
      <c r="G100" s="221"/>
      <c r="H100" s="221"/>
      <c r="I100" s="221"/>
      <c r="J100" s="221"/>
      <c r="K100" s="221"/>
      <c r="L100" s="221"/>
      <c r="M100" s="221"/>
    </row>
    <row r="101" spans="1:42" x14ac:dyDescent="0.2">
      <c r="A101" s="1045"/>
    </row>
    <row r="102" spans="1:42" ht="15" customHeight="1" x14ac:dyDescent="0.2">
      <c r="A102" s="1045"/>
      <c r="B102" s="255" t="str">
        <f>ListAVS!$B$303</f>
        <v>Odpowiedni siłownik będzie określony za pomocą współczynnika mocy</v>
      </c>
      <c r="C102" s="255"/>
      <c r="D102" s="255"/>
      <c r="E102" s="255"/>
      <c r="F102" s="255"/>
      <c r="G102" s="255"/>
      <c r="H102" s="255"/>
      <c r="I102" s="255"/>
      <c r="J102" s="255"/>
      <c r="K102" s="255"/>
      <c r="L102" s="255"/>
      <c r="M102" s="255"/>
    </row>
    <row r="103" spans="1:42" ht="15" customHeight="1" x14ac:dyDescent="0.2">
      <c r="A103" s="1045"/>
      <c r="B103" s="255" t="str">
        <f>ListAVS!$B$341</f>
        <v>Współczynnik mocy zależy od wagi frontu (wraz z podwójną wagą uchwytu) i od wysokości korpusu.</v>
      </c>
      <c r="C103" s="255"/>
      <c r="D103" s="255"/>
      <c r="E103" s="255"/>
      <c r="F103" s="255"/>
      <c r="G103" s="255"/>
      <c r="H103" s="255"/>
      <c r="I103" s="255"/>
      <c r="J103" s="255"/>
      <c r="K103" s="255"/>
      <c r="L103" s="255"/>
      <c r="M103" s="255"/>
    </row>
    <row r="104" spans="1:42" ht="15" customHeight="1" x14ac:dyDescent="0.2">
      <c r="A104" s="1045"/>
      <c r="B104" s="255"/>
      <c r="C104" s="255"/>
      <c r="D104" s="775"/>
      <c r="E104" s="775"/>
      <c r="F104" s="775"/>
      <c r="G104" s="775"/>
      <c r="H104" s="775"/>
      <c r="I104" s="775"/>
      <c r="J104" s="775"/>
      <c r="K104" s="775"/>
      <c r="L104" s="775"/>
      <c r="M104" s="775"/>
    </row>
    <row r="105" spans="1:42" ht="15" customHeight="1" x14ac:dyDescent="0.2">
      <c r="A105" s="1045"/>
      <c r="B105" s="776"/>
      <c r="C105" s="776"/>
      <c r="D105" s="776"/>
      <c r="E105" s="776"/>
      <c r="F105" s="776"/>
      <c r="G105" s="776"/>
      <c r="H105" s="776"/>
      <c r="I105" s="776"/>
      <c r="J105" s="776"/>
      <c r="K105" s="776"/>
      <c r="L105" s="776"/>
      <c r="M105" s="137"/>
    </row>
    <row r="106" spans="1:42" ht="30" customHeight="1" x14ac:dyDescent="0.2">
      <c r="A106" s="1045"/>
      <c r="B106" s="777"/>
      <c r="C106" s="777"/>
      <c r="D106" s="778" t="str">
        <f>ListAVS!$B$86&amp;" = "</f>
        <v xml:space="preserve">Współczynnik mocy = </v>
      </c>
      <c r="E106" s="1221" t="str">
        <f>ListAVS!$B$342&amp;" [kg]"</f>
        <v>wysokość korpusu (KH) [mm] x waga frontu wraz z podwójną wagą uchwytu [kg]</v>
      </c>
      <c r="F106" s="1221"/>
      <c r="G106" s="1221"/>
      <c r="H106" s="1221"/>
      <c r="I106" s="1221"/>
      <c r="J106" s="1221"/>
      <c r="K106" s="1221"/>
      <c r="L106" s="1221"/>
      <c r="M106" s="137"/>
    </row>
    <row r="107" spans="1:42" ht="15" customHeight="1" x14ac:dyDescent="0.2">
      <c r="A107" s="1045"/>
      <c r="B107" s="255"/>
      <c r="C107" s="255"/>
      <c r="D107" s="255"/>
      <c r="E107" s="255"/>
      <c r="F107" s="255"/>
      <c r="G107" s="255"/>
      <c r="H107" s="255"/>
      <c r="I107" s="255"/>
      <c r="J107" s="255"/>
      <c r="K107" s="255"/>
      <c r="L107" s="255"/>
      <c r="M107" s="255"/>
    </row>
    <row r="108" spans="1:42" ht="15" customHeight="1" x14ac:dyDescent="0.2">
      <c r="A108" s="1045"/>
      <c r="B108" s="255" t="str">
        <f>ListAVS!$B$355</f>
        <v>W razie wykorzystania trzeciego siłownika współczynnik mocy oraz waga frontu mogą się zwiększyć o 50 %.</v>
      </c>
      <c r="C108" s="255"/>
      <c r="D108" s="255"/>
      <c r="E108" s="255"/>
      <c r="F108" s="255"/>
      <c r="G108" s="255"/>
      <c r="H108" s="255"/>
      <c r="I108" s="255"/>
      <c r="J108" s="255"/>
      <c r="K108" s="255"/>
      <c r="L108" s="255"/>
      <c r="M108" s="255"/>
    </row>
    <row r="109" spans="1:42" ht="15" customHeight="1" x14ac:dyDescent="0.2">
      <c r="A109" s="1045"/>
      <c r="B109" s="255" t="str">
        <f>"("&amp;ListAVS!$B$356&amp;")"</f>
        <v>(Dotyczy tylko siłownika 20K2E00)</v>
      </c>
      <c r="C109" s="255"/>
      <c r="D109" s="255"/>
      <c r="E109" s="255"/>
      <c r="F109" s="255"/>
      <c r="G109" s="255"/>
      <c r="H109" s="255"/>
      <c r="I109" s="255"/>
      <c r="J109" s="255"/>
      <c r="K109" s="255"/>
      <c r="L109" s="255"/>
      <c r="M109" s="255"/>
    </row>
    <row r="110" spans="1:42" ht="15" customHeight="1" x14ac:dyDescent="0.2">
      <c r="A110" s="1045"/>
      <c r="B110" s="273" t="str">
        <f>ListAVS!$B$183</f>
        <v>Dodatkowy trzeci siłownik można zastosować jedynie z pełnym frontem!</v>
      </c>
      <c r="C110" s="273"/>
      <c r="D110" s="255"/>
      <c r="E110" s="255"/>
      <c r="F110" s="255"/>
      <c r="G110" s="255"/>
      <c r="H110" s="255"/>
      <c r="I110" s="255"/>
      <c r="J110" s="255"/>
      <c r="K110" s="255"/>
      <c r="L110" s="255"/>
      <c r="M110" s="255"/>
      <c r="O110" s="108"/>
    </row>
    <row r="111" spans="1:42" ht="15" customHeight="1" x14ac:dyDescent="0.2">
      <c r="A111" s="1045"/>
      <c r="B111" s="255"/>
      <c r="C111" s="255"/>
      <c r="D111" s="255"/>
      <c r="E111" s="255"/>
      <c r="F111" s="255"/>
      <c r="G111" s="255"/>
      <c r="H111" s="255"/>
      <c r="I111" s="255"/>
      <c r="J111" s="255"/>
      <c r="K111" s="255"/>
      <c r="L111" s="255"/>
      <c r="M111" s="255"/>
    </row>
    <row r="112" spans="1:42" ht="15" customHeight="1" x14ac:dyDescent="0.2">
      <c r="A112" s="1045"/>
      <c r="B112" s="255" t="str">
        <f>ListAVS!$B$312</f>
        <v>Jeśli znasz wagę frontu, możesz ją wprowadzić, w przeciwnym razie skorzystaj z „Obliczenia wagi”.</v>
      </c>
      <c r="C112" s="255"/>
      <c r="D112" s="255"/>
      <c r="E112" s="255"/>
      <c r="F112" s="255"/>
      <c r="G112" s="255"/>
      <c r="H112" s="255"/>
      <c r="I112" s="255"/>
      <c r="J112" s="255"/>
      <c r="K112" s="255"/>
      <c r="L112" s="255"/>
      <c r="M112" s="255"/>
    </row>
    <row r="113" spans="1:13" ht="15" customHeight="1" x14ac:dyDescent="0.2">
      <c r="A113" s="1045"/>
      <c r="B113" s="255" t="str">
        <f>ListAVS!$B$313</f>
        <v>W tabeli wprowadzona wartość ma pierwszeństwo aby skorzystać z wagi obliczeniowej, należy usunąć wprowadzoną wartość.</v>
      </c>
      <c r="C113" s="255"/>
      <c r="D113" s="255"/>
      <c r="E113" s="255"/>
      <c r="F113" s="255"/>
      <c r="G113" s="255"/>
      <c r="H113" s="255"/>
      <c r="I113" s="255"/>
      <c r="J113" s="255"/>
      <c r="K113" s="255"/>
      <c r="L113" s="255"/>
      <c r="M113" s="255"/>
    </row>
    <row r="114" spans="1:13" ht="15" customHeight="1" x14ac:dyDescent="0.2">
      <c r="A114" s="1045"/>
      <c r="B114" s="255"/>
      <c r="C114" s="255"/>
      <c r="D114" s="255"/>
      <c r="E114" s="255"/>
      <c r="F114" s="255"/>
      <c r="G114" s="255"/>
      <c r="H114" s="255"/>
      <c r="I114" s="255"/>
      <c r="J114" s="255"/>
      <c r="K114" s="255"/>
      <c r="L114" s="255"/>
      <c r="M114" s="255"/>
    </row>
    <row r="115" spans="1:13" ht="15" customHeight="1" x14ac:dyDescent="0.2">
      <c r="A115" s="1045"/>
      <c r="B115" s="255"/>
      <c r="C115" s="255"/>
      <c r="D115" s="255"/>
      <c r="E115" s="255"/>
      <c r="F115" s="255"/>
      <c r="G115" s="255"/>
      <c r="H115" s="255"/>
      <c r="I115" s="255"/>
      <c r="J115" s="255"/>
      <c r="K115" s="255"/>
      <c r="L115" s="255"/>
      <c r="M115" s="255"/>
    </row>
    <row r="116" spans="1:13" ht="15" customHeight="1" x14ac:dyDescent="0.2">
      <c r="A116" s="1045"/>
      <c r="B116" s="255" t="str">
        <f>ListAVS!$B$306</f>
        <v>Aby zmienić kolor zaślepek przejdź do „Wprowadzenie do planowania”</v>
      </c>
      <c r="C116" s="255"/>
      <c r="D116" s="255"/>
      <c r="E116" s="255"/>
      <c r="F116" s="255"/>
      <c r="G116" s="255"/>
      <c r="H116" s="255"/>
      <c r="I116" s="255"/>
      <c r="J116" s="255"/>
      <c r="K116" s="255"/>
      <c r="L116" s="255"/>
      <c r="M116" s="255"/>
    </row>
    <row r="117" spans="1:13" ht="15" customHeight="1" x14ac:dyDescent="0.2">
      <c r="A117" s="1045"/>
      <c r="B117" s="255"/>
      <c r="C117" s="255"/>
      <c r="D117" s="255"/>
      <c r="E117" s="255"/>
      <c r="F117" s="255"/>
      <c r="G117" s="255"/>
      <c r="H117" s="255"/>
      <c r="I117" s="255"/>
      <c r="J117" s="255"/>
      <c r="K117" s="255"/>
      <c r="L117" s="255"/>
      <c r="M117" s="255"/>
    </row>
    <row r="118" spans="1:13" ht="15" customHeight="1" x14ac:dyDescent="0.2">
      <c r="A118" s="1045"/>
      <c r="B118" s="255"/>
      <c r="C118" s="255"/>
      <c r="D118" s="255"/>
      <c r="E118" s="255"/>
      <c r="F118" s="255"/>
      <c r="G118" s="255"/>
      <c r="H118" s="255"/>
      <c r="I118" s="255"/>
      <c r="J118" s="255"/>
      <c r="K118" s="255"/>
      <c r="L118" s="255"/>
      <c r="M118" s="255"/>
    </row>
    <row r="119" spans="1:13" ht="15" customHeight="1" x14ac:dyDescent="0.2">
      <c r="A119" s="1045"/>
      <c r="B119" s="255"/>
      <c r="C119" s="255"/>
      <c r="D119" s="255"/>
      <c r="E119" s="255"/>
      <c r="F119" s="255"/>
      <c r="G119" s="255"/>
      <c r="H119" s="255"/>
      <c r="I119" s="255"/>
      <c r="J119" s="255"/>
      <c r="K119" s="255"/>
      <c r="L119" s="255"/>
      <c r="M119" s="255"/>
    </row>
    <row r="120" spans="1:13" ht="15" customHeight="1" x14ac:dyDescent="0.2">
      <c r="A120" s="1045"/>
      <c r="B120" s="255"/>
      <c r="C120" s="255"/>
      <c r="D120" s="255"/>
      <c r="E120" s="255"/>
      <c r="F120" s="255"/>
      <c r="G120" s="255"/>
      <c r="H120" s="255"/>
      <c r="I120" s="255"/>
      <c r="J120" s="255"/>
      <c r="K120" s="255"/>
      <c r="L120" s="255"/>
      <c r="M120" s="255"/>
    </row>
    <row r="121" spans="1:13" ht="15" customHeight="1" x14ac:dyDescent="0.2">
      <c r="A121" s="1045"/>
      <c r="B121" s="255"/>
      <c r="C121" s="255"/>
      <c r="D121" s="255"/>
      <c r="E121" s="255"/>
      <c r="F121" s="255"/>
      <c r="G121" s="255"/>
      <c r="H121" s="255"/>
      <c r="I121" s="255"/>
      <c r="J121" s="255"/>
      <c r="K121" s="255"/>
      <c r="L121" s="255"/>
      <c r="M121" s="255"/>
    </row>
    <row r="122" spans="1:13" ht="15" customHeight="1" x14ac:dyDescent="0.2">
      <c r="A122" s="1045"/>
      <c r="B122" s="255"/>
      <c r="C122" s="255"/>
      <c r="D122" s="255"/>
      <c r="E122" s="255"/>
      <c r="F122" s="255"/>
      <c r="G122" s="255"/>
      <c r="H122" s="255"/>
      <c r="I122" s="255"/>
      <c r="J122" s="255"/>
      <c r="K122" s="255"/>
      <c r="L122" s="779" t="str">
        <f>ListAVS!$B$168</f>
        <v>Z powrotem</v>
      </c>
      <c r="M122" s="255"/>
    </row>
    <row r="123" spans="1:13" ht="15" customHeight="1" x14ac:dyDescent="0.2">
      <c r="A123" s="1045"/>
      <c r="B123" s="255"/>
      <c r="C123" s="255"/>
      <c r="D123" s="255"/>
      <c r="E123" s="255"/>
      <c r="F123" s="255"/>
      <c r="G123" s="255"/>
      <c r="H123" s="255"/>
      <c r="I123" s="255"/>
      <c r="J123" s="255"/>
      <c r="K123" s="255"/>
      <c r="L123" s="255"/>
      <c r="M123" s="255"/>
    </row>
    <row r="124" spans="1:13" ht="12.75" x14ac:dyDescent="0.2">
      <c r="A124" s="1045"/>
      <c r="B124" s="255"/>
      <c r="C124" s="255"/>
      <c r="D124" s="255"/>
      <c r="E124" s="255"/>
      <c r="F124" s="255"/>
      <c r="G124" s="255"/>
      <c r="H124" s="255"/>
      <c r="I124" s="255"/>
      <c r="J124" s="255"/>
      <c r="K124" s="255"/>
      <c r="L124" s="255"/>
      <c r="M124" s="255"/>
    </row>
    <row r="125" spans="1:13" x14ac:dyDescent="0.2">
      <c r="A125" s="1045"/>
    </row>
    <row r="126" spans="1:13" x14ac:dyDescent="0.2">
      <c r="A126" s="1045"/>
    </row>
    <row r="127" spans="1:13" x14ac:dyDescent="0.2">
      <c r="A127" s="1045"/>
    </row>
    <row r="128" spans="1:13" x14ac:dyDescent="0.2">
      <c r="A128" s="1045"/>
    </row>
    <row r="129" spans="1:1" x14ac:dyDescent="0.2">
      <c r="A129" s="1045"/>
    </row>
    <row r="130" spans="1:1" x14ac:dyDescent="0.2">
      <c r="A130" s="1045"/>
    </row>
    <row r="131" spans="1:1" x14ac:dyDescent="0.2">
      <c r="A131" s="1045"/>
    </row>
    <row r="132" spans="1:1" x14ac:dyDescent="0.2">
      <c r="A132" s="1045"/>
    </row>
    <row r="133" spans="1:1" x14ac:dyDescent="0.2">
      <c r="A133" s="1045"/>
    </row>
    <row r="134" spans="1:1" x14ac:dyDescent="0.2">
      <c r="A134" s="1045"/>
    </row>
    <row r="135" spans="1:1" x14ac:dyDescent="0.2">
      <c r="A135" s="1045"/>
    </row>
    <row r="136" spans="1:1" x14ac:dyDescent="0.2">
      <c r="A136" s="1045"/>
    </row>
    <row r="137" spans="1:1" x14ac:dyDescent="0.2">
      <c r="A137" s="1045"/>
    </row>
    <row r="138" spans="1:1" x14ac:dyDescent="0.2">
      <c r="A138" s="1045"/>
    </row>
    <row r="139" spans="1:1" x14ac:dyDescent="0.2">
      <c r="A139" s="1045"/>
    </row>
    <row r="140" spans="1:1" x14ac:dyDescent="0.2">
      <c r="A140" s="1045"/>
    </row>
  </sheetData>
  <sheetProtection algorithmName="SHA-512" hashValue="tgvgrnwjAbFtS2kK/DsdUI2822W69nTlbGUc8N1wsl1XZOo14J09cIL3FOnW2c7ifnlA2piKyO9id2WhWpAZ5g==" saltValue="jKBgYuydsMcVQ+cPrBuOzQ==" spinCount="100000" sheet="1" objects="1" scenarios="1"/>
  <mergeCells count="66">
    <mergeCell ref="B13:C15"/>
    <mergeCell ref="B24:C26"/>
    <mergeCell ref="D13:H13"/>
    <mergeCell ref="D14:H14"/>
    <mergeCell ref="D15:H15"/>
    <mergeCell ref="D24:H24"/>
    <mergeCell ref="D25:H25"/>
    <mergeCell ref="D26:H26"/>
    <mergeCell ref="B20:C20"/>
    <mergeCell ref="B21:H21"/>
    <mergeCell ref="E16:H16"/>
    <mergeCell ref="B16:D16"/>
    <mergeCell ref="B17:H17"/>
    <mergeCell ref="F20:I20"/>
    <mergeCell ref="B28:H28"/>
    <mergeCell ref="B39:L43"/>
    <mergeCell ref="M42:M43"/>
    <mergeCell ref="M45:M46"/>
    <mergeCell ref="A99:A140"/>
    <mergeCell ref="E106:L106"/>
    <mergeCell ref="AP23:AT24"/>
    <mergeCell ref="B22:H22"/>
    <mergeCell ref="B23:H23"/>
    <mergeCell ref="E27:H27"/>
    <mergeCell ref="B27:D27"/>
    <mergeCell ref="N83:S83"/>
    <mergeCell ref="N84:S84"/>
    <mergeCell ref="R68:T68"/>
    <mergeCell ref="N69:S69"/>
    <mergeCell ref="N70:S70"/>
    <mergeCell ref="N81:S81"/>
    <mergeCell ref="N72:S72"/>
    <mergeCell ref="N73:S73"/>
    <mergeCell ref="R79:T79"/>
    <mergeCell ref="N71:S71"/>
    <mergeCell ref="V21:W21"/>
    <mergeCell ref="R20:S20"/>
    <mergeCell ref="V20:W20"/>
    <mergeCell ref="N80:S80"/>
    <mergeCell ref="N82:S82"/>
    <mergeCell ref="U31:V31"/>
    <mergeCell ref="P64:T64"/>
    <mergeCell ref="AV1:BD1"/>
    <mergeCell ref="B2:D2"/>
    <mergeCell ref="V9:W9"/>
    <mergeCell ref="V10:W10"/>
    <mergeCell ref="B10:H10"/>
    <mergeCell ref="B9:C9"/>
    <mergeCell ref="F9:I9"/>
    <mergeCell ref="AP8:AQ9"/>
    <mergeCell ref="AR8:AR9"/>
    <mergeCell ref="AP10:AQ10"/>
    <mergeCell ref="B11:H11"/>
    <mergeCell ref="B12:H12"/>
    <mergeCell ref="F5:J5"/>
    <mergeCell ref="K4:L5"/>
    <mergeCell ref="R9:S9"/>
    <mergeCell ref="H7:I7"/>
    <mergeCell ref="B7:D7"/>
    <mergeCell ref="AP18:AQ18"/>
    <mergeCell ref="AP20:AT21"/>
    <mergeCell ref="AP11:AQ11"/>
    <mergeCell ref="AP12:AQ12"/>
    <mergeCell ref="AP14:AQ15"/>
    <mergeCell ref="AP16:AQ16"/>
    <mergeCell ref="AP17:AQ17"/>
  </mergeCells>
  <conditionalFormatting sqref="B27">
    <cfRule type="expression" dxfId="75" priority="18" stopIfTrue="1">
      <formula>$V$21=TRUE</formula>
    </cfRule>
  </conditionalFormatting>
  <conditionalFormatting sqref="B16">
    <cfRule type="expression" dxfId="74" priority="51" stopIfTrue="1">
      <formula>$V$10=TRUE</formula>
    </cfRule>
  </conditionalFormatting>
  <conditionalFormatting sqref="E9">
    <cfRule type="expression" dxfId="73" priority="16">
      <formula>$M$17&gt;0</formula>
    </cfRule>
  </conditionalFormatting>
  <conditionalFormatting sqref="E20">
    <cfRule type="expression" dxfId="72" priority="15">
      <formula>$M$28&gt;0</formula>
    </cfRule>
  </conditionalFormatting>
  <conditionalFormatting sqref="J15">
    <cfRule type="expression" dxfId="71" priority="11">
      <formula>$M$17=0</formula>
    </cfRule>
    <cfRule type="containsText" dxfId="70" priority="12" operator="containsText" text="Doplňte">
      <formula>NOT(ISERROR(SEARCH("Doplňte",J15)))</formula>
    </cfRule>
  </conditionalFormatting>
  <conditionalFormatting sqref="J26">
    <cfRule type="containsText" dxfId="69" priority="9" operator="containsText" text="Doplňte">
      <formula>NOT(ISERROR(SEARCH("Doplňte",J26)))</formula>
    </cfRule>
  </conditionalFormatting>
  <conditionalFormatting sqref="J26">
    <cfRule type="expression" dxfId="68" priority="10">
      <formula>$M$28=0</formula>
    </cfRule>
  </conditionalFormatting>
  <conditionalFormatting sqref="J12">
    <cfRule type="expression" dxfId="67" priority="3">
      <formula>$M$17=0</formula>
    </cfRule>
    <cfRule type="containsText" dxfId="66" priority="4" operator="containsText" text="Doplňte">
      <formula>NOT(ISERROR(SEARCH("Doplňte",J12)))</formula>
    </cfRule>
  </conditionalFormatting>
  <conditionalFormatting sqref="J23">
    <cfRule type="containsText" dxfId="65" priority="1" operator="containsText" text="Doplňte">
      <formula>NOT(ISERROR(SEARCH("Doplňte",J23)))</formula>
    </cfRule>
  </conditionalFormatting>
  <conditionalFormatting sqref="J23">
    <cfRule type="expression" dxfId="64" priority="2">
      <formula>$M$28=0</formula>
    </cfRule>
  </conditionalFormatting>
  <hyperlinks>
    <hyperlink ref="AM5" location="HKXSt!A100" tooltip=" " display="HKXSt!A100" xr:uid="{FC5D3A31-B3D4-4A3B-B83E-76C9FBCE6F7A}"/>
    <hyperlink ref="L122" location="HKXSt!A1" tooltip=" " display="HKXSt!A1" xr:uid="{3053254E-6973-4967-98CA-02F2C6FFF6BD}"/>
    <hyperlink ref="N69:S69" location="HKXSt!H10" tooltip=" " display="HKXSt!H10" xr:uid="{20C1637F-A510-432F-949A-59C4B0740C15}"/>
    <hyperlink ref="N70:S70" location="HKXSt!H11" tooltip=" " display="HKXSt!H11" xr:uid="{8C0D3F40-7B14-4B92-9D9D-1E8A66796552}"/>
    <hyperlink ref="N80:S80" location="HKXSt!H19" tooltip=" " display="HKXSt!H19" xr:uid="{563C0C16-43DF-42AB-932F-81AA4B2BB865}"/>
    <hyperlink ref="N81:S81" location="HKXSt!H20" tooltip=" " display="HKXSt!H20" xr:uid="{75185788-5603-4443-B51B-24042890A798}"/>
    <hyperlink ref="AM9" location="SumAVS!A1" tooltip=" " display="SumAVS!A1" xr:uid="{0AE6FD3D-C8B9-4287-9F98-383DBB068817}"/>
    <hyperlink ref="AM10" location="OrdAVS!A1" tooltip=" " display="OrdAVS!A1" xr:uid="{C2BCA2F5-E649-4E7F-B8F9-04D108FEB4E5}"/>
    <hyperlink ref="AM7" location="AcsAVS!A1" tooltip=" " display="AcsAVS!A1" xr:uid="{9F341405-996D-4931-B71C-57A19244AA7B}"/>
    <hyperlink ref="AM4" location="MenuAVS!A1" tooltip=" " display="MenuAVS!A1" xr:uid="{25FE2BF7-E929-4749-9D0B-8A06FD0B1949}"/>
    <hyperlink ref="B2:C2" location="HK!A1" tooltip=" " display="AVENTOS HK top" xr:uid="{1C176771-725F-4448-B8BE-C0CC022AC989}"/>
    <hyperlink ref="B2:L2" location="HKXS!A1" tooltip=" " display="AVENTOS HK-XS" xr:uid="{13DA5696-0640-4B92-8B42-7E50CE020FF1}"/>
  </hyperlinks>
  <pageMargins left="0.62992125984251968" right="0.23622047244094488" top="0.74803149606299213" bottom="0.74803149606299213" header="0.31496062992125984" footer="0.31496062992125984"/>
  <pageSetup paperSize="9" orientation="portrait" horizontalDpi="4294967293"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92161" r:id="rId4" name="Drop Down 1">
              <controlPr defaultSize="0" autoLine="0" autoPict="0">
                <anchor moveWithCells="1">
                  <from>
                    <xdr:col>4</xdr:col>
                    <xdr:colOff>9525</xdr:colOff>
                    <xdr:row>6</xdr:row>
                    <xdr:rowOff>0</xdr:rowOff>
                  </from>
                  <to>
                    <xdr:col>7</xdr:col>
                    <xdr:colOff>0</xdr:colOff>
                    <xdr:row>7</xdr:row>
                    <xdr:rowOff>0</xdr:rowOff>
                  </to>
                </anchor>
              </controlPr>
            </control>
          </mc:Choice>
        </mc:AlternateContent>
        <mc:AlternateContent xmlns:mc="http://schemas.openxmlformats.org/markup-compatibility/2006">
          <mc:Choice Requires="x14">
            <control shapeId="92163" r:id="rId5" name="Check Box 3">
              <controlPr defaultSize="0" autoFill="0" autoLine="0" autoPict="0">
                <anchor moveWithCells="1">
                  <from>
                    <xdr:col>3</xdr:col>
                    <xdr:colOff>361950</xdr:colOff>
                    <xdr:row>14</xdr:row>
                    <xdr:rowOff>200025</xdr:rowOff>
                  </from>
                  <to>
                    <xdr:col>3</xdr:col>
                    <xdr:colOff>542925</xdr:colOff>
                    <xdr:row>16</xdr:row>
                    <xdr:rowOff>19050</xdr:rowOff>
                  </to>
                </anchor>
              </controlPr>
            </control>
          </mc:Choice>
        </mc:AlternateContent>
        <mc:AlternateContent xmlns:mc="http://schemas.openxmlformats.org/markup-compatibility/2006">
          <mc:Choice Requires="x14">
            <control shapeId="92164" r:id="rId6" name="Check Box 4">
              <controlPr defaultSize="0" autoFill="0" autoLine="0" autoPict="0">
                <anchor moveWithCells="1">
                  <from>
                    <xdr:col>3</xdr:col>
                    <xdr:colOff>371475</xdr:colOff>
                    <xdr:row>25</xdr:row>
                    <xdr:rowOff>180975</xdr:rowOff>
                  </from>
                  <to>
                    <xdr:col>3</xdr:col>
                    <xdr:colOff>533400</xdr:colOff>
                    <xdr:row>27</xdr:row>
                    <xdr:rowOff>0</xdr:rowOff>
                  </to>
                </anchor>
              </controlPr>
            </control>
          </mc:Choice>
        </mc:AlternateContent>
        <mc:AlternateContent xmlns:mc="http://schemas.openxmlformats.org/markup-compatibility/2006">
          <mc:Choice Requires="x14">
            <control shapeId="92165" r:id="rId7" name="Drop Down 5">
              <controlPr defaultSize="0" autoLine="0" autoPict="0">
                <anchor moveWithCells="1">
                  <from>
                    <xdr:col>1</xdr:col>
                    <xdr:colOff>0</xdr:colOff>
                    <xdr:row>9</xdr:row>
                    <xdr:rowOff>0</xdr:rowOff>
                  </from>
                  <to>
                    <xdr:col>3</xdr:col>
                    <xdr:colOff>209550</xdr:colOff>
                    <xdr:row>10</xdr:row>
                    <xdr:rowOff>0</xdr:rowOff>
                  </to>
                </anchor>
              </controlPr>
            </control>
          </mc:Choice>
        </mc:AlternateContent>
        <mc:AlternateContent xmlns:mc="http://schemas.openxmlformats.org/markup-compatibility/2006">
          <mc:Choice Requires="x14">
            <control shapeId="92166" r:id="rId8" name="Drop Down 6">
              <controlPr defaultSize="0" autoLine="0" autoPict="0">
                <anchor moveWithCells="1">
                  <from>
                    <xdr:col>1</xdr:col>
                    <xdr:colOff>0</xdr:colOff>
                    <xdr:row>20</xdr:row>
                    <xdr:rowOff>0</xdr:rowOff>
                  </from>
                  <to>
                    <xdr:col>3</xdr:col>
                    <xdr:colOff>209550</xdr:colOff>
                    <xdr:row>21</xdr:row>
                    <xdr:rowOff>0</xdr:rowOff>
                  </to>
                </anchor>
              </controlPr>
            </control>
          </mc:Choice>
        </mc:AlternateContent>
        <mc:AlternateContent xmlns:mc="http://schemas.openxmlformats.org/markup-compatibility/2006">
          <mc:Choice Requires="x14">
            <control shapeId="92167" r:id="rId9" name="Drop Down 7">
              <controlPr defaultSize="0" autoLine="0" autoPict="0">
                <anchor moveWithCells="1">
                  <from>
                    <xdr:col>6</xdr:col>
                    <xdr:colOff>9525</xdr:colOff>
                    <xdr:row>3</xdr:row>
                    <xdr:rowOff>0</xdr:rowOff>
                  </from>
                  <to>
                    <xdr:col>9</xdr:col>
                    <xdr:colOff>9525</xdr:colOff>
                    <xdr:row>4</xdr:row>
                    <xdr:rowOff>0</xdr:rowOff>
                  </to>
                </anchor>
              </controlPr>
            </control>
          </mc:Choice>
        </mc:AlternateContent>
      </controls>
    </mc:Choice>
  </mc:AlternateContent>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19AF1-FF29-4255-BA79-55B1BFA1186C}">
  <sheetPr codeName="Sheet55">
    <tabColor rgb="FF7030A0"/>
  </sheetPr>
  <dimension ref="A1:AY140"/>
  <sheetViews>
    <sheetView showGridLines="0" showRowColHeaders="0" workbookViewId="0">
      <selection activeCell="K29" sqref="K29"/>
    </sheetView>
  </sheetViews>
  <sheetFormatPr defaultColWidth="8.28515625" defaultRowHeight="12" x14ac:dyDescent="0.2"/>
  <cols>
    <col min="1" max="1" width="1.28515625" style="37" customWidth="1"/>
    <col min="2" max="9" width="8.5703125" style="37" customWidth="1"/>
    <col min="10" max="10" width="6.7109375" style="37" customWidth="1"/>
    <col min="11" max="11" width="10.42578125" style="37" customWidth="1"/>
    <col min="12" max="12" width="17.28515625" style="37" customWidth="1"/>
    <col min="13" max="14" width="6.42578125" style="37" hidden="1" customWidth="1"/>
    <col min="15" max="15" width="6.42578125" style="118" hidden="1" customWidth="1"/>
    <col min="16" max="16" width="6.42578125" style="37" hidden="1" customWidth="1"/>
    <col min="17" max="17" width="6" style="118" hidden="1" customWidth="1"/>
    <col min="18" max="18" width="6.42578125" style="37" hidden="1" customWidth="1"/>
    <col min="19" max="19" width="7.7109375" style="37" hidden="1" customWidth="1"/>
    <col min="20" max="20" width="9.5703125" style="37" hidden="1" customWidth="1"/>
    <col min="21" max="24" width="6.42578125" style="37" hidden="1" customWidth="1"/>
    <col min="25" max="25" width="37.28515625" style="37" hidden="1" customWidth="1"/>
    <col min="26" max="26" width="13.5703125" style="37" hidden="1" customWidth="1"/>
    <col min="27" max="29" width="6.7109375" style="37" hidden="1" customWidth="1"/>
    <col min="30" max="30" width="9.42578125" style="37" hidden="1" customWidth="1"/>
    <col min="31" max="34" width="6.7109375" style="37" hidden="1" customWidth="1"/>
    <col min="35" max="37" width="6.42578125" style="37" hidden="1" customWidth="1"/>
    <col min="38" max="38" width="3.28515625" style="108" hidden="1" customWidth="1"/>
    <col min="39" max="39" width="5.28515625" style="108" customWidth="1"/>
    <col min="40" max="40" width="23.42578125" style="108" customWidth="1"/>
    <col min="41" max="42" width="8.28515625" style="137"/>
    <col min="43" max="44" width="16.28515625" style="137" customWidth="1"/>
    <col min="45" max="45" width="20.5703125" style="137" customWidth="1"/>
    <col min="46" max="16384" width="8.28515625" style="137"/>
  </cols>
  <sheetData>
    <row r="1" spans="2:51" ht="4.5" customHeight="1" thickBot="1" x14ac:dyDescent="0.25">
      <c r="L1" s="137"/>
      <c r="AQ1" s="1121"/>
      <c r="AR1" s="1121"/>
      <c r="AS1" s="1121"/>
      <c r="AT1" s="1121"/>
      <c r="AU1" s="1121"/>
      <c r="AV1" s="1121"/>
      <c r="AW1" s="1121"/>
      <c r="AX1" s="1121"/>
      <c r="AY1" s="1121"/>
    </row>
    <row r="2" spans="2:51" s="108" customFormat="1" ht="19.5" customHeight="1" thickBot="1" x14ac:dyDescent="0.25">
      <c r="B2" s="1048" t="s">
        <v>638</v>
      </c>
      <c r="C2" s="1048"/>
      <c r="D2" s="1048"/>
      <c r="E2" s="886"/>
      <c r="F2" s="886"/>
      <c r="G2" s="886"/>
      <c r="H2" s="886"/>
      <c r="I2" s="886"/>
      <c r="J2" s="886"/>
      <c r="K2" s="886"/>
      <c r="L2" s="886"/>
      <c r="S2" s="117">
        <v>3</v>
      </c>
      <c r="AN2" s="379" t="str">
        <f>ListAVS!$B$153</f>
        <v>Przejdź do</v>
      </c>
    </row>
    <row r="3" spans="2:51" ht="3.75" customHeight="1" x14ac:dyDescent="0.2">
      <c r="B3" s="312"/>
      <c r="C3" s="306"/>
      <c r="D3" s="306"/>
      <c r="E3" s="306"/>
      <c r="F3" s="306"/>
      <c r="G3" s="306"/>
      <c r="H3" s="306"/>
      <c r="I3" s="306"/>
      <c r="J3" s="306"/>
      <c r="K3" s="306"/>
      <c r="L3" s="137"/>
      <c r="AL3" s="137"/>
    </row>
    <row r="4" spans="2:51" ht="16.149999999999999" customHeight="1" thickBot="1" x14ac:dyDescent="0.25">
      <c r="B4" s="313" t="str">
        <f>ListAVS!$B$17</f>
        <v>Front drewniany</v>
      </c>
      <c r="C4" s="313"/>
      <c r="D4" s="266"/>
      <c r="E4" s="313"/>
      <c r="F4" s="269" t="str">
        <f>ListAVS!$B$180&amp;"  "</f>
        <v xml:space="preserve">Wykonanie frontów  </v>
      </c>
      <c r="G4" s="255"/>
      <c r="H4" s="255"/>
      <c r="I4" s="255"/>
      <c r="J4" s="260"/>
      <c r="K4" s="1047" t="str">
        <f>IF($Z$77=3,IF(J4=0,$Y$72," "),IF(J4&gt;0,$Y$73," "))</f>
        <v xml:space="preserve"> </v>
      </c>
      <c r="L4" s="1047"/>
      <c r="S4" s="37" t="str">
        <f>" "&amp;ListAVS!$B$41&amp;" A "</f>
        <v xml:space="preserve"> Cena za korpus A </v>
      </c>
      <c r="AL4" s="137"/>
      <c r="AN4" s="383" t="s">
        <v>77</v>
      </c>
    </row>
    <row r="5" spans="2:51" ht="16.149999999999999" customHeight="1" x14ac:dyDescent="0.2">
      <c r="B5" s="266"/>
      <c r="C5" s="313"/>
      <c r="D5" s="313"/>
      <c r="E5" s="313"/>
      <c r="F5" s="1016" t="str">
        <f>IF($Z$77&lt;&gt;3,$Y$71," ")&amp;"      "</f>
        <v xml:space="preserve"> Możesz zmienić wartości we Wstępie do planowania      </v>
      </c>
      <c r="G5" s="1016"/>
      <c r="H5" s="1016"/>
      <c r="I5" s="1016"/>
      <c r="J5" s="1016"/>
      <c r="K5" s="1047"/>
      <c r="L5" s="1047"/>
      <c r="S5" s="37" t="str">
        <f>" "&amp;ListAVS!$B$41&amp;" B "</f>
        <v xml:space="preserve"> Cena za korpus B </v>
      </c>
      <c r="AL5" s="137"/>
      <c r="AN5" s="634" t="str">
        <f>" "&amp;ListAVS!$B$155</f>
        <v xml:space="preserve"> Pomoc</v>
      </c>
    </row>
    <row r="6" spans="2:51" ht="22.5" customHeight="1" x14ac:dyDescent="0.2">
      <c r="B6" s="875"/>
      <c r="C6" s="875"/>
      <c r="D6" s="313"/>
      <c r="E6" s="313"/>
      <c r="F6" s="266"/>
      <c r="G6" s="266"/>
      <c r="H6" s="266"/>
      <c r="I6" s="313"/>
      <c r="J6" s="313"/>
      <c r="K6" s="313"/>
      <c r="L6" s="887"/>
      <c r="S6" s="37" t="str">
        <f>" "&amp;ListAVS!$B$61</f>
        <v xml:space="preserve"> Cena całkowita bez VAT</v>
      </c>
      <c r="AL6" s="137"/>
      <c r="AN6" s="736"/>
    </row>
    <row r="7" spans="2:51" ht="16.149999999999999" customHeight="1" x14ac:dyDescent="0.2">
      <c r="B7" s="1059" t="str">
        <f>ListAVS!$B$51&amp;":   "</f>
        <v xml:space="preserve">Cena okucia:   </v>
      </c>
      <c r="C7" s="1060"/>
      <c r="D7" s="255"/>
      <c r="E7" s="266"/>
      <c r="F7" s="266"/>
      <c r="G7" s="1061">
        <f>IF(S2=1,$AF$48,IF($S$2=2,$AH$48,IF($S$2=3,$AD$48,0)))</f>
        <v>0</v>
      </c>
      <c r="H7" s="1062"/>
      <c r="I7" s="255"/>
      <c r="J7" s="255"/>
      <c r="K7" s="255"/>
      <c r="L7" s="274" t="str">
        <f>IF($R$44=1, ListAVS!$B$429, ListAVS!$B$430)</f>
        <v xml:space="preserve">w pełni zintegrowany </v>
      </c>
      <c r="Y7" s="156" t="str">
        <f>$B$2</f>
        <v>AVENTOS HKi</v>
      </c>
      <c r="Z7" s="157">
        <f>B5</f>
        <v>0</v>
      </c>
      <c r="AA7" s="157"/>
      <c r="AB7" s="157"/>
      <c r="AC7" s="157"/>
      <c r="AD7" s="158"/>
      <c r="AG7" s="118"/>
      <c r="AN7" s="675" t="str">
        <f>" "&amp;ListAVS!$B$160</f>
        <v xml:space="preserve"> Dodatki</v>
      </c>
    </row>
    <row r="8" spans="2:51" ht="25.15" customHeight="1" thickBot="1" x14ac:dyDescent="0.25">
      <c r="B8" s="255"/>
      <c r="C8" s="255"/>
      <c r="D8" s="255"/>
      <c r="E8" s="255"/>
      <c r="F8" s="255"/>
      <c r="G8" s="255"/>
      <c r="H8" s="579" t="str">
        <f>IF(AND(OR($U$16=2, $U$27=2), $AD$48&gt;0), $N$34, " ")</f>
        <v xml:space="preserve"> </v>
      </c>
      <c r="I8" s="255"/>
      <c r="J8" s="255"/>
      <c r="K8" s="255"/>
      <c r="L8" s="255"/>
      <c r="Y8" s="159" t="str">
        <f>ListAVS!B52</f>
        <v>Nazwa</v>
      </c>
      <c r="Z8" s="160" t="str">
        <f>ListAVS!$B$53</f>
        <v>Kod asortymentu</v>
      </c>
      <c r="AA8" s="161" t="str">
        <f>ListAVS!B54</f>
        <v>Kolor</v>
      </c>
      <c r="AB8" s="161" t="str">
        <f>ListAVS!B56</f>
        <v>Sztuka</v>
      </c>
      <c r="AC8" s="162" t="str">
        <f>ListAVS!B58</f>
        <v>Cena za sztukę</v>
      </c>
      <c r="AD8" s="161" t="str">
        <f>ListAVS!B59</f>
        <v>W sumie</v>
      </c>
      <c r="AE8" s="204" t="s">
        <v>29</v>
      </c>
      <c r="AF8" s="163" t="s">
        <v>30</v>
      </c>
      <c r="AG8" s="163" t="s">
        <v>31</v>
      </c>
      <c r="AH8" s="163" t="s">
        <v>30</v>
      </c>
      <c r="AN8" s="671"/>
      <c r="AQ8" s="1232" t="str">
        <f>"  "&amp;ListAVS!$B$86&amp;" LF "</f>
        <v xml:space="preserve">  Współczynnik mocy LF </v>
      </c>
      <c r="AR8" s="1233"/>
      <c r="AS8" s="1231" t="str">
        <f>ListAVS!$B$84</f>
        <v>Mechanizm podnoszący</v>
      </c>
      <c r="AT8" s="266"/>
      <c r="AU8" s="266"/>
    </row>
    <row r="9" spans="2:51" ht="16.149999999999999" customHeight="1" thickBot="1" x14ac:dyDescent="0.25">
      <c r="B9" s="1051" t="str">
        <f>"▼ "&amp;ListAVS!$B$318</f>
        <v>▼ Sposób otwierania</v>
      </c>
      <c r="C9" s="1052"/>
      <c r="D9" s="406" t="str">
        <f>IF($M$17&gt;0, ListAVS!$B$37&amp;": ", " ")</f>
        <v xml:space="preserve"> </v>
      </c>
      <c r="E9" s="964" t="str">
        <f>IF($AE$9&gt;0,"23",IF($AE$10&gt;0,"25",IF($AE$11&gt;0,"27",IF($AE$12&gt;0,"28",IF($AE$14&gt;0,"23T",IF($AE$15&gt;0,"25T",IF($AE$16&gt;0,"27T",IF($AE$17&gt;0,"28T"," "))))))))</f>
        <v xml:space="preserve"> </v>
      </c>
      <c r="F9" s="1056" t="str">
        <f>ListAVS!$B$64&amp;" A"</f>
        <v>Korpus A</v>
      </c>
      <c r="G9" s="1057"/>
      <c r="H9" s="1058"/>
      <c r="I9" s="273"/>
      <c r="J9" s="255"/>
      <c r="K9" s="255"/>
      <c r="L9" s="255"/>
      <c r="N9" s="119"/>
      <c r="O9" s="132"/>
      <c r="P9" s="119"/>
      <c r="Q9" s="132"/>
      <c r="R9" s="1181" t="s">
        <v>89</v>
      </c>
      <c r="S9" s="1182"/>
      <c r="T9" s="747">
        <v>2000</v>
      </c>
      <c r="U9" s="748">
        <f>T9-1</f>
        <v>1999</v>
      </c>
      <c r="V9" s="1181" t="s">
        <v>90</v>
      </c>
      <c r="W9" s="1182"/>
      <c r="X9" s="749"/>
      <c r="Y9" s="164" t="str">
        <f>CenAVS!A125</f>
        <v xml:space="preserve">Aventos HKi słaby Blumotion Onyx      </v>
      </c>
      <c r="Z9" s="164" t="str">
        <f>CenAVS!B125</f>
        <v>24K2300</v>
      </c>
      <c r="AA9" s="301" t="str">
        <f>CenAVS!C125</f>
        <v>OS</v>
      </c>
      <c r="AB9" s="165">
        <f>SUM(AE9,AG9)</f>
        <v>0</v>
      </c>
      <c r="AC9" s="395">
        <f>CenAVS!F125</f>
        <v>879.54648999999995</v>
      </c>
      <c r="AD9" s="167">
        <f>AB9*AC9</f>
        <v>0</v>
      </c>
      <c r="AE9" s="407">
        <f>IF(U$16=1, ROUNDUP(SUM(O11:P11)*$M$17,0),0)</f>
        <v>0</v>
      </c>
      <c r="AF9" s="168">
        <f t="shared" ref="AF9:AF43" si="0">$AC9*AE9</f>
        <v>0</v>
      </c>
      <c r="AG9" s="407">
        <f>IF($U$27=1, ROUNDUP(SUM(O22:P22)*$M$28,0),0)</f>
        <v>0</v>
      </c>
      <c r="AH9" s="168">
        <f t="shared" ref="AH9:AH43" si="1">$AC9*AG9</f>
        <v>0</v>
      </c>
      <c r="AI9" s="749"/>
      <c r="AJ9" s="749"/>
      <c r="AK9" s="749"/>
      <c r="AN9" s="383" t="str">
        <f>" "&amp;ListAVS!$B$157</f>
        <v xml:space="preserve"> Rodzaje korpusów</v>
      </c>
      <c r="AQ9" s="1234"/>
      <c r="AR9" s="1235"/>
      <c r="AS9" s="1231"/>
      <c r="AT9" s="266"/>
      <c r="AU9" s="266"/>
    </row>
    <row r="10" spans="2:51" s="37" customFormat="1" ht="16.149999999999999" customHeight="1" thickBot="1" x14ac:dyDescent="0.25">
      <c r="B10" s="1011" t="str">
        <f>ListAVS!$B$74&amp;" KB [mm] "</f>
        <v xml:space="preserve">Szerokość korpusu KB [mm] </v>
      </c>
      <c r="C10" s="1012"/>
      <c r="D10" s="1012"/>
      <c r="E10" s="1012"/>
      <c r="F10" s="1012"/>
      <c r="G10" s="1013"/>
      <c r="H10" s="435"/>
      <c r="I10" s="256" t="str">
        <f>IF($H10=0," ",IF($H10&lt;220," min. 220mm"," "))&amp;IF(H17&gt;0,IF(H10=0,"● "&amp;ListAVS!$B$129," ")," ")</f>
        <v xml:space="preserve">  </v>
      </c>
      <c r="J10" s="255"/>
      <c r="K10" s="255"/>
      <c r="L10" s="255"/>
      <c r="N10" s="198" t="s">
        <v>32</v>
      </c>
      <c r="O10" s="199" t="s">
        <v>91</v>
      </c>
      <c r="P10" s="200" t="s">
        <v>92</v>
      </c>
      <c r="Q10" s="119"/>
      <c r="R10" s="750" t="s">
        <v>93</v>
      </c>
      <c r="S10" s="750" t="s">
        <v>76</v>
      </c>
      <c r="T10" s="751" t="s">
        <v>94</v>
      </c>
      <c r="U10" s="751" t="s">
        <v>95</v>
      </c>
      <c r="V10" s="1183" t="b">
        <v>0</v>
      </c>
      <c r="W10" s="1184"/>
      <c r="X10" s="444"/>
      <c r="Y10" s="164" t="str">
        <f>CenAVS!A126</f>
        <v xml:space="preserve">Aventos HKi średni Blumotion Onyx      </v>
      </c>
      <c r="Z10" s="164" t="str">
        <f>CenAVS!B126</f>
        <v>24K2500</v>
      </c>
      <c r="AA10" s="301" t="str">
        <f>CenAVS!C126</f>
        <v>OS</v>
      </c>
      <c r="AB10" s="165">
        <f t="shared" ref="AB10:AB29" si="2">SUM(AE10,AG10)</f>
        <v>0</v>
      </c>
      <c r="AC10" s="395">
        <f>CenAVS!F126</f>
        <v>879.54648999999995</v>
      </c>
      <c r="AD10" s="167">
        <f t="shared" ref="AD10:AD31" si="3">AB10*AC10</f>
        <v>0</v>
      </c>
      <c r="AE10" s="407">
        <f>IF(U$16=1, ROUNDUP(SUM(O12:P12)*$M$17,0),0)</f>
        <v>0</v>
      </c>
      <c r="AF10" s="168">
        <f t="shared" si="0"/>
        <v>0</v>
      </c>
      <c r="AG10" s="407">
        <f>IF($U$27=1, ROUNDUP(SUM(O23:P23)*$M$28,0),0)</f>
        <v>0</v>
      </c>
      <c r="AH10" s="168">
        <f t="shared" si="1"/>
        <v>0</v>
      </c>
      <c r="AI10" s="444"/>
      <c r="AJ10" s="444"/>
      <c r="AK10" s="444"/>
      <c r="AL10" s="108"/>
      <c r="AM10" s="108"/>
      <c r="AN10" s="383" t="str">
        <f>" "&amp;ListAVS!$B$158</f>
        <v xml:space="preserve"> Zamówienie</v>
      </c>
      <c r="AO10" s="137"/>
      <c r="AP10" s="137"/>
      <c r="AQ10" s="1229" t="s">
        <v>96</v>
      </c>
      <c r="AR10" s="1230"/>
      <c r="AS10" s="743" t="s">
        <v>641</v>
      </c>
      <c r="AT10" s="255"/>
      <c r="AU10" s="255"/>
    </row>
    <row r="11" spans="2:51" s="37" customFormat="1" ht="16.149999999999999" customHeight="1" x14ac:dyDescent="0.2">
      <c r="B11" s="1011" t="str">
        <f>ListAVS!$B$75&amp;" KH [mm]  "</f>
        <v xml:space="preserve">Wysokość korpusu KH [mm]  </v>
      </c>
      <c r="C11" s="1012"/>
      <c r="D11" s="1012"/>
      <c r="E11" s="1012"/>
      <c r="F11" s="1012"/>
      <c r="G11" s="1013"/>
      <c r="H11" s="435"/>
      <c r="I11" s="256" t="str">
        <f>IF($H11=0," ",IF($H11&lt;170," min. 170mm",IF($H11&gt;600," max. 600 mm!"," ")))&amp;IF(H17&gt;0,IF(H11=0,"● "&amp;ListAVS!$B$129," ")," ")</f>
        <v xml:space="preserve">  </v>
      </c>
      <c r="J11" s="255"/>
      <c r="K11" s="255"/>
      <c r="L11" s="255"/>
      <c r="N11" s="119" t="s">
        <v>97</v>
      </c>
      <c r="O11" s="132">
        <f>IF($V$10=FALSE,IF($H$16&gt;R11,IF($H$16&lt;S11,1,0),0),0)</f>
        <v>0</v>
      </c>
      <c r="P11" s="132">
        <f>IF($V$10=TRUE,IF($H$16&gt;V11,IF($H$16&lt;W11,1.5,0),0),0)</f>
        <v>0</v>
      </c>
      <c r="Q11" s="119"/>
      <c r="R11" s="877">
        <v>420</v>
      </c>
      <c r="S11" s="877">
        <v>1160</v>
      </c>
      <c r="T11" s="752"/>
      <c r="U11" s="119"/>
      <c r="V11" s="718">
        <f>R11*1.5</f>
        <v>630</v>
      </c>
      <c r="W11" s="718">
        <f>S11*1.5</f>
        <v>1740</v>
      </c>
      <c r="X11" s="718"/>
      <c r="Y11" s="164" t="str">
        <f>CenAVS!A127</f>
        <v xml:space="preserve">Aventos HKi mocny Blumotion Onyx      </v>
      </c>
      <c r="Z11" s="164" t="str">
        <f>CenAVS!B127</f>
        <v>24K2700</v>
      </c>
      <c r="AA11" s="301" t="str">
        <f>CenAVS!C127</f>
        <v>OS</v>
      </c>
      <c r="AB11" s="165">
        <f t="shared" si="2"/>
        <v>0</v>
      </c>
      <c r="AC11" s="395">
        <f>CenAVS!F127</f>
        <v>894.84276</v>
      </c>
      <c r="AD11" s="167">
        <f t="shared" si="3"/>
        <v>0</v>
      </c>
      <c r="AE11" s="407">
        <f>IF(U$16=1, ROUNDUP(SUM(O13:P13)*$M$17,0),0)</f>
        <v>0</v>
      </c>
      <c r="AF11" s="168">
        <f t="shared" si="0"/>
        <v>0</v>
      </c>
      <c r="AG11" s="407">
        <f>IF($U$27=1, ROUNDUP(SUM(O24:P24)*$M$28,0),0)</f>
        <v>0</v>
      </c>
      <c r="AH11" s="168">
        <f t="shared" si="1"/>
        <v>0</v>
      </c>
      <c r="AI11" s="718"/>
      <c r="AJ11" s="718"/>
      <c r="AK11" s="718"/>
      <c r="AL11" s="108"/>
      <c r="AM11" s="108"/>
      <c r="AN11" s="255"/>
      <c r="AO11" s="137"/>
      <c r="AP11" s="137"/>
      <c r="AQ11" s="1229" t="s">
        <v>98</v>
      </c>
      <c r="AR11" s="1230"/>
      <c r="AS11" s="743" t="s">
        <v>642</v>
      </c>
      <c r="AT11" s="255"/>
      <c r="AU11" s="255"/>
    </row>
    <row r="12" spans="2:51" s="37" customFormat="1" ht="16.149999999999999" customHeight="1" x14ac:dyDescent="0.2">
      <c r="B12" s="1011" t="str">
        <f>ListAVS!$B$78&amp;" [kg] ** "</f>
        <v xml:space="preserve">Waga frontu wraz z 2 uchwytami [kg] ** </v>
      </c>
      <c r="C12" s="1012"/>
      <c r="D12" s="1012"/>
      <c r="E12" s="1012"/>
      <c r="F12" s="1012"/>
      <c r="G12" s="1013"/>
      <c r="H12" s="258"/>
      <c r="I12" s="227" t="str">
        <f>IF($H17=0," ",IF(SUM($H12,$H15)=0,$N$36," "))&amp;IF($H17&gt;0,IF($H12&gt;0,$N$37," ")," ")</f>
        <v xml:space="preserve">  </v>
      </c>
      <c r="J12" s="255"/>
      <c r="K12" s="255"/>
      <c r="L12" s="255"/>
      <c r="N12" s="119" t="s">
        <v>99</v>
      </c>
      <c r="O12" s="132">
        <f>IF($V$10=FALSE,IF($H$16&gt;R12,IF($H$16&lt;S12,1,0),0),0)</f>
        <v>0</v>
      </c>
      <c r="P12" s="132">
        <f>IF($V$10=TRUE,IF($H$16&gt;V12,IF($H$16&lt;W12,1.5,0),0),0)</f>
        <v>0</v>
      </c>
      <c r="Q12" s="119"/>
      <c r="R12" s="877">
        <v>1159.99</v>
      </c>
      <c r="S12" s="877">
        <v>2265</v>
      </c>
      <c r="T12" s="752"/>
      <c r="U12" s="130"/>
      <c r="V12" s="718">
        <v>1739.99</v>
      </c>
      <c r="W12" s="718">
        <v>3398</v>
      </c>
      <c r="X12" s="718"/>
      <c r="Y12" s="164" t="str">
        <f>CenAVS!A128</f>
        <v xml:space="preserve">Aventos HKi najmocniejszy Blumotion Onyx      </v>
      </c>
      <c r="Z12" s="164" t="str">
        <f>CenAVS!B128</f>
        <v>24K2800</v>
      </c>
      <c r="AA12" s="301" t="str">
        <f>CenAVS!C128</f>
        <v>OS</v>
      </c>
      <c r="AB12" s="165">
        <f t="shared" si="2"/>
        <v>0</v>
      </c>
      <c r="AC12" s="395">
        <f>CenAVS!F128</f>
        <v>933.08410000000003</v>
      </c>
      <c r="AD12" s="167">
        <f t="shared" si="3"/>
        <v>0</v>
      </c>
      <c r="AE12" s="407">
        <f>IF(U$16=1, ROUNDUP(SUM(O14:P14)*$M$17,0),0)</f>
        <v>0</v>
      </c>
      <c r="AF12" s="168">
        <f t="shared" si="0"/>
        <v>0</v>
      </c>
      <c r="AG12" s="407">
        <f>IF($U$27=1, ROUNDUP(SUM(O25:P25)*$M$28,0),0)</f>
        <v>0</v>
      </c>
      <c r="AH12" s="168">
        <f t="shared" si="1"/>
        <v>0</v>
      </c>
      <c r="AI12" s="718"/>
      <c r="AJ12" s="718"/>
      <c r="AK12" s="718"/>
      <c r="AL12" s="108"/>
      <c r="AM12" s="108"/>
      <c r="AN12" s="670"/>
      <c r="AO12" s="137"/>
      <c r="AP12" s="137"/>
      <c r="AQ12" s="1229" t="s">
        <v>100</v>
      </c>
      <c r="AR12" s="1230"/>
      <c r="AS12" s="743" t="s">
        <v>643</v>
      </c>
      <c r="AT12" s="255"/>
      <c r="AU12" s="255"/>
    </row>
    <row r="13" spans="2:51" s="37" customFormat="1" ht="16.149999999999999" customHeight="1" x14ac:dyDescent="0.2">
      <c r="B13" s="1055" t="str">
        <f>ListAVS!$B$293</f>
        <v>Obliczenie wagi</v>
      </c>
      <c r="C13" s="1055"/>
      <c r="D13" s="1053" t="str">
        <f>ListAVS!$B$80&amp;" TS [mm] "</f>
        <v xml:space="preserve">Grubość frontu TS [mm] </v>
      </c>
      <c r="E13" s="1053"/>
      <c r="F13" s="1053"/>
      <c r="G13" s="1054"/>
      <c r="H13" s="258"/>
      <c r="I13" s="256" t="str">
        <f>IF(H17=0," ",IF(AND(H12=0, H13=0)," ● "&amp;ListAVS!$B$129," "))&amp;IF(H17=0," ",IF(AND(H12=0, H13&lt;14), " min. 14 mm", " "))</f>
        <v xml:space="preserve">  </v>
      </c>
      <c r="J13" s="255"/>
      <c r="K13" s="255"/>
      <c r="L13" s="255"/>
      <c r="N13" s="119" t="s">
        <v>101</v>
      </c>
      <c r="O13" s="132">
        <f>IF($V$10=FALSE,IF($H$16&gt;R13,IF($H$16&lt;S13,1,0),0),0)</f>
        <v>0</v>
      </c>
      <c r="P13" s="132">
        <f>IF($V$10=TRUE,IF($H$16&gt;V13,IF($H$16&lt;W13,1.5,0),0),0)</f>
        <v>0</v>
      </c>
      <c r="Q13" s="119"/>
      <c r="R13" s="877">
        <v>2264.9899999999998</v>
      </c>
      <c r="S13" s="877">
        <v>3470</v>
      </c>
      <c r="V13" s="718">
        <v>3397.99</v>
      </c>
      <c r="W13" s="718">
        <f>S13*1.5</f>
        <v>5205</v>
      </c>
      <c r="X13" s="718"/>
      <c r="Y13" s="164"/>
      <c r="Z13" s="164"/>
      <c r="AA13" s="301"/>
      <c r="AB13" s="165"/>
      <c r="AC13" s="395"/>
      <c r="AD13" s="167"/>
      <c r="AE13" s="407"/>
      <c r="AF13" s="168"/>
      <c r="AG13" s="407"/>
      <c r="AH13" s="168"/>
      <c r="AI13" s="718"/>
      <c r="AJ13" s="718"/>
      <c r="AK13" s="718"/>
      <c r="AL13" s="108"/>
      <c r="AM13" s="108"/>
      <c r="AN13" s="670"/>
      <c r="AO13" s="137"/>
      <c r="AP13" s="137"/>
      <c r="AQ13" s="1229" t="s">
        <v>753</v>
      </c>
      <c r="AR13" s="1230"/>
      <c r="AS13" s="743" t="s">
        <v>644</v>
      </c>
      <c r="AT13" s="255"/>
      <c r="AU13" s="255"/>
    </row>
    <row r="14" spans="2:51" s="37" customFormat="1" ht="16.149999999999999" customHeight="1" x14ac:dyDescent="0.2">
      <c r="B14" s="1055"/>
      <c r="C14" s="1055"/>
      <c r="D14" s="1053" t="str">
        <f>ListAVS!$B$83&amp;" [kg] "</f>
        <v xml:space="preserve">Waga uchwytu [kg] </v>
      </c>
      <c r="E14" s="1053"/>
      <c r="F14" s="1053"/>
      <c r="G14" s="1054"/>
      <c r="H14" s="258"/>
      <c r="I14" s="256" t="str">
        <f>IF(H17=0, " ", IF(AND(H12=0, U16=1, H14=0), " ● "&amp;ListAVS!$B$130," "))</f>
        <v xml:space="preserve"> </v>
      </c>
      <c r="J14" s="255"/>
      <c r="K14" s="255"/>
      <c r="L14" s="255"/>
      <c r="N14" s="119" t="s">
        <v>640</v>
      </c>
      <c r="O14" s="132">
        <f>IF($V$10=FALSE,IF($H$16&gt;R14,IF($H$16&lt;S14,1,0),0),0)</f>
        <v>0</v>
      </c>
      <c r="P14" s="132">
        <f>IF($V$10=TRUE,IF($H$16&gt;V14,IF($H$16&lt;W14,1.5,0),0),0)</f>
        <v>0</v>
      </c>
      <c r="Q14" s="119"/>
      <c r="R14" s="877">
        <v>3469.99</v>
      </c>
      <c r="S14" s="877">
        <v>7800</v>
      </c>
      <c r="V14" s="718">
        <v>5204.99</v>
      </c>
      <c r="W14" s="718">
        <f>S14*1.5</f>
        <v>11700</v>
      </c>
      <c r="X14" s="718"/>
      <c r="Y14" s="164" t="str">
        <f>CenAVS!A130</f>
        <v xml:space="preserve">Aventos HKi słaby Tip-on Onyx      </v>
      </c>
      <c r="Z14" s="164" t="str">
        <f>CenAVS!B130</f>
        <v>24K2300T</v>
      </c>
      <c r="AA14" s="301" t="str">
        <f>CenAVS!C130</f>
        <v>OS</v>
      </c>
      <c r="AB14" s="165">
        <f t="shared" si="2"/>
        <v>0</v>
      </c>
      <c r="AC14" s="395">
        <f>CenAVS!F130</f>
        <v>891.34664000000009</v>
      </c>
      <c r="AD14" s="167">
        <f t="shared" si="3"/>
        <v>0</v>
      </c>
      <c r="AE14" s="407">
        <f>IF($U$16=2, ROUNDUP(SUM(O11:P11)*$M$17,0),0)</f>
        <v>0</v>
      </c>
      <c r="AF14" s="168">
        <f t="shared" si="0"/>
        <v>0</v>
      </c>
      <c r="AG14" s="407">
        <f>IF($U$27=2, ROUNDUP(SUM(O22:P22)*$M$28,0),0)</f>
        <v>0</v>
      </c>
      <c r="AH14" s="168">
        <f t="shared" si="1"/>
        <v>0</v>
      </c>
      <c r="AI14" s="718"/>
      <c r="AJ14" s="718"/>
      <c r="AK14" s="718"/>
      <c r="AL14" s="108"/>
      <c r="AM14" s="108"/>
      <c r="AN14" s="670"/>
      <c r="AO14" s="137"/>
      <c r="AP14" s="137"/>
      <c r="AQ14" s="255"/>
      <c r="AR14" s="255"/>
      <c r="AS14" s="255"/>
      <c r="AT14" s="255"/>
      <c r="AU14" s="255"/>
    </row>
    <row r="15" spans="2:51" s="37" customFormat="1" ht="16.149999999999999" customHeight="1" x14ac:dyDescent="0.2">
      <c r="B15" s="1055"/>
      <c r="C15" s="1055"/>
      <c r="D15" s="1053" t="str">
        <f>ListAVS!$B$79&amp;" [kg] "</f>
        <v xml:space="preserve">Obliczona waga frontu [kg] </v>
      </c>
      <c r="E15" s="1053"/>
      <c r="F15" s="1053"/>
      <c r="G15" s="1054"/>
      <c r="H15" s="259">
        <f>$T$80</f>
        <v>0</v>
      </c>
      <c r="I15" s="227" t="str">
        <f>IF(AND($H17&gt;0,$H15&gt;0,$H12=0,$M17&gt;0), $N$37," ")&amp;IF(AND(H17&gt;0, H12=0, Z77=3, $J$4=0), $N$35, " ")</f>
        <v xml:space="preserve">  </v>
      </c>
      <c r="J15" s="255"/>
      <c r="K15" s="255"/>
      <c r="L15" s="255"/>
      <c r="U15" s="174" t="str">
        <f>IF(U16=1,$V$46, $V$47)</f>
        <v>Standard</v>
      </c>
      <c r="Y15" s="164" t="str">
        <f>CenAVS!A131</f>
        <v xml:space="preserve">Aventos HKi średni Tip-on Onyx      </v>
      </c>
      <c r="Z15" s="164" t="str">
        <f>CenAVS!B131</f>
        <v>24K2500T</v>
      </c>
      <c r="AA15" s="301" t="str">
        <f>CenAVS!C131</f>
        <v>OS</v>
      </c>
      <c r="AB15" s="165">
        <f t="shared" si="2"/>
        <v>0</v>
      </c>
      <c r="AC15" s="395">
        <f>CenAVS!F131</f>
        <v>891.34664000000009</v>
      </c>
      <c r="AD15" s="167">
        <f t="shared" si="3"/>
        <v>0</v>
      </c>
      <c r="AE15" s="407">
        <f>IF($U$16=2, ROUNDUP(SUM(O12:P12)*$M$17,0),0)</f>
        <v>0</v>
      </c>
      <c r="AF15" s="168">
        <f t="shared" si="0"/>
        <v>0</v>
      </c>
      <c r="AG15" s="407">
        <f>IF($U$27=2, ROUNDUP(SUM(O23:P23)*$M$28,0),0)</f>
        <v>0</v>
      </c>
      <c r="AH15" s="168">
        <f t="shared" si="1"/>
        <v>0</v>
      </c>
      <c r="AL15" s="108"/>
      <c r="AM15" s="108"/>
      <c r="AN15" s="255"/>
      <c r="AO15" s="137"/>
      <c r="AP15" s="137"/>
      <c r="AQ15" s="1044" t="str">
        <f>ListAVS!$B$86&amp;" LF = "&amp;ListAVS!$B$75&amp;" KH [mm] x "&amp;ListAVS!$B$78&amp;" [kg]"</f>
        <v>Współczynnik mocy LF = Wysokość korpusu KH [mm] x Waga frontu wraz z 2 uchwytami [kg]</v>
      </c>
      <c r="AR15" s="1044"/>
      <c r="AS15" s="1044"/>
      <c r="AT15" s="1044"/>
      <c r="AU15" s="1044"/>
    </row>
    <row r="16" spans="2:51" s="37" customFormat="1" ht="16.149999999999999" customHeight="1" thickBot="1" x14ac:dyDescent="0.25">
      <c r="B16" s="1011" t="str">
        <f>ListAVS!$B$87&amp;" *      "</f>
        <v xml:space="preserve">Trzeci podnośnik *      </v>
      </c>
      <c r="C16" s="1012"/>
      <c r="D16" s="1011" t="str">
        <f>ListAVS!$B$86&amp;" LF "</f>
        <v xml:space="preserve">Współczynnik mocy LF </v>
      </c>
      <c r="E16" s="1012"/>
      <c r="F16" s="1012"/>
      <c r="G16" s="1013"/>
      <c r="H16" s="400">
        <f>IF(H12&gt;0,H11*H12,H11*H15)</f>
        <v>0</v>
      </c>
      <c r="I16" s="256" t="str">
        <f>IF(H17=0," ",IF($H16&lt;420,$N$39,IF($H16&gt;13500,$N$40,IF($H16&gt;9000,IF(V10=FALSE,$N$41," ")," "))))</f>
        <v xml:space="preserve"> </v>
      </c>
      <c r="J16" s="255"/>
      <c r="K16" s="255"/>
      <c r="L16" s="439"/>
      <c r="M16" s="118"/>
      <c r="N16" s="119"/>
      <c r="O16" s="132"/>
      <c r="P16" s="132"/>
      <c r="Q16" s="119"/>
      <c r="R16" s="718"/>
      <c r="S16" s="718"/>
      <c r="T16" s="202"/>
      <c r="U16" s="131">
        <v>1</v>
      </c>
      <c r="V16" s="718"/>
      <c r="W16" s="718"/>
      <c r="X16" s="718"/>
      <c r="Y16" s="164" t="str">
        <f>CenAVS!A132</f>
        <v xml:space="preserve">Aventos HKi silny Tip-on Onyx      </v>
      </c>
      <c r="Z16" s="164" t="str">
        <f>CenAVS!B132</f>
        <v>24K2700T</v>
      </c>
      <c r="AA16" s="301" t="str">
        <f>CenAVS!C132</f>
        <v>OS</v>
      </c>
      <c r="AB16" s="165">
        <f t="shared" si="2"/>
        <v>0</v>
      </c>
      <c r="AC16" s="395">
        <f>CenAVS!F132</f>
        <v>916.86846999999989</v>
      </c>
      <c r="AD16" s="167">
        <f t="shared" si="3"/>
        <v>0</v>
      </c>
      <c r="AE16" s="407">
        <f>IF($U$16=2, ROUNDUP(SUM(O13:P13)*$M$17,0),0)</f>
        <v>0</v>
      </c>
      <c r="AF16" s="168">
        <f t="shared" si="0"/>
        <v>0</v>
      </c>
      <c r="AG16" s="407">
        <f>IF($U$27=2, ROUNDUP(SUM(O24:P24)*$M$28,0),0)</f>
        <v>0</v>
      </c>
      <c r="AH16" s="168">
        <f t="shared" si="1"/>
        <v>0</v>
      </c>
      <c r="AI16" s="718"/>
      <c r="AJ16" s="718"/>
      <c r="AK16" s="718"/>
      <c r="AL16" s="108"/>
      <c r="AM16" s="108"/>
      <c r="AN16" s="255"/>
      <c r="AO16" s="137"/>
      <c r="AP16" s="137"/>
      <c r="AQ16" s="1044"/>
      <c r="AR16" s="1044"/>
      <c r="AS16" s="1044"/>
      <c r="AT16" s="1044"/>
      <c r="AU16" s="1044"/>
    </row>
    <row r="17" spans="1:49" s="37" customFormat="1" ht="16.149999999999999" customHeight="1" thickBot="1" x14ac:dyDescent="0.25">
      <c r="B17" s="1011" t="str">
        <f>ListAVS!$B$71&amp;" "</f>
        <v xml:space="preserve">Ilość szafek </v>
      </c>
      <c r="C17" s="1012"/>
      <c r="D17" s="1012"/>
      <c r="E17" s="1012"/>
      <c r="F17" s="1012"/>
      <c r="G17" s="1012"/>
      <c r="H17" s="437"/>
      <c r="I17" s="256" t="str">
        <f>IF($H16&gt;13500," ",IF($H16&gt;9000,IF(V10=FALSE,$N$42," ")," "))</f>
        <v xml:space="preserve"> </v>
      </c>
      <c r="J17" s="255"/>
      <c r="K17" s="255"/>
      <c r="L17" s="255"/>
      <c r="M17" s="315">
        <f>IF($H10*$H11*$T17=0,0,IF(OR($H11&lt;170,H11&gt;600),0,IF(H16&lt;420,0,IF($H16&gt;13500,0,IF(AND($H12=0,$H13&lt;14),0,IF(H16&gt;9000,IF(V10=FALSE,0,$H17),$H17))))))</f>
        <v>0</v>
      </c>
      <c r="N17" s="119"/>
      <c r="O17" s="132"/>
      <c r="P17" s="132"/>
      <c r="Q17" s="119"/>
      <c r="R17" s="718"/>
      <c r="S17" s="690" t="s">
        <v>51</v>
      </c>
      <c r="T17" s="691">
        <f>IF(H12&gt;0,H12,H15)</f>
        <v>0</v>
      </c>
      <c r="U17" s="37">
        <f>IF(SUM(H12,H15)=0,0,IF(H12&gt;0,1,2))</f>
        <v>0</v>
      </c>
      <c r="V17" s="571" t="s">
        <v>52</v>
      </c>
      <c r="X17" s="718"/>
      <c r="Y17" s="164" t="str">
        <f>CenAVS!A133</f>
        <v xml:space="preserve">Aventos HKi najsilniejszy Tip-on Onyx      </v>
      </c>
      <c r="Z17" s="164" t="str">
        <f>CenAVS!B133</f>
        <v>24K2800T</v>
      </c>
      <c r="AA17" s="301" t="str">
        <f>CenAVS!C133</f>
        <v>OS</v>
      </c>
      <c r="AB17" s="165">
        <f t="shared" si="2"/>
        <v>0</v>
      </c>
      <c r="AC17" s="395">
        <f>CenAVS!F133</f>
        <v>955.10937000000001</v>
      </c>
      <c r="AD17" s="167">
        <f t="shared" si="3"/>
        <v>0</v>
      </c>
      <c r="AE17" s="407">
        <f>IF($U$16=2, ROUNDUP(SUM(O14:P14)*$M$17,0),0)</f>
        <v>0</v>
      </c>
      <c r="AF17" s="168">
        <f t="shared" si="0"/>
        <v>0</v>
      </c>
      <c r="AG17" s="407">
        <f>IF($U$27=2, ROUNDUP(SUM(O25:P25)*$M$28,0),0)</f>
        <v>0</v>
      </c>
      <c r="AH17" s="168">
        <f t="shared" si="1"/>
        <v>0</v>
      </c>
      <c r="AI17" s="718"/>
      <c r="AJ17" s="718"/>
      <c r="AK17" s="718"/>
      <c r="AL17" s="108"/>
      <c r="AM17" s="108"/>
      <c r="AN17" s="255"/>
      <c r="AO17" s="137"/>
      <c r="AP17" s="137"/>
      <c r="AQ17" s="1044" t="str">
        <f>ListAVS!$B$355</f>
        <v>W razie wykorzystania trzeciego siłownika współczynnik mocy oraz waga frontu mogą się zwiększyć o 50 %.</v>
      </c>
      <c r="AR17" s="1044"/>
      <c r="AS17" s="1044"/>
      <c r="AT17" s="1044"/>
      <c r="AU17" s="1044"/>
    </row>
    <row r="18" spans="1:49" s="37" customFormat="1" ht="16.149999999999999" customHeight="1" x14ac:dyDescent="0.2">
      <c r="B18" s="255" t="str">
        <f>IF(H17&gt;0,IF(OR(U17=0,M17=0), " ",IF(U17=1, $N$49, $N$50))," ")&amp;IF(H17&gt;0,IF(OR(U17=0, M17=0), " ",IF(U17=1, $N$51, $N$52))," ")</f>
        <v xml:space="preserve">  </v>
      </c>
      <c r="C18" s="255"/>
      <c r="D18" s="255"/>
      <c r="E18" s="255"/>
      <c r="F18" s="433"/>
      <c r="G18" s="433"/>
      <c r="H18" s="255"/>
      <c r="I18" s="255"/>
      <c r="J18" s="255"/>
      <c r="K18" s="255"/>
      <c r="L18" s="255"/>
      <c r="M18" s="118"/>
      <c r="N18" s="119"/>
      <c r="O18" s="132"/>
      <c r="P18" s="132"/>
      <c r="Q18" s="119"/>
      <c r="R18" s="718"/>
      <c r="S18" s="718"/>
      <c r="T18" s="119"/>
      <c r="U18" s="151"/>
      <c r="V18" s="718"/>
      <c r="W18" s="718"/>
      <c r="X18" s="718"/>
      <c r="Y18" s="164"/>
      <c r="Z18" s="164"/>
      <c r="AA18" s="301"/>
      <c r="AB18" s="165"/>
      <c r="AC18" s="395"/>
      <c r="AD18" s="167"/>
      <c r="AE18" s="407"/>
      <c r="AF18" s="168"/>
      <c r="AG18" s="407"/>
      <c r="AH18" s="168"/>
      <c r="AI18" s="749"/>
      <c r="AJ18" s="749"/>
      <c r="AK18" s="749"/>
      <c r="AL18" s="108"/>
      <c r="AM18" s="108"/>
      <c r="AN18" s="692"/>
      <c r="AO18" s="137"/>
      <c r="AP18" s="137"/>
      <c r="AQ18" s="1044"/>
      <c r="AR18" s="1044"/>
      <c r="AS18" s="1044"/>
      <c r="AT18" s="1044"/>
      <c r="AU18" s="1044"/>
    </row>
    <row r="19" spans="1:49" s="37" customFormat="1" ht="25.15" customHeight="1" thickBot="1" x14ac:dyDescent="0.25">
      <c r="B19" s="255"/>
      <c r="C19" s="255"/>
      <c r="D19" s="255"/>
      <c r="E19" s="255"/>
      <c r="F19" s="433"/>
      <c r="G19" s="433"/>
      <c r="H19" s="255"/>
      <c r="I19" s="255"/>
      <c r="J19" s="255"/>
      <c r="K19" s="255"/>
      <c r="L19" s="255"/>
      <c r="M19" s="118"/>
      <c r="N19" s="119"/>
      <c r="O19" s="132"/>
      <c r="P19" s="132"/>
      <c r="Q19" s="119"/>
      <c r="R19" s="718"/>
      <c r="S19" s="718"/>
      <c r="T19" s="119"/>
      <c r="U19" s="151"/>
      <c r="V19" s="718"/>
      <c r="W19" s="718"/>
      <c r="X19" s="718"/>
      <c r="Y19" s="164" t="str">
        <f>CenAVS!A135</f>
        <v xml:space="preserve">Aventos HKi mocowanie frontu Expando Onyx     </v>
      </c>
      <c r="Z19" s="164" t="str">
        <f>CenAVS!B135</f>
        <v>24K42E1</v>
      </c>
      <c r="AA19" s="301" t="str">
        <f>CenAVS!C135</f>
        <v>OS</v>
      </c>
      <c r="AB19" s="165">
        <f t="shared" si="2"/>
        <v>0</v>
      </c>
      <c r="AC19" s="395">
        <f>CenAVS!F135</f>
        <v>22.944630000000004</v>
      </c>
      <c r="AD19" s="167">
        <f t="shared" si="3"/>
        <v>0</v>
      </c>
      <c r="AE19" s="407">
        <f>SUM($AE$9:$AE$17)*2</f>
        <v>0</v>
      </c>
      <c r="AF19" s="168">
        <f t="shared" si="0"/>
        <v>0</v>
      </c>
      <c r="AG19" s="407">
        <f>SUM($AG$9:$AG$17)*2</f>
        <v>0</v>
      </c>
      <c r="AH19" s="168">
        <f t="shared" si="1"/>
        <v>0</v>
      </c>
      <c r="AI19" s="444"/>
      <c r="AJ19" s="444"/>
      <c r="AK19" s="444"/>
      <c r="AL19" s="108"/>
      <c r="AM19" s="108"/>
      <c r="AN19" s="255"/>
      <c r="AO19" s="137"/>
      <c r="AP19" s="137"/>
      <c r="AQ19" s="255"/>
      <c r="AR19" s="255"/>
      <c r="AS19" s="255"/>
      <c r="AT19" s="255"/>
      <c r="AU19" s="255"/>
    </row>
    <row r="20" spans="1:49" s="37" customFormat="1" ht="16.149999999999999" customHeight="1" thickBot="1" x14ac:dyDescent="0.25">
      <c r="B20" s="1051" t="str">
        <f>"▼ "&amp;ListAVS!$B$318</f>
        <v>▼ Sposób otwierania</v>
      </c>
      <c r="C20" s="1052"/>
      <c r="D20" s="406" t="str">
        <f>IF($M$28&gt;0, ListAVS!$B$37&amp;": ", " ")</f>
        <v xml:space="preserve"> </v>
      </c>
      <c r="E20" s="688" t="str">
        <f>IF($AG$9&gt;0,"23",IF($AG$10&gt;0,"25",IF($AG$11&gt;0,"27",IF($AG$12&gt;0,"28",IF($AG$14&gt;0,"23T",IF($AG$15&gt;0,"25T",IF($AG$16&gt;0,"27T",IF($AG$17&gt;0,"28T"," "))))))))</f>
        <v xml:space="preserve"> </v>
      </c>
      <c r="F20" s="1056" t="str">
        <f>ListAVS!$B$64&amp;" B"</f>
        <v>Korpus B</v>
      </c>
      <c r="G20" s="1057"/>
      <c r="H20" s="1058"/>
      <c r="I20" s="273"/>
      <c r="J20" s="255"/>
      <c r="K20" s="255"/>
      <c r="L20" s="255"/>
      <c r="N20" s="119"/>
      <c r="O20" s="132"/>
      <c r="P20" s="119"/>
      <c r="Q20" s="132"/>
      <c r="R20" s="1181" t="s">
        <v>89</v>
      </c>
      <c r="S20" s="1182"/>
      <c r="T20" s="119"/>
      <c r="U20" s="130"/>
      <c r="V20" s="1181" t="s">
        <v>90</v>
      </c>
      <c r="W20" s="1182"/>
      <c r="X20" s="749"/>
      <c r="Y20" s="164" t="str">
        <f>CenAVS!A136</f>
        <v xml:space="preserve">Aventos HKi mocowanie frontu alu ramki Onyx    </v>
      </c>
      <c r="Z20" s="164" t="str">
        <f>CenAVS!B136</f>
        <v>24K4201A</v>
      </c>
      <c r="AA20" s="301" t="str">
        <f>CenAVS!C136</f>
        <v>OS</v>
      </c>
      <c r="AB20" s="165">
        <f t="shared" si="2"/>
        <v>0</v>
      </c>
      <c r="AC20" s="395">
        <f>CenAVS!F136</f>
        <v>25.238869999999999</v>
      </c>
      <c r="AD20" s="167">
        <f t="shared" si="3"/>
        <v>0</v>
      </c>
      <c r="AE20" s="407"/>
      <c r="AF20" s="168">
        <f t="shared" si="0"/>
        <v>0</v>
      </c>
      <c r="AG20" s="407"/>
      <c r="AH20" s="168">
        <f t="shared" si="1"/>
        <v>0</v>
      </c>
      <c r="AI20" s="718"/>
      <c r="AJ20" s="718"/>
      <c r="AK20" s="718"/>
      <c r="AL20" s="108"/>
      <c r="AM20" s="108"/>
      <c r="AN20" s="255"/>
      <c r="AO20" s="137"/>
      <c r="AP20" s="137"/>
      <c r="AQ20" s="255"/>
      <c r="AR20" s="255"/>
      <c r="AS20" s="255"/>
      <c r="AT20" s="255"/>
      <c r="AU20" s="255"/>
    </row>
    <row r="21" spans="1:49" s="37" customFormat="1" ht="16.149999999999999" customHeight="1" x14ac:dyDescent="0.2">
      <c r="B21" s="1011" t="str">
        <f>ListAVS!$B$74&amp;" KB [mm] "</f>
        <v xml:space="preserve">Szerokość korpusu KB [mm] </v>
      </c>
      <c r="C21" s="1012"/>
      <c r="D21" s="1012"/>
      <c r="E21" s="1012"/>
      <c r="F21" s="1012"/>
      <c r="G21" s="1013"/>
      <c r="H21" s="435"/>
      <c r="I21" s="256" t="str">
        <f>IF($H21=0," ",IF($H21&lt;220," min. 220mm",IF($H21&gt;1800," max. 1 800mm"," ")))&amp;IF(H28&gt;0,IF(H21=0,"● "&amp;ListAVS!$B$129," ")," ")</f>
        <v xml:space="preserve">  </v>
      </c>
      <c r="J21" s="255"/>
      <c r="K21" s="255"/>
      <c r="L21" s="255"/>
      <c r="N21" s="198" t="s">
        <v>53</v>
      </c>
      <c r="O21" s="199" t="s">
        <v>91</v>
      </c>
      <c r="P21" s="200" t="s">
        <v>92</v>
      </c>
      <c r="Q21" s="119"/>
      <c r="R21" s="750" t="s">
        <v>93</v>
      </c>
      <c r="S21" s="750" t="s">
        <v>76</v>
      </c>
      <c r="T21" s="751"/>
      <c r="U21" s="132"/>
      <c r="V21" s="1185" t="b">
        <v>0</v>
      </c>
      <c r="W21" s="1186"/>
      <c r="X21" s="444"/>
      <c r="Y21" s="164"/>
      <c r="Z21" s="164"/>
      <c r="AA21" s="301"/>
      <c r="AB21" s="165"/>
      <c r="AC21" s="395"/>
      <c r="AD21" s="167"/>
      <c r="AE21" s="407"/>
      <c r="AF21" s="168"/>
      <c r="AG21" s="407"/>
      <c r="AH21" s="168"/>
      <c r="AI21" s="718"/>
      <c r="AJ21" s="718"/>
      <c r="AK21" s="718"/>
      <c r="AL21" s="108"/>
      <c r="AM21" s="108"/>
      <c r="AN21" s="255"/>
      <c r="AO21" s="137"/>
      <c r="AP21" s="137"/>
      <c r="AQ21" s="680"/>
      <c r="AR21" s="255"/>
      <c r="AS21" s="255"/>
      <c r="AT21" s="255"/>
      <c r="AU21" s="255"/>
    </row>
    <row r="22" spans="1:49" s="37" customFormat="1" ht="16.149999999999999" customHeight="1" x14ac:dyDescent="0.2">
      <c r="B22" s="1011" t="str">
        <f>ListAVS!$B$75&amp;" KH [mm] "</f>
        <v xml:space="preserve">Wysokość korpusu KH [mm] </v>
      </c>
      <c r="C22" s="1012"/>
      <c r="D22" s="1012"/>
      <c r="E22" s="1012"/>
      <c r="F22" s="1012"/>
      <c r="G22" s="1013"/>
      <c r="H22" s="435"/>
      <c r="I22" s="256" t="str">
        <f>IF($H22=0," ",IF($H22&lt;170," min. 170mm",IF($H22&gt;600," max. 600 mm!"," ")))&amp;IF(H28&gt;0,IF(H22=0,"● "&amp;ListAVS!$B$129," ")," ")</f>
        <v xml:space="preserve">  </v>
      </c>
      <c r="J22" s="255"/>
      <c r="K22" s="255"/>
      <c r="L22" s="255"/>
      <c r="N22" s="119" t="s">
        <v>97</v>
      </c>
      <c r="O22" s="132">
        <f>IF($V$21=FALSE,IF($H$27&gt;R22,IF($H$27&lt;S22,1,0),0),0)</f>
        <v>0</v>
      </c>
      <c r="P22" s="132">
        <f>IF($V$21=TRUE,IF($H$27&gt;V22,IF($H$27&lt;W22,1.5,0),0),0)</f>
        <v>0</v>
      </c>
      <c r="Q22" s="119"/>
      <c r="R22" s="877">
        <v>420</v>
      </c>
      <c r="S22" s="877">
        <v>1160</v>
      </c>
      <c r="T22" s="752"/>
      <c r="U22" s="119"/>
      <c r="V22" s="718">
        <f>R22*1.5</f>
        <v>630</v>
      </c>
      <c r="W22" s="718">
        <f>S22*1.5</f>
        <v>1740</v>
      </c>
      <c r="X22" s="718"/>
      <c r="Y22" s="164" t="str">
        <f>CenAVS!A138</f>
        <v xml:space="preserve">Aventos HKi zestaw zaślepek jedwabiście biały SW    </v>
      </c>
      <c r="Z22" s="164" t="str">
        <f>CenAVS!B138</f>
        <v>24K8000</v>
      </c>
      <c r="AA22" s="301" t="str">
        <f>CenAVS!C138</f>
        <v>SW</v>
      </c>
      <c r="AB22" s="165">
        <f t="shared" si="2"/>
        <v>0</v>
      </c>
      <c r="AC22" s="395">
        <f>CenAVS!F138</f>
        <v>75.625519999999995</v>
      </c>
      <c r="AD22" s="167">
        <f t="shared" si="3"/>
        <v>0</v>
      </c>
      <c r="AE22" s="407">
        <f>IF(AND($R$44=2, $T$44=3),SUM($AE$9:$AE$17),0)</f>
        <v>0</v>
      </c>
      <c r="AF22" s="168">
        <f t="shared" si="0"/>
        <v>0</v>
      </c>
      <c r="AG22" s="407">
        <f>IF(AND($R$44=2, $T$44=3),SUM($AG$9:$AG$17),0)</f>
        <v>0</v>
      </c>
      <c r="AH22" s="168">
        <f t="shared" si="1"/>
        <v>0</v>
      </c>
      <c r="AI22" s="718"/>
      <c r="AJ22" s="718"/>
      <c r="AK22" s="718"/>
      <c r="AL22" s="108"/>
      <c r="AM22" s="108"/>
      <c r="AN22" s="255"/>
      <c r="AO22" s="137"/>
      <c r="AP22" s="137"/>
    </row>
    <row r="23" spans="1:49" s="37" customFormat="1" ht="16.149999999999999" customHeight="1" x14ac:dyDescent="0.2">
      <c r="B23" s="1011" t="str">
        <f>ListAVS!$B$78&amp;" [kg] ** "</f>
        <v xml:space="preserve">Waga frontu wraz z 2 uchwytami [kg] ** </v>
      </c>
      <c r="C23" s="1012"/>
      <c r="D23" s="1012"/>
      <c r="E23" s="1012"/>
      <c r="F23" s="1012"/>
      <c r="G23" s="1013"/>
      <c r="H23" s="258"/>
      <c r="I23" s="227" t="str">
        <f>IF($H28=0," ",IF(SUM($H23,$H26)=0,$N$36," "))&amp;IF($H28&gt;0,IF($H23&gt;0,$N$37," ")," ")</f>
        <v xml:space="preserve">  </v>
      </c>
      <c r="J23" s="255"/>
      <c r="K23" s="255"/>
      <c r="L23" s="255"/>
      <c r="N23" s="119" t="s">
        <v>99</v>
      </c>
      <c r="O23" s="132">
        <f>IF($V$21=FALSE,IF($H$27&gt;R23,IF($H$27&lt;S23,1,0),0),0)</f>
        <v>0</v>
      </c>
      <c r="P23" s="132">
        <f>IF($V$21=TRUE,IF($H$27&gt;V23,IF($H$27&lt;W23,1.5,0),0),0)</f>
        <v>0</v>
      </c>
      <c r="Q23" s="119"/>
      <c r="R23" s="877">
        <v>1159.99</v>
      </c>
      <c r="S23" s="877">
        <v>2265</v>
      </c>
      <c r="T23" s="752"/>
      <c r="U23" s="130"/>
      <c r="V23" s="718">
        <v>1739.99</v>
      </c>
      <c r="W23" s="718">
        <v>3398</v>
      </c>
      <c r="X23" s="718"/>
      <c r="Y23" s="164" t="str">
        <f>CenAVS!A139</f>
        <v xml:space="preserve">Aventos HKi zestaw zaślepek szary HG     </v>
      </c>
      <c r="Z23" s="164" t="str">
        <f>CenAVS!B139</f>
        <v>24K8000</v>
      </c>
      <c r="AA23" s="301" t="str">
        <f>CenAVS!C139</f>
        <v>HGR</v>
      </c>
      <c r="AB23" s="165">
        <f t="shared" si="2"/>
        <v>0</v>
      </c>
      <c r="AC23" s="395">
        <f>CenAVS!F139</f>
        <v>73.422380000000004</v>
      </c>
      <c r="AD23" s="167">
        <f t="shared" si="3"/>
        <v>0</v>
      </c>
      <c r="AE23" s="407">
        <f>IF(AND($R$44=2, $T$44=1),SUM($AE$9:$AE$17),0)</f>
        <v>0</v>
      </c>
      <c r="AF23" s="168">
        <f t="shared" si="0"/>
        <v>0</v>
      </c>
      <c r="AG23" s="407">
        <f>IF(AND($R$44=2, $T$44=1),SUM($AG$9:$AG$17),0)</f>
        <v>0</v>
      </c>
      <c r="AH23" s="168">
        <f t="shared" si="1"/>
        <v>0</v>
      </c>
      <c r="AI23" s="718"/>
      <c r="AJ23" s="718"/>
      <c r="AK23" s="718"/>
      <c r="AL23" s="108"/>
      <c r="AM23" s="108"/>
      <c r="AN23" s="255"/>
      <c r="AO23" s="137"/>
    </row>
    <row r="24" spans="1:49" s="37" customFormat="1" ht="16.149999999999999" customHeight="1" x14ac:dyDescent="0.2">
      <c r="B24" s="1055" t="str">
        <f>ListAVS!$B$293</f>
        <v>Obliczenie wagi</v>
      </c>
      <c r="C24" s="1055"/>
      <c r="D24" s="1053" t="str">
        <f>ListAVS!$B$80&amp;" TS [mm] "</f>
        <v xml:space="preserve">Grubość frontu TS [mm] </v>
      </c>
      <c r="E24" s="1053"/>
      <c r="F24" s="1053"/>
      <c r="G24" s="1054"/>
      <c r="H24" s="258"/>
      <c r="I24" s="256" t="str">
        <f>IF(H28=0," ",IF(AND(H23=0, H24=0)," ● "&amp;ListAVS!$B$129," "))&amp;IF(H28=0," ",IF(AND(H23=0, H24&lt;14), " min. 14 mm", " "))</f>
        <v xml:space="preserve">  </v>
      </c>
      <c r="J24" s="255"/>
      <c r="K24" s="255"/>
      <c r="L24" s="255"/>
      <c r="N24" s="119" t="s">
        <v>101</v>
      </c>
      <c r="O24" s="132">
        <f>IF($V$21=FALSE,IF($H$27&gt;R24,IF($H$27&lt;S24,1,0),0),0)</f>
        <v>0</v>
      </c>
      <c r="P24" s="132">
        <f>IF($V$21=TRUE,IF($H$27&gt;V24,IF($H$27&lt;W24,1.5,0),0),0)</f>
        <v>0</v>
      </c>
      <c r="Q24" s="119"/>
      <c r="R24" s="877">
        <v>2264.9899999999998</v>
      </c>
      <c r="S24" s="877">
        <v>3470</v>
      </c>
      <c r="V24" s="718">
        <v>3397.99</v>
      </c>
      <c r="W24" s="718">
        <f>S24*1.5</f>
        <v>5205</v>
      </c>
      <c r="X24" s="718"/>
      <c r="Y24" s="164" t="str">
        <f>CenAVS!A140</f>
        <v xml:space="preserve">24K8000 Aventos Hki zestaw zaślepek ciemnoszary TG    </v>
      </c>
      <c r="Z24" s="164" t="str">
        <f>CenAVS!B140</f>
        <v>24K8000</v>
      </c>
      <c r="AA24" s="301" t="str">
        <f>CenAVS!C140</f>
        <v>TGR</v>
      </c>
      <c r="AB24" s="165">
        <f t="shared" si="2"/>
        <v>0</v>
      </c>
      <c r="AC24" s="395">
        <f>CenAVS!F140</f>
        <v>75.625519999999995</v>
      </c>
      <c r="AD24" s="167">
        <f t="shared" si="3"/>
        <v>0</v>
      </c>
      <c r="AE24" s="407">
        <f>IF(AND($R$44=2, $T$44=2),SUM($AE$9:$AE$17),0)</f>
        <v>0</v>
      </c>
      <c r="AF24" s="168">
        <f t="shared" si="0"/>
        <v>0</v>
      </c>
      <c r="AG24" s="407">
        <f>IF(AND($R$44=2, $T$44=2),SUM($AG$9:$AG$17),0)</f>
        <v>0</v>
      </c>
      <c r="AH24" s="168">
        <f t="shared" si="1"/>
        <v>0</v>
      </c>
      <c r="AL24" s="108"/>
      <c r="AM24" s="108"/>
      <c r="AN24" s="137"/>
      <c r="AP24" s="137"/>
      <c r="AQ24" s="137"/>
      <c r="AR24" s="137"/>
      <c r="AS24" s="137"/>
      <c r="AT24" s="137"/>
      <c r="AU24" s="137"/>
      <c r="AV24" s="137"/>
    </row>
    <row r="25" spans="1:49" s="37" customFormat="1" ht="16.149999999999999" customHeight="1" x14ac:dyDescent="0.2">
      <c r="B25" s="1055"/>
      <c r="C25" s="1055"/>
      <c r="D25" s="1053" t="str">
        <f>ListAVS!$B$83&amp;" [kg] "</f>
        <v xml:space="preserve">Waga uchwytu [kg] </v>
      </c>
      <c r="E25" s="1053"/>
      <c r="F25" s="1053"/>
      <c r="G25" s="1054"/>
      <c r="H25" s="258"/>
      <c r="I25" s="256" t="str">
        <f>IF(H28=0, " ", IF(AND(H23=0, U27=1, H25=0), " ● "&amp;ListAVS!$B$130," "))</f>
        <v xml:space="preserve"> </v>
      </c>
      <c r="J25" s="255"/>
      <c r="K25" s="255"/>
      <c r="L25" s="255"/>
      <c r="M25" s="118"/>
      <c r="N25" s="119" t="s">
        <v>640</v>
      </c>
      <c r="O25" s="132">
        <f>IF($V$21=FALSE,IF($H$27&gt;R25,IF($H$27&lt;S25,1,0),0),0)</f>
        <v>0</v>
      </c>
      <c r="P25" s="132">
        <f>IF($V$21=TRUE,IF($H$27&gt;V25,IF($H$27&lt;W25,1.5,0),0),0)</f>
        <v>0</v>
      </c>
      <c r="Q25" s="119"/>
      <c r="R25" s="877">
        <v>3469.99</v>
      </c>
      <c r="S25" s="877">
        <v>7800</v>
      </c>
      <c r="V25" s="718">
        <v>5204.99</v>
      </c>
      <c r="W25" s="718">
        <f>S25*1.5</f>
        <v>11700</v>
      </c>
      <c r="X25" s="718"/>
      <c r="Y25" s="164"/>
      <c r="Z25" s="164"/>
      <c r="AA25" s="301"/>
      <c r="AB25" s="165"/>
      <c r="AC25" s="395"/>
      <c r="AD25" s="167"/>
      <c r="AE25" s="407"/>
      <c r="AF25" s="168"/>
      <c r="AG25" s="407"/>
      <c r="AH25" s="168"/>
      <c r="AL25" s="108"/>
      <c r="AM25" s="108"/>
      <c r="AN25" s="137"/>
      <c r="AO25" s="137"/>
      <c r="AP25" s="137"/>
      <c r="AQ25" s="137"/>
      <c r="AR25" s="137"/>
      <c r="AS25" s="137"/>
      <c r="AT25" s="137"/>
      <c r="AU25" s="137"/>
      <c r="AV25" s="137"/>
    </row>
    <row r="26" spans="1:49" s="37" customFormat="1" ht="16.149999999999999" customHeight="1" x14ac:dyDescent="0.2">
      <c r="B26" s="1055"/>
      <c r="C26" s="1055"/>
      <c r="D26" s="1053" t="str">
        <f>ListAVS!$B$79&amp;" [kg] "</f>
        <v xml:space="preserve">Obliczona waga frontu [kg] </v>
      </c>
      <c r="E26" s="1053"/>
      <c r="F26" s="1053"/>
      <c r="G26" s="1054"/>
      <c r="H26" s="259">
        <f>$T$91</f>
        <v>0</v>
      </c>
      <c r="I26" s="227" t="str">
        <f>IF(AND($H28&gt;0,$H26&gt;0,$H23=0,$M28&gt;0), $N$37," ")&amp;IF(AND(H28&gt;0, H23=0, Z88=3, $J$4=0), $N$35, " ")</f>
        <v xml:space="preserve">  </v>
      </c>
      <c r="J26" s="255"/>
      <c r="K26" s="255"/>
      <c r="L26" s="255"/>
      <c r="T26" s="132"/>
      <c r="U26" s="174" t="str">
        <f>IF(U27=1,$V$46,$V$47)</f>
        <v>Standard</v>
      </c>
      <c r="Y26" s="164" t="str">
        <f>CenAVS!A144</f>
        <v xml:space="preserve">Zestaw wstępnie wyfrezowanych półfabrykatów HKi      </v>
      </c>
      <c r="Z26" s="164" t="str">
        <f>CenAVS!B144</f>
        <v>24K7100</v>
      </c>
      <c r="AA26" s="301" t="str">
        <f>CenAVS!C144</f>
        <v>NA</v>
      </c>
      <c r="AB26" s="965">
        <f>J32</f>
        <v>0</v>
      </c>
      <c r="AC26" s="395">
        <f>CenAVS!F144</f>
        <v>314.61586999999997</v>
      </c>
      <c r="AD26" s="167">
        <f t="shared" si="3"/>
        <v>0</v>
      </c>
      <c r="AE26" s="407"/>
      <c r="AF26" s="168">
        <f t="shared" si="0"/>
        <v>0</v>
      </c>
      <c r="AG26" s="407"/>
      <c r="AH26" s="168">
        <f t="shared" si="1"/>
        <v>0</v>
      </c>
      <c r="AL26" s="108"/>
      <c r="AM26" s="108"/>
      <c r="AN26" s="108"/>
      <c r="AO26" s="137"/>
      <c r="AP26" s="137"/>
      <c r="AQ26" s="137"/>
      <c r="AR26" s="137"/>
      <c r="AS26" s="137"/>
      <c r="AT26" s="137"/>
      <c r="AU26" s="137"/>
      <c r="AV26" s="137"/>
      <c r="AW26" s="137"/>
    </row>
    <row r="27" spans="1:49" s="37" customFormat="1" ht="16.149999999999999" customHeight="1" thickBot="1" x14ac:dyDescent="0.25">
      <c r="B27" s="1011" t="str">
        <f>ListAVS!$B$87&amp;" *      "</f>
        <v xml:space="preserve">Trzeci podnośnik *      </v>
      </c>
      <c r="C27" s="1012"/>
      <c r="D27" s="1011" t="str">
        <f>ListAVS!$B$86&amp;" LF "</f>
        <v xml:space="preserve">Współczynnik mocy LF </v>
      </c>
      <c r="E27" s="1012"/>
      <c r="F27" s="1012"/>
      <c r="G27" s="1013"/>
      <c r="H27" s="400">
        <f>IF(H23&gt;0,H22*H23,H22*H26)</f>
        <v>0</v>
      </c>
      <c r="I27" s="256" t="str">
        <f>IF(H28=0," ",IF($H27&lt;420,$N$39,IF($H27&gt;13500,$N$40,IF($H27&gt;9000,IF(V21=FALSE,$N$41," ")," "))))</f>
        <v xml:space="preserve"> </v>
      </c>
      <c r="J27" s="255"/>
      <c r="K27" s="248"/>
      <c r="L27" s="255"/>
      <c r="N27" s="137"/>
      <c r="O27" s="137"/>
      <c r="P27" s="137"/>
      <c r="Q27" s="137"/>
      <c r="T27" s="202"/>
      <c r="U27" s="131">
        <v>1</v>
      </c>
      <c r="Y27" s="164" t="str">
        <f>CenAVS!A145</f>
        <v xml:space="preserve">Podkładka do Aventos HKi       </v>
      </c>
      <c r="Z27" s="164" t="str">
        <f>CenAVS!B145</f>
        <v>M45.1010</v>
      </c>
      <c r="AA27" s="301" t="str">
        <f>CenAVS!C145</f>
        <v>NA</v>
      </c>
      <c r="AB27" s="965">
        <f>J33</f>
        <v>0</v>
      </c>
      <c r="AC27" s="395">
        <f>CenAVS!F145</f>
        <v>94.213800000000006</v>
      </c>
      <c r="AD27" s="167">
        <f t="shared" si="3"/>
        <v>0</v>
      </c>
      <c r="AE27" s="407"/>
      <c r="AF27" s="168">
        <f t="shared" si="0"/>
        <v>0</v>
      </c>
      <c r="AG27" s="407"/>
      <c r="AH27" s="168">
        <f t="shared" si="1"/>
        <v>0</v>
      </c>
      <c r="AI27" s="118"/>
      <c r="AJ27" s="118"/>
      <c r="AK27" s="118"/>
      <c r="AL27" s="108"/>
      <c r="AM27" s="108"/>
      <c r="AN27" s="693"/>
      <c r="AO27" s="137"/>
      <c r="AP27" s="137"/>
      <c r="AQ27" s="137"/>
      <c r="AR27" s="137"/>
      <c r="AS27" s="137"/>
      <c r="AT27" s="137"/>
      <c r="AU27" s="137"/>
      <c r="AV27" s="137"/>
      <c r="AW27" s="137"/>
    </row>
    <row r="28" spans="1:49" ht="16.149999999999999" customHeight="1" thickBot="1" x14ac:dyDescent="0.25">
      <c r="B28" s="1011" t="str">
        <f>ListAVS!$B$71&amp;" "</f>
        <v xml:space="preserve">Ilość szafek </v>
      </c>
      <c r="C28" s="1012"/>
      <c r="D28" s="1012"/>
      <c r="E28" s="1012"/>
      <c r="F28" s="1012"/>
      <c r="G28" s="1012"/>
      <c r="H28" s="437"/>
      <c r="I28" s="256" t="str">
        <f>IF($H27&gt;13500," ",IF($H27&gt;9000,IF(V21=FALSE,$N$42," ")," "))</f>
        <v xml:space="preserve"> </v>
      </c>
      <c r="J28" s="264"/>
      <c r="K28" s="396"/>
      <c r="L28" s="265"/>
      <c r="M28" s="315">
        <f>IF($H21*$H22*$T28=0,0,IF(OR($H22&lt;170,H22&gt;600),0,IF(H27&lt;420,0,IF($H27&gt;13500,0,IF(AND($H23=0,$H24&lt;14),0,IF(H27&gt;9000,IF(V21=FALSE,0,$H28),$H28))))))</f>
        <v>0</v>
      </c>
      <c r="N28" s="39"/>
      <c r="O28" s="39"/>
      <c r="P28" s="39"/>
      <c r="Q28" s="39"/>
      <c r="R28" s="137"/>
      <c r="S28" s="690" t="s">
        <v>51</v>
      </c>
      <c r="T28" s="691">
        <f>IF(H23&gt;0,H23,H26)</f>
        <v>0</v>
      </c>
      <c r="U28" s="37">
        <f>IF(SUM(H23,H26)=0,0,IF(H23&gt;0,1,2))</f>
        <v>0</v>
      </c>
      <c r="V28" s="571" t="s">
        <v>52</v>
      </c>
      <c r="Y28" s="164" t="str">
        <f>CenAVS!A146</f>
        <v xml:space="preserve">          </v>
      </c>
      <c r="Z28" s="164">
        <f>CenAVS!B146</f>
        <v>0</v>
      </c>
      <c r="AA28" s="301">
        <f>CenAVS!C146</f>
        <v>0</v>
      </c>
      <c r="AB28" s="165">
        <f t="shared" ref="AB28" si="4">SUM(AE28,AG28)</f>
        <v>0</v>
      </c>
      <c r="AC28" s="395">
        <f>CenAVS!F146</f>
        <v>0</v>
      </c>
      <c r="AD28" s="167">
        <f t="shared" si="3"/>
        <v>0</v>
      </c>
      <c r="AE28" s="407"/>
      <c r="AF28" s="168">
        <f t="shared" si="0"/>
        <v>0</v>
      </c>
      <c r="AG28" s="407"/>
      <c r="AH28" s="168">
        <f t="shared" si="1"/>
        <v>0</v>
      </c>
      <c r="AN28" s="693"/>
    </row>
    <row r="29" spans="1:49" ht="16.149999999999999" customHeight="1" x14ac:dyDescent="0.2">
      <c r="A29" s="137"/>
      <c r="B29" s="255" t="str">
        <f>IF(H28&gt;0,IF(OR(U28=0,M28=0), " ",IF(U28=1, $N$49, $N$50))," ")&amp;IF(H28&gt;0,IF(OR(U28=0, M28=0), " ",IF(U28=1, $N$51, $N$52))," ")</f>
        <v xml:space="preserve">  </v>
      </c>
      <c r="C29" s="255"/>
      <c r="D29" s="255"/>
      <c r="E29" s="255"/>
      <c r="F29" s="255"/>
      <c r="G29" s="255"/>
      <c r="H29" s="273"/>
      <c r="I29" s="273"/>
      <c r="J29" s="266"/>
      <c r="K29" s="266"/>
      <c r="L29" s="266"/>
      <c r="X29" s="118"/>
      <c r="Y29" s="164" t="str">
        <f>CenAVS!A147</f>
        <v xml:space="preserve">          </v>
      </c>
      <c r="Z29" s="164">
        <f>CenAVS!B147</f>
        <v>0</v>
      </c>
      <c r="AA29" s="301">
        <f>CenAVS!C147</f>
        <v>0</v>
      </c>
      <c r="AB29" s="165">
        <f t="shared" si="2"/>
        <v>0</v>
      </c>
      <c r="AC29" s="395">
        <f>CenAVS!F147</f>
        <v>0</v>
      </c>
      <c r="AD29" s="167">
        <f t="shared" si="3"/>
        <v>0</v>
      </c>
      <c r="AE29" s="407"/>
      <c r="AF29" s="168">
        <f t="shared" si="0"/>
        <v>0</v>
      </c>
      <c r="AG29" s="407"/>
      <c r="AH29" s="168">
        <f t="shared" si="1"/>
        <v>0</v>
      </c>
      <c r="AN29" s="693"/>
    </row>
    <row r="30" spans="1:49" ht="16.149999999999999" customHeight="1" x14ac:dyDescent="0.2">
      <c r="B30" s="396"/>
      <c r="C30" s="248"/>
      <c r="D30" s="396"/>
      <c r="E30" s="396"/>
      <c r="F30" s="274"/>
      <c r="G30" s="274"/>
      <c r="H30" s="396"/>
      <c r="I30" s="264"/>
      <c r="J30" s="264"/>
      <c r="K30" s="396"/>
      <c r="L30" s="265"/>
      <c r="S30" s="138">
        <f>IF($T$30=FALSE,2,1)</f>
        <v>2</v>
      </c>
      <c r="T30" s="1063" t="b">
        <v>0</v>
      </c>
      <c r="U30" s="1064"/>
      <c r="V30" s="139" t="s">
        <v>56</v>
      </c>
      <c r="W30" s="140"/>
      <c r="Y30" s="164"/>
      <c r="Z30" s="164"/>
      <c r="AA30" s="301"/>
      <c r="AB30" s="165"/>
      <c r="AC30" s="395"/>
      <c r="AD30" s="167">
        <f t="shared" si="3"/>
        <v>0</v>
      </c>
      <c r="AE30" s="407"/>
      <c r="AF30" s="168">
        <f t="shared" si="0"/>
        <v>0</v>
      </c>
      <c r="AG30" s="407"/>
      <c r="AH30" s="168">
        <f t="shared" si="1"/>
        <v>0</v>
      </c>
    </row>
    <row r="31" spans="1:49" ht="16.149999999999999" customHeight="1" x14ac:dyDescent="0.2">
      <c r="B31" s="227"/>
      <c r="C31" s="227"/>
      <c r="D31" s="227"/>
      <c r="E31" s="227"/>
      <c r="F31" s="227"/>
      <c r="G31" s="227"/>
      <c r="H31" s="227"/>
      <c r="I31" s="227"/>
      <c r="J31" s="269"/>
      <c r="K31" s="970"/>
      <c r="L31" s="397"/>
      <c r="Y31" s="164"/>
      <c r="Z31" s="164"/>
      <c r="AA31" s="301"/>
      <c r="AB31" s="165"/>
      <c r="AC31" s="395"/>
      <c r="AD31" s="167">
        <f t="shared" si="3"/>
        <v>0</v>
      </c>
      <c r="AE31" s="407"/>
      <c r="AF31" s="168">
        <f t="shared" si="0"/>
        <v>0</v>
      </c>
      <c r="AG31" s="407"/>
      <c r="AH31" s="168">
        <f t="shared" si="1"/>
        <v>0</v>
      </c>
      <c r="AN31" s="710"/>
    </row>
    <row r="32" spans="1:49" ht="16.149999999999999" customHeight="1" x14ac:dyDescent="0.2">
      <c r="B32" s="956" t="str">
        <f>ListAVS!B344&amp;" """&amp;ListAVS!B160&amp;""""</f>
        <v>Aby zamówić zestaw wstępnie wyfrezowanych boków, użyj "Dodatki"</v>
      </c>
      <c r="C32" s="227"/>
      <c r="D32" s="227"/>
      <c r="E32" s="227"/>
      <c r="F32" s="227"/>
      <c r="G32" s="227"/>
      <c r="H32" s="227"/>
      <c r="I32" s="227"/>
      <c r="J32" s="971"/>
      <c r="K32" s="970"/>
      <c r="L32" s="397"/>
      <c r="N32" s="142"/>
      <c r="Y32" s="164"/>
      <c r="Z32" s="164"/>
      <c r="AA32" s="301"/>
      <c r="AB32" s="165"/>
      <c r="AC32" s="395"/>
      <c r="AD32" s="167">
        <f t="shared" ref="AD32:AD43" si="5">AB32*AC32</f>
        <v>0</v>
      </c>
      <c r="AE32" s="407"/>
      <c r="AF32" s="168">
        <f t="shared" si="0"/>
        <v>0</v>
      </c>
      <c r="AG32" s="407"/>
      <c r="AH32" s="168">
        <f t="shared" si="1"/>
        <v>0</v>
      </c>
    </row>
    <row r="33" spans="2:49" ht="16.149999999999999" customHeight="1" x14ac:dyDescent="0.2">
      <c r="B33" s="227"/>
      <c r="C33" s="227"/>
      <c r="D33" s="227"/>
      <c r="E33" s="227"/>
      <c r="F33" s="227"/>
      <c r="G33" s="227"/>
      <c r="H33" s="227"/>
      <c r="I33" s="227"/>
      <c r="J33" s="971"/>
      <c r="K33" s="404"/>
      <c r="L33" s="255"/>
      <c r="Y33" s="164"/>
      <c r="Z33" s="164"/>
      <c r="AA33" s="301"/>
      <c r="AB33" s="165"/>
      <c r="AC33" s="395"/>
      <c r="AD33" s="167">
        <f t="shared" si="5"/>
        <v>0</v>
      </c>
      <c r="AE33" s="407"/>
      <c r="AF33" s="168">
        <f t="shared" si="0"/>
        <v>0</v>
      </c>
      <c r="AG33" s="407"/>
      <c r="AH33" s="168">
        <f t="shared" si="1"/>
        <v>0</v>
      </c>
    </row>
    <row r="34" spans="2:49" ht="16.149999999999999" customHeight="1" x14ac:dyDescent="0.2">
      <c r="B34" s="272"/>
      <c r="C34" s="255"/>
      <c r="D34" s="266"/>
      <c r="E34" s="266"/>
      <c r="F34" s="266"/>
      <c r="G34" s="266"/>
      <c r="H34" s="266"/>
      <c r="I34" s="255"/>
      <c r="J34" s="266"/>
      <c r="K34" s="266"/>
      <c r="L34" s="255"/>
      <c r="N34" s="37" t="str">
        <f>ListAVS!B177</f>
        <v>Cena bez zasilacza!</v>
      </c>
      <c r="Y34" s="164"/>
      <c r="Z34" s="164"/>
      <c r="AA34" s="301"/>
      <c r="AB34" s="165"/>
      <c r="AC34" s="395"/>
      <c r="AD34" s="167">
        <f t="shared" si="5"/>
        <v>0</v>
      </c>
      <c r="AE34" s="407"/>
      <c r="AF34" s="168">
        <f t="shared" si="0"/>
        <v>0</v>
      </c>
      <c r="AG34" s="407"/>
      <c r="AH34" s="168">
        <f t="shared" si="1"/>
        <v>0</v>
      </c>
    </row>
    <row r="35" spans="2:49" ht="16.149999999999999" customHeight="1" x14ac:dyDescent="0.2">
      <c r="B35" s="272"/>
      <c r="C35" s="273" t="str">
        <f>IF(OR($V$10=TRUE, $V$21=TRUE), ListAVS!$B$183, " ")</f>
        <v xml:space="preserve"> </v>
      </c>
      <c r="D35" s="266"/>
      <c r="E35" s="266"/>
      <c r="F35" s="266"/>
      <c r="G35" s="266"/>
      <c r="H35" s="266"/>
      <c r="I35" s="255"/>
      <c r="J35" s="266"/>
      <c r="K35" s="266"/>
      <c r="L35" s="255"/>
      <c r="N35" s="37" t="str">
        <f>" "&amp;ListAVS!$B$118</f>
        <v xml:space="preserve"> Wprowadź na górze masę objętościową </v>
      </c>
      <c r="Y35" s="164"/>
      <c r="Z35" s="164"/>
      <c r="AA35" s="301"/>
      <c r="AB35" s="165"/>
      <c r="AC35" s="395"/>
      <c r="AD35" s="167">
        <f t="shared" si="5"/>
        <v>0</v>
      </c>
      <c r="AE35" s="407"/>
      <c r="AF35" s="168">
        <f t="shared" si="0"/>
        <v>0</v>
      </c>
      <c r="AG35" s="407"/>
      <c r="AH35" s="168">
        <f t="shared" si="1"/>
        <v>0</v>
      </c>
    </row>
    <row r="36" spans="2:49" ht="16.149999999999999" customHeight="1" x14ac:dyDescent="0.2">
      <c r="B36" s="272"/>
      <c r="C36" s="255"/>
      <c r="D36" s="266"/>
      <c r="E36" s="266"/>
      <c r="F36" s="266"/>
      <c r="G36" s="266"/>
      <c r="H36" s="266"/>
      <c r="I36" s="255"/>
      <c r="J36" s="266"/>
      <c r="K36" s="266"/>
      <c r="L36" s="255"/>
      <c r="N36" s="37" t="str">
        <f>" "&amp;ListAVS!$B$116</f>
        <v xml:space="preserve"> Wprowadź wagę lub wypełnij wszystkie komórki</v>
      </c>
      <c r="Y36" s="164"/>
      <c r="Z36" s="164"/>
      <c r="AA36" s="301"/>
      <c r="AB36" s="165"/>
      <c r="AC36" s="395"/>
      <c r="AD36" s="167">
        <f t="shared" si="5"/>
        <v>0</v>
      </c>
      <c r="AE36" s="407"/>
      <c r="AF36" s="168">
        <f t="shared" si="0"/>
        <v>0</v>
      </c>
      <c r="AG36" s="407"/>
      <c r="AH36" s="168">
        <f t="shared" si="1"/>
        <v>0</v>
      </c>
    </row>
    <row r="37" spans="2:49" ht="16.149999999999999" customHeight="1" x14ac:dyDescent="0.2">
      <c r="B37" s="274" t="s">
        <v>63</v>
      </c>
      <c r="C37" s="1044" t="str">
        <f>ListAVS!$B$231&amp;" "&amp;ListAVS!$B$232</f>
        <v>Przy szerokich korpusach zalecamy trzeci siłownik. Powodem tego jest wyginanie się frontu w pozycji otwartej. Również współczynnik mocy LF i waga frontów mogą być zwiększone o 50%.</v>
      </c>
      <c r="D37" s="1044"/>
      <c r="E37" s="1044"/>
      <c r="F37" s="1044"/>
      <c r="G37" s="1044"/>
      <c r="H37" s="1044"/>
      <c r="I37" s="1044"/>
      <c r="J37" s="1044"/>
      <c r="K37" s="1044"/>
      <c r="L37" s="255"/>
      <c r="N37" s="37" t="str">
        <f>"◄ "&amp;ListAVS!$B$112</f>
        <v>◄ wartość będzie wykorzystana do obliczenia LF</v>
      </c>
      <c r="Y37" s="164"/>
      <c r="Z37" s="164"/>
      <c r="AA37" s="301"/>
      <c r="AB37" s="165"/>
      <c r="AC37" s="395"/>
      <c r="AD37" s="167">
        <f t="shared" si="5"/>
        <v>0</v>
      </c>
      <c r="AE37" s="407"/>
      <c r="AF37" s="168">
        <f t="shared" si="0"/>
        <v>0</v>
      </c>
      <c r="AG37" s="407"/>
      <c r="AH37" s="168">
        <f t="shared" si="1"/>
        <v>0</v>
      </c>
    </row>
    <row r="38" spans="2:49" ht="16.149999999999999" customHeight="1" x14ac:dyDescent="0.2">
      <c r="B38" s="255"/>
      <c r="C38" s="1044"/>
      <c r="D38" s="1044"/>
      <c r="E38" s="1044"/>
      <c r="F38" s="1044"/>
      <c r="G38" s="1044"/>
      <c r="H38" s="1044"/>
      <c r="I38" s="1044"/>
      <c r="J38" s="1044"/>
      <c r="K38" s="1044"/>
      <c r="L38" s="255"/>
      <c r="N38" s="37" t="str">
        <f>" * "&amp;ListAVS!$B$128</f>
        <v xml:space="preserve"> * Wypełnij wartości</v>
      </c>
      <c r="Y38" s="164" t="str">
        <f>CenAVS!A185</f>
        <v xml:space="preserve">Tip-on do zawiasu 50mm PG, szary     </v>
      </c>
      <c r="Z38" s="164" t="str">
        <f>CenAVS!B185</f>
        <v>956.1004</v>
      </c>
      <c r="AA38" s="301" t="str">
        <f>CenAVS!C185</f>
        <v>R7036</v>
      </c>
      <c r="AB38" s="165">
        <f t="shared" ref="AB38:AB43" si="6">SUM(AE38,AG38)</f>
        <v>0</v>
      </c>
      <c r="AC38" s="395">
        <f>CenAVS!F185</f>
        <v>12.830769999999999</v>
      </c>
      <c r="AD38" s="167">
        <f t="shared" si="5"/>
        <v>0</v>
      </c>
      <c r="AE38" s="407">
        <f>IF(AND($T$44=1,$U$16=2), $M$17,0)</f>
        <v>0</v>
      </c>
      <c r="AF38" s="168">
        <f t="shared" si="0"/>
        <v>0</v>
      </c>
      <c r="AG38" s="407">
        <f>IF(AND($T$44=1,$U$27=2), $M$28,0)</f>
        <v>0</v>
      </c>
      <c r="AH38" s="168">
        <f t="shared" si="1"/>
        <v>0</v>
      </c>
      <c r="AP38" s="37"/>
      <c r="AQ38" s="37"/>
      <c r="AR38" s="37"/>
      <c r="AS38" s="37"/>
      <c r="AT38" s="37"/>
      <c r="AU38" s="37"/>
      <c r="AV38" s="37"/>
    </row>
    <row r="39" spans="2:49" ht="16.149999999999999" customHeight="1" x14ac:dyDescent="0.2">
      <c r="B39" s="255"/>
      <c r="C39" s="1044"/>
      <c r="D39" s="1044"/>
      <c r="E39" s="1044"/>
      <c r="F39" s="1044"/>
      <c r="G39" s="1044"/>
      <c r="H39" s="1044"/>
      <c r="I39" s="1044"/>
      <c r="J39" s="1044"/>
      <c r="K39" s="1044"/>
      <c r="L39" s="255"/>
      <c r="N39" s="37" t="str">
        <f>" min. 420! "&amp;ListAVS!$B$122</f>
        <v xml:space="preserve"> min. 420! Popraw wagę albo wysokość</v>
      </c>
      <c r="Y39" s="164" t="str">
        <f>CenAVS!A186</f>
        <v xml:space="preserve">Tip-on do zawiasu 50mm SW, biały     </v>
      </c>
      <c r="Z39" s="164" t="str">
        <f>CenAVS!B186</f>
        <v>956.1004</v>
      </c>
      <c r="AA39" s="301" t="str">
        <f>CenAVS!C186</f>
        <v>SW</v>
      </c>
      <c r="AB39" s="165">
        <f t="shared" si="6"/>
        <v>0</v>
      </c>
      <c r="AC39" s="395">
        <f>CenAVS!F186</f>
        <v>12.830769999999999</v>
      </c>
      <c r="AD39" s="167">
        <f t="shared" si="5"/>
        <v>0</v>
      </c>
      <c r="AE39" s="407">
        <f>IF(AND($T$44=3,$U$16=2), $M$17,0)</f>
        <v>0</v>
      </c>
      <c r="AF39" s="168">
        <f t="shared" si="0"/>
        <v>0</v>
      </c>
      <c r="AG39" s="407">
        <f>IF(AND($T$44=3,$U$27=2), $M$28,0)</f>
        <v>0</v>
      </c>
      <c r="AH39" s="168">
        <f t="shared" si="1"/>
        <v>0</v>
      </c>
      <c r="AO39" s="37"/>
      <c r="AP39" s="37"/>
      <c r="AQ39" s="37"/>
      <c r="AR39" s="37"/>
      <c r="AS39" s="37"/>
      <c r="AT39" s="37"/>
      <c r="AU39" s="37"/>
      <c r="AV39" s="37"/>
    </row>
    <row r="40" spans="2:49" ht="16.149999999999999" customHeight="1" x14ac:dyDescent="0.2">
      <c r="B40" s="255"/>
      <c r="C40" s="1044"/>
      <c r="D40" s="1044"/>
      <c r="E40" s="1044"/>
      <c r="F40" s="1044"/>
      <c r="G40" s="1044"/>
      <c r="H40" s="1044"/>
      <c r="I40" s="1044"/>
      <c r="J40" s="1044"/>
      <c r="K40" s="1044"/>
      <c r="L40" s="255"/>
      <c r="N40" s="37" t="str">
        <f>" max. 13.500! "&amp;ListAVS!$B$122</f>
        <v xml:space="preserve"> max. 13.500! Popraw wagę albo wysokość</v>
      </c>
      <c r="O40" s="37"/>
      <c r="Q40" s="37"/>
      <c r="Y40" s="164" t="str">
        <f>CenAVS!A187</f>
        <v xml:space="preserve">Tip-on do zawiasu krótki 50mm z magnesem,komplet, karbon czarny CS </v>
      </c>
      <c r="Z40" s="164" t="str">
        <f>CenAVS!B187</f>
        <v>956.1004</v>
      </c>
      <c r="AA40" s="301" t="str">
        <f>CenAVS!C187</f>
        <v>CS</v>
      </c>
      <c r="AB40" s="165">
        <f t="shared" si="6"/>
        <v>0</v>
      </c>
      <c r="AC40" s="395">
        <f>CenAVS!F187</f>
        <v>12.830769999999999</v>
      </c>
      <c r="AD40" s="167">
        <f t="shared" si="5"/>
        <v>0</v>
      </c>
      <c r="AE40" s="407">
        <f>IF(AND($T$44=2,$U$16=2), $M$17,0)</f>
        <v>0</v>
      </c>
      <c r="AF40" s="168">
        <f t="shared" si="0"/>
        <v>0</v>
      </c>
      <c r="AG40" s="407">
        <f>IF(AND($T$44=2,$U$27=2), $M$28,0)</f>
        <v>0</v>
      </c>
      <c r="AH40" s="168">
        <f t="shared" si="1"/>
        <v>0</v>
      </c>
      <c r="AO40" s="37"/>
      <c r="AP40" s="37"/>
      <c r="AQ40" s="37"/>
      <c r="AR40" s="37"/>
      <c r="AS40" s="37"/>
      <c r="AT40" s="37"/>
      <c r="AU40" s="37"/>
      <c r="AV40" s="37"/>
      <c r="AW40" s="37"/>
    </row>
    <row r="41" spans="2:49" ht="16.149999999999999" customHeight="1" x14ac:dyDescent="0.2">
      <c r="B41" s="274" t="s">
        <v>83</v>
      </c>
      <c r="C41" s="255" t="str">
        <f>ListAVS!$B$187</f>
        <v>Jeżeli znasz wagę i nie chcesz skorzystać z "obliczenie wagi"</v>
      </c>
      <c r="D41" s="255"/>
      <c r="E41" s="255"/>
      <c r="F41" s="255"/>
      <c r="G41" s="255"/>
      <c r="H41" s="255"/>
      <c r="I41" s="255"/>
      <c r="J41" s="255"/>
      <c r="K41" s="255"/>
      <c r="L41" s="255"/>
      <c r="N41" s="37" t="str">
        <f>" max. 9 000! "&amp;ListAVS!$B$122</f>
        <v xml:space="preserve"> max. 9 000! Popraw wagę albo wysokość</v>
      </c>
      <c r="Y41" s="164" t="str">
        <f>CenAVS!A188</f>
        <v xml:space="preserve">Tip-on do zawiasu 76mm, PG, szary     </v>
      </c>
      <c r="Z41" s="164" t="str">
        <f>CenAVS!B188</f>
        <v>956A1004</v>
      </c>
      <c r="AA41" s="301" t="str">
        <f>CenAVS!C188</f>
        <v>R7036</v>
      </c>
      <c r="AB41" s="165">
        <f t="shared" si="6"/>
        <v>0</v>
      </c>
      <c r="AC41" s="395">
        <f>CenAVS!F188</f>
        <v>16.100000000000001</v>
      </c>
      <c r="AD41" s="167">
        <f t="shared" si="5"/>
        <v>0</v>
      </c>
      <c r="AE41" s="407"/>
      <c r="AF41" s="168">
        <f t="shared" si="0"/>
        <v>0</v>
      </c>
      <c r="AG41" s="407"/>
      <c r="AH41" s="168">
        <f t="shared" si="1"/>
        <v>0</v>
      </c>
      <c r="AO41" s="37"/>
      <c r="AW41" s="37"/>
    </row>
    <row r="42" spans="2:49" s="37" customFormat="1" ht="16.149999999999999" customHeight="1" x14ac:dyDescent="0.2">
      <c r="B42" s="255"/>
      <c r="C42" s="255"/>
      <c r="D42" s="255"/>
      <c r="E42" s="255"/>
      <c r="F42" s="255"/>
      <c r="G42" s="255"/>
      <c r="H42" s="255"/>
      <c r="I42" s="255"/>
      <c r="J42" s="398"/>
      <c r="K42" s="398"/>
      <c r="L42" s="255"/>
      <c r="N42" s="149" t="str">
        <f>"                       "&amp;ListAVS!$B$123</f>
        <v xml:space="preserve">                       lub dodaj trzeci siłownik</v>
      </c>
      <c r="O42" s="118"/>
      <c r="Q42" s="118"/>
      <c r="Y42" s="164" t="str">
        <f>CenAVS!A189</f>
        <v xml:space="preserve">Tip-on do zawiasu 76mm, SW, biały     </v>
      </c>
      <c r="Z42" s="164" t="str">
        <f>CenAVS!B189</f>
        <v>956A1004</v>
      </c>
      <c r="AA42" s="301" t="str">
        <f>CenAVS!C189</f>
        <v>WA</v>
      </c>
      <c r="AB42" s="165">
        <f t="shared" si="6"/>
        <v>0</v>
      </c>
      <c r="AC42" s="395">
        <f>CenAVS!F189</f>
        <v>16.100000000000001</v>
      </c>
      <c r="AD42" s="167">
        <f t="shared" si="5"/>
        <v>0</v>
      </c>
      <c r="AE42" s="407"/>
      <c r="AF42" s="168">
        <f t="shared" si="0"/>
        <v>0</v>
      </c>
      <c r="AG42" s="407"/>
      <c r="AH42" s="168">
        <f t="shared" si="1"/>
        <v>0</v>
      </c>
      <c r="AL42" s="108"/>
      <c r="AM42" s="108"/>
      <c r="AN42" s="108"/>
      <c r="AO42" s="137"/>
      <c r="AP42" s="137"/>
      <c r="AQ42" s="137"/>
      <c r="AR42" s="137"/>
      <c r="AS42" s="137"/>
      <c r="AT42" s="137"/>
      <c r="AU42" s="137"/>
      <c r="AV42" s="137"/>
    </row>
    <row r="43" spans="2:49" s="37" customFormat="1" ht="16.149999999999999" customHeight="1" x14ac:dyDescent="0.2">
      <c r="B43" s="440"/>
      <c r="C43" s="1188"/>
      <c r="D43" s="1188"/>
      <c r="E43" s="1188"/>
      <c r="F43" s="1188"/>
      <c r="G43" s="1188"/>
      <c r="H43" s="1188"/>
      <c r="I43" s="1188"/>
      <c r="J43" s="1188"/>
      <c r="K43" s="1188"/>
      <c r="L43" s="255"/>
      <c r="O43" s="118"/>
      <c r="Q43" s="118"/>
      <c r="Y43" s="164" t="str">
        <f>CenAVS!A190</f>
        <v>Tip-on do zawiasu długi 76mm z magnesem, komplet, karbon czarny CS</v>
      </c>
      <c r="Z43" s="164" t="str">
        <f>CenAVS!B190</f>
        <v>956A1004</v>
      </c>
      <c r="AA43" s="301" t="str">
        <f>CenAVS!C190</f>
        <v>CS</v>
      </c>
      <c r="AB43" s="165">
        <f t="shared" si="6"/>
        <v>0</v>
      </c>
      <c r="AC43" s="395">
        <f>CenAVS!F190</f>
        <v>16.100000000000001</v>
      </c>
      <c r="AD43" s="167">
        <f t="shared" si="5"/>
        <v>0</v>
      </c>
      <c r="AE43" s="407"/>
      <c r="AF43" s="168">
        <f t="shared" si="0"/>
        <v>0</v>
      </c>
      <c r="AG43" s="407"/>
      <c r="AH43" s="168">
        <f t="shared" si="1"/>
        <v>0</v>
      </c>
      <c r="AL43" s="108"/>
      <c r="AM43" s="108"/>
      <c r="AN43" s="108"/>
      <c r="AO43" s="137"/>
      <c r="AP43" s="137"/>
      <c r="AQ43" s="137"/>
      <c r="AR43" s="137"/>
      <c r="AS43" s="137"/>
      <c r="AT43" s="137"/>
      <c r="AU43" s="137"/>
      <c r="AV43" s="137"/>
      <c r="AW43" s="137"/>
    </row>
    <row r="44" spans="2:49" s="37" customFormat="1" ht="16.149999999999999" customHeight="1" x14ac:dyDescent="0.2">
      <c r="B44" s="273"/>
      <c r="C44" s="1188"/>
      <c r="D44" s="1188"/>
      <c r="E44" s="1188"/>
      <c r="F44" s="1188"/>
      <c r="G44" s="1188"/>
      <c r="H44" s="1188"/>
      <c r="I44" s="1188"/>
      <c r="J44" s="1188"/>
      <c r="K44" s="1188"/>
      <c r="L44" s="255"/>
      <c r="N44" s="151">
        <f>HK!$P$26</f>
        <v>1</v>
      </c>
      <c r="O44" s="182"/>
      <c r="P44" s="117">
        <v>1</v>
      </c>
      <c r="Q44" s="182"/>
      <c r="R44" s="117">
        <f>HKi!$N$26</f>
        <v>1</v>
      </c>
      <c r="S44" s="182"/>
      <c r="T44" s="117">
        <f>MenuAVS!$P$28</f>
        <v>1</v>
      </c>
      <c r="V44" s="151">
        <v>1</v>
      </c>
      <c r="Y44" s="164"/>
      <c r="Z44" s="164"/>
      <c r="AA44" s="301"/>
      <c r="AB44" s="165"/>
      <c r="AC44" s="395"/>
      <c r="AD44" s="167"/>
      <c r="AE44" s="408"/>
      <c r="AF44" s="168"/>
      <c r="AG44" s="408"/>
      <c r="AH44" s="168"/>
      <c r="AL44" s="108"/>
      <c r="AM44" s="108"/>
      <c r="AN44" s="108"/>
      <c r="AO44" s="137"/>
      <c r="AP44" s="137"/>
      <c r="AQ44" s="137"/>
      <c r="AR44" s="137"/>
      <c r="AS44" s="137"/>
      <c r="AT44" s="137"/>
      <c r="AU44" s="137"/>
      <c r="AV44" s="137"/>
      <c r="AW44" s="137"/>
    </row>
    <row r="45" spans="2:49" ht="16.149999999999999" customHeight="1" x14ac:dyDescent="0.2">
      <c r="B45" s="441"/>
      <c r="C45" s="1188"/>
      <c r="D45" s="1188"/>
      <c r="E45" s="1188"/>
      <c r="F45" s="1188"/>
      <c r="G45" s="1188"/>
      <c r="H45" s="1188"/>
      <c r="I45" s="1188"/>
      <c r="J45" s="1188"/>
      <c r="K45" s="1188"/>
      <c r="L45" s="255"/>
      <c r="N45" s="153" t="s">
        <v>104</v>
      </c>
      <c r="P45" s="153" t="s">
        <v>8</v>
      </c>
      <c r="R45" s="153" t="s">
        <v>18</v>
      </c>
      <c r="S45" s="39"/>
      <c r="T45" s="153" t="s">
        <v>6</v>
      </c>
      <c r="V45" s="203" t="s">
        <v>18</v>
      </c>
      <c r="Y45" s="164"/>
      <c r="Z45" s="164"/>
      <c r="AA45" s="301"/>
      <c r="AB45" s="165"/>
      <c r="AC45" s="395"/>
      <c r="AD45" s="167"/>
      <c r="AE45" s="408"/>
      <c r="AF45" s="168"/>
      <c r="AG45" s="408"/>
      <c r="AH45" s="168"/>
    </row>
    <row r="46" spans="2:49" ht="16.149999999999999" customHeight="1" x14ac:dyDescent="0.2">
      <c r="B46" s="350"/>
      <c r="C46" s="148"/>
      <c r="D46" s="148"/>
      <c r="E46" s="148"/>
      <c r="F46" s="148"/>
      <c r="G46" s="148"/>
      <c r="H46" s="148"/>
      <c r="I46" s="148"/>
      <c r="J46" s="148"/>
      <c r="K46" s="148"/>
      <c r="N46" s="37" t="s">
        <v>105</v>
      </c>
      <c r="R46" s="118" t="s">
        <v>654</v>
      </c>
      <c r="T46" s="37" t="str">
        <f>ListAVS!$B$146</f>
        <v>Jasnoszary (HGR)</v>
      </c>
      <c r="V46" s="37" t="s">
        <v>58</v>
      </c>
      <c r="Y46" s="164"/>
      <c r="Z46" s="164"/>
      <c r="AA46" s="301"/>
      <c r="AB46" s="165"/>
      <c r="AC46" s="395"/>
      <c r="AD46" s="167"/>
      <c r="AE46" s="408"/>
      <c r="AF46" s="168"/>
      <c r="AG46" s="408"/>
      <c r="AH46" s="168"/>
    </row>
    <row r="47" spans="2:49" ht="16.149999999999999" customHeight="1" x14ac:dyDescent="0.2">
      <c r="B47" s="316"/>
      <c r="C47" s="317"/>
      <c r="D47" s="317"/>
      <c r="E47" s="317"/>
      <c r="F47" s="317"/>
      <c r="G47" s="317"/>
      <c r="I47" s="317"/>
      <c r="J47" s="317"/>
      <c r="N47" s="37" t="s">
        <v>106</v>
      </c>
      <c r="R47" s="118" t="s">
        <v>655</v>
      </c>
      <c r="T47" s="37" t="str">
        <f>ListAVS!$B$147</f>
        <v>Ciemnoszary (TGR)</v>
      </c>
      <c r="V47" s="37" t="s">
        <v>107</v>
      </c>
      <c r="AG47" s="118"/>
    </row>
    <row r="48" spans="2:49" ht="16.149999999999999" customHeight="1" x14ac:dyDescent="0.2">
      <c r="B48" s="317"/>
      <c r="C48" s="317"/>
      <c r="D48" s="317"/>
      <c r="E48" s="317"/>
      <c r="F48" s="317"/>
      <c r="G48" s="317"/>
      <c r="I48" s="317"/>
      <c r="J48" s="317"/>
      <c r="T48" s="37" t="str">
        <f>ListAVS!$B$148</f>
        <v>Jedwabiście biały (SW)</v>
      </c>
      <c r="AC48" s="144" t="str">
        <f>ListAVS!$B$61&amp;" "</f>
        <v xml:space="preserve">Cena całkowita bez VAT </v>
      </c>
      <c r="AD48" s="171">
        <f>SUM(AD9:AD46)</f>
        <v>0</v>
      </c>
      <c r="AF48" s="201">
        <f>SUM(AF9:AF47)</f>
        <v>0</v>
      </c>
      <c r="AH48" s="201">
        <f>SUM(AH9:AH47)</f>
        <v>0</v>
      </c>
    </row>
    <row r="49" spans="2:48" ht="16.149999999999999" customHeight="1" x14ac:dyDescent="0.2">
      <c r="B49" s="316"/>
      <c r="C49" s="317"/>
      <c r="D49" s="317"/>
      <c r="E49" s="317"/>
      <c r="F49" s="317"/>
      <c r="G49" s="317"/>
      <c r="I49" s="317"/>
      <c r="J49" s="317"/>
      <c r="N49" s="37" t="str">
        <f>ListAVS!B188&amp;". "</f>
        <v xml:space="preserve">W celu określenia rodzaju siłownika będzie wykorzystana podana waga. </v>
      </c>
    </row>
    <row r="50" spans="2:48" ht="16.149999999999999" customHeight="1" x14ac:dyDescent="0.2">
      <c r="B50" s="144"/>
      <c r="C50" s="317"/>
      <c r="N50" s="37" t="str">
        <f>ListAVS!B189&amp;". "</f>
        <v xml:space="preserve">W celu określenia rodzaju siłownika będzie wykorzystana obliczona waga. </v>
      </c>
    </row>
    <row r="51" spans="2:48" ht="20.100000000000001" customHeight="1" x14ac:dyDescent="0.2">
      <c r="B51" s="144"/>
      <c r="N51" s="37" t="str">
        <f>ListAVS!B190</f>
        <v>Jeżeli chcesz wykorzystać obliczoną wagę, zmaż podaną wartość</v>
      </c>
    </row>
    <row r="52" spans="2:48" x14ac:dyDescent="0.2">
      <c r="B52" s="155"/>
      <c r="D52" s="155"/>
      <c r="E52" s="155"/>
      <c r="F52" s="155"/>
      <c r="G52" s="155"/>
      <c r="I52" s="155"/>
      <c r="J52" s="155"/>
      <c r="N52" s="37" t="str">
        <f>ListAVS!B191</f>
        <v>Jeżeli chcesz wykorzystać podaną wagą, wpisz ją w pole</v>
      </c>
    </row>
    <row r="55" spans="2:48" x14ac:dyDescent="0.2">
      <c r="AQ55" s="37"/>
      <c r="AR55" s="37"/>
      <c r="AS55" s="37"/>
      <c r="AT55" s="37"/>
      <c r="AU55" s="37"/>
      <c r="AV55" s="37"/>
    </row>
    <row r="56" spans="2:48" x14ac:dyDescent="0.2">
      <c r="AQ56" s="37"/>
      <c r="AR56" s="37"/>
      <c r="AS56" s="37"/>
      <c r="AT56" s="37"/>
      <c r="AU56" s="37"/>
      <c r="AV56" s="37"/>
    </row>
    <row r="68" spans="1:49" ht="12.75" x14ac:dyDescent="0.2">
      <c r="A68" s="255"/>
      <c r="N68" s="255"/>
      <c r="O68" s="255"/>
      <c r="P68" s="255"/>
      <c r="Q68" s="255"/>
      <c r="R68" s="255"/>
      <c r="S68" s="255"/>
      <c r="T68" s="255"/>
      <c r="U68" s="255"/>
      <c r="V68" s="255"/>
      <c r="W68" s="255"/>
    </row>
    <row r="69" spans="1:49" ht="12.75" x14ac:dyDescent="0.2">
      <c r="A69" s="255"/>
      <c r="N69" s="517" t="str">
        <f>ListAVS!$B$73</f>
        <v>Obliczanie wagi frontów</v>
      </c>
      <c r="O69" s="518"/>
      <c r="P69" s="518"/>
      <c r="Q69" s="518"/>
      <c r="R69" s="518"/>
      <c r="S69" s="255"/>
      <c r="T69" s="255"/>
      <c r="U69" s="255"/>
      <c r="V69" s="255"/>
      <c r="W69" s="255"/>
    </row>
    <row r="70" spans="1:49" ht="15.75" customHeight="1" x14ac:dyDescent="0.2">
      <c r="A70" s="255"/>
      <c r="N70" s="255"/>
      <c r="O70" s="137"/>
      <c r="P70" s="269" t="str">
        <f>ListAVS!$B$180&amp;"  "</f>
        <v xml:space="preserve">Wykonanie frontów  </v>
      </c>
      <c r="Q70" s="255"/>
      <c r="R70" s="255"/>
      <c r="S70" s="255"/>
      <c r="T70" s="829">
        <f>J4</f>
        <v>0</v>
      </c>
      <c r="U70" s="262" t="str">
        <f>IF(Z77=3,IF(T70=0,Y72," "),IF(T70&gt;0,Y73," "))</f>
        <v xml:space="preserve"> </v>
      </c>
      <c r="V70" s="255"/>
      <c r="W70" s="255"/>
      <c r="Y70" s="149" t="str">
        <f>IF($Z$77=1,$Z$78,IF($Z$77=2,$Z$79,$Z$80&amp;" "&amp;$Y$80&amp;"kg/m3"))&amp;" A~"&amp;$T$78&amp;"/ B~"&amp;$T$89&amp;"mm"</f>
        <v>MDF (760 kg/m3) A~0/ B~0mm</v>
      </c>
      <c r="Z70" s="118"/>
      <c r="AB70" s="118"/>
    </row>
    <row r="71" spans="1:49" ht="13.5" customHeight="1" x14ac:dyDescent="0.2">
      <c r="A71" s="255"/>
      <c r="N71" s="255"/>
      <c r="O71" s="255"/>
      <c r="P71" s="1151" t="str">
        <f>IF($Z$77&lt;&gt;3,$Y$71," ")&amp;"      "</f>
        <v xml:space="preserve"> Możesz zmienić wartości we Wstępie do planowania      </v>
      </c>
      <c r="Q71" s="1151"/>
      <c r="R71" s="1151"/>
      <c r="S71" s="1151"/>
      <c r="T71" s="1151"/>
      <c r="U71" s="255"/>
      <c r="V71" s="255"/>
      <c r="W71" s="255"/>
      <c r="Y71" s="37" t="str">
        <f>" "&amp;ListAVS!$B$410</f>
        <v xml:space="preserve"> Możesz zmienić wartości we Wstępie do planowania</v>
      </c>
      <c r="Z71" s="118"/>
      <c r="AB71" s="118"/>
    </row>
    <row r="72" spans="1:49" ht="15" customHeight="1" x14ac:dyDescent="0.2">
      <c r="A72" s="255"/>
      <c r="N72" s="266"/>
      <c r="O72" s="255"/>
      <c r="P72" s="255"/>
      <c r="Q72" s="255"/>
      <c r="R72" s="255"/>
      <c r="S72" s="255"/>
      <c r="T72" s="255"/>
      <c r="U72" s="255"/>
      <c r="V72" s="255"/>
      <c r="W72" s="255"/>
      <c r="Y72" s="37" t="str">
        <f>" "&amp;ListAVS!$B$245&amp;" [kg/m3]"</f>
        <v xml:space="preserve"> Podaj masę objętościową [kg/m3]</v>
      </c>
      <c r="Z72" s="118"/>
      <c r="AB72" s="118"/>
      <c r="AQ72" s="118"/>
      <c r="AR72" s="118"/>
      <c r="AS72" s="118"/>
      <c r="AT72" s="118"/>
      <c r="AU72" s="118"/>
      <c r="AV72" s="118"/>
    </row>
    <row r="73" spans="1:49" ht="15" customHeight="1" x14ac:dyDescent="0.2">
      <c r="A73" s="255"/>
      <c r="N73" s="266"/>
      <c r="O73" s="255"/>
      <c r="P73" s="255"/>
      <c r="Q73" s="255"/>
      <c r="R73" s="255"/>
      <c r="S73" s="255"/>
      <c r="T73" s="255"/>
      <c r="U73" s="255"/>
      <c r="V73" s="255"/>
      <c r="W73" s="255"/>
      <c r="Y73" s="37" t="str">
        <f>" "&amp;ListAVS!$B$241&amp;" '"&amp;ListAVS!$B$92&amp;"'"</f>
        <v xml:space="preserve"> Wartość obowiązuje tylko dla opcji 'Inne – wybrana gęstość materiału'</v>
      </c>
      <c r="Z73" s="118"/>
      <c r="AB73" s="118"/>
      <c r="AQ73" s="118"/>
      <c r="AR73" s="118"/>
      <c r="AS73" s="118"/>
      <c r="AT73" s="118"/>
      <c r="AU73" s="118"/>
      <c r="AV73" s="118"/>
    </row>
    <row r="74" spans="1:49" ht="15" customHeight="1" x14ac:dyDescent="0.2">
      <c r="A74" s="255"/>
      <c r="N74" s="255"/>
      <c r="O74" s="255"/>
      <c r="P74" s="255"/>
      <c r="Q74" s="255"/>
      <c r="R74" s="255"/>
      <c r="S74" s="255"/>
      <c r="T74" s="255"/>
      <c r="U74" s="255"/>
      <c r="V74" s="255"/>
      <c r="W74" s="255"/>
      <c r="Z74" s="118"/>
      <c r="AB74" s="118"/>
      <c r="AQ74" s="118"/>
      <c r="AR74" s="118"/>
      <c r="AS74" s="118"/>
      <c r="AT74" s="118"/>
      <c r="AU74" s="118"/>
      <c r="AV74" s="118"/>
      <c r="AW74" s="118"/>
    </row>
    <row r="75" spans="1:49" ht="15" customHeight="1" x14ac:dyDescent="0.2">
      <c r="A75" s="255"/>
      <c r="N75" s="266"/>
      <c r="O75" s="266"/>
      <c r="P75" s="266"/>
      <c r="Q75" s="255"/>
      <c r="R75" s="1148" t="str">
        <f>D9</f>
        <v xml:space="preserve"> </v>
      </c>
      <c r="S75" s="1149"/>
      <c r="T75" s="1150"/>
      <c r="U75" s="255"/>
      <c r="V75" s="255"/>
      <c r="W75" s="255"/>
      <c r="Z75" s="118"/>
      <c r="AB75" s="118"/>
      <c r="AQ75" s="118"/>
      <c r="AR75" s="118"/>
      <c r="AS75" s="118"/>
      <c r="AT75" s="118"/>
      <c r="AU75" s="118"/>
      <c r="AV75" s="118"/>
      <c r="AW75" s="118"/>
    </row>
    <row r="76" spans="1:49" s="118" customFormat="1" ht="15" customHeight="1" x14ac:dyDescent="0.2">
      <c r="A76" s="255"/>
      <c r="N76" s="1138" t="str">
        <f>ListAVS!$B$74&amp;" KB [mm]       "</f>
        <v xml:space="preserve">Szerokość korpusu KB [mm]       </v>
      </c>
      <c r="O76" s="1139"/>
      <c r="P76" s="1139"/>
      <c r="Q76" s="1139"/>
      <c r="R76" s="1139"/>
      <c r="S76" s="1140"/>
      <c r="T76" s="829">
        <f>H10</f>
        <v>0</v>
      </c>
      <c r="U76" s="670"/>
      <c r="V76" s="248"/>
      <c r="W76" s="255"/>
      <c r="X76" s="37"/>
      <c r="Y76" s="37">
        <f>T76*T77*T78</f>
        <v>0</v>
      </c>
      <c r="Z76" s="37"/>
      <c r="AA76" s="37"/>
      <c r="AC76" s="37"/>
      <c r="AD76" s="37">
        <v>3.51</v>
      </c>
      <c r="AE76" s="149" t="s">
        <v>67</v>
      </c>
      <c r="AF76" s="37"/>
      <c r="AG76" s="37"/>
      <c r="AH76" s="37"/>
      <c r="AJ76" s="37"/>
      <c r="AK76" s="37"/>
      <c r="AL76" s="108"/>
      <c r="AM76" s="108"/>
      <c r="AN76" s="108"/>
      <c r="AO76" s="137"/>
      <c r="AP76" s="137"/>
    </row>
    <row r="77" spans="1:49" s="118" customFormat="1" ht="15" customHeight="1" x14ac:dyDescent="0.2">
      <c r="A77" s="255"/>
      <c r="N77" s="1138" t="str">
        <f>ListAVS!$B$75&amp;" KH [mm]       "</f>
        <v xml:space="preserve">Wysokość korpusu KH [mm]       </v>
      </c>
      <c r="O77" s="1139"/>
      <c r="P77" s="1139"/>
      <c r="Q77" s="1139"/>
      <c r="R77" s="1139"/>
      <c r="S77" s="1140"/>
      <c r="T77" s="829">
        <f>H11</f>
        <v>0</v>
      </c>
      <c r="U77" s="670"/>
      <c r="V77" s="248"/>
      <c r="W77" s="255"/>
      <c r="X77" s="37"/>
      <c r="Y77" s="37">
        <f>Y76/1000000000</f>
        <v>0</v>
      </c>
      <c r="Z77" s="117">
        <v>1</v>
      </c>
      <c r="AC77" s="37"/>
      <c r="AD77" s="144" t="s">
        <v>71</v>
      </c>
      <c r="AE77" s="37">
        <f>SUM(T76*2,T77*2)*AD76/10000</f>
        <v>0</v>
      </c>
      <c r="AF77" s="117">
        <v>3</v>
      </c>
      <c r="AG77" s="37"/>
      <c r="AH77" s="37"/>
      <c r="AJ77" s="37"/>
      <c r="AK77" s="37"/>
      <c r="AL77" s="108"/>
      <c r="AM77" s="108"/>
      <c r="AN77" s="108"/>
      <c r="AO77" s="137"/>
      <c r="AP77" s="137"/>
      <c r="AQ77" s="137"/>
      <c r="AR77" s="137"/>
      <c r="AS77" s="137"/>
      <c r="AT77" s="137"/>
      <c r="AU77" s="137"/>
      <c r="AV77" s="137"/>
    </row>
    <row r="78" spans="1:49" s="118" customFormat="1" ht="15" customHeight="1" x14ac:dyDescent="0.2">
      <c r="A78" s="255"/>
      <c r="N78" s="1143" t="str">
        <f>ListAVS!$B$80&amp;" TS [mm] "</f>
        <v xml:space="preserve">Grubość frontu TS [mm] </v>
      </c>
      <c r="O78" s="1144"/>
      <c r="P78" s="1144"/>
      <c r="Q78" s="1144"/>
      <c r="R78" s="1144"/>
      <c r="S78" s="1145"/>
      <c r="T78" s="829">
        <f>H13</f>
        <v>0</v>
      </c>
      <c r="U78" s="256" t="str">
        <f>IF(SUM(T76,T77)=0," ",IF(T78=0," ● "&amp;ListAVS!$B$129," "))</f>
        <v xml:space="preserve"> </v>
      </c>
      <c r="V78" s="248"/>
      <c r="W78" s="255"/>
      <c r="X78" s="37"/>
      <c r="Y78" s="319">
        <f>MenuAVS!$C$31</f>
        <v>760</v>
      </c>
      <c r="Z78" s="175" t="str">
        <f>ListAVS!$B$90&amp;" ("&amp;Y78&amp;" kg/m3)"</f>
        <v>MDF (760 kg/m3)</v>
      </c>
      <c r="AC78" s="37"/>
      <c r="AD78" s="37">
        <v>10</v>
      </c>
      <c r="AE78" s="37">
        <f>SUM($T$76*$T$77*$AD78)/1000000</f>
        <v>0</v>
      </c>
      <c r="AF78" s="149" t="str">
        <f>ListAVS!$B$93</f>
        <v>Ramki aluminiowe z 4mm szkłem</v>
      </c>
      <c r="AG78" s="37"/>
      <c r="AH78" s="37"/>
      <c r="AJ78" s="37"/>
      <c r="AK78" s="37"/>
      <c r="AL78" s="108"/>
      <c r="AM78" s="108"/>
      <c r="AN78" s="108"/>
      <c r="AO78" s="137"/>
      <c r="AP78" s="137"/>
      <c r="AQ78" s="137"/>
      <c r="AR78" s="137"/>
      <c r="AS78" s="137"/>
      <c r="AT78" s="137"/>
      <c r="AU78" s="137"/>
      <c r="AV78" s="137"/>
    </row>
    <row r="79" spans="1:49" s="118" customFormat="1" ht="15" customHeight="1" x14ac:dyDescent="0.2">
      <c r="A79" s="255"/>
      <c r="N79" s="1143" t="str">
        <f>ListAVS!$B$83&amp;" [kg] "</f>
        <v xml:space="preserve">Waga uchwytu [kg] </v>
      </c>
      <c r="O79" s="1144"/>
      <c r="P79" s="1144"/>
      <c r="Q79" s="1144"/>
      <c r="R79" s="1144"/>
      <c r="S79" s="1145"/>
      <c r="T79" s="829">
        <f>H14</f>
        <v>0</v>
      </c>
      <c r="U79" s="256" t="str">
        <f>IF($U$16=3," ",IF(SUM(T76,T77)=0," ",IF(T79=0," ● "&amp;ListAVS!$B$130," ")))</f>
        <v xml:space="preserve"> </v>
      </c>
      <c r="V79" s="248"/>
      <c r="W79" s="255"/>
      <c r="X79" s="37"/>
      <c r="Y79" s="319">
        <f>MenuAVS!$C$32</f>
        <v>680</v>
      </c>
      <c r="Z79" s="175" t="str">
        <f>ListAVS!$B$91&amp;" ("&amp;Y79&amp;" kg/m3)"</f>
        <v>Płyta wiórowa (680 kg/m3)</v>
      </c>
      <c r="AC79" s="37"/>
      <c r="AD79" s="37">
        <v>15</v>
      </c>
      <c r="AE79" s="37">
        <f>SUM($T$76*$T$77*$AD79)/1000000</f>
        <v>0</v>
      </c>
      <c r="AF79" s="149" t="str">
        <f>ListAVS!$B$94</f>
        <v>Ramki aluminiowe z 5mm szkłem</v>
      </c>
      <c r="AG79" s="37"/>
      <c r="AH79" s="37"/>
      <c r="AJ79" s="37"/>
      <c r="AK79" s="37"/>
      <c r="AL79" s="108"/>
      <c r="AM79" s="108"/>
      <c r="AN79" s="108"/>
      <c r="AO79" s="137"/>
      <c r="AP79" s="137"/>
      <c r="AW79" s="137"/>
    </row>
    <row r="80" spans="1:49" s="118" customFormat="1" ht="15" customHeight="1" x14ac:dyDescent="0.2">
      <c r="A80" s="255"/>
      <c r="N80" s="1143" t="str">
        <f>ListAVS!$B$79&amp;" [kg] "</f>
        <v xml:space="preserve">Obliczona waga frontu [kg] </v>
      </c>
      <c r="O80" s="1144"/>
      <c r="P80" s="1144"/>
      <c r="Q80" s="1144"/>
      <c r="R80" s="1144"/>
      <c r="S80" s="1145"/>
      <c r="T80" s="534">
        <f>IF(X80=0,0,X80+2*T79)</f>
        <v>0</v>
      </c>
      <c r="U80" s="227"/>
      <c r="V80" s="248"/>
      <c r="W80" s="255"/>
      <c r="X80" s="186">
        <f>IF(T76*T77*T78=0,0,IF(Z77=1,Y77*Y78,IF(Z77=2,Y77*Y79,Y77*Y80)))</f>
        <v>0</v>
      </c>
      <c r="Y80" s="37">
        <f>$T$70</f>
        <v>0</v>
      </c>
      <c r="Z80" s="175" t="str">
        <f>ListAVS!$B$92</f>
        <v>Inne – wybrana gęstość materiału</v>
      </c>
      <c r="AC80" s="37"/>
      <c r="AD80" s="334">
        <f>2.5*$T$70</f>
        <v>0</v>
      </c>
      <c r="AE80" s="37">
        <f>SUM($T$76*$T$77*$AD80)/1000000</f>
        <v>0</v>
      </c>
      <c r="AF80" s="149" t="str">
        <f>ListAVS!$B$95</f>
        <v>Ramki aluminiowe z innym szkłem</v>
      </c>
      <c r="AG80" s="37"/>
      <c r="AH80" s="37"/>
      <c r="AJ80" s="37"/>
      <c r="AK80" s="37"/>
      <c r="AL80" s="108"/>
      <c r="AM80" s="108"/>
      <c r="AN80" s="108"/>
      <c r="AO80" s="137"/>
      <c r="AP80" s="137"/>
      <c r="AW80" s="137"/>
    </row>
    <row r="81" spans="1:49" ht="15" customHeight="1" x14ac:dyDescent="0.2">
      <c r="A81" s="255"/>
      <c r="N81" s="255"/>
      <c r="O81" s="273" t="str">
        <f>IF((U16=3)*AND(T80&gt;0)*AND(T79&gt;0),$Z$96&amp;" "&amp;$Z$97,IF((U16&lt;&gt;3)*AND(T80&gt;0),IF(T79=0,$Z$95," ")," "))</f>
        <v xml:space="preserve"> </v>
      </c>
      <c r="P81" s="255"/>
      <c r="Q81" s="255"/>
      <c r="R81" s="255"/>
      <c r="S81" s="255"/>
      <c r="T81" s="255"/>
      <c r="U81" s="255"/>
      <c r="V81" s="255"/>
      <c r="W81" s="255"/>
      <c r="Z81" s="118"/>
      <c r="AB81" s="118"/>
      <c r="AD81" s="186">
        <f>IF(AF77=1,AE78,IF(AF77=2,AE79,AE80))</f>
        <v>0</v>
      </c>
      <c r="AQ81" s="118"/>
      <c r="AR81" s="118"/>
      <c r="AS81" s="118"/>
      <c r="AT81" s="118"/>
      <c r="AU81" s="118"/>
      <c r="AV81" s="118"/>
      <c r="AW81" s="118"/>
    </row>
    <row r="82" spans="1:49" ht="15" customHeight="1" x14ac:dyDescent="0.2">
      <c r="A82" s="255"/>
      <c r="N82" s="255"/>
      <c r="O82" s="273"/>
      <c r="P82" s="255"/>
      <c r="Q82" s="255"/>
      <c r="R82" s="255"/>
      <c r="S82" s="255"/>
      <c r="T82" s="255"/>
      <c r="U82" s="255"/>
      <c r="V82" s="255"/>
      <c r="W82" s="255"/>
      <c r="Z82" s="118"/>
      <c r="AB82" s="118"/>
      <c r="AQ82" s="118"/>
      <c r="AR82" s="118"/>
      <c r="AS82" s="118"/>
      <c r="AT82" s="118"/>
      <c r="AU82" s="118"/>
      <c r="AV82" s="118"/>
      <c r="AW82" s="118"/>
    </row>
    <row r="83" spans="1:49" ht="15" customHeight="1" x14ac:dyDescent="0.2">
      <c r="A83" s="255"/>
      <c r="N83" s="255"/>
      <c r="O83" s="273"/>
      <c r="P83" s="255"/>
      <c r="Q83" s="255"/>
      <c r="R83" s="255"/>
      <c r="S83" s="255"/>
      <c r="T83" s="255"/>
      <c r="U83" s="255"/>
      <c r="V83" s="255"/>
      <c r="W83" s="255"/>
      <c r="Z83" s="118"/>
      <c r="AB83" s="118"/>
      <c r="AQ83" s="118"/>
      <c r="AR83" s="118"/>
      <c r="AS83" s="118"/>
      <c r="AT83" s="118"/>
      <c r="AU83" s="118"/>
      <c r="AV83" s="118"/>
      <c r="AW83" s="118"/>
    </row>
    <row r="84" spans="1:49" ht="15" customHeight="1" x14ac:dyDescent="0.2">
      <c r="A84" s="255"/>
      <c r="N84" s="255"/>
      <c r="O84" s="255"/>
      <c r="P84" s="255"/>
      <c r="Q84" s="255"/>
      <c r="R84" s="255"/>
      <c r="S84" s="255"/>
      <c r="T84" s="255"/>
      <c r="U84" s="255"/>
      <c r="V84" s="255"/>
      <c r="W84" s="255"/>
      <c r="Z84" s="118"/>
      <c r="AB84" s="118"/>
      <c r="AQ84" s="118"/>
      <c r="AR84" s="118"/>
      <c r="AS84" s="118"/>
      <c r="AT84" s="118"/>
      <c r="AU84" s="118"/>
      <c r="AV84" s="118"/>
      <c r="AW84" s="118"/>
    </row>
    <row r="85" spans="1:49" s="118" customFormat="1" ht="15" customHeight="1" x14ac:dyDescent="0.2">
      <c r="A85" s="255"/>
      <c r="N85" s="255"/>
      <c r="O85" s="255"/>
      <c r="P85" s="255"/>
      <c r="Q85" s="255"/>
      <c r="R85" s="255"/>
      <c r="S85" s="255"/>
      <c r="T85" s="255"/>
      <c r="U85" s="255"/>
      <c r="V85" s="255"/>
      <c r="W85" s="255"/>
      <c r="X85" s="37"/>
      <c r="Y85" s="37"/>
      <c r="AA85" s="37"/>
      <c r="AC85" s="37"/>
      <c r="AD85" s="37"/>
      <c r="AE85" s="37"/>
      <c r="AF85" s="37"/>
      <c r="AG85" s="37"/>
      <c r="AH85" s="37"/>
      <c r="AJ85" s="37"/>
      <c r="AK85" s="37"/>
      <c r="AL85" s="108"/>
      <c r="AM85" s="108"/>
      <c r="AN85" s="108"/>
      <c r="AO85" s="137"/>
      <c r="AP85" s="137"/>
    </row>
    <row r="86" spans="1:49" s="118" customFormat="1" ht="15" customHeight="1" x14ac:dyDescent="0.2">
      <c r="A86" s="255"/>
      <c r="N86" s="248"/>
      <c r="O86" s="248"/>
      <c r="P86" s="248"/>
      <c r="Q86" s="255"/>
      <c r="R86" s="1148" t="str">
        <f>D20</f>
        <v xml:space="preserve"> </v>
      </c>
      <c r="S86" s="1149"/>
      <c r="T86" s="1150"/>
      <c r="U86" s="255"/>
      <c r="V86" s="255"/>
      <c r="W86" s="255"/>
      <c r="X86" s="37"/>
      <c r="AA86" s="37"/>
      <c r="AC86" s="37"/>
      <c r="AD86" s="37"/>
      <c r="AE86" s="37"/>
      <c r="AF86" s="37"/>
      <c r="AG86" s="37"/>
      <c r="AH86" s="37"/>
      <c r="AJ86" s="37"/>
      <c r="AK86" s="37"/>
      <c r="AL86" s="108"/>
      <c r="AM86" s="108"/>
      <c r="AN86" s="108"/>
      <c r="AO86" s="137"/>
      <c r="AP86" s="137"/>
    </row>
    <row r="87" spans="1:49" s="118" customFormat="1" ht="15" customHeight="1" x14ac:dyDescent="0.2">
      <c r="A87" s="255"/>
      <c r="N87" s="1138" t="str">
        <f>ListAVS!$B$74&amp;" KB [mm]       "</f>
        <v xml:space="preserve">Szerokość korpusu KB [mm]       </v>
      </c>
      <c r="O87" s="1139"/>
      <c r="P87" s="1139"/>
      <c r="Q87" s="1139"/>
      <c r="R87" s="1139"/>
      <c r="S87" s="1140"/>
      <c r="T87" s="829">
        <f>H21</f>
        <v>0</v>
      </c>
      <c r="U87" s="670"/>
      <c r="V87" s="255"/>
      <c r="W87" s="255"/>
      <c r="X87" s="37"/>
      <c r="Y87" s="37">
        <f>T87*T88*T89</f>
        <v>0</v>
      </c>
      <c r="Z87" s="37"/>
      <c r="AA87" s="37"/>
      <c r="AC87" s="37"/>
      <c r="AD87" s="37">
        <f>AD76</f>
        <v>3.51</v>
      </c>
      <c r="AE87" s="149" t="s">
        <v>67</v>
      </c>
      <c r="AF87" s="37"/>
      <c r="AG87" s="37"/>
      <c r="AH87" s="37"/>
      <c r="AJ87" s="37"/>
      <c r="AK87" s="37"/>
      <c r="AL87" s="108"/>
      <c r="AM87" s="108"/>
      <c r="AN87" s="108"/>
      <c r="AO87" s="137"/>
      <c r="AP87" s="137"/>
    </row>
    <row r="88" spans="1:49" s="118" customFormat="1" ht="15" customHeight="1" x14ac:dyDescent="0.2">
      <c r="A88" s="255"/>
      <c r="N88" s="1138" t="str">
        <f>ListAVS!$B$75&amp;" KH [mm]       "</f>
        <v xml:space="preserve">Wysokość korpusu KH [mm]       </v>
      </c>
      <c r="O88" s="1139"/>
      <c r="P88" s="1139"/>
      <c r="Q88" s="1139"/>
      <c r="R88" s="1139"/>
      <c r="S88" s="1140"/>
      <c r="T88" s="829">
        <f>H22</f>
        <v>0</v>
      </c>
      <c r="U88" s="670"/>
      <c r="V88" s="255"/>
      <c r="W88" s="255"/>
      <c r="X88" s="37"/>
      <c r="Y88" s="37">
        <f>Y87/1000000000</f>
        <v>0</v>
      </c>
      <c r="Z88" s="182">
        <f>Z77</f>
        <v>1</v>
      </c>
      <c r="AC88" s="37"/>
      <c r="AD88" s="144" t="s">
        <v>71</v>
      </c>
      <c r="AE88" s="37">
        <f>SUM(T87*2,T88*2)*AD87/10000</f>
        <v>0</v>
      </c>
      <c r="AF88" s="117">
        <f>AF77</f>
        <v>3</v>
      </c>
      <c r="AG88" s="37"/>
      <c r="AH88" s="37"/>
      <c r="AJ88" s="37"/>
      <c r="AK88" s="37"/>
      <c r="AL88" s="108"/>
      <c r="AM88" s="108"/>
      <c r="AN88" s="108"/>
      <c r="AO88" s="137"/>
      <c r="AP88" s="137"/>
    </row>
    <row r="89" spans="1:49" s="118" customFormat="1" ht="15" customHeight="1" x14ac:dyDescent="0.2">
      <c r="A89" s="255"/>
      <c r="N89" s="1143" t="str">
        <f>ListAVS!$B$80&amp;" TS [mm] "</f>
        <v xml:space="preserve">Grubość frontu TS [mm] </v>
      </c>
      <c r="O89" s="1144"/>
      <c r="P89" s="1144"/>
      <c r="Q89" s="1144"/>
      <c r="R89" s="1144"/>
      <c r="S89" s="1145"/>
      <c r="T89" s="829">
        <f>H24</f>
        <v>0</v>
      </c>
      <c r="U89" s="256" t="str">
        <f>IF(SUM(T87,T88)=0," ",IF(T89=0," ● "&amp;ListAVS!$B$129," "))</f>
        <v xml:space="preserve"> </v>
      </c>
      <c r="V89" s="248"/>
      <c r="W89" s="248"/>
      <c r="X89" s="37"/>
      <c r="Y89" s="319">
        <f>$Y$78</f>
        <v>760</v>
      </c>
      <c r="Z89" s="37" t="str">
        <f>$Z$78</f>
        <v>MDF (760 kg/m3)</v>
      </c>
      <c r="AC89" s="37"/>
      <c r="AD89" s="37">
        <f>AD78</f>
        <v>10</v>
      </c>
      <c r="AE89" s="37">
        <f>SUM($T$87*$T$88*$AD89)/1000000</f>
        <v>0</v>
      </c>
      <c r="AF89" s="149" t="str">
        <f>ListAVS!$B$93</f>
        <v>Ramki aluminiowe z 4mm szkłem</v>
      </c>
      <c r="AG89" s="37"/>
      <c r="AH89" s="37"/>
      <c r="AJ89" s="37"/>
      <c r="AK89" s="37"/>
      <c r="AL89" s="108"/>
      <c r="AM89" s="108"/>
      <c r="AN89" s="108"/>
      <c r="AO89" s="137"/>
      <c r="AP89" s="137"/>
    </row>
    <row r="90" spans="1:49" s="118" customFormat="1" ht="15" customHeight="1" x14ac:dyDescent="0.2">
      <c r="A90" s="255"/>
      <c r="N90" s="1143" t="str">
        <f>ListAVS!$B$83&amp;" [kg] "</f>
        <v xml:space="preserve">Waga uchwytu [kg] </v>
      </c>
      <c r="O90" s="1144"/>
      <c r="P90" s="1144"/>
      <c r="Q90" s="1144"/>
      <c r="R90" s="1144"/>
      <c r="S90" s="1145"/>
      <c r="T90" s="829">
        <f>H25</f>
        <v>0</v>
      </c>
      <c r="U90" s="256" t="str">
        <f>IF($U$27=3," ",IF(SUM(T87,T88)=0," ",IF(T90=0," ● "&amp;ListAVS!$B$130," ")))</f>
        <v xml:space="preserve"> </v>
      </c>
      <c r="V90" s="248"/>
      <c r="W90" s="248"/>
      <c r="X90" s="37"/>
      <c r="Y90" s="319">
        <f>$Y$79</f>
        <v>680</v>
      </c>
      <c r="Z90" s="37" t="str">
        <f>$Z$79</f>
        <v>Płyta wiórowa (680 kg/m3)</v>
      </c>
      <c r="AC90" s="37"/>
      <c r="AD90" s="37">
        <f>AD79</f>
        <v>15</v>
      </c>
      <c r="AE90" s="37">
        <f>SUM($T$87*$T$88*$AD90)/1000000</f>
        <v>0</v>
      </c>
      <c r="AF90" s="149" t="str">
        <f>ListAVS!$B$94</f>
        <v>Ramki aluminiowe z 5mm szkłem</v>
      </c>
      <c r="AG90" s="37"/>
      <c r="AH90" s="37"/>
      <c r="AJ90" s="37"/>
      <c r="AK90" s="37"/>
      <c r="AL90" s="108"/>
      <c r="AM90" s="108"/>
      <c r="AN90" s="108"/>
      <c r="AO90" s="137"/>
      <c r="AP90" s="137"/>
    </row>
    <row r="91" spans="1:49" s="118" customFormat="1" ht="15" customHeight="1" x14ac:dyDescent="0.2">
      <c r="A91" s="255"/>
      <c r="N91" s="1143" t="str">
        <f>ListAVS!$B$79&amp;" [kg] "</f>
        <v xml:space="preserve">Obliczona waga frontu [kg] </v>
      </c>
      <c r="O91" s="1144"/>
      <c r="P91" s="1144"/>
      <c r="Q91" s="1144"/>
      <c r="R91" s="1144"/>
      <c r="S91" s="1145"/>
      <c r="T91" s="534">
        <f>IF(X91=0,0,X91+2*T90)</f>
        <v>0</v>
      </c>
      <c r="U91" s="227"/>
      <c r="V91" s="248"/>
      <c r="W91" s="248"/>
      <c r="X91" s="186">
        <f>IF(T87*T88*T89=0,0,IF(Z88=1,Y88*Y89,IF(Z88=2,Y88*Y90,Y88*Y91)))</f>
        <v>0</v>
      </c>
      <c r="Y91" s="37">
        <f>$Y$80</f>
        <v>0</v>
      </c>
      <c r="Z91" s="37" t="str">
        <f>$Z$80</f>
        <v>Inne – wybrana gęstość materiału</v>
      </c>
      <c r="AC91" s="37"/>
      <c r="AD91" s="334">
        <f>AD80</f>
        <v>0</v>
      </c>
      <c r="AE91" s="37">
        <f>SUM($T$87*$T$88*$AD91)/1000000</f>
        <v>0</v>
      </c>
      <c r="AF91" s="149" t="str">
        <f>ListAVS!$B$95</f>
        <v>Ramki aluminiowe z innym szkłem</v>
      </c>
      <c r="AG91" s="37"/>
      <c r="AH91" s="37"/>
      <c r="AJ91" s="37"/>
      <c r="AK91" s="37"/>
      <c r="AL91" s="108"/>
      <c r="AM91" s="108"/>
      <c r="AN91" s="108"/>
      <c r="AO91" s="137"/>
      <c r="AP91" s="137"/>
    </row>
    <row r="92" spans="1:49" s="118" customFormat="1" ht="15" customHeight="1" x14ac:dyDescent="0.2">
      <c r="A92" s="255"/>
      <c r="N92" s="255"/>
      <c r="O92" s="273" t="str">
        <f>IF((U27=3)*AND(T91&gt;0)*AND(T90&gt;0),$Z$96&amp;" "&amp;$Z$97,IF((U27&lt;&gt;3)*AND(T91&gt;0),IF(T90=0,$Z$95," ")," "))</f>
        <v xml:space="preserve"> </v>
      </c>
      <c r="P92" s="255"/>
      <c r="Q92" s="255"/>
      <c r="R92" s="255"/>
      <c r="S92" s="255"/>
      <c r="T92" s="255"/>
      <c r="U92" s="255"/>
      <c r="V92" s="255"/>
      <c r="W92" s="255"/>
      <c r="X92" s="37"/>
      <c r="Y92" s="37"/>
      <c r="AA92" s="37"/>
      <c r="AC92" s="37"/>
      <c r="AD92" s="186">
        <f>IF(AF88=1,AE89,IF(AF88=2,AE90,AE91))</f>
        <v>0</v>
      </c>
      <c r="AE92" s="37"/>
      <c r="AF92" s="37"/>
      <c r="AG92" s="37"/>
      <c r="AH92" s="37"/>
      <c r="AJ92" s="37"/>
      <c r="AK92" s="37"/>
      <c r="AL92" s="108"/>
      <c r="AM92" s="108"/>
      <c r="AN92" s="108"/>
      <c r="AO92" s="137"/>
      <c r="AP92" s="137"/>
    </row>
    <row r="93" spans="1:49" s="118" customFormat="1" ht="15" customHeight="1" x14ac:dyDescent="0.2">
      <c r="A93" s="255"/>
      <c r="N93" s="255"/>
      <c r="O93" s="255"/>
      <c r="P93" s="255"/>
      <c r="Q93" s="255"/>
      <c r="R93" s="255"/>
      <c r="S93" s="255"/>
      <c r="T93" s="255"/>
      <c r="U93" s="255"/>
      <c r="V93" s="255"/>
      <c r="W93" s="255"/>
      <c r="X93" s="37"/>
      <c r="Y93" s="37"/>
      <c r="AA93" s="37"/>
      <c r="AC93" s="37"/>
      <c r="AD93" s="37"/>
      <c r="AE93" s="37"/>
      <c r="AF93" s="37"/>
      <c r="AG93" s="37"/>
      <c r="AH93" s="37"/>
      <c r="AJ93" s="37"/>
      <c r="AK93" s="37"/>
      <c r="AL93" s="108"/>
      <c r="AM93" s="108"/>
      <c r="AN93" s="108"/>
      <c r="AO93" s="137"/>
      <c r="AP93" s="137"/>
    </row>
    <row r="94" spans="1:49" s="118" customFormat="1" ht="15" customHeight="1" x14ac:dyDescent="0.2">
      <c r="A94" s="255"/>
      <c r="N94" s="255"/>
      <c r="O94" s="255"/>
      <c r="P94" s="255"/>
      <c r="Q94" s="255"/>
      <c r="R94" s="255"/>
      <c r="S94" s="255"/>
      <c r="T94" s="255"/>
      <c r="U94" s="255"/>
      <c r="V94" s="255"/>
      <c r="W94" s="255"/>
      <c r="X94" s="37"/>
      <c r="Y94" s="37"/>
      <c r="AA94" s="37"/>
      <c r="AC94" s="37"/>
      <c r="AD94" s="37"/>
      <c r="AE94" s="37"/>
      <c r="AF94" s="37"/>
      <c r="AG94" s="37"/>
      <c r="AH94" s="37"/>
      <c r="AJ94" s="37"/>
      <c r="AK94" s="37"/>
      <c r="AL94" s="108"/>
      <c r="AM94" s="108"/>
      <c r="AN94" s="108"/>
      <c r="AO94" s="137"/>
      <c r="AP94" s="137"/>
    </row>
    <row r="95" spans="1:49" s="118" customFormat="1" ht="15" customHeight="1" x14ac:dyDescent="0.2">
      <c r="A95" s="255"/>
      <c r="N95" s="255"/>
      <c r="O95" s="255"/>
      <c r="P95" s="255"/>
      <c r="Q95" s="255"/>
      <c r="R95" s="255"/>
      <c r="S95" s="255"/>
      <c r="T95" s="255"/>
      <c r="U95" s="255"/>
      <c r="V95" s="255"/>
      <c r="W95" s="255"/>
      <c r="X95" s="37"/>
      <c r="Z95" s="37" t="str">
        <f>ListAVS!$B$103&amp;"!"</f>
        <v>Bez wagi uchwytu!</v>
      </c>
      <c r="AA95" s="37"/>
      <c r="AC95" s="37"/>
      <c r="AD95" s="37"/>
      <c r="AE95" s="37"/>
      <c r="AF95" s="37"/>
      <c r="AG95" s="37"/>
      <c r="AH95" s="37"/>
      <c r="AJ95" s="37"/>
      <c r="AK95" s="37"/>
      <c r="AL95" s="108"/>
      <c r="AM95" s="108"/>
      <c r="AN95" s="108"/>
      <c r="AO95" s="137"/>
      <c r="AP95" s="137"/>
    </row>
    <row r="96" spans="1:49" s="118" customFormat="1" ht="15" customHeight="1" x14ac:dyDescent="0.2">
      <c r="A96" s="255"/>
      <c r="N96" s="255"/>
      <c r="O96" s="255"/>
      <c r="P96" s="255"/>
      <c r="Q96" s="255"/>
      <c r="R96" s="255"/>
      <c r="S96" s="1128"/>
      <c r="T96" s="1128"/>
      <c r="U96" s="255"/>
      <c r="V96" s="255"/>
      <c r="W96" s="255"/>
      <c r="X96" s="37"/>
      <c r="Z96" s="37" t="str">
        <f>ListAVS!B104</f>
        <v>Na pewno masz uchwyt do wersji TIP-ON?</v>
      </c>
      <c r="AA96" s="37"/>
      <c r="AC96" s="37"/>
      <c r="AD96" s="37"/>
      <c r="AE96" s="37"/>
      <c r="AF96" s="37"/>
      <c r="AG96" s="37"/>
      <c r="AH96" s="37"/>
      <c r="AJ96" s="37"/>
      <c r="AK96" s="37"/>
      <c r="AL96" s="108"/>
      <c r="AM96" s="108"/>
      <c r="AN96" s="108"/>
      <c r="AO96" s="137"/>
      <c r="AP96" s="137"/>
    </row>
    <row r="97" spans="1:48" s="118" customFormat="1" ht="15" customHeight="1" x14ac:dyDescent="0.2">
      <c r="A97" s="255"/>
      <c r="N97" s="255"/>
      <c r="O97" s="255"/>
      <c r="P97" s="255"/>
      <c r="Q97" s="255"/>
      <c r="R97" s="255"/>
      <c r="S97" s="255"/>
      <c r="T97" s="255"/>
      <c r="U97" s="255"/>
      <c r="V97" s="255"/>
      <c r="W97" s="255"/>
      <c r="X97" s="37"/>
      <c r="Z97" s="37" t="str">
        <f>ListAVS!B105&amp;"!"</f>
        <v>Jeśli nie wymaż wagę uchwytu!</v>
      </c>
      <c r="AA97" s="37"/>
      <c r="AC97" s="37"/>
      <c r="AD97" s="37"/>
      <c r="AE97" s="37"/>
      <c r="AF97" s="37"/>
      <c r="AG97" s="37"/>
      <c r="AH97" s="37"/>
      <c r="AJ97" s="37"/>
      <c r="AK97" s="37"/>
      <c r="AL97" s="108"/>
      <c r="AM97" s="108"/>
      <c r="AN97" s="108"/>
      <c r="AO97" s="137"/>
      <c r="AP97" s="137"/>
      <c r="AQ97" s="37"/>
      <c r="AR97" s="37"/>
      <c r="AS97" s="37"/>
      <c r="AT97" s="37"/>
      <c r="AU97" s="37"/>
      <c r="AV97" s="37"/>
    </row>
    <row r="98" spans="1:48" s="118" customFormat="1" ht="15" customHeight="1" x14ac:dyDescent="0.2">
      <c r="A98" s="255"/>
      <c r="N98" s="255"/>
      <c r="O98" s="255"/>
      <c r="P98" s="255"/>
      <c r="Q98" s="255"/>
      <c r="R98" s="255"/>
      <c r="S98" s="248"/>
      <c r="T98" s="248"/>
      <c r="U98" s="255"/>
      <c r="V98" s="255"/>
      <c r="W98" s="255"/>
      <c r="X98" s="37"/>
      <c r="Y98" s="37"/>
      <c r="AA98" s="37"/>
      <c r="AC98" s="37"/>
      <c r="AD98" s="37"/>
      <c r="AE98" s="37"/>
      <c r="AF98" s="37"/>
      <c r="AG98" s="37"/>
      <c r="AH98" s="37"/>
      <c r="AJ98" s="37"/>
      <c r="AK98" s="37"/>
      <c r="AL98" s="108"/>
      <c r="AM98" s="108"/>
      <c r="AN98" s="108"/>
      <c r="AO98" s="137"/>
      <c r="AP98" s="137"/>
      <c r="AQ98" s="37"/>
      <c r="AR98" s="37"/>
      <c r="AS98" s="37"/>
      <c r="AT98" s="37"/>
      <c r="AU98" s="37"/>
      <c r="AV98" s="37"/>
    </row>
    <row r="99" spans="1:48" x14ac:dyDescent="0.2">
      <c r="A99" s="1045"/>
    </row>
    <row r="100" spans="1:48" ht="15" customHeight="1" x14ac:dyDescent="0.2">
      <c r="A100" s="1045"/>
      <c r="B100" s="308" t="s">
        <v>19</v>
      </c>
      <c r="C100" s="321"/>
      <c r="D100" s="308"/>
      <c r="E100" s="308"/>
      <c r="F100" s="308"/>
      <c r="G100" s="308"/>
      <c r="H100" s="308"/>
      <c r="I100" s="308"/>
      <c r="J100" s="308"/>
      <c r="K100" s="308"/>
      <c r="L100" s="308"/>
    </row>
    <row r="101" spans="1:48" x14ac:dyDescent="0.2">
      <c r="A101" s="1045"/>
    </row>
    <row r="102" spans="1:48" ht="15" customHeight="1" x14ac:dyDescent="0.2">
      <c r="A102" s="1045"/>
      <c r="B102" s="255" t="str">
        <f>ListAVS!$B$303</f>
        <v>Odpowiedni siłownik będzie określony za pomocą współczynnika mocy</v>
      </c>
      <c r="C102" s="255"/>
      <c r="D102" s="255"/>
      <c r="E102" s="255"/>
      <c r="F102" s="255"/>
      <c r="G102" s="255"/>
      <c r="H102" s="255"/>
      <c r="I102" s="255"/>
      <c r="J102" s="255"/>
      <c r="K102" s="255"/>
      <c r="L102" s="255"/>
    </row>
    <row r="103" spans="1:48" ht="15" customHeight="1" x14ac:dyDescent="0.2">
      <c r="A103" s="1045"/>
      <c r="B103" s="255" t="str">
        <f>ListAVS!$B$341</f>
        <v>Współczynnik mocy zależy od wagi frontu (wraz z podwójną wagą uchwytu) i od wysokości korpusu.</v>
      </c>
      <c r="C103" s="255"/>
      <c r="D103" s="255"/>
      <c r="E103" s="255"/>
      <c r="F103" s="255"/>
      <c r="G103" s="255"/>
      <c r="H103" s="255"/>
      <c r="I103" s="255"/>
      <c r="J103" s="255"/>
      <c r="K103" s="255"/>
      <c r="L103" s="255"/>
    </row>
    <row r="104" spans="1:48" ht="15" customHeight="1" x14ac:dyDescent="0.2">
      <c r="A104" s="1045"/>
      <c r="B104" s="255"/>
      <c r="C104" s="695"/>
      <c r="D104" s="695"/>
      <c r="E104" s="695"/>
      <c r="F104" s="695"/>
      <c r="G104" s="695"/>
      <c r="H104" s="695"/>
      <c r="I104" s="695"/>
      <c r="J104" s="695"/>
      <c r="K104" s="695"/>
      <c r="L104" s="695"/>
    </row>
    <row r="105" spans="1:48" ht="15" customHeight="1" x14ac:dyDescent="0.2">
      <c r="A105" s="1045"/>
      <c r="B105" s="696"/>
      <c r="C105" s="696"/>
      <c r="D105" s="696"/>
      <c r="E105" s="696"/>
      <c r="F105" s="696"/>
      <c r="G105" s="696"/>
      <c r="H105" s="696"/>
      <c r="I105" s="696"/>
      <c r="J105" s="696"/>
      <c r="K105" s="696"/>
      <c r="L105" s="696"/>
    </row>
    <row r="106" spans="1:48" ht="30" customHeight="1" x14ac:dyDescent="0.2">
      <c r="A106" s="1045"/>
      <c r="B106" s="746"/>
      <c r="C106" s="746"/>
      <c r="D106" s="698" t="str">
        <f>ListAVS!$B$86&amp;" = "</f>
        <v xml:space="preserve">Współczynnik mocy = </v>
      </c>
      <c r="E106" s="1068" t="str">
        <f>ListAVS!$B$342&amp;" [kg]"</f>
        <v>wysokość korpusu (KH) [mm] x waga frontu wraz z podwójną wagą uchwytu [kg]</v>
      </c>
      <c r="F106" s="1068"/>
      <c r="G106" s="1068"/>
      <c r="H106" s="1068"/>
      <c r="I106" s="1068"/>
      <c r="J106" s="1068"/>
      <c r="K106" s="1068"/>
      <c r="L106" s="1068"/>
      <c r="N106" s="108"/>
    </row>
    <row r="107" spans="1:48" ht="15" customHeight="1" x14ac:dyDescent="0.2">
      <c r="A107" s="1045"/>
      <c r="B107" s="255"/>
      <c r="C107" s="255"/>
      <c r="D107" s="255"/>
      <c r="E107" s="255"/>
      <c r="F107" s="255"/>
      <c r="G107" s="255"/>
      <c r="H107" s="255"/>
      <c r="I107" s="255"/>
      <c r="J107" s="255"/>
      <c r="K107" s="255"/>
      <c r="L107" s="255"/>
    </row>
    <row r="108" spans="1:48" ht="15" customHeight="1" x14ac:dyDescent="0.2">
      <c r="A108" s="1045"/>
      <c r="B108" s="255" t="str">
        <f>ListAVS!$B$355</f>
        <v>W razie wykorzystania trzeciego siłownika współczynnik mocy oraz waga frontu mogą się zwiększyć o 50 %.</v>
      </c>
      <c r="C108" s="255"/>
      <c r="D108" s="255"/>
      <c r="E108" s="255"/>
      <c r="F108" s="255"/>
      <c r="G108" s="255"/>
      <c r="H108" s="255"/>
      <c r="I108" s="255"/>
      <c r="J108" s="255"/>
      <c r="K108" s="255"/>
      <c r="L108" s="255"/>
    </row>
    <row r="109" spans="1:48" ht="15" customHeight="1" x14ac:dyDescent="0.2">
      <c r="A109" s="1045"/>
      <c r="B109" s="255"/>
      <c r="C109" s="255"/>
      <c r="D109" s="255"/>
      <c r="E109" s="255"/>
      <c r="F109" s="255"/>
      <c r="G109" s="255"/>
      <c r="H109" s="255"/>
      <c r="I109" s="255"/>
      <c r="J109" s="255"/>
      <c r="K109" s="255"/>
      <c r="L109" s="255"/>
    </row>
    <row r="110" spans="1:48" ht="15" customHeight="1" x14ac:dyDescent="0.2">
      <c r="A110" s="1045"/>
      <c r="B110" s="273" t="str">
        <f>ListAVS!$B$183</f>
        <v>Dodatkowy trzeci siłownik można zastosować jedynie z pełnym frontem!</v>
      </c>
      <c r="C110" s="255"/>
      <c r="D110" s="255"/>
      <c r="E110" s="255"/>
      <c r="F110" s="255"/>
      <c r="G110" s="255"/>
      <c r="H110" s="255"/>
      <c r="I110" s="255"/>
      <c r="J110" s="255"/>
      <c r="K110" s="255"/>
      <c r="L110" s="255"/>
    </row>
    <row r="111" spans="1:48" ht="15" customHeight="1" x14ac:dyDescent="0.2">
      <c r="A111" s="1045"/>
      <c r="B111" s="255"/>
      <c r="C111" s="255"/>
      <c r="D111" s="255"/>
      <c r="E111" s="255"/>
      <c r="F111" s="255"/>
      <c r="G111" s="255"/>
      <c r="H111" s="255"/>
      <c r="I111" s="255"/>
      <c r="J111" s="255"/>
      <c r="K111" s="255"/>
      <c r="L111" s="255"/>
    </row>
    <row r="112" spans="1:48" ht="15" customHeight="1" x14ac:dyDescent="0.2">
      <c r="A112" s="1045"/>
      <c r="B112" s="255" t="str">
        <f>ListAVS!$B$312</f>
        <v>Jeśli znasz wagę frontu, możesz ją wprowadzić, w przeciwnym razie skorzystaj z „Obliczenia wagi”.</v>
      </c>
      <c r="C112" s="255"/>
      <c r="D112" s="255"/>
      <c r="E112" s="255"/>
      <c r="F112" s="255"/>
      <c r="G112" s="255"/>
      <c r="H112" s="255"/>
      <c r="I112" s="255"/>
      <c r="J112" s="255"/>
      <c r="K112" s="255"/>
      <c r="L112" s="255"/>
    </row>
    <row r="113" spans="1:12" ht="15" customHeight="1" x14ac:dyDescent="0.2">
      <c r="A113" s="1045"/>
      <c r="B113" s="255" t="str">
        <f>ListAVS!$B$313</f>
        <v>W tabeli wprowadzona wartość ma pierwszeństwo aby skorzystać z wagi obliczeniowej, należy usunąć wprowadzoną wartość.</v>
      </c>
      <c r="C113" s="255"/>
      <c r="D113" s="255"/>
      <c r="E113" s="255"/>
      <c r="F113" s="255"/>
      <c r="G113" s="255"/>
      <c r="H113" s="255"/>
      <c r="I113" s="255"/>
      <c r="J113" s="255"/>
      <c r="K113" s="255"/>
      <c r="L113" s="255"/>
    </row>
    <row r="114" spans="1:12" ht="15" customHeight="1" x14ac:dyDescent="0.2">
      <c r="A114" s="1045"/>
      <c r="B114" s="255"/>
      <c r="C114" s="255"/>
      <c r="D114" s="255"/>
      <c r="E114" s="255"/>
      <c r="F114" s="255"/>
      <c r="G114" s="255"/>
      <c r="H114" s="255"/>
      <c r="I114" s="255"/>
      <c r="J114" s="255"/>
      <c r="K114" s="255"/>
      <c r="L114" s="255"/>
    </row>
    <row r="115" spans="1:12" ht="15" customHeight="1" x14ac:dyDescent="0.2">
      <c r="A115" s="1045"/>
      <c r="B115" s="255" t="str">
        <f>ListAVS!$B$307</f>
        <v>Aby zmienić rodzaj siłownika (pełna/częściowa integracja), przejdź do wyboru Hki</v>
      </c>
      <c r="C115" s="255"/>
      <c r="D115" s="255"/>
      <c r="E115" s="255"/>
      <c r="F115" s="255"/>
      <c r="G115" s="255"/>
      <c r="H115" s="255"/>
      <c r="I115" s="255"/>
      <c r="J115" s="255"/>
      <c r="K115" s="255"/>
      <c r="L115" s="255"/>
    </row>
    <row r="116" spans="1:12" ht="15" customHeight="1" x14ac:dyDescent="0.2">
      <c r="A116" s="1045"/>
      <c r="B116" s="255" t="str">
        <f>ListAVS!$B$306</f>
        <v>Aby zmienić kolor zaślepek przejdź do „Wprowadzenie do planowania”</v>
      </c>
      <c r="C116" s="255"/>
      <c r="D116" s="255"/>
      <c r="E116" s="255"/>
      <c r="F116" s="255"/>
      <c r="G116" s="255"/>
      <c r="H116" s="255"/>
      <c r="I116" s="255"/>
      <c r="J116" s="255"/>
      <c r="K116" s="255"/>
      <c r="L116" s="255"/>
    </row>
    <row r="117" spans="1:12" ht="15" customHeight="1" x14ac:dyDescent="0.2">
      <c r="A117" s="1045"/>
      <c r="B117" s="255"/>
      <c r="C117" s="255"/>
      <c r="D117" s="255"/>
      <c r="E117" s="255"/>
      <c r="F117" s="255"/>
      <c r="G117" s="255"/>
      <c r="H117" s="255"/>
      <c r="I117" s="255"/>
      <c r="J117" s="255"/>
      <c r="K117" s="255"/>
      <c r="L117" s="255"/>
    </row>
    <row r="118" spans="1:12" ht="15" customHeight="1" x14ac:dyDescent="0.2">
      <c r="A118" s="1045"/>
      <c r="B118" s="255"/>
      <c r="C118" s="255"/>
      <c r="D118" s="255"/>
      <c r="E118" s="255"/>
      <c r="F118" s="255"/>
      <c r="G118" s="255"/>
      <c r="H118" s="255"/>
      <c r="I118" s="255"/>
      <c r="J118" s="255"/>
      <c r="K118" s="255"/>
      <c r="L118" s="255"/>
    </row>
    <row r="119" spans="1:12" ht="15" customHeight="1" x14ac:dyDescent="0.2">
      <c r="A119" s="1045"/>
      <c r="B119" s="255"/>
      <c r="C119" s="255"/>
      <c r="D119" s="255"/>
      <c r="E119" s="255"/>
      <c r="F119" s="255"/>
      <c r="G119" s="255"/>
      <c r="H119" s="255"/>
      <c r="I119" s="255"/>
      <c r="J119" s="255"/>
      <c r="K119" s="255"/>
      <c r="L119" s="255"/>
    </row>
    <row r="120" spans="1:12" ht="15" customHeight="1" x14ac:dyDescent="0.2">
      <c r="A120" s="1045"/>
      <c r="B120" s="255"/>
      <c r="C120" s="255"/>
      <c r="D120" s="255"/>
      <c r="E120" s="255"/>
      <c r="F120" s="255"/>
      <c r="G120" s="255"/>
      <c r="H120" s="255"/>
      <c r="I120" s="255"/>
      <c r="J120" s="255"/>
      <c r="K120" s="255"/>
      <c r="L120" s="255"/>
    </row>
    <row r="121" spans="1:12" ht="15" customHeight="1" x14ac:dyDescent="0.2">
      <c r="A121" s="1045"/>
      <c r="B121" s="255"/>
      <c r="C121" s="255"/>
      <c r="D121" s="255"/>
      <c r="E121" s="255"/>
      <c r="F121" s="255"/>
      <c r="G121" s="255"/>
      <c r="H121" s="255"/>
      <c r="I121" s="255"/>
      <c r="J121" s="255"/>
      <c r="K121" s="255"/>
      <c r="L121" s="882" t="str">
        <f>ListAVS!$B$168</f>
        <v>Z powrotem</v>
      </c>
    </row>
    <row r="122" spans="1:12" ht="15" customHeight="1" x14ac:dyDescent="0.2">
      <c r="A122" s="1045"/>
      <c r="B122" s="255"/>
      <c r="C122" s="255"/>
      <c r="D122" s="255"/>
      <c r="E122" s="255"/>
      <c r="F122" s="255"/>
      <c r="G122" s="255"/>
      <c r="H122" s="255"/>
      <c r="I122" s="255"/>
      <c r="J122" s="255"/>
      <c r="K122" s="255"/>
      <c r="L122" s="255"/>
    </row>
    <row r="123" spans="1:12" ht="15" customHeight="1" x14ac:dyDescent="0.2">
      <c r="A123" s="1045"/>
      <c r="B123" s="255"/>
      <c r="C123" s="255"/>
      <c r="D123" s="255"/>
      <c r="E123" s="255"/>
      <c r="F123" s="255"/>
      <c r="G123" s="255"/>
      <c r="H123" s="255"/>
      <c r="I123" s="255"/>
      <c r="J123" s="255"/>
      <c r="K123" s="255"/>
      <c r="L123" s="255"/>
    </row>
    <row r="124" spans="1:12" ht="12.75" x14ac:dyDescent="0.2">
      <c r="A124" s="1045"/>
      <c r="B124" s="255"/>
      <c r="C124" s="255"/>
      <c r="D124" s="255"/>
      <c r="E124" s="255"/>
      <c r="F124" s="255"/>
      <c r="G124" s="255"/>
      <c r="H124" s="255"/>
      <c r="I124" s="255"/>
      <c r="J124" s="255"/>
      <c r="K124" s="255"/>
      <c r="L124" s="255"/>
    </row>
    <row r="125" spans="1:12" ht="12.75" x14ac:dyDescent="0.2">
      <c r="A125" s="1045"/>
      <c r="B125" s="255"/>
      <c r="C125" s="255"/>
      <c r="D125" s="255"/>
      <c r="E125" s="255"/>
      <c r="F125" s="255"/>
      <c r="G125" s="255"/>
      <c r="H125" s="255"/>
      <c r="I125" s="255"/>
      <c r="J125" s="255"/>
      <c r="K125" s="255"/>
      <c r="L125" s="255"/>
    </row>
    <row r="126" spans="1:12" ht="12.75" x14ac:dyDescent="0.2">
      <c r="A126" s="1045"/>
      <c r="B126" s="255"/>
      <c r="C126" s="255"/>
      <c r="D126" s="255"/>
      <c r="E126" s="255"/>
      <c r="F126" s="255"/>
      <c r="G126" s="255"/>
      <c r="H126" s="255"/>
      <c r="I126" s="255"/>
      <c r="J126" s="255"/>
      <c r="K126" s="255"/>
      <c r="L126" s="255"/>
    </row>
    <row r="127" spans="1:12" ht="12.75" x14ac:dyDescent="0.2">
      <c r="A127" s="1045"/>
      <c r="B127" s="255"/>
      <c r="C127" s="255"/>
      <c r="D127" s="255"/>
      <c r="E127" s="255"/>
      <c r="F127" s="255"/>
      <c r="G127" s="255"/>
      <c r="H127" s="255"/>
      <c r="I127" s="255"/>
      <c r="J127" s="255"/>
      <c r="K127" s="255"/>
      <c r="L127" s="255"/>
    </row>
    <row r="128" spans="1:12" ht="12.75" x14ac:dyDescent="0.2">
      <c r="A128" s="1045"/>
      <c r="B128" s="255"/>
      <c r="C128" s="255"/>
      <c r="D128" s="255"/>
      <c r="E128" s="255"/>
      <c r="F128" s="255"/>
      <c r="G128" s="255"/>
      <c r="H128" s="255"/>
      <c r="I128" s="255"/>
      <c r="J128" s="255"/>
      <c r="K128" s="255"/>
      <c r="L128" s="255"/>
    </row>
    <row r="129" spans="1:12" ht="12.75" x14ac:dyDescent="0.2">
      <c r="A129" s="1045"/>
      <c r="B129" s="255"/>
      <c r="C129" s="255"/>
      <c r="D129" s="255"/>
      <c r="E129" s="255"/>
      <c r="F129" s="255"/>
      <c r="G129" s="255"/>
      <c r="H129" s="255"/>
      <c r="I129" s="255"/>
      <c r="J129" s="255"/>
      <c r="K129" s="255"/>
      <c r="L129" s="255"/>
    </row>
    <row r="130" spans="1:12" x14ac:dyDescent="0.2">
      <c r="A130" s="1045"/>
    </row>
    <row r="131" spans="1:12" x14ac:dyDescent="0.2">
      <c r="A131" s="1045"/>
    </row>
    <row r="132" spans="1:12" x14ac:dyDescent="0.2">
      <c r="A132" s="1045"/>
    </row>
    <row r="133" spans="1:12" x14ac:dyDescent="0.2">
      <c r="A133" s="1045"/>
    </row>
    <row r="134" spans="1:12" x14ac:dyDescent="0.2">
      <c r="A134" s="1045"/>
    </row>
    <row r="135" spans="1:12" x14ac:dyDescent="0.2">
      <c r="A135" s="1045"/>
    </row>
    <row r="136" spans="1:12" x14ac:dyDescent="0.2">
      <c r="A136" s="1045"/>
    </row>
    <row r="137" spans="1:12" x14ac:dyDescent="0.2">
      <c r="A137" s="1045"/>
    </row>
    <row r="138" spans="1:12" x14ac:dyDescent="0.2">
      <c r="A138" s="1045"/>
    </row>
    <row r="139" spans="1:12" x14ac:dyDescent="0.2">
      <c r="A139" s="1045"/>
    </row>
    <row r="140" spans="1:12" x14ac:dyDescent="0.2">
      <c r="A140" s="1045"/>
    </row>
  </sheetData>
  <sheetProtection algorithmName="SHA-512" hashValue="Y3kd4htgJsL2jueaoghlZ1nxFRWfnyG1maEQmJfA5OfnynkCOey9theNXnl01bU5K3RFe3LEQnMDJvYsKp2ayw==" saltValue="31M9hq7NP5xkjyo4LkptBg==" spinCount="100000" sheet="1" objects="1" scenarios="1"/>
  <mergeCells count="63">
    <mergeCell ref="B12:G12"/>
    <mergeCell ref="AQ12:AR12"/>
    <mergeCell ref="K4:L5"/>
    <mergeCell ref="F5:J5"/>
    <mergeCell ref="B7:C7"/>
    <mergeCell ref="G7:H7"/>
    <mergeCell ref="AQ8:AR9"/>
    <mergeCell ref="B10:G10"/>
    <mergeCell ref="V10:W10"/>
    <mergeCell ref="AQ10:AR10"/>
    <mergeCell ref="B11:G11"/>
    <mergeCell ref="AQ11:AR11"/>
    <mergeCell ref="AQ1:AY1"/>
    <mergeCell ref="B2:D2"/>
    <mergeCell ref="AS8:AS9"/>
    <mergeCell ref="B9:C9"/>
    <mergeCell ref="F9:H9"/>
    <mergeCell ref="R9:S9"/>
    <mergeCell ref="V9:W9"/>
    <mergeCell ref="B13:C15"/>
    <mergeCell ref="D13:G13"/>
    <mergeCell ref="AQ13:AR13"/>
    <mergeCell ref="D14:G14"/>
    <mergeCell ref="D15:G15"/>
    <mergeCell ref="AQ15:AU16"/>
    <mergeCell ref="B16:C16"/>
    <mergeCell ref="D16:G16"/>
    <mergeCell ref="B17:G17"/>
    <mergeCell ref="AQ17:AU18"/>
    <mergeCell ref="B20:C20"/>
    <mergeCell ref="F20:H20"/>
    <mergeCell ref="R20:S20"/>
    <mergeCell ref="V20:W20"/>
    <mergeCell ref="C37:K40"/>
    <mergeCell ref="B21:G21"/>
    <mergeCell ref="V21:W21"/>
    <mergeCell ref="B22:G22"/>
    <mergeCell ref="B23:G23"/>
    <mergeCell ref="B24:C26"/>
    <mergeCell ref="D24:G24"/>
    <mergeCell ref="D25:G25"/>
    <mergeCell ref="D26:G26"/>
    <mergeCell ref="B27:C27"/>
    <mergeCell ref="D27:G27"/>
    <mergeCell ref="B28:G28"/>
    <mergeCell ref="T30:U30"/>
    <mergeCell ref="N89:S89"/>
    <mergeCell ref="C43:K45"/>
    <mergeCell ref="P71:T71"/>
    <mergeCell ref="R75:T75"/>
    <mergeCell ref="N76:S76"/>
    <mergeCell ref="N77:S77"/>
    <mergeCell ref="N78:S78"/>
    <mergeCell ref="N79:S79"/>
    <mergeCell ref="N80:S80"/>
    <mergeCell ref="R86:T86"/>
    <mergeCell ref="N87:S87"/>
    <mergeCell ref="N88:S88"/>
    <mergeCell ref="N90:S90"/>
    <mergeCell ref="N91:S91"/>
    <mergeCell ref="S96:T96"/>
    <mergeCell ref="A99:A140"/>
    <mergeCell ref="E106:L106"/>
  </mergeCells>
  <phoneticPr fontId="117" type="noConversion"/>
  <conditionalFormatting sqref="B16:C16">
    <cfRule type="expression" dxfId="63" priority="5" stopIfTrue="1">
      <formula>$V$10=TRUE</formula>
    </cfRule>
  </conditionalFormatting>
  <conditionalFormatting sqref="B27:C27">
    <cfRule type="expression" dxfId="62" priority="6" stopIfTrue="1">
      <formula>$V$21=TRUE</formula>
    </cfRule>
  </conditionalFormatting>
  <conditionalFormatting sqref="I23">
    <cfRule type="containsText" dxfId="61" priority="4" operator="containsText" text="Doplňte">
      <formula>NOT(ISERROR(SEARCH("Doplňte",I23)))</formula>
    </cfRule>
  </conditionalFormatting>
  <conditionalFormatting sqref="I26">
    <cfRule type="containsText" dxfId="60" priority="3" operator="containsText" text="Doplňte">
      <formula>NOT(ISERROR(SEARCH("Doplňte",I26)))</formula>
    </cfRule>
  </conditionalFormatting>
  <conditionalFormatting sqref="E9">
    <cfRule type="expression" dxfId="59" priority="7">
      <formula>$M$17&gt;0</formula>
    </cfRule>
  </conditionalFormatting>
  <conditionalFormatting sqref="I12 I15">
    <cfRule type="expression" dxfId="58" priority="8">
      <formula>$M$17=0</formula>
    </cfRule>
    <cfRule type="containsText" dxfId="57" priority="9" operator="containsText" text="Doplňte">
      <formula>NOT(ISERROR(SEARCH("Doplňte",I12)))</formula>
    </cfRule>
  </conditionalFormatting>
  <conditionalFormatting sqref="I23 I26">
    <cfRule type="expression" dxfId="56" priority="11">
      <formula>$M$28=0</formula>
    </cfRule>
  </conditionalFormatting>
  <conditionalFormatting sqref="E20">
    <cfRule type="expression" dxfId="55" priority="2">
      <formula>$M$28&gt;0</formula>
    </cfRule>
  </conditionalFormatting>
  <hyperlinks>
    <hyperlink ref="N76:S76" location="HKw!H10" tooltip=" " display="HKw!H10" xr:uid="{0716361A-EE4F-4D9E-B4F9-83CAC861E4AB}"/>
    <hyperlink ref="N77:S77" location="HKw!H11" tooltip=" " display="HKw!H11" xr:uid="{E0D465D9-9806-4309-9242-0BDC21CE3F35}"/>
    <hyperlink ref="N87:S87" location="HKw!H19" tooltip=" " display="HKw!H19" xr:uid="{73ABBC9D-BBCC-451B-8556-3B1872EB7836}"/>
    <hyperlink ref="N88:S88" location="HKw!H20" tooltip=" " display="HKw!H20" xr:uid="{3981545F-1D4A-4FA8-90B5-DEF8B9E765BF}"/>
    <hyperlink ref="AN5" location="HKw!A100" tooltip=" " display="HKw!A100" xr:uid="{75585CF4-FD03-4AE2-936B-35E0A9E40868}"/>
    <hyperlink ref="L121" location="HKiw!A1" tooltip=" " display="HKiw!A1" xr:uid="{AE14D41C-0FFD-4883-B2F5-78CE46CCE797}"/>
    <hyperlink ref="AN9" location="SumAVS!A1" tooltip=" " display="SumAVS!A1" xr:uid="{07EECD55-3F31-43E1-BFA9-3B1832CFA048}"/>
    <hyperlink ref="AN10" location="OrdAVS!A1" tooltip=" " display="OrdAVS!A1" xr:uid="{D219E0D8-F86A-450E-8FAA-83A2E3FDD2C2}"/>
    <hyperlink ref="AN7" location="AcsAVS!A1" tooltip=" " display="AcsAVS!A1" xr:uid="{879381D4-25F1-4785-BC1C-8449F1FEA977}"/>
    <hyperlink ref="AN4" location="MenuAVS!A1" tooltip=" " display="MenuAVS!A1" xr:uid="{561A08C6-950D-4783-8023-A47C6634023D}"/>
    <hyperlink ref="B2:C2" location="HK!A1" tooltip=" " display="AVENTOS HK top" xr:uid="{64A2C2EA-0235-4C5B-BC3F-65C43C8A62C4}"/>
    <hyperlink ref="B2:L2" location="HKi!A1" tooltip=" " display="AVENTOS HKi" xr:uid="{8E731E69-EB6C-4451-8970-F530B998875E}"/>
  </hyperlinks>
  <pageMargins left="0.62992125984251968" right="0.23622047244094488" top="0.74803149606299213" bottom="0.74803149606299213" header="0.31496062992125984" footer="0.31496062992125984"/>
  <pageSetup paperSize="9" orientation="portrait" horizontalDpi="4294967293"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92513" r:id="rId4" name="Drop Down 1">
              <controlPr defaultSize="0" autoLine="0" autoPict="0">
                <anchor moveWithCells="1">
                  <from>
                    <xdr:col>3</xdr:col>
                    <xdr:colOff>19050</xdr:colOff>
                    <xdr:row>6</xdr:row>
                    <xdr:rowOff>9525</xdr:rowOff>
                  </from>
                  <to>
                    <xdr:col>5</xdr:col>
                    <xdr:colOff>571500</xdr:colOff>
                    <xdr:row>7</xdr:row>
                    <xdr:rowOff>0</xdr:rowOff>
                  </to>
                </anchor>
              </controlPr>
            </control>
          </mc:Choice>
        </mc:AlternateContent>
        <mc:AlternateContent xmlns:mc="http://schemas.openxmlformats.org/markup-compatibility/2006">
          <mc:Choice Requires="x14">
            <control shapeId="192514" r:id="rId5" name="Check Box 2">
              <controlPr defaultSize="0" autoFill="0" autoLine="0" autoPict="0">
                <anchor moveWithCells="1">
                  <from>
                    <xdr:col>2</xdr:col>
                    <xdr:colOff>409575</xdr:colOff>
                    <xdr:row>14</xdr:row>
                    <xdr:rowOff>180975</xdr:rowOff>
                  </from>
                  <to>
                    <xdr:col>3</xdr:col>
                    <xdr:colOff>95250</xdr:colOff>
                    <xdr:row>16</xdr:row>
                    <xdr:rowOff>0</xdr:rowOff>
                  </to>
                </anchor>
              </controlPr>
            </control>
          </mc:Choice>
        </mc:AlternateContent>
        <mc:AlternateContent xmlns:mc="http://schemas.openxmlformats.org/markup-compatibility/2006">
          <mc:Choice Requires="x14">
            <control shapeId="192515" r:id="rId6" name="Check Box 3">
              <controlPr defaultSize="0" autoFill="0" autoLine="0" autoPict="0">
                <anchor moveWithCells="1">
                  <from>
                    <xdr:col>2</xdr:col>
                    <xdr:colOff>409575</xdr:colOff>
                    <xdr:row>25</xdr:row>
                    <xdr:rowOff>180975</xdr:rowOff>
                  </from>
                  <to>
                    <xdr:col>3</xdr:col>
                    <xdr:colOff>95250</xdr:colOff>
                    <xdr:row>27</xdr:row>
                    <xdr:rowOff>0</xdr:rowOff>
                  </to>
                </anchor>
              </controlPr>
            </control>
          </mc:Choice>
        </mc:AlternateContent>
        <mc:AlternateContent xmlns:mc="http://schemas.openxmlformats.org/markup-compatibility/2006">
          <mc:Choice Requires="x14">
            <control shapeId="192516" r:id="rId7" name="Drop Down 4">
              <controlPr defaultSize="0" autoLine="0" autoPict="0">
                <anchor moveWithCells="1">
                  <from>
                    <xdr:col>1</xdr:col>
                    <xdr:colOff>0</xdr:colOff>
                    <xdr:row>9</xdr:row>
                    <xdr:rowOff>0</xdr:rowOff>
                  </from>
                  <to>
                    <xdr:col>2</xdr:col>
                    <xdr:colOff>571500</xdr:colOff>
                    <xdr:row>10</xdr:row>
                    <xdr:rowOff>0</xdr:rowOff>
                  </to>
                </anchor>
              </controlPr>
            </control>
          </mc:Choice>
        </mc:AlternateContent>
        <mc:AlternateContent xmlns:mc="http://schemas.openxmlformats.org/markup-compatibility/2006">
          <mc:Choice Requires="x14">
            <control shapeId="192517" r:id="rId8" name="Drop Down 5">
              <controlPr defaultSize="0" autoLine="0" autoPict="0">
                <anchor moveWithCells="1">
                  <from>
                    <xdr:col>1</xdr:col>
                    <xdr:colOff>0</xdr:colOff>
                    <xdr:row>20</xdr:row>
                    <xdr:rowOff>0</xdr:rowOff>
                  </from>
                  <to>
                    <xdr:col>2</xdr:col>
                    <xdr:colOff>571500</xdr:colOff>
                    <xdr:row>21</xdr:row>
                    <xdr:rowOff>0</xdr:rowOff>
                  </to>
                </anchor>
              </controlPr>
            </control>
          </mc:Choice>
        </mc:AlternateContent>
        <mc:AlternateContent xmlns:mc="http://schemas.openxmlformats.org/markup-compatibility/2006">
          <mc:Choice Requires="x14">
            <control shapeId="192518" r:id="rId9" name="Drop Down 6">
              <controlPr defaultSize="0" autoLine="0" autoPict="0">
                <anchor moveWithCells="1">
                  <from>
                    <xdr:col>6</xdr:col>
                    <xdr:colOff>9525</xdr:colOff>
                    <xdr:row>3</xdr:row>
                    <xdr:rowOff>0</xdr:rowOff>
                  </from>
                  <to>
                    <xdr:col>9</xdr:col>
                    <xdr:colOff>0</xdr:colOff>
                    <xdr:row>4</xdr:row>
                    <xdr:rowOff>0</xdr:rowOff>
                  </to>
                </anchor>
              </controlPr>
            </control>
          </mc:Choice>
        </mc:AlternateContent>
      </controls>
    </mc:Choice>
  </mc:AlternateContent>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B2730-FD81-4F5D-AC6E-1EFBB41ED4DE}">
  <sheetPr codeName="Sheet57">
    <tabColor rgb="FF7030A0"/>
  </sheetPr>
  <dimension ref="A1:AY140"/>
  <sheetViews>
    <sheetView showGridLines="0" showRowColHeaders="0" workbookViewId="0">
      <selection activeCell="AN4" sqref="AN4"/>
    </sheetView>
  </sheetViews>
  <sheetFormatPr defaultColWidth="8.28515625" defaultRowHeight="12" x14ac:dyDescent="0.2"/>
  <cols>
    <col min="1" max="1" width="1.28515625" style="37" customWidth="1"/>
    <col min="2" max="9" width="8.5703125" style="37" customWidth="1"/>
    <col min="10" max="10" width="6.7109375" style="37" customWidth="1"/>
    <col min="11" max="11" width="10.42578125" style="37" customWidth="1"/>
    <col min="12" max="12" width="17.28515625" style="37" customWidth="1"/>
    <col min="13" max="14" width="6.42578125" style="37" hidden="1" customWidth="1"/>
    <col min="15" max="15" width="6.42578125" style="118" hidden="1" customWidth="1"/>
    <col min="16" max="16" width="6.42578125" style="37" hidden="1" customWidth="1"/>
    <col min="17" max="17" width="6" style="118" hidden="1" customWidth="1"/>
    <col min="18" max="18" width="6.42578125" style="37" hidden="1" customWidth="1"/>
    <col min="19" max="19" width="7.7109375" style="37" hidden="1" customWidth="1"/>
    <col min="20" max="20" width="9.5703125" style="37" hidden="1" customWidth="1"/>
    <col min="21" max="24" width="6.42578125" style="37" hidden="1" customWidth="1"/>
    <col min="25" max="25" width="37.28515625" style="37" hidden="1" customWidth="1"/>
    <col min="26" max="26" width="13.5703125" style="37" hidden="1" customWidth="1"/>
    <col min="27" max="29" width="6.7109375" style="37" hidden="1" customWidth="1"/>
    <col min="30" max="30" width="9.42578125" style="37" hidden="1" customWidth="1"/>
    <col min="31" max="34" width="6.7109375" style="37" hidden="1" customWidth="1"/>
    <col min="35" max="37" width="6.42578125" style="37" hidden="1" customWidth="1"/>
    <col min="38" max="38" width="3.28515625" style="108" hidden="1" customWidth="1"/>
    <col min="39" max="39" width="5.28515625" style="108" customWidth="1"/>
    <col min="40" max="40" width="23.42578125" style="108" customWidth="1"/>
    <col min="41" max="42" width="8.28515625" style="137"/>
    <col min="43" max="44" width="16.28515625" style="137" customWidth="1"/>
    <col min="45" max="45" width="20.5703125" style="137" customWidth="1"/>
    <col min="46" max="16384" width="8.28515625" style="137"/>
  </cols>
  <sheetData>
    <row r="1" spans="2:51" ht="4.5" customHeight="1" thickBot="1" x14ac:dyDescent="0.25">
      <c r="L1" s="137"/>
      <c r="AQ1" s="1121"/>
      <c r="AR1" s="1121"/>
      <c r="AS1" s="1121"/>
      <c r="AT1" s="1121"/>
      <c r="AU1" s="1121"/>
      <c r="AV1" s="1121"/>
      <c r="AW1" s="1121"/>
      <c r="AX1" s="1121"/>
      <c r="AY1" s="1121"/>
    </row>
    <row r="2" spans="2:51" s="108" customFormat="1" ht="19.5" customHeight="1" thickBot="1" x14ac:dyDescent="0.25">
      <c r="B2" s="1048" t="s">
        <v>638</v>
      </c>
      <c r="C2" s="1048"/>
      <c r="D2" s="1048"/>
      <c r="E2" s="886"/>
      <c r="F2" s="886"/>
      <c r="G2" s="886"/>
      <c r="H2" s="886"/>
      <c r="I2" s="886"/>
      <c r="J2" s="886"/>
      <c r="K2" s="886"/>
      <c r="L2" s="886"/>
      <c r="O2" s="108" t="s">
        <v>64</v>
      </c>
      <c r="S2" s="117">
        <v>3</v>
      </c>
      <c r="AN2" s="379" t="str">
        <f>ListAVS!$B$153</f>
        <v>Przejdź do</v>
      </c>
    </row>
    <row r="3" spans="2:51" ht="3.75" customHeight="1" x14ac:dyDescent="0.2">
      <c r="B3" s="312"/>
      <c r="C3" s="306"/>
      <c r="D3" s="306"/>
      <c r="E3" s="306"/>
      <c r="F3" s="306"/>
      <c r="G3" s="306"/>
      <c r="H3" s="306"/>
      <c r="I3" s="306"/>
      <c r="J3" s="306"/>
      <c r="K3" s="306"/>
      <c r="L3" s="137"/>
      <c r="AL3" s="137"/>
    </row>
    <row r="4" spans="2:51" ht="16.149999999999999" customHeight="1" thickBot="1" x14ac:dyDescent="0.25">
      <c r="B4" s="313" t="str">
        <f>ListAVS!$B$20&amp;" ***"</f>
        <v>Szeroka ramka aluminiowa ***</v>
      </c>
      <c r="C4" s="313"/>
      <c r="D4" s="266"/>
      <c r="E4" s="313"/>
      <c r="F4" s="269" t="str">
        <f>ListAVS!$B$180&amp;"  "</f>
        <v xml:space="preserve">Wykonanie frontów  </v>
      </c>
      <c r="G4" s="255"/>
      <c r="H4" s="255"/>
      <c r="I4" s="255"/>
      <c r="J4" s="260"/>
      <c r="K4" s="1047" t="str">
        <f>IF($Z$77=3,IF(J4=0,$Y$72," "),IF(J4&gt;0,$Y$73," "))</f>
        <v xml:space="preserve"> </v>
      </c>
      <c r="L4" s="1047"/>
      <c r="O4" s="117">
        <v>1</v>
      </c>
      <c r="S4" s="37" t="str">
        <f>" "&amp;ListAVS!$B$41&amp;" A "</f>
        <v xml:space="preserve"> Cena za korpus A </v>
      </c>
      <c r="AL4" s="137"/>
      <c r="AN4" s="383" t="s">
        <v>77</v>
      </c>
    </row>
    <row r="5" spans="2:51" ht="16.149999999999999" customHeight="1" x14ac:dyDescent="0.2">
      <c r="B5" s="266"/>
      <c r="C5" s="313"/>
      <c r="D5" s="313"/>
      <c r="E5" s="313"/>
      <c r="F5" s="1016" t="str">
        <f>IF($Z$77&lt;&gt;3,$Y$71," ")&amp;"      "</f>
        <v xml:space="preserve"> Możesz zmienić wartości we Wstępie do planowania      </v>
      </c>
      <c r="G5" s="1016"/>
      <c r="H5" s="1016"/>
      <c r="I5" s="1016"/>
      <c r="J5" s="1016"/>
      <c r="K5" s="1047"/>
      <c r="L5" s="1047"/>
      <c r="O5" s="118" t="s">
        <v>65</v>
      </c>
      <c r="S5" s="37" t="str">
        <f>" "&amp;ListAVS!$B$41&amp;" B "</f>
        <v xml:space="preserve"> Cena za korpus B </v>
      </c>
      <c r="AL5" s="137"/>
      <c r="AN5" s="634" t="str">
        <f>" "&amp;ListAVS!$B$155</f>
        <v xml:space="preserve"> Pomoc</v>
      </c>
    </row>
    <row r="6" spans="2:51" ht="22.5" customHeight="1" x14ac:dyDescent="0.2">
      <c r="B6" s="313"/>
      <c r="C6" s="313"/>
      <c r="D6" s="313"/>
      <c r="E6" s="313"/>
      <c r="F6" s="266"/>
      <c r="G6" s="434"/>
      <c r="H6" s="434"/>
      <c r="I6" s="313"/>
      <c r="J6" s="313"/>
      <c r="K6" s="313"/>
      <c r="L6" s="887"/>
      <c r="O6" s="323" t="s">
        <v>66</v>
      </c>
      <c r="S6" s="37" t="str">
        <f>" "&amp;ListAVS!$B$61</f>
        <v xml:space="preserve"> Cena całkowita bez VAT</v>
      </c>
      <c r="AL6" s="137"/>
      <c r="AN6" s="736"/>
    </row>
    <row r="7" spans="2:51" ht="16.149999999999999" customHeight="1" x14ac:dyDescent="0.2">
      <c r="B7" s="1059" t="str">
        <f>ListAVS!$B$51&amp;":   "</f>
        <v xml:space="preserve">Cena okucia:   </v>
      </c>
      <c r="C7" s="1060"/>
      <c r="D7" s="255"/>
      <c r="E7" s="266"/>
      <c r="F7" s="266"/>
      <c r="G7" s="1061">
        <f>IF(S2=1,$AF$48,IF($S$2=2,$AH$48,IF($S$2=3,$AD$48,0)))</f>
        <v>0</v>
      </c>
      <c r="H7" s="1062"/>
      <c r="I7" s="255"/>
      <c r="J7" s="255"/>
      <c r="K7" s="255"/>
      <c r="L7" s="274" t="str">
        <f>IF($R$44=1, ListAVS!$B$429, ListAVS!$B$430)</f>
        <v xml:space="preserve">w pełni zintegrowany </v>
      </c>
      <c r="Y7" s="156" t="str">
        <f>$B$2</f>
        <v>AVENTOS HKi</v>
      </c>
      <c r="Z7" s="157" t="str">
        <f>B4</f>
        <v>Szeroka ramka aluminiowa ***</v>
      </c>
      <c r="AA7" s="157"/>
      <c r="AB7" s="157"/>
      <c r="AC7" s="157"/>
      <c r="AD7" s="158"/>
      <c r="AG7" s="118"/>
      <c r="AN7" s="675" t="str">
        <f>" "&amp;ListAVS!$B$160</f>
        <v xml:space="preserve"> Dodatki</v>
      </c>
    </row>
    <row r="8" spans="2:51" ht="25.15" customHeight="1" thickBot="1" x14ac:dyDescent="0.25">
      <c r="B8" s="255"/>
      <c r="C8" s="255"/>
      <c r="D8" s="255"/>
      <c r="E8" s="255"/>
      <c r="F8" s="255"/>
      <c r="G8" s="255"/>
      <c r="H8" s="579" t="str">
        <f>IF(AND(OR($U$16=2, $U$27=2), $AD$48&gt;0), $N$34, " ")</f>
        <v xml:space="preserve"> </v>
      </c>
      <c r="I8" s="255"/>
      <c r="J8" s="255"/>
      <c r="K8" s="255"/>
      <c r="L8" s="255"/>
      <c r="Y8" s="159" t="str">
        <f>ListAVS!B52</f>
        <v>Nazwa</v>
      </c>
      <c r="Z8" s="160" t="str">
        <f>ListAVS!$B$53</f>
        <v>Kod asortymentu</v>
      </c>
      <c r="AA8" s="161" t="str">
        <f>ListAVS!B54</f>
        <v>Kolor</v>
      </c>
      <c r="AB8" s="161" t="str">
        <f>ListAVS!B56</f>
        <v>Sztuka</v>
      </c>
      <c r="AC8" s="162" t="str">
        <f>ListAVS!B58</f>
        <v>Cena za sztukę</v>
      </c>
      <c r="AD8" s="161" t="str">
        <f>ListAVS!B59</f>
        <v>W sumie</v>
      </c>
      <c r="AE8" s="204" t="s">
        <v>29</v>
      </c>
      <c r="AF8" s="163" t="s">
        <v>30</v>
      </c>
      <c r="AG8" s="163" t="s">
        <v>31</v>
      </c>
      <c r="AH8" s="163" t="s">
        <v>30</v>
      </c>
      <c r="AN8" s="671"/>
      <c r="AQ8" s="1232" t="str">
        <f>"  "&amp;ListAVS!$B$86&amp;" LF "</f>
        <v xml:space="preserve">  Współczynnik mocy LF </v>
      </c>
      <c r="AR8" s="1233"/>
      <c r="AS8" s="1231" t="str">
        <f>ListAVS!$B$84</f>
        <v>Mechanizm podnoszący</v>
      </c>
      <c r="AT8" s="266"/>
      <c r="AU8" s="266"/>
    </row>
    <row r="9" spans="2:51" ht="16.149999999999999" customHeight="1" thickBot="1" x14ac:dyDescent="0.25">
      <c r="B9" s="1051" t="str">
        <f>"▼ "&amp;ListAVS!$B$318</f>
        <v>▼ Sposób otwierania</v>
      </c>
      <c r="C9" s="1052"/>
      <c r="D9" s="406" t="str">
        <f>IF($M$17&gt;0, ListAVS!$B$37&amp;": ", " ")</f>
        <v xml:space="preserve"> </v>
      </c>
      <c r="E9" s="688" t="str">
        <f>IF($AE$9&gt;0,"23",IF($AE$10&gt;0,"25",IF($AE$11&gt;0,"27",IF($AE$12&gt;0,"28",IF($AE$14&gt;0,"23T",IF($AE$15&gt;0,"25T",IF($AE$16&gt;0,"27T",IF($AE$17&gt;0,"28T"," "))))))))</f>
        <v xml:space="preserve"> </v>
      </c>
      <c r="F9" s="1056" t="str">
        <f>ListAVS!$B$64&amp;" A"</f>
        <v>Korpus A</v>
      </c>
      <c r="G9" s="1057"/>
      <c r="H9" s="1058"/>
      <c r="I9" s="273"/>
      <c r="J9" s="255"/>
      <c r="K9" s="255"/>
      <c r="L9" s="255"/>
      <c r="N9" s="119"/>
      <c r="O9" s="132"/>
      <c r="P9" s="119"/>
      <c r="Q9" s="132"/>
      <c r="R9" s="1181" t="s">
        <v>89</v>
      </c>
      <c r="S9" s="1182"/>
      <c r="T9" s="747">
        <v>2000</v>
      </c>
      <c r="U9" s="748">
        <f>T9-1</f>
        <v>1999</v>
      </c>
      <c r="V9" s="1181" t="s">
        <v>90</v>
      </c>
      <c r="W9" s="1182"/>
      <c r="X9" s="749"/>
      <c r="Y9" s="164" t="str">
        <f>CenAVS!A125</f>
        <v xml:space="preserve">Aventos HKi słaby Blumotion Onyx      </v>
      </c>
      <c r="Z9" s="164" t="str">
        <f>CenAVS!B125</f>
        <v>24K2300</v>
      </c>
      <c r="AA9" s="301" t="str">
        <f>CenAVS!C125</f>
        <v>OS</v>
      </c>
      <c r="AB9" s="165">
        <f t="shared" ref="AB9:AB43" si="0">SUM(AE9,AG9)</f>
        <v>0</v>
      </c>
      <c r="AC9" s="395">
        <f>CenAVS!F125</f>
        <v>879.54648999999995</v>
      </c>
      <c r="AD9" s="167">
        <f>AB9*AC9</f>
        <v>0</v>
      </c>
      <c r="AE9" s="407">
        <f>IF($U$16=1, ROUNDUP(SUM(O11:P11)*$M$17,0),0)</f>
        <v>0</v>
      </c>
      <c r="AF9" s="168">
        <f t="shared" ref="AF9:AF43" si="1">$AC9*AE9</f>
        <v>0</v>
      </c>
      <c r="AG9" s="407">
        <f>IF($U$27=1, ROUNDUP(SUM(O22:P22)*$M$28,0),0)</f>
        <v>0</v>
      </c>
      <c r="AH9" s="168">
        <f t="shared" ref="AH9:AH43" si="2">$AC9*AG9</f>
        <v>0</v>
      </c>
      <c r="AI9" s="749"/>
      <c r="AJ9" s="749"/>
      <c r="AK9" s="749"/>
      <c r="AN9" s="383" t="str">
        <f>" "&amp;ListAVS!$B$157</f>
        <v xml:space="preserve"> Rodzaje korpusów</v>
      </c>
      <c r="AQ9" s="1234"/>
      <c r="AR9" s="1235"/>
      <c r="AS9" s="1231"/>
      <c r="AT9" s="266"/>
      <c r="AU9" s="266"/>
    </row>
    <row r="10" spans="2:51" s="37" customFormat="1" ht="16.149999999999999" customHeight="1" thickBot="1" x14ac:dyDescent="0.25">
      <c r="B10" s="1011" t="str">
        <f>ListAVS!$B$74&amp;" KB [mm] "</f>
        <v xml:space="preserve">Szerokość korpusu KB [mm] </v>
      </c>
      <c r="C10" s="1012"/>
      <c r="D10" s="1012"/>
      <c r="E10" s="1012"/>
      <c r="F10" s="1012"/>
      <c r="G10" s="1013"/>
      <c r="H10" s="435"/>
      <c r="I10" s="256" t="str">
        <f>IF($H10=0," ",IF($H10&lt;220," min. 220mm"," "))&amp;IF(H17&gt;0,IF(H10=0,"● "&amp;ListAVS!$B$129," ")," ")</f>
        <v xml:space="preserve">  </v>
      </c>
      <c r="J10" s="255"/>
      <c r="K10" s="255"/>
      <c r="L10" s="255"/>
      <c r="N10" s="198" t="s">
        <v>32</v>
      </c>
      <c r="O10" s="199" t="s">
        <v>91</v>
      </c>
      <c r="P10" s="200" t="s">
        <v>92</v>
      </c>
      <c r="Q10" s="119"/>
      <c r="R10" s="750" t="s">
        <v>93</v>
      </c>
      <c r="S10" s="750" t="s">
        <v>76</v>
      </c>
      <c r="T10" s="751" t="s">
        <v>94</v>
      </c>
      <c r="U10" s="751" t="s">
        <v>95</v>
      </c>
      <c r="V10" s="1183" t="b">
        <v>0</v>
      </c>
      <c r="W10" s="1184"/>
      <c r="X10" s="444"/>
      <c r="Y10" s="164" t="str">
        <f>CenAVS!A126</f>
        <v xml:space="preserve">Aventos HKi średni Blumotion Onyx      </v>
      </c>
      <c r="Z10" s="164" t="str">
        <f>CenAVS!B126</f>
        <v>24K2500</v>
      </c>
      <c r="AA10" s="301" t="str">
        <f>CenAVS!C126</f>
        <v>OS</v>
      </c>
      <c r="AB10" s="165">
        <f t="shared" si="0"/>
        <v>0</v>
      </c>
      <c r="AC10" s="395">
        <f>CenAVS!F126</f>
        <v>879.54648999999995</v>
      </c>
      <c r="AD10" s="167">
        <f t="shared" ref="AD10:AD43" si="3">AB10*AC10</f>
        <v>0</v>
      </c>
      <c r="AE10" s="407">
        <f>IF($U$16=1, ROUNDUP(SUM(O12:P12)*$M$17,0),0)</f>
        <v>0</v>
      </c>
      <c r="AF10" s="168">
        <f t="shared" si="1"/>
        <v>0</v>
      </c>
      <c r="AG10" s="407">
        <f>IF($U$27=1, ROUNDUP(SUM(O23:P23)*$M$28,0),0)</f>
        <v>0</v>
      </c>
      <c r="AH10" s="168">
        <f t="shared" si="2"/>
        <v>0</v>
      </c>
      <c r="AI10" s="444"/>
      <c r="AJ10" s="444"/>
      <c r="AK10" s="444"/>
      <c r="AL10" s="108"/>
      <c r="AM10" s="108"/>
      <c r="AN10" s="383" t="str">
        <f>" "&amp;ListAVS!$B$158</f>
        <v xml:space="preserve"> Zamówienie</v>
      </c>
      <c r="AO10" s="137"/>
      <c r="AP10" s="137"/>
      <c r="AQ10" s="1229" t="s">
        <v>96</v>
      </c>
      <c r="AR10" s="1230"/>
      <c r="AS10" s="743" t="s">
        <v>641</v>
      </c>
      <c r="AT10" s="255"/>
      <c r="AU10" s="255"/>
    </row>
    <row r="11" spans="2:51" s="37" customFormat="1" ht="16.149999999999999" customHeight="1" x14ac:dyDescent="0.2">
      <c r="B11" s="1011" t="str">
        <f>ListAVS!$B$75&amp;" KH [mm]  "</f>
        <v xml:space="preserve">Wysokość korpusu KH [mm]  </v>
      </c>
      <c r="C11" s="1012"/>
      <c r="D11" s="1012"/>
      <c r="E11" s="1012"/>
      <c r="F11" s="1012"/>
      <c r="G11" s="1013"/>
      <c r="H11" s="435"/>
      <c r="I11" s="256" t="str">
        <f>IF($H11=0," ",IF($H11&lt;170," min. 170mm",IF($H11&gt;600," max. 600 mm!"," ")))&amp;IF(H17&gt;0,IF(H11=0,"● "&amp;ListAVS!$B$129," ")," ")</f>
        <v xml:space="preserve">  </v>
      </c>
      <c r="J11" s="255"/>
      <c r="K11" s="255"/>
      <c r="L11" s="255"/>
      <c r="N11" s="119" t="s">
        <v>97</v>
      </c>
      <c r="O11" s="132">
        <f>IF($V$10=FALSE,IF($H$16&gt;R11,IF($H$16&lt;S11,1,0),0),0)</f>
        <v>0</v>
      </c>
      <c r="P11" s="132">
        <f>IF($V$10=TRUE,IF($H$16&gt;V11,IF($H$16&lt;W11,1.5,0),0),0)</f>
        <v>0</v>
      </c>
      <c r="Q11" s="119"/>
      <c r="R11" s="877">
        <v>420</v>
      </c>
      <c r="S11" s="877">
        <v>1160</v>
      </c>
      <c r="T11" s="752"/>
      <c r="U11" s="119"/>
      <c r="V11" s="718">
        <f>R11*1.5</f>
        <v>630</v>
      </c>
      <c r="W11" s="718">
        <f>S11*1.5</f>
        <v>1740</v>
      </c>
      <c r="X11" s="718"/>
      <c r="Y11" s="164" t="str">
        <f>CenAVS!A127</f>
        <v xml:space="preserve">Aventos HKi mocny Blumotion Onyx      </v>
      </c>
      <c r="Z11" s="164" t="str">
        <f>CenAVS!B127</f>
        <v>24K2700</v>
      </c>
      <c r="AA11" s="301" t="str">
        <f>CenAVS!C127</f>
        <v>OS</v>
      </c>
      <c r="AB11" s="165">
        <f t="shared" si="0"/>
        <v>0</v>
      </c>
      <c r="AC11" s="395">
        <f>CenAVS!F127</f>
        <v>894.84276</v>
      </c>
      <c r="AD11" s="167">
        <f t="shared" si="3"/>
        <v>0</v>
      </c>
      <c r="AE11" s="407">
        <f>IF($U$16=1, ROUNDUP(SUM(O13:P13)*$M$17,0),0)</f>
        <v>0</v>
      </c>
      <c r="AF11" s="168">
        <f t="shared" si="1"/>
        <v>0</v>
      </c>
      <c r="AG11" s="407">
        <f>IF($U$27=1, ROUNDUP(SUM(O24:P24)*$M$28,0),0)</f>
        <v>0</v>
      </c>
      <c r="AH11" s="168">
        <f t="shared" si="2"/>
        <v>0</v>
      </c>
      <c r="AI11" s="718"/>
      <c r="AJ11" s="718"/>
      <c r="AK11" s="718"/>
      <c r="AL11" s="108"/>
      <c r="AM11" s="108"/>
      <c r="AN11" s="255"/>
      <c r="AO11" s="137"/>
      <c r="AP11" s="137"/>
      <c r="AQ11" s="1229" t="s">
        <v>98</v>
      </c>
      <c r="AR11" s="1230"/>
      <c r="AS11" s="743" t="s">
        <v>642</v>
      </c>
      <c r="AT11" s="255"/>
      <c r="AU11" s="255"/>
    </row>
    <row r="12" spans="2:51" s="37" customFormat="1" ht="16.149999999999999" customHeight="1" x14ac:dyDescent="0.2">
      <c r="B12" s="1011" t="str">
        <f>ListAVS!$B$78&amp;" [kg] ** "</f>
        <v xml:space="preserve">Waga frontu wraz z 2 uchwytami [kg] ** </v>
      </c>
      <c r="C12" s="1012"/>
      <c r="D12" s="1012"/>
      <c r="E12" s="1012"/>
      <c r="F12" s="1012"/>
      <c r="G12" s="1013"/>
      <c r="H12" s="258"/>
      <c r="I12" s="227" t="str">
        <f>IF($H17=0," ",IF(SUM($H12,$H15)=0,$N$36," "))&amp;IF($H17&gt;0,IF($H12&gt;0,$N$37," ")," ")</f>
        <v xml:space="preserve">  </v>
      </c>
      <c r="J12" s="255"/>
      <c r="K12" s="255"/>
      <c r="L12" s="255"/>
      <c r="N12" s="119" t="s">
        <v>99</v>
      </c>
      <c r="O12" s="132">
        <f>IF($V$10=FALSE,IF($H$16&gt;R12,IF($H$16&lt;S12,1,0),0),0)</f>
        <v>0</v>
      </c>
      <c r="P12" s="132">
        <f>IF($V$10=TRUE,IF($H$16&gt;V12,IF($H$16&lt;W12,1.5,0),0),0)</f>
        <v>0</v>
      </c>
      <c r="Q12" s="119"/>
      <c r="R12" s="877">
        <v>1159.99</v>
      </c>
      <c r="S12" s="877">
        <v>2265</v>
      </c>
      <c r="T12" s="752"/>
      <c r="U12" s="130"/>
      <c r="V12" s="718">
        <v>1739.99</v>
      </c>
      <c r="W12" s="718">
        <v>3398</v>
      </c>
      <c r="X12" s="718"/>
      <c r="Y12" s="164" t="str">
        <f>CenAVS!A128</f>
        <v xml:space="preserve">Aventos HKi najmocniejszy Blumotion Onyx      </v>
      </c>
      <c r="Z12" s="164" t="str">
        <f>CenAVS!B128</f>
        <v>24K2800</v>
      </c>
      <c r="AA12" s="301" t="str">
        <f>CenAVS!C128</f>
        <v>OS</v>
      </c>
      <c r="AB12" s="165">
        <f t="shared" si="0"/>
        <v>0</v>
      </c>
      <c r="AC12" s="395">
        <f>CenAVS!F128</f>
        <v>933.08410000000003</v>
      </c>
      <c r="AD12" s="167">
        <f t="shared" si="3"/>
        <v>0</v>
      </c>
      <c r="AE12" s="407">
        <f>IF($U$16=1, ROUNDUP(SUM(O14:P14)*$M$17,0),0)</f>
        <v>0</v>
      </c>
      <c r="AF12" s="168">
        <f t="shared" si="1"/>
        <v>0</v>
      </c>
      <c r="AG12" s="407">
        <f>IF($U$27=1, ROUNDUP(SUM(O25:P25)*$M$28,0),0)</f>
        <v>0</v>
      </c>
      <c r="AH12" s="168">
        <f t="shared" si="2"/>
        <v>0</v>
      </c>
      <c r="AI12" s="718"/>
      <c r="AJ12" s="718"/>
      <c r="AK12" s="718"/>
      <c r="AL12" s="108"/>
      <c r="AM12" s="108"/>
      <c r="AN12" s="670"/>
      <c r="AO12" s="137"/>
      <c r="AP12" s="137"/>
      <c r="AQ12" s="1229" t="s">
        <v>100</v>
      </c>
      <c r="AR12" s="1230"/>
      <c r="AS12" s="743" t="s">
        <v>643</v>
      </c>
      <c r="AT12" s="255"/>
      <c r="AU12" s="255"/>
    </row>
    <row r="13" spans="2:51" s="37" customFormat="1" ht="16.149999999999999" customHeight="1" x14ac:dyDescent="0.2">
      <c r="B13" s="1055" t="str">
        <f>ListAVS!$B$293</f>
        <v>Obliczenie wagi</v>
      </c>
      <c r="C13" s="1055"/>
      <c r="D13" s="1107" t="str">
        <f>ListAVS!$B$80&amp;" TS [mm] "</f>
        <v xml:space="preserve">Grubość frontu TS [mm] </v>
      </c>
      <c r="E13" s="1107"/>
      <c r="F13" s="1107"/>
      <c r="G13" s="1108"/>
      <c r="H13" s="259"/>
      <c r="I13" s="256"/>
      <c r="J13" s="255"/>
      <c r="K13" s="255"/>
      <c r="L13" s="255"/>
      <c r="N13" s="119" t="s">
        <v>101</v>
      </c>
      <c r="O13" s="132">
        <f>IF($V$10=FALSE,IF($H$16&gt;R13,IF($H$16&lt;S13,1,0),0),0)</f>
        <v>0</v>
      </c>
      <c r="P13" s="132">
        <f>IF($V$10=TRUE,IF($H$16&gt;V13,IF($H$16&lt;W13,1.5,0),0),0)</f>
        <v>0</v>
      </c>
      <c r="Q13" s="119"/>
      <c r="R13" s="877">
        <v>2264.9899999999998</v>
      </c>
      <c r="S13" s="877">
        <v>3470</v>
      </c>
      <c r="V13" s="718">
        <v>3397.99</v>
      </c>
      <c r="W13" s="718">
        <f>S13*1.5</f>
        <v>5205</v>
      </c>
      <c r="X13" s="718"/>
      <c r="Y13" s="164"/>
      <c r="Z13" s="164"/>
      <c r="AA13" s="301"/>
      <c r="AB13" s="165"/>
      <c r="AC13" s="395"/>
      <c r="AD13" s="167"/>
      <c r="AE13" s="407"/>
      <c r="AF13" s="168"/>
      <c r="AG13" s="407"/>
      <c r="AH13" s="168"/>
      <c r="AI13" s="718"/>
      <c r="AJ13" s="718"/>
      <c r="AK13" s="718"/>
      <c r="AL13" s="108"/>
      <c r="AM13" s="108"/>
      <c r="AN13" s="670"/>
      <c r="AO13" s="137"/>
      <c r="AP13" s="137"/>
      <c r="AQ13" s="1229" t="s">
        <v>753</v>
      </c>
      <c r="AR13" s="1230"/>
      <c r="AS13" s="743" t="s">
        <v>644</v>
      </c>
      <c r="AT13" s="255"/>
      <c r="AU13" s="255"/>
    </row>
    <row r="14" spans="2:51" s="37" customFormat="1" ht="16.149999999999999" customHeight="1" x14ac:dyDescent="0.2">
      <c r="B14" s="1055"/>
      <c r="C14" s="1055"/>
      <c r="D14" s="1053" t="str">
        <f>ListAVS!$B$83&amp;" [kg] "</f>
        <v xml:space="preserve">Waga uchwytu [kg] </v>
      </c>
      <c r="E14" s="1053"/>
      <c r="F14" s="1053"/>
      <c r="G14" s="1054"/>
      <c r="H14" s="258"/>
      <c r="I14" s="256" t="str">
        <f>IF(H17=0, " ", IF(AND(H12=0, U16=1, H14=0), " ● "&amp;ListAVS!$B$130," "))</f>
        <v xml:space="preserve"> </v>
      </c>
      <c r="J14" s="255"/>
      <c r="K14" s="255"/>
      <c r="L14" s="255"/>
      <c r="N14" s="119" t="s">
        <v>640</v>
      </c>
      <c r="O14" s="132">
        <f>IF($V$10=FALSE,IF($H$16&gt;R14,IF($H$16&lt;S14,1,0),0),0)</f>
        <v>0</v>
      </c>
      <c r="P14" s="132">
        <f>IF($V$10=TRUE,IF($H$16&gt;V14,IF($H$16&lt;W14,1.5,0),0),0)</f>
        <v>0</v>
      </c>
      <c r="Q14" s="119"/>
      <c r="R14" s="877">
        <v>3469.99</v>
      </c>
      <c r="S14" s="877">
        <v>7800</v>
      </c>
      <c r="V14" s="718">
        <v>5204.99</v>
      </c>
      <c r="W14" s="718">
        <f>S14*1.5</f>
        <v>11700</v>
      </c>
      <c r="X14" s="718"/>
      <c r="Y14" s="164" t="str">
        <f>CenAVS!A130</f>
        <v xml:space="preserve">Aventos HKi słaby Tip-on Onyx      </v>
      </c>
      <c r="Z14" s="164" t="str">
        <f>CenAVS!B130</f>
        <v>24K2300T</v>
      </c>
      <c r="AA14" s="301" t="str">
        <f>CenAVS!C130</f>
        <v>OS</v>
      </c>
      <c r="AB14" s="165">
        <f t="shared" si="0"/>
        <v>0</v>
      </c>
      <c r="AC14" s="395">
        <f>CenAVS!F130</f>
        <v>891.34664000000009</v>
      </c>
      <c r="AD14" s="167">
        <f t="shared" si="3"/>
        <v>0</v>
      </c>
      <c r="AE14" s="407">
        <f>IF($U$16=2, SUM(O11:P11)*$M$17,0)</f>
        <v>0</v>
      </c>
      <c r="AF14" s="168">
        <f t="shared" si="1"/>
        <v>0</v>
      </c>
      <c r="AG14" s="407">
        <f>IF($U$27=2, ROUNDUP(SUM(O22:P22)*$M$28,0),0)</f>
        <v>0</v>
      </c>
      <c r="AH14" s="168">
        <f t="shared" si="2"/>
        <v>0</v>
      </c>
      <c r="AI14" s="718"/>
      <c r="AJ14" s="718"/>
      <c r="AK14" s="718"/>
      <c r="AL14" s="108"/>
      <c r="AM14" s="108"/>
      <c r="AN14" s="670"/>
      <c r="AO14" s="137"/>
      <c r="AP14" s="137"/>
      <c r="AQ14" s="255"/>
      <c r="AR14" s="255"/>
      <c r="AS14" s="255"/>
      <c r="AT14" s="255"/>
      <c r="AU14" s="255"/>
    </row>
    <row r="15" spans="2:51" s="37" customFormat="1" ht="16.149999999999999" customHeight="1" x14ac:dyDescent="0.2">
      <c r="B15" s="1055"/>
      <c r="C15" s="1055"/>
      <c r="D15" s="1053" t="str">
        <f>ListAVS!$B$79&amp;" [kg] "</f>
        <v xml:space="preserve">Obliczona waga frontu [kg] </v>
      </c>
      <c r="E15" s="1053"/>
      <c r="F15" s="1053"/>
      <c r="G15" s="1054"/>
      <c r="H15" s="259">
        <f>$T$80</f>
        <v>0</v>
      </c>
      <c r="I15" s="227" t="str">
        <f>IF(AND($H17&gt;0,$H15&gt;0,$H12=0,$M17&gt;0), $N$37," ")&amp;IF(AND(H17&gt;0, H12=0, Z77=3, $J$4=0), $N$35, " ")</f>
        <v xml:space="preserve">  </v>
      </c>
      <c r="J15" s="255"/>
      <c r="K15" s="255"/>
      <c r="L15" s="255"/>
      <c r="U15" s="174" t="str">
        <f>IF(U16=1,$V$46, $V$47)</f>
        <v>Standard</v>
      </c>
      <c r="Y15" s="164" t="str">
        <f>CenAVS!A131</f>
        <v xml:space="preserve">Aventos HKi średni Tip-on Onyx      </v>
      </c>
      <c r="Z15" s="164" t="str">
        <f>CenAVS!B131</f>
        <v>24K2500T</v>
      </c>
      <c r="AA15" s="301" t="str">
        <f>CenAVS!C131</f>
        <v>OS</v>
      </c>
      <c r="AB15" s="165">
        <f t="shared" si="0"/>
        <v>0</v>
      </c>
      <c r="AC15" s="395">
        <f>CenAVS!F131</f>
        <v>891.34664000000009</v>
      </c>
      <c r="AD15" s="167">
        <f t="shared" si="3"/>
        <v>0</v>
      </c>
      <c r="AE15" s="407">
        <f>IF($U$16=2, SUM(O12:P12)*$M$17,0)</f>
        <v>0</v>
      </c>
      <c r="AF15" s="168">
        <f t="shared" si="1"/>
        <v>0</v>
      </c>
      <c r="AG15" s="407">
        <f>IF($U$27=2, ROUNDUP(SUM(O23:P23)*$M$28,0),0)</f>
        <v>0</v>
      </c>
      <c r="AH15" s="168">
        <f t="shared" si="2"/>
        <v>0</v>
      </c>
      <c r="AL15" s="108"/>
      <c r="AM15" s="108"/>
      <c r="AN15" s="255"/>
      <c r="AO15" s="137"/>
      <c r="AP15" s="137"/>
      <c r="AQ15" s="1044" t="str">
        <f>ListAVS!$B$86&amp;" LF = "&amp;ListAVS!$B$75&amp;" KH [mm] x "&amp;ListAVS!$B$78&amp;" [kg]"</f>
        <v>Współczynnik mocy LF = Wysokość korpusu KH [mm] x Waga frontu wraz z 2 uchwytami [kg]</v>
      </c>
      <c r="AR15" s="1044"/>
      <c r="AS15" s="1044"/>
      <c r="AT15" s="1044"/>
      <c r="AU15" s="1044"/>
    </row>
    <row r="16" spans="2:51" s="37" customFormat="1" ht="16.149999999999999" customHeight="1" thickBot="1" x14ac:dyDescent="0.25">
      <c r="B16" s="1011"/>
      <c r="C16" s="1012"/>
      <c r="D16" s="1011" t="str">
        <f>ListAVS!$B$86&amp;" LF "</f>
        <v xml:space="preserve">Współczynnik mocy LF </v>
      </c>
      <c r="E16" s="1012"/>
      <c r="F16" s="1012"/>
      <c r="G16" s="1013"/>
      <c r="H16" s="400">
        <f>IF(H12&gt;0,H11*H12,H11*H15)</f>
        <v>0</v>
      </c>
      <c r="I16" s="256" t="str">
        <f>IF(H17=0," ",IF($H16&lt;420,$N$39,IF($H16&gt;13500,$N$40,IF($H16&gt;9000,IF(V10=FALSE,$N$41," ")," "))))</f>
        <v xml:space="preserve"> </v>
      </c>
      <c r="J16" s="255"/>
      <c r="K16" s="255"/>
      <c r="L16" s="439"/>
      <c r="M16" s="118"/>
      <c r="N16" s="119"/>
      <c r="O16" s="132"/>
      <c r="P16" s="132"/>
      <c r="Q16" s="119"/>
      <c r="R16" s="718"/>
      <c r="S16" s="718"/>
      <c r="T16" s="202"/>
      <c r="U16" s="131">
        <v>1</v>
      </c>
      <c r="V16" s="718"/>
      <c r="W16" s="718"/>
      <c r="X16" s="718"/>
      <c r="Y16" s="164" t="str">
        <f>CenAVS!A132</f>
        <v xml:space="preserve">Aventos HKi silny Tip-on Onyx      </v>
      </c>
      <c r="Z16" s="164" t="str">
        <f>CenAVS!B132</f>
        <v>24K2700T</v>
      </c>
      <c r="AA16" s="301" t="str">
        <f>CenAVS!C132</f>
        <v>OS</v>
      </c>
      <c r="AB16" s="165">
        <f t="shared" si="0"/>
        <v>0</v>
      </c>
      <c r="AC16" s="395">
        <f>CenAVS!F132</f>
        <v>916.86846999999989</v>
      </c>
      <c r="AD16" s="167">
        <f t="shared" si="3"/>
        <v>0</v>
      </c>
      <c r="AE16" s="407">
        <f>IF($U$16=2, SUM(O13:P13)*$M$17,0)</f>
        <v>0</v>
      </c>
      <c r="AF16" s="168">
        <f t="shared" si="1"/>
        <v>0</v>
      </c>
      <c r="AG16" s="407">
        <f>IF($U$27=2, ROUNDUP(SUM(O24:P24)*$M$28,0),0)</f>
        <v>0</v>
      </c>
      <c r="AH16" s="168">
        <f t="shared" si="2"/>
        <v>0</v>
      </c>
      <c r="AI16" s="718"/>
      <c r="AJ16" s="718"/>
      <c r="AK16" s="718"/>
      <c r="AL16" s="108"/>
      <c r="AM16" s="108"/>
      <c r="AN16" s="255"/>
      <c r="AO16" s="137"/>
      <c r="AP16" s="137"/>
      <c r="AQ16" s="1044"/>
      <c r="AR16" s="1044"/>
      <c r="AS16" s="1044"/>
      <c r="AT16" s="1044"/>
      <c r="AU16" s="1044"/>
    </row>
    <row r="17" spans="1:49" s="37" customFormat="1" ht="16.149999999999999" customHeight="1" thickBot="1" x14ac:dyDescent="0.25">
      <c r="B17" s="1011" t="str">
        <f>ListAVS!$B$71&amp;" "</f>
        <v xml:space="preserve">Ilość szafek </v>
      </c>
      <c r="C17" s="1012"/>
      <c r="D17" s="1012"/>
      <c r="E17" s="1012"/>
      <c r="F17" s="1012"/>
      <c r="G17" s="1012"/>
      <c r="H17" s="437"/>
      <c r="I17" s="256" t="str">
        <f>IF($H16&gt;13500," ",IF($H16&gt;9000,IF(V10=FALSE,$N$42," ")," "))</f>
        <v xml:space="preserve"> </v>
      </c>
      <c r="J17" s="255"/>
      <c r="K17" s="255"/>
      <c r="L17" s="255"/>
      <c r="M17" s="315">
        <f>IF($H10*$H$11*$T17=0,0,IF($H11&lt;210,0,IF($H16&lt;420,0,IF($H16&gt;13500,0,IF(H16&gt;9000,IF(V10=FALSE,0,$H17),H$17)))))</f>
        <v>0</v>
      </c>
      <c r="N17" s="119"/>
      <c r="O17" s="132"/>
      <c r="P17" s="132"/>
      <c r="Q17" s="119"/>
      <c r="R17" s="718"/>
      <c r="S17" s="690" t="s">
        <v>51</v>
      </c>
      <c r="T17" s="691">
        <f>IF(H12&gt;0,H12,H15)</f>
        <v>0</v>
      </c>
      <c r="U17" s="37">
        <f>IF(SUM(H12,H15)=0,0,IF(H12&gt;0,1,2))</f>
        <v>0</v>
      </c>
      <c r="V17" s="571" t="s">
        <v>52</v>
      </c>
      <c r="X17" s="718"/>
      <c r="Y17" s="164" t="str">
        <f>CenAVS!A133</f>
        <v xml:space="preserve">Aventos HKi najsilniejszy Tip-on Onyx      </v>
      </c>
      <c r="Z17" s="164" t="str">
        <f>CenAVS!B133</f>
        <v>24K2800T</v>
      </c>
      <c r="AA17" s="301" t="str">
        <f>CenAVS!C133</f>
        <v>OS</v>
      </c>
      <c r="AB17" s="165">
        <f t="shared" si="0"/>
        <v>0</v>
      </c>
      <c r="AC17" s="395">
        <f>CenAVS!F133</f>
        <v>955.10937000000001</v>
      </c>
      <c r="AD17" s="167">
        <f t="shared" si="3"/>
        <v>0</v>
      </c>
      <c r="AE17" s="407">
        <f>IF($U$16=2, SUM(O14:P14)*$M$17,0)</f>
        <v>0</v>
      </c>
      <c r="AF17" s="168">
        <f t="shared" si="1"/>
        <v>0</v>
      </c>
      <c r="AG17" s="407">
        <f>IF($U$27=2, ROUNDUP(SUM(O25:P25)*$M$28,0),0)</f>
        <v>0</v>
      </c>
      <c r="AH17" s="168">
        <f t="shared" si="2"/>
        <v>0</v>
      </c>
      <c r="AI17" s="718"/>
      <c r="AJ17" s="718"/>
      <c r="AK17" s="718"/>
      <c r="AL17" s="108"/>
      <c r="AM17" s="108"/>
      <c r="AN17" s="255"/>
      <c r="AO17" s="137"/>
      <c r="AP17" s="137"/>
      <c r="AQ17" s="1044" t="str">
        <f>ListAVS!$B$355</f>
        <v>W razie wykorzystania trzeciego siłownika współczynnik mocy oraz waga frontu mogą się zwiększyć o 50 %.</v>
      </c>
      <c r="AR17" s="1044"/>
      <c r="AS17" s="1044"/>
      <c r="AT17" s="1044"/>
      <c r="AU17" s="1044"/>
    </row>
    <row r="18" spans="1:49" s="37" customFormat="1" ht="16.149999999999999" customHeight="1" x14ac:dyDescent="0.2">
      <c r="B18" s="255" t="str">
        <f>IF(H17&gt;0,IF(OR(U17=0,M17=0), " ",IF(U17=1, $N$49, $N$50))," ")&amp;IF(H17&gt;0,IF(OR(U17=0, M17=0), " ",IF(U17=1, $N$51, $N$52))," ")</f>
        <v xml:space="preserve">  </v>
      </c>
      <c r="C18" s="255"/>
      <c r="D18" s="255"/>
      <c r="E18" s="255"/>
      <c r="F18" s="433"/>
      <c r="G18" s="433"/>
      <c r="H18" s="255"/>
      <c r="I18" s="255"/>
      <c r="J18" s="255"/>
      <c r="K18" s="255"/>
      <c r="L18" s="255"/>
      <c r="M18" s="118"/>
      <c r="N18" s="119"/>
      <c r="O18" s="132"/>
      <c r="P18" s="132"/>
      <c r="Q18" s="119"/>
      <c r="R18" s="718"/>
      <c r="S18" s="718"/>
      <c r="T18" s="119"/>
      <c r="U18" s="151"/>
      <c r="V18" s="718"/>
      <c r="W18" s="718"/>
      <c r="X18" s="718"/>
      <c r="Y18" s="164"/>
      <c r="Z18" s="164"/>
      <c r="AA18" s="301"/>
      <c r="AB18" s="165"/>
      <c r="AC18" s="395"/>
      <c r="AD18" s="167"/>
      <c r="AE18" s="407"/>
      <c r="AF18" s="168"/>
      <c r="AG18" s="407"/>
      <c r="AH18" s="168"/>
      <c r="AI18" s="749"/>
      <c r="AJ18" s="749"/>
      <c r="AK18" s="749"/>
      <c r="AL18" s="108"/>
      <c r="AM18" s="108"/>
      <c r="AN18" s="692"/>
      <c r="AO18" s="137"/>
      <c r="AP18" s="137"/>
      <c r="AQ18" s="1044"/>
      <c r="AR18" s="1044"/>
      <c r="AS18" s="1044"/>
      <c r="AT18" s="1044"/>
      <c r="AU18" s="1044"/>
    </row>
    <row r="19" spans="1:49" s="37" customFormat="1" ht="25.15" customHeight="1" thickBot="1" x14ac:dyDescent="0.25">
      <c r="B19" s="255"/>
      <c r="C19" s="255"/>
      <c r="D19" s="255"/>
      <c r="E19" s="255"/>
      <c r="F19" s="433"/>
      <c r="G19" s="433"/>
      <c r="H19" s="255"/>
      <c r="I19" s="255"/>
      <c r="J19" s="255"/>
      <c r="K19" s="255"/>
      <c r="L19" s="255"/>
      <c r="M19" s="118"/>
      <c r="N19" s="119"/>
      <c r="O19" s="132"/>
      <c r="P19" s="132"/>
      <c r="Q19" s="119"/>
      <c r="R19" s="718"/>
      <c r="S19" s="718"/>
      <c r="T19" s="119"/>
      <c r="U19" s="151"/>
      <c r="V19" s="718"/>
      <c r="W19" s="718"/>
      <c r="X19" s="718"/>
      <c r="Y19" s="164" t="str">
        <f>CenAVS!A135</f>
        <v xml:space="preserve">Aventos HKi mocowanie frontu Expando Onyx     </v>
      </c>
      <c r="Z19" s="164" t="str">
        <f>CenAVS!B135</f>
        <v>24K42E1</v>
      </c>
      <c r="AA19" s="301" t="str">
        <f>CenAVS!C135</f>
        <v>OS</v>
      </c>
      <c r="AB19" s="165">
        <f>SUM(AE19,AG19)</f>
        <v>0</v>
      </c>
      <c r="AC19" s="395">
        <f>CenAVS!F135</f>
        <v>22.944630000000004</v>
      </c>
      <c r="AD19" s="167">
        <f>AB19*AC19</f>
        <v>0</v>
      </c>
      <c r="AE19" s="407"/>
      <c r="AF19" s="168">
        <f>$AC19*AE19</f>
        <v>0</v>
      </c>
      <c r="AG19" s="407"/>
      <c r="AH19" s="168">
        <f>$AC19*AG19</f>
        <v>0</v>
      </c>
      <c r="AI19" s="444"/>
      <c r="AJ19" s="444"/>
      <c r="AK19" s="444"/>
      <c r="AL19" s="108"/>
      <c r="AM19" s="108"/>
      <c r="AN19" s="255"/>
      <c r="AO19" s="137"/>
      <c r="AP19" s="137"/>
      <c r="AQ19" s="255"/>
      <c r="AR19" s="255"/>
      <c r="AS19" s="255"/>
      <c r="AT19" s="255"/>
      <c r="AU19" s="255"/>
    </row>
    <row r="20" spans="1:49" s="37" customFormat="1" ht="16.149999999999999" customHeight="1" thickBot="1" x14ac:dyDescent="0.25">
      <c r="B20" s="1051" t="str">
        <f>"▼ "&amp;ListAVS!$B$318</f>
        <v>▼ Sposób otwierania</v>
      </c>
      <c r="C20" s="1052"/>
      <c r="D20" s="406" t="str">
        <f>IF($M$28&gt;0, ListAVS!$B$37&amp;": ", " ")</f>
        <v xml:space="preserve"> </v>
      </c>
      <c r="E20" s="688" t="str">
        <f>IF($AG$9&gt;0,"23",IF($AG$10&gt;0,"25",IF($AG$11&gt;0,"27",IF($AG$12&gt;0,"28",IF($AG$14&gt;0,"23T",IF($AG$15&gt;0,"25T",IF($AG$16&gt;0,"27T",IF($AG$17&gt;0,"28T"," "))))))))</f>
        <v xml:space="preserve"> </v>
      </c>
      <c r="F20" s="1056" t="str">
        <f>ListAVS!$B$64&amp;" B"</f>
        <v>Korpus B</v>
      </c>
      <c r="G20" s="1057"/>
      <c r="H20" s="1058"/>
      <c r="I20" s="273"/>
      <c r="J20" s="255"/>
      <c r="K20" s="255"/>
      <c r="L20" s="255"/>
      <c r="N20" s="119"/>
      <c r="O20" s="132"/>
      <c r="P20" s="119"/>
      <c r="Q20" s="132"/>
      <c r="R20" s="1181" t="s">
        <v>89</v>
      </c>
      <c r="S20" s="1182"/>
      <c r="T20" s="119"/>
      <c r="U20" s="130"/>
      <c r="V20" s="1181" t="s">
        <v>90</v>
      </c>
      <c r="W20" s="1182"/>
      <c r="X20" s="749"/>
      <c r="Y20" s="164" t="str">
        <f>CenAVS!A136</f>
        <v xml:space="preserve">Aventos HKi mocowanie frontu alu ramki Onyx    </v>
      </c>
      <c r="Z20" s="164" t="str">
        <f>CenAVS!B136</f>
        <v>24K4201A</v>
      </c>
      <c r="AA20" s="301" t="str">
        <f>CenAVS!C136</f>
        <v>OS</v>
      </c>
      <c r="AB20" s="165">
        <f>SUM(AE20,AG20)</f>
        <v>0</v>
      </c>
      <c r="AC20" s="395">
        <f>CenAVS!F136</f>
        <v>25.238869999999999</v>
      </c>
      <c r="AD20" s="167">
        <f>AB20*AC20</f>
        <v>0</v>
      </c>
      <c r="AE20" s="407">
        <f>SUM($AE$9:$AE$17)*2</f>
        <v>0</v>
      </c>
      <c r="AF20" s="168">
        <f>$AC20*AE20</f>
        <v>0</v>
      </c>
      <c r="AG20" s="407">
        <f>SUM($AG$9:$AG$17)*2</f>
        <v>0</v>
      </c>
      <c r="AH20" s="168">
        <f>$AC20*AG20</f>
        <v>0</v>
      </c>
      <c r="AI20" s="718"/>
      <c r="AJ20" s="718"/>
      <c r="AK20" s="718"/>
      <c r="AL20" s="108"/>
      <c r="AM20" s="108"/>
      <c r="AN20" s="255"/>
      <c r="AO20" s="137"/>
      <c r="AP20" s="137"/>
      <c r="AQ20" s="255"/>
      <c r="AR20" s="255"/>
      <c r="AS20" s="255"/>
      <c r="AT20" s="255"/>
      <c r="AU20" s="255"/>
    </row>
    <row r="21" spans="1:49" s="37" customFormat="1" ht="16.149999999999999" customHeight="1" x14ac:dyDescent="0.2">
      <c r="B21" s="1011" t="str">
        <f>ListAVS!$B$74&amp;" KB [mm] "</f>
        <v xml:space="preserve">Szerokość korpusu KB [mm] </v>
      </c>
      <c r="C21" s="1012"/>
      <c r="D21" s="1012"/>
      <c r="E21" s="1012"/>
      <c r="F21" s="1012"/>
      <c r="G21" s="1013"/>
      <c r="H21" s="435"/>
      <c r="I21" s="256" t="str">
        <f>IF($H21=0," ",IF($H21&lt;220," min. 220mm",IF($H21&gt;1800," max. 1 800mm"," ")))&amp;IF(H28&gt;0,IF(H21=0,"● "&amp;ListAVS!$B$129," ")," ")</f>
        <v xml:space="preserve">  </v>
      </c>
      <c r="J21" s="255"/>
      <c r="K21" s="255"/>
      <c r="L21" s="255"/>
      <c r="N21" s="198" t="s">
        <v>53</v>
      </c>
      <c r="O21" s="199" t="s">
        <v>91</v>
      </c>
      <c r="P21" s="200" t="s">
        <v>92</v>
      </c>
      <c r="Q21" s="119"/>
      <c r="R21" s="750" t="s">
        <v>93</v>
      </c>
      <c r="S21" s="750" t="s">
        <v>76</v>
      </c>
      <c r="T21" s="751"/>
      <c r="U21" s="132"/>
      <c r="V21" s="1185" t="b">
        <v>0</v>
      </c>
      <c r="W21" s="1186"/>
      <c r="X21" s="444"/>
      <c r="Y21" s="164"/>
      <c r="Z21" s="164"/>
      <c r="AA21" s="301"/>
      <c r="AB21" s="165"/>
      <c r="AC21" s="395"/>
      <c r="AD21" s="167"/>
      <c r="AE21" s="407"/>
      <c r="AF21" s="168"/>
      <c r="AG21" s="407"/>
      <c r="AH21" s="168"/>
      <c r="AI21" s="718"/>
      <c r="AJ21" s="718"/>
      <c r="AK21" s="718"/>
      <c r="AL21" s="108"/>
      <c r="AM21" s="108"/>
      <c r="AN21" s="255"/>
      <c r="AO21" s="137"/>
      <c r="AP21" s="137"/>
      <c r="AQ21" s="680"/>
      <c r="AR21" s="255"/>
      <c r="AS21" s="255"/>
      <c r="AT21" s="255"/>
      <c r="AU21" s="255"/>
    </row>
    <row r="22" spans="1:49" s="37" customFormat="1" ht="16.149999999999999" customHeight="1" x14ac:dyDescent="0.2">
      <c r="B22" s="1011" t="str">
        <f>ListAVS!$B$75&amp;" KH [mm] "</f>
        <v xml:space="preserve">Wysokość korpusu KH [mm] </v>
      </c>
      <c r="C22" s="1012"/>
      <c r="D22" s="1012"/>
      <c r="E22" s="1012"/>
      <c r="F22" s="1012"/>
      <c r="G22" s="1013"/>
      <c r="H22" s="435"/>
      <c r="I22" s="256" t="str">
        <f>IF($H22=0," ",IF($H22&lt;170," min. 170mm",IF($H22&gt;600," max. 600 mm!"," ")))&amp;IF(H28&gt;0,IF(H22=0,"● "&amp;ListAVS!$B$129," ")," ")</f>
        <v xml:space="preserve">  </v>
      </c>
      <c r="J22" s="255"/>
      <c r="K22" s="255"/>
      <c r="L22" s="255"/>
      <c r="N22" s="119" t="s">
        <v>97</v>
      </c>
      <c r="O22" s="132">
        <f>IF($V$21=FALSE,IF($H$27&gt;R22,IF($H$27&lt;S22,1,0),0),0)</f>
        <v>0</v>
      </c>
      <c r="P22" s="132">
        <f>IF($V$21=TRUE,IF($H$27&gt;V22,IF($H$27&lt;W22,1.5,0),0),0)</f>
        <v>0</v>
      </c>
      <c r="Q22" s="119"/>
      <c r="R22" s="877">
        <v>420</v>
      </c>
      <c r="S22" s="877">
        <v>1160</v>
      </c>
      <c r="T22" s="752"/>
      <c r="U22" s="119"/>
      <c r="V22" s="718">
        <f>R22*1.5</f>
        <v>630</v>
      </c>
      <c r="W22" s="718">
        <f>S22*1.5</f>
        <v>1740</v>
      </c>
      <c r="X22" s="718"/>
      <c r="Y22" s="164" t="str">
        <f>CenAVS!A138</f>
        <v xml:space="preserve">Aventos HKi zestaw zaślepek jedwabiście biały SW    </v>
      </c>
      <c r="Z22" s="164" t="str">
        <f>CenAVS!B138</f>
        <v>24K8000</v>
      </c>
      <c r="AA22" s="301" t="str">
        <f>CenAVS!C138</f>
        <v>SW</v>
      </c>
      <c r="AB22" s="165">
        <f t="shared" si="0"/>
        <v>0</v>
      </c>
      <c r="AC22" s="395">
        <f>CenAVS!F138</f>
        <v>75.625519999999995</v>
      </c>
      <c r="AD22" s="167">
        <f t="shared" si="3"/>
        <v>0</v>
      </c>
      <c r="AE22" s="407">
        <f>IF(AND($R$44=2, $T$44=3),SUM($AE$9:$AE$17),0)</f>
        <v>0</v>
      </c>
      <c r="AF22" s="168">
        <f t="shared" si="1"/>
        <v>0</v>
      </c>
      <c r="AG22" s="407">
        <f>IF(AND($R$44=2, $T$44=3),SUM($AG$9:$AG$17),0)</f>
        <v>0</v>
      </c>
      <c r="AH22" s="168">
        <f t="shared" si="2"/>
        <v>0</v>
      </c>
      <c r="AI22" s="718"/>
      <c r="AJ22" s="718"/>
      <c r="AK22" s="718"/>
      <c r="AL22" s="108"/>
      <c r="AM22" s="108"/>
      <c r="AN22" s="255"/>
      <c r="AO22" s="137"/>
      <c r="AP22" s="137"/>
    </row>
    <row r="23" spans="1:49" s="37" customFormat="1" ht="16.149999999999999" customHeight="1" x14ac:dyDescent="0.2">
      <c r="B23" s="1011" t="str">
        <f>ListAVS!$B$78&amp;" [kg] ** "</f>
        <v xml:space="preserve">Waga frontu wraz z 2 uchwytami [kg] ** </v>
      </c>
      <c r="C23" s="1012"/>
      <c r="D23" s="1012"/>
      <c r="E23" s="1012"/>
      <c r="F23" s="1012"/>
      <c r="G23" s="1013"/>
      <c r="H23" s="258"/>
      <c r="I23" s="227" t="str">
        <f>IF($H28=0," ",IF(SUM($H23,$H26)=0,$N$36," "))&amp;IF($H28&gt;0,IF($H23&gt;0,$N$37," ")," ")</f>
        <v xml:space="preserve">  </v>
      </c>
      <c r="J23" s="255"/>
      <c r="K23" s="255"/>
      <c r="L23" s="255"/>
      <c r="N23" s="119" t="s">
        <v>99</v>
      </c>
      <c r="O23" s="132">
        <f>IF($V$21=FALSE,IF($H$27&gt;R23,IF($H$27&lt;S23,1,0),0),0)</f>
        <v>0</v>
      </c>
      <c r="P23" s="132">
        <f>IF($V$21=TRUE,IF($H$27&gt;V23,IF($H$27&lt;W23,1.5,0),0),0)</f>
        <v>0</v>
      </c>
      <c r="Q23" s="119"/>
      <c r="R23" s="877">
        <v>1159.99</v>
      </c>
      <c r="S23" s="877">
        <v>2265</v>
      </c>
      <c r="T23" s="752"/>
      <c r="U23" s="130"/>
      <c r="V23" s="718">
        <v>1739.99</v>
      </c>
      <c r="W23" s="718">
        <v>3398</v>
      </c>
      <c r="X23" s="718"/>
      <c r="Y23" s="164" t="str">
        <f>CenAVS!A139</f>
        <v xml:space="preserve">Aventos HKi zestaw zaślepek szary HG     </v>
      </c>
      <c r="Z23" s="164" t="str">
        <f>CenAVS!B139</f>
        <v>24K8000</v>
      </c>
      <c r="AA23" s="301" t="str">
        <f>CenAVS!C139</f>
        <v>HGR</v>
      </c>
      <c r="AB23" s="165">
        <f t="shared" si="0"/>
        <v>0</v>
      </c>
      <c r="AC23" s="395">
        <f>CenAVS!F139</f>
        <v>73.422380000000004</v>
      </c>
      <c r="AD23" s="167">
        <f t="shared" si="3"/>
        <v>0</v>
      </c>
      <c r="AE23" s="407">
        <f>IF(AND($R$44=2, $T$44=1),SUM($AE$9:$AE$17),0)</f>
        <v>0</v>
      </c>
      <c r="AF23" s="168">
        <f t="shared" si="1"/>
        <v>0</v>
      </c>
      <c r="AG23" s="407">
        <f>IF(AND($R$44=2, $T$44=1),SUM($AG$9:$AG$17),0)</f>
        <v>0</v>
      </c>
      <c r="AH23" s="168">
        <f t="shared" si="2"/>
        <v>0</v>
      </c>
      <c r="AI23" s="718"/>
      <c r="AJ23" s="718"/>
      <c r="AK23" s="718"/>
      <c r="AL23" s="108"/>
      <c r="AM23" s="108"/>
      <c r="AN23" s="255"/>
      <c r="AO23" s="137"/>
    </row>
    <row r="24" spans="1:49" s="37" customFormat="1" ht="16.149999999999999" customHeight="1" x14ac:dyDescent="0.2">
      <c r="B24" s="1055" t="str">
        <f>ListAVS!$B$293</f>
        <v>Obliczenie wagi</v>
      </c>
      <c r="C24" s="1055"/>
      <c r="D24" s="1107" t="str">
        <f>ListAVS!$B$80&amp;" TS [mm] "</f>
        <v xml:space="preserve">Grubość frontu TS [mm] </v>
      </c>
      <c r="E24" s="1107"/>
      <c r="F24" s="1107"/>
      <c r="G24" s="1108"/>
      <c r="H24" s="259"/>
      <c r="I24" s="256"/>
      <c r="J24" s="255"/>
      <c r="K24" s="255"/>
      <c r="L24" s="255"/>
      <c r="N24" s="119" t="s">
        <v>101</v>
      </c>
      <c r="O24" s="132">
        <f>IF($V$21=FALSE,IF($H$27&gt;R24,IF($H$27&lt;S24,1,0),0),0)</f>
        <v>0</v>
      </c>
      <c r="P24" s="132">
        <f>IF($V$21=TRUE,IF($H$27&gt;V24,IF($H$27&lt;W24,1.5,0),0),0)</f>
        <v>0</v>
      </c>
      <c r="Q24" s="119"/>
      <c r="R24" s="877">
        <v>2264.9899999999998</v>
      </c>
      <c r="S24" s="877">
        <v>3470</v>
      </c>
      <c r="V24" s="718">
        <v>3397.99</v>
      </c>
      <c r="W24" s="718">
        <f>S24*1.5</f>
        <v>5205</v>
      </c>
      <c r="X24" s="718"/>
      <c r="Y24" s="164" t="str">
        <f>CenAVS!A140</f>
        <v xml:space="preserve">24K8000 Aventos Hki zestaw zaślepek ciemnoszary TG    </v>
      </c>
      <c r="Z24" s="164" t="str">
        <f>CenAVS!B140</f>
        <v>24K8000</v>
      </c>
      <c r="AA24" s="301" t="str">
        <f>CenAVS!C140</f>
        <v>TGR</v>
      </c>
      <c r="AB24" s="165">
        <f t="shared" si="0"/>
        <v>0</v>
      </c>
      <c r="AC24" s="395">
        <f>CenAVS!F140</f>
        <v>75.625519999999995</v>
      </c>
      <c r="AD24" s="167">
        <f t="shared" si="3"/>
        <v>0</v>
      </c>
      <c r="AE24" s="407">
        <f>IF(AND($R$44=2, $T$44=2),SUM($AE$9:$AE$17),0)</f>
        <v>0</v>
      </c>
      <c r="AF24" s="168">
        <f t="shared" si="1"/>
        <v>0</v>
      </c>
      <c r="AG24" s="407">
        <f>IF(AND($R$44=2, $T$44=2),SUM($AG$9:$AG$17),0)</f>
        <v>0</v>
      </c>
      <c r="AH24" s="168">
        <f t="shared" si="2"/>
        <v>0</v>
      </c>
      <c r="AL24" s="108"/>
      <c r="AM24" s="108"/>
      <c r="AN24" s="137"/>
      <c r="AP24" s="137"/>
      <c r="AQ24" s="137"/>
      <c r="AR24" s="137"/>
      <c r="AS24" s="137"/>
      <c r="AT24" s="137"/>
      <c r="AU24" s="137"/>
      <c r="AV24" s="137"/>
    </row>
    <row r="25" spans="1:49" s="37" customFormat="1" ht="16.149999999999999" customHeight="1" x14ac:dyDescent="0.2">
      <c r="B25" s="1055"/>
      <c r="C25" s="1055"/>
      <c r="D25" s="1053" t="str">
        <f>ListAVS!$B$83&amp;" [kg] "</f>
        <v xml:space="preserve">Waga uchwytu [kg] </v>
      </c>
      <c r="E25" s="1053"/>
      <c r="F25" s="1053"/>
      <c r="G25" s="1054"/>
      <c r="H25" s="258"/>
      <c r="I25" s="256" t="str">
        <f>IF(H28=0, " ", IF(AND(H23=0, U27=1, H25=0), " ● "&amp;ListAVS!$B$130," "))</f>
        <v xml:space="preserve"> </v>
      </c>
      <c r="J25" s="255"/>
      <c r="K25" s="255"/>
      <c r="L25" s="255"/>
      <c r="M25" s="118"/>
      <c r="N25" s="119" t="s">
        <v>640</v>
      </c>
      <c r="O25" s="132">
        <f>IF($V$21=FALSE,IF($H$27&gt;R25,IF($H$27&lt;S25,1,0),0),0)</f>
        <v>0</v>
      </c>
      <c r="P25" s="132">
        <f>IF($V$21=TRUE,IF($H$27&gt;V25,IF($H$27&lt;W25,1.5,0),0),0)</f>
        <v>0</v>
      </c>
      <c r="Q25" s="119"/>
      <c r="R25" s="877">
        <v>3469.99</v>
      </c>
      <c r="S25" s="877">
        <v>7800</v>
      </c>
      <c r="V25" s="718">
        <v>5204.99</v>
      </c>
      <c r="W25" s="718">
        <f>S25*1.5</f>
        <v>11700</v>
      </c>
      <c r="X25" s="718"/>
      <c r="Y25" s="164"/>
      <c r="Z25" s="164"/>
      <c r="AA25" s="301"/>
      <c r="AB25" s="165"/>
      <c r="AC25" s="395"/>
      <c r="AD25" s="167"/>
      <c r="AE25" s="407"/>
      <c r="AF25" s="168"/>
      <c r="AG25" s="407"/>
      <c r="AH25" s="168"/>
      <c r="AL25" s="108"/>
      <c r="AM25" s="108"/>
      <c r="AN25" s="137"/>
      <c r="AO25" s="137"/>
      <c r="AP25" s="137"/>
      <c r="AQ25" s="137"/>
      <c r="AR25" s="137"/>
      <c r="AS25" s="137"/>
      <c r="AT25" s="137"/>
      <c r="AU25" s="137"/>
      <c r="AV25" s="137"/>
    </row>
    <row r="26" spans="1:49" s="37" customFormat="1" ht="16.149999999999999" customHeight="1" x14ac:dyDescent="0.2">
      <c r="B26" s="1055"/>
      <c r="C26" s="1055"/>
      <c r="D26" s="1053" t="str">
        <f>ListAVS!$B$79&amp;" [kg] "</f>
        <v xml:space="preserve">Obliczona waga frontu [kg] </v>
      </c>
      <c r="E26" s="1053"/>
      <c r="F26" s="1053"/>
      <c r="G26" s="1054"/>
      <c r="H26" s="259">
        <f>$T$91</f>
        <v>0</v>
      </c>
      <c r="I26" s="227" t="str">
        <f>IF(AND($H28&gt;0,$H26&gt;0,$H23=0,$M28&gt;0), $N$37," ")&amp;IF(AND(H28&gt;0, H23=0, Z88=3, $J$4=0), $N$35, " ")</f>
        <v xml:space="preserve">  </v>
      </c>
      <c r="J26" s="255"/>
      <c r="K26" s="255"/>
      <c r="L26" s="255"/>
      <c r="T26" s="132"/>
      <c r="U26" s="174" t="str">
        <f>IF(U27=1,$V$46,$V$47)</f>
        <v>Standard</v>
      </c>
      <c r="Y26" s="164" t="str">
        <f>CenAVS!A144</f>
        <v xml:space="preserve">Zestaw wstępnie wyfrezowanych półfabrykatów HKi      </v>
      </c>
      <c r="Z26" s="164" t="str">
        <f>CenAVS!B144</f>
        <v>24K7100</v>
      </c>
      <c r="AA26" s="301" t="str">
        <f>CenAVS!C144</f>
        <v>NA</v>
      </c>
      <c r="AB26" s="166">
        <f>J32</f>
        <v>0</v>
      </c>
      <c r="AC26" s="395">
        <f>CenAVS!F144</f>
        <v>314.61586999999997</v>
      </c>
      <c r="AD26" s="167">
        <f t="shared" si="3"/>
        <v>0</v>
      </c>
      <c r="AE26" s="407"/>
      <c r="AF26" s="168">
        <f t="shared" si="1"/>
        <v>0</v>
      </c>
      <c r="AG26" s="407"/>
      <c r="AH26" s="168">
        <f t="shared" si="2"/>
        <v>0</v>
      </c>
      <c r="AL26" s="108"/>
      <c r="AM26" s="108"/>
      <c r="AN26" s="108"/>
      <c r="AO26" s="137"/>
      <c r="AP26" s="137"/>
      <c r="AQ26" s="137"/>
      <c r="AR26" s="137"/>
      <c r="AS26" s="137"/>
      <c r="AT26" s="137"/>
      <c r="AU26" s="137"/>
      <c r="AV26" s="137"/>
      <c r="AW26" s="137"/>
    </row>
    <row r="27" spans="1:49" s="37" customFormat="1" ht="16.149999999999999" customHeight="1" thickBot="1" x14ac:dyDescent="0.25">
      <c r="B27" s="1011"/>
      <c r="C27" s="1012"/>
      <c r="D27" s="1011" t="str">
        <f>ListAVS!$B$86&amp;" LF "</f>
        <v xml:space="preserve">Współczynnik mocy LF </v>
      </c>
      <c r="E27" s="1012"/>
      <c r="F27" s="1012"/>
      <c r="G27" s="1013"/>
      <c r="H27" s="400">
        <f>IF(H23&gt;0,H22*H23,H22*H26)</f>
        <v>0</v>
      </c>
      <c r="I27" s="256" t="str">
        <f>IF(H28=0," ",IF($H27&lt;420,$N$39,IF($H27&gt;13500,$N$40,IF($H27&gt;9000,IF(V21=FALSE,$N$41," ")," "))))</f>
        <v xml:space="preserve"> </v>
      </c>
      <c r="J27" s="255"/>
      <c r="K27" s="248"/>
      <c r="L27" s="255"/>
      <c r="N27" s="137"/>
      <c r="O27" s="137"/>
      <c r="P27" s="137"/>
      <c r="Q27" s="137"/>
      <c r="T27" s="202"/>
      <c r="U27" s="131">
        <v>1</v>
      </c>
      <c r="Y27" s="164" t="str">
        <f>CenAVS!A145</f>
        <v xml:space="preserve">Podkładka do Aventos HKi       </v>
      </c>
      <c r="Z27" s="164" t="str">
        <f>CenAVS!B145</f>
        <v>M45.1010</v>
      </c>
      <c r="AA27" s="301" t="str">
        <f>CenAVS!C145</f>
        <v>NA</v>
      </c>
      <c r="AB27" s="166">
        <f>J33</f>
        <v>0</v>
      </c>
      <c r="AC27" s="395">
        <f>CenAVS!F145</f>
        <v>94.213800000000006</v>
      </c>
      <c r="AD27" s="167">
        <f t="shared" si="3"/>
        <v>0</v>
      </c>
      <c r="AE27" s="407"/>
      <c r="AF27" s="168">
        <f t="shared" si="1"/>
        <v>0</v>
      </c>
      <c r="AG27" s="407"/>
      <c r="AH27" s="168">
        <f t="shared" si="2"/>
        <v>0</v>
      </c>
      <c r="AI27" s="118"/>
      <c r="AJ27" s="118"/>
      <c r="AK27" s="118"/>
      <c r="AL27" s="108"/>
      <c r="AM27" s="108"/>
      <c r="AN27" s="693"/>
      <c r="AO27" s="137"/>
      <c r="AP27" s="137"/>
      <c r="AQ27" s="137"/>
      <c r="AR27" s="137"/>
      <c r="AS27" s="137"/>
      <c r="AT27" s="137"/>
      <c r="AU27" s="137"/>
      <c r="AV27" s="137"/>
      <c r="AW27" s="137"/>
    </row>
    <row r="28" spans="1:49" ht="16.149999999999999" customHeight="1" thickBot="1" x14ac:dyDescent="0.25">
      <c r="B28" s="1011" t="str">
        <f>ListAVS!$B$71&amp;" "</f>
        <v xml:space="preserve">Ilość szafek </v>
      </c>
      <c r="C28" s="1012"/>
      <c r="D28" s="1012"/>
      <c r="E28" s="1012"/>
      <c r="F28" s="1012"/>
      <c r="G28" s="1012"/>
      <c r="H28" s="437"/>
      <c r="I28" s="256" t="str">
        <f>IF($H27&gt;13500," ",IF($H27&gt;9000,IF(V21=FALSE,$N$42," ")," "))</f>
        <v xml:space="preserve"> </v>
      </c>
      <c r="J28" s="264"/>
      <c r="K28" s="396"/>
      <c r="L28" s="265"/>
      <c r="M28" s="315">
        <f>IF($H21*$H$22*$T28=0,0,IF($H22&lt;210,0,IF($H27&lt;420,0,IF($H27&gt;13500,0,IF(H27&gt;9000,IF(V21=FALSE,0,$H28),H$28)))))</f>
        <v>0</v>
      </c>
      <c r="N28" s="39"/>
      <c r="O28" s="39"/>
      <c r="P28" s="39"/>
      <c r="Q28" s="39"/>
      <c r="R28" s="137"/>
      <c r="S28" s="690" t="s">
        <v>51</v>
      </c>
      <c r="T28" s="691">
        <f>IF(H23&gt;0,H23,H26)</f>
        <v>0</v>
      </c>
      <c r="U28" s="37">
        <f>IF(SUM(H23,H26)=0,0,IF(H23&gt;0,1,2))</f>
        <v>0</v>
      </c>
      <c r="V28" s="571" t="s">
        <v>52</v>
      </c>
      <c r="Y28" s="164" t="str">
        <f>CenAVS!A146</f>
        <v xml:space="preserve">          </v>
      </c>
      <c r="Z28" s="164">
        <f>CenAVS!B146</f>
        <v>0</v>
      </c>
      <c r="AA28" s="301">
        <f>CenAVS!C146</f>
        <v>0</v>
      </c>
      <c r="AB28" s="165">
        <f t="shared" si="0"/>
        <v>0</v>
      </c>
      <c r="AC28" s="395">
        <f>CenAVS!F146</f>
        <v>0</v>
      </c>
      <c r="AD28" s="167">
        <f t="shared" si="3"/>
        <v>0</v>
      </c>
      <c r="AE28" s="407"/>
      <c r="AF28" s="168">
        <f t="shared" si="1"/>
        <v>0</v>
      </c>
      <c r="AG28" s="407"/>
      <c r="AH28" s="168">
        <f t="shared" si="2"/>
        <v>0</v>
      </c>
      <c r="AN28" s="693"/>
    </row>
    <row r="29" spans="1:49" ht="16.149999999999999" customHeight="1" x14ac:dyDescent="0.2">
      <c r="A29" s="137"/>
      <c r="B29" s="255" t="str">
        <f>IF(H28&gt;0,IF(OR(U28=0,M28=0), " ",IF(U28=1, $N$49, $N$50))," ")&amp;IF(H28&gt;0,IF(OR(U28=0, M28=0), " ",IF(U28=1, $N$51, $N$52))," ")</f>
        <v xml:space="preserve">  </v>
      </c>
      <c r="C29" s="255"/>
      <c r="D29" s="255"/>
      <c r="E29" s="255"/>
      <c r="F29" s="255"/>
      <c r="G29" s="255"/>
      <c r="H29" s="273"/>
      <c r="I29" s="273"/>
      <c r="J29" s="266"/>
      <c r="K29" s="266"/>
      <c r="L29" s="266"/>
      <c r="X29" s="118"/>
      <c r="Y29" s="164" t="str">
        <f>CenAVS!A147</f>
        <v xml:space="preserve">          </v>
      </c>
      <c r="Z29" s="164">
        <f>CenAVS!B147</f>
        <v>0</v>
      </c>
      <c r="AA29" s="301">
        <f>CenAVS!C147</f>
        <v>0</v>
      </c>
      <c r="AB29" s="165">
        <f t="shared" si="0"/>
        <v>0</v>
      </c>
      <c r="AC29" s="395">
        <f>CenAVS!F147</f>
        <v>0</v>
      </c>
      <c r="AD29" s="167">
        <f t="shared" si="3"/>
        <v>0</v>
      </c>
      <c r="AE29" s="407"/>
      <c r="AF29" s="168">
        <f t="shared" si="1"/>
        <v>0</v>
      </c>
      <c r="AG29" s="407"/>
      <c r="AH29" s="168">
        <f t="shared" si="2"/>
        <v>0</v>
      </c>
      <c r="AN29" s="693"/>
    </row>
    <row r="30" spans="1:49" ht="16.149999999999999" customHeight="1" x14ac:dyDescent="0.2">
      <c r="B30" s="396"/>
      <c r="C30" s="248"/>
      <c r="D30" s="396"/>
      <c r="E30" s="396"/>
      <c r="F30" s="274"/>
      <c r="G30" s="274"/>
      <c r="H30" s="396"/>
      <c r="I30" s="264"/>
      <c r="J30" s="264"/>
      <c r="K30" s="396"/>
      <c r="L30" s="265"/>
      <c r="S30" s="138">
        <f>IF($T$30=FALSE,2,1)</f>
        <v>2</v>
      </c>
      <c r="T30" s="1063" t="b">
        <v>0</v>
      </c>
      <c r="U30" s="1064"/>
      <c r="V30" s="139" t="s">
        <v>56</v>
      </c>
      <c r="W30" s="140"/>
      <c r="Y30" s="164"/>
      <c r="Z30" s="164"/>
      <c r="AA30" s="301"/>
      <c r="AB30" s="165"/>
      <c r="AC30" s="395"/>
      <c r="AD30" s="167">
        <f t="shared" si="3"/>
        <v>0</v>
      </c>
      <c r="AE30" s="407"/>
      <c r="AF30" s="168">
        <f t="shared" si="1"/>
        <v>0</v>
      </c>
      <c r="AG30" s="407"/>
      <c r="AH30" s="168">
        <f t="shared" si="2"/>
        <v>0</v>
      </c>
    </row>
    <row r="31" spans="1:49" ht="16.149999999999999" customHeight="1" x14ac:dyDescent="0.2">
      <c r="B31" s="227"/>
      <c r="C31" s="227"/>
      <c r="D31" s="227"/>
      <c r="E31" s="227"/>
      <c r="F31" s="227"/>
      <c r="G31" s="227"/>
      <c r="H31" s="227"/>
      <c r="I31" s="227"/>
      <c r="J31" s="269"/>
      <c r="K31" s="397"/>
      <c r="L31" s="397"/>
      <c r="Y31" s="164"/>
      <c r="Z31" s="164"/>
      <c r="AA31" s="301"/>
      <c r="AB31" s="165"/>
      <c r="AC31" s="395"/>
      <c r="AD31" s="167">
        <f t="shared" si="3"/>
        <v>0</v>
      </c>
      <c r="AE31" s="407"/>
      <c r="AF31" s="168">
        <f t="shared" si="1"/>
        <v>0</v>
      </c>
      <c r="AG31" s="407"/>
      <c r="AH31" s="168">
        <f t="shared" si="2"/>
        <v>0</v>
      </c>
      <c r="AN31" s="710"/>
    </row>
    <row r="32" spans="1:49" ht="16.149999999999999" customHeight="1" x14ac:dyDescent="0.2">
      <c r="B32" s="956" t="str">
        <f>ListAVS!B344&amp;" """&amp;ListAVS!B160&amp;""""</f>
        <v>Aby zamówić zestaw wstępnie wyfrezowanych boków, użyj "Dodatki"</v>
      </c>
      <c r="C32" s="227"/>
      <c r="D32" s="227"/>
      <c r="E32" s="227"/>
      <c r="F32" s="227"/>
      <c r="G32" s="227"/>
      <c r="H32" s="227"/>
      <c r="I32" s="227"/>
      <c r="J32" s="971"/>
      <c r="K32" s="397"/>
      <c r="L32" s="397"/>
      <c r="N32" s="142"/>
      <c r="Y32" s="164"/>
      <c r="Z32" s="164"/>
      <c r="AA32" s="301"/>
      <c r="AB32" s="165"/>
      <c r="AC32" s="395"/>
      <c r="AD32" s="167">
        <f t="shared" si="3"/>
        <v>0</v>
      </c>
      <c r="AE32" s="407"/>
      <c r="AF32" s="168">
        <f t="shared" si="1"/>
        <v>0</v>
      </c>
      <c r="AG32" s="407"/>
      <c r="AH32" s="168">
        <f t="shared" si="2"/>
        <v>0</v>
      </c>
    </row>
    <row r="33" spans="2:49" ht="16.149999999999999" customHeight="1" x14ac:dyDescent="0.2">
      <c r="B33" s="227"/>
      <c r="C33" s="227"/>
      <c r="D33" s="227"/>
      <c r="E33" s="227"/>
      <c r="F33" s="227"/>
      <c r="G33" s="227"/>
      <c r="H33" s="227"/>
      <c r="I33" s="227"/>
      <c r="J33" s="971"/>
      <c r="K33" s="266"/>
      <c r="L33" s="255"/>
      <c r="Y33" s="164"/>
      <c r="Z33" s="164"/>
      <c r="AA33" s="301"/>
      <c r="AB33" s="165"/>
      <c r="AC33" s="395"/>
      <c r="AD33" s="167">
        <f t="shared" si="3"/>
        <v>0</v>
      </c>
      <c r="AE33" s="407"/>
      <c r="AF33" s="168">
        <f t="shared" si="1"/>
        <v>0</v>
      </c>
      <c r="AG33" s="407"/>
      <c r="AH33" s="168">
        <f t="shared" si="2"/>
        <v>0</v>
      </c>
    </row>
    <row r="34" spans="2:49" ht="16.149999999999999" customHeight="1" x14ac:dyDescent="0.2">
      <c r="G34" s="266"/>
      <c r="H34" s="266"/>
      <c r="I34" s="255"/>
      <c r="J34" s="266"/>
      <c r="K34" s="266"/>
      <c r="L34" s="255"/>
      <c r="N34" s="37" t="str">
        <f>ListAVS!B177</f>
        <v>Cena bez zasilacza!</v>
      </c>
      <c r="Y34" s="164"/>
      <c r="Z34" s="164"/>
      <c r="AA34" s="301"/>
      <c r="AB34" s="165"/>
      <c r="AC34" s="395"/>
      <c r="AD34" s="167">
        <f t="shared" si="3"/>
        <v>0</v>
      </c>
      <c r="AE34" s="407"/>
      <c r="AF34" s="168">
        <f t="shared" si="1"/>
        <v>0</v>
      </c>
      <c r="AG34" s="407"/>
      <c r="AH34" s="168">
        <f t="shared" si="2"/>
        <v>0</v>
      </c>
    </row>
    <row r="35" spans="2:49" ht="16.149999999999999" customHeight="1" x14ac:dyDescent="0.2">
      <c r="G35" s="266"/>
      <c r="H35" s="266"/>
      <c r="I35" s="255"/>
      <c r="J35" s="266"/>
      <c r="K35" s="266"/>
      <c r="L35" s="255"/>
      <c r="N35" s="37" t="str">
        <f>" "&amp;ListAVS!$B$118</f>
        <v xml:space="preserve"> Wprowadź na górze masę objętościową </v>
      </c>
      <c r="Y35" s="164"/>
      <c r="Z35" s="164"/>
      <c r="AA35" s="301"/>
      <c r="AB35" s="165"/>
      <c r="AC35" s="395"/>
      <c r="AD35" s="167">
        <f t="shared" si="3"/>
        <v>0</v>
      </c>
      <c r="AE35" s="407"/>
      <c r="AF35" s="168">
        <f t="shared" si="1"/>
        <v>0</v>
      </c>
      <c r="AG35" s="407"/>
      <c r="AH35" s="168">
        <f t="shared" si="2"/>
        <v>0</v>
      </c>
    </row>
    <row r="36" spans="2:49" ht="16.149999999999999" customHeight="1" x14ac:dyDescent="0.2">
      <c r="B36" s="274"/>
      <c r="C36" s="255" t="str">
        <f>"** "&amp;ListAVS!$B$187</f>
        <v>** Jeżeli znasz wagę i nie chcesz skorzystać z "obliczenie wagi"</v>
      </c>
      <c r="D36" s="266"/>
      <c r="E36" s="266"/>
      <c r="F36" s="266"/>
      <c r="G36" s="266"/>
      <c r="H36" s="266"/>
      <c r="I36" s="255"/>
      <c r="J36" s="266"/>
      <c r="K36" s="266"/>
      <c r="L36" s="255"/>
      <c r="N36" s="37" t="str">
        <f>" "&amp;ListAVS!$B$116</f>
        <v xml:space="preserve"> Wprowadź wagę lub wypełnij wszystkie komórki</v>
      </c>
      <c r="Y36" s="164"/>
      <c r="Z36" s="164"/>
      <c r="AA36" s="301"/>
      <c r="AB36" s="165"/>
      <c r="AC36" s="395"/>
      <c r="AD36" s="167">
        <f t="shared" si="3"/>
        <v>0</v>
      </c>
      <c r="AE36" s="407"/>
      <c r="AF36" s="168">
        <f t="shared" si="1"/>
        <v>0</v>
      </c>
      <c r="AG36" s="407"/>
      <c r="AH36" s="168">
        <f t="shared" si="2"/>
        <v>0</v>
      </c>
    </row>
    <row r="37" spans="2:49" ht="16.149999999999999" customHeight="1" x14ac:dyDescent="0.2">
      <c r="B37" s="255"/>
      <c r="C37" s="273" t="str">
        <f>"*** "&amp;ListAVS!$B$403</f>
        <v>*** Wybierz rodzaj ramki aluminiowej!</v>
      </c>
      <c r="D37" s="266"/>
      <c r="E37" s="266"/>
      <c r="F37" s="266"/>
      <c r="G37" s="276"/>
      <c r="H37" s="276"/>
      <c r="I37" s="276"/>
      <c r="J37" s="276"/>
      <c r="K37" s="276"/>
      <c r="L37" s="255"/>
      <c r="N37" s="37" t="str">
        <f>"◄ "&amp;ListAVS!$B$112</f>
        <v>◄ wartość będzie wykorzystana do obliczenia LF</v>
      </c>
      <c r="Y37" s="164"/>
      <c r="Z37" s="164"/>
      <c r="AA37" s="301"/>
      <c r="AB37" s="165"/>
      <c r="AC37" s="395"/>
      <c r="AD37" s="167">
        <f t="shared" si="3"/>
        <v>0</v>
      </c>
      <c r="AE37" s="407"/>
      <c r="AF37" s="168">
        <f t="shared" si="1"/>
        <v>0</v>
      </c>
      <c r="AG37" s="407"/>
      <c r="AH37" s="168">
        <f t="shared" si="2"/>
        <v>0</v>
      </c>
    </row>
    <row r="38" spans="2:49" ht="16.149999999999999" customHeight="1" x14ac:dyDescent="0.2">
      <c r="B38" s="255"/>
      <c r="C38" s="276"/>
      <c r="D38" s="276"/>
      <c r="E38" s="276"/>
      <c r="F38" s="276"/>
      <c r="G38" s="276"/>
      <c r="H38" s="276"/>
      <c r="I38" s="276"/>
      <c r="J38" s="276"/>
      <c r="K38" s="276"/>
      <c r="L38" s="255"/>
      <c r="N38" s="37" t="str">
        <f>" * "&amp;ListAVS!$B$128</f>
        <v xml:space="preserve"> * Wypełnij wartości</v>
      </c>
      <c r="Y38" s="164" t="str">
        <f>CenAVS!A185</f>
        <v xml:space="preserve">Tip-on do zawiasu 50mm PG, szary     </v>
      </c>
      <c r="Z38" s="164" t="str">
        <f>CenAVS!B185</f>
        <v>956.1004</v>
      </c>
      <c r="AA38" s="301" t="str">
        <f>CenAVS!C185</f>
        <v>R7036</v>
      </c>
      <c r="AB38" s="165">
        <f t="shared" si="0"/>
        <v>0</v>
      </c>
      <c r="AC38" s="395">
        <f>CenAVS!F185</f>
        <v>12.830769999999999</v>
      </c>
      <c r="AD38" s="167">
        <f t="shared" si="3"/>
        <v>0</v>
      </c>
      <c r="AE38" s="407">
        <f>IF(AND($T$44=1,$U$16=2), $M$17,0)</f>
        <v>0</v>
      </c>
      <c r="AF38" s="168">
        <f t="shared" si="1"/>
        <v>0</v>
      </c>
      <c r="AG38" s="407">
        <f>IF(AND($T$44=1,$U$27=2), $M$28,0)</f>
        <v>0</v>
      </c>
      <c r="AH38" s="168">
        <f t="shared" si="2"/>
        <v>0</v>
      </c>
      <c r="AP38" s="37"/>
      <c r="AQ38" s="37"/>
      <c r="AR38" s="37"/>
      <c r="AS38" s="37"/>
      <c r="AT38" s="37"/>
      <c r="AU38" s="37"/>
      <c r="AV38" s="37"/>
    </row>
    <row r="39" spans="2:49" ht="16.149999999999999" customHeight="1" x14ac:dyDescent="0.2">
      <c r="B39" s="255"/>
      <c r="C39" s="276"/>
      <c r="D39" s="276"/>
      <c r="E39" s="276"/>
      <c r="F39" s="276"/>
      <c r="G39" s="276"/>
      <c r="H39" s="276"/>
      <c r="I39" s="276"/>
      <c r="J39" s="276"/>
      <c r="K39" s="276"/>
      <c r="L39" s="255"/>
      <c r="N39" s="37" t="str">
        <f>" min. 420! "&amp;ListAVS!$B$122</f>
        <v xml:space="preserve"> min. 420! Popraw wagę albo wysokość</v>
      </c>
      <c r="Y39" s="164" t="str">
        <f>CenAVS!A186</f>
        <v xml:space="preserve">Tip-on do zawiasu 50mm SW, biały     </v>
      </c>
      <c r="Z39" s="164" t="str">
        <f>CenAVS!B186</f>
        <v>956.1004</v>
      </c>
      <c r="AA39" s="301" t="str">
        <f>CenAVS!C186</f>
        <v>SW</v>
      </c>
      <c r="AB39" s="165">
        <f t="shared" si="0"/>
        <v>0</v>
      </c>
      <c r="AC39" s="395">
        <f>CenAVS!F186</f>
        <v>12.830769999999999</v>
      </c>
      <c r="AD39" s="167">
        <f t="shared" si="3"/>
        <v>0</v>
      </c>
      <c r="AE39" s="407">
        <f>IF(AND($T$44=3,$U$16=2), $M$17,0)</f>
        <v>0</v>
      </c>
      <c r="AF39" s="168">
        <f t="shared" si="1"/>
        <v>0</v>
      </c>
      <c r="AG39" s="407">
        <f>IF(AND($T$44=3,$U$27=2), $M$28,0)</f>
        <v>0</v>
      </c>
      <c r="AH39" s="168">
        <f t="shared" si="2"/>
        <v>0</v>
      </c>
      <c r="AO39" s="37"/>
      <c r="AP39" s="37"/>
      <c r="AQ39" s="37"/>
      <c r="AR39" s="37"/>
      <c r="AS39" s="37"/>
      <c r="AT39" s="37"/>
      <c r="AU39" s="37"/>
      <c r="AV39" s="37"/>
    </row>
    <row r="40" spans="2:49" ht="16.149999999999999" customHeight="1" x14ac:dyDescent="0.2">
      <c r="B40" s="255"/>
      <c r="C40" s="276"/>
      <c r="D40" s="276"/>
      <c r="E40" s="276"/>
      <c r="F40" s="276"/>
      <c r="G40" s="276"/>
      <c r="H40" s="276"/>
      <c r="I40" s="276"/>
      <c r="J40" s="276"/>
      <c r="K40" s="276"/>
      <c r="L40" s="255"/>
      <c r="N40" s="37" t="str">
        <f>" max. 13.500! "&amp;ListAVS!$B$122</f>
        <v xml:space="preserve"> max. 13.500! Popraw wagę albo wysokość</v>
      </c>
      <c r="O40" s="37"/>
      <c r="Q40" s="37"/>
      <c r="Y40" s="164" t="str">
        <f>CenAVS!A187</f>
        <v xml:space="preserve">Tip-on do zawiasu krótki 50mm z magnesem,komplet, karbon czarny CS </v>
      </c>
      <c r="Z40" s="164" t="str">
        <f>CenAVS!B187</f>
        <v>956.1004</v>
      </c>
      <c r="AA40" s="301" t="str">
        <f>CenAVS!C187</f>
        <v>CS</v>
      </c>
      <c r="AB40" s="165">
        <f t="shared" si="0"/>
        <v>0</v>
      </c>
      <c r="AC40" s="395">
        <f>CenAVS!F187</f>
        <v>12.830769999999999</v>
      </c>
      <c r="AD40" s="167">
        <f t="shared" si="3"/>
        <v>0</v>
      </c>
      <c r="AE40" s="407">
        <f>IF(AND($T$44=2,$U$16=2), $M$17,0)</f>
        <v>0</v>
      </c>
      <c r="AF40" s="168">
        <f t="shared" si="1"/>
        <v>0</v>
      </c>
      <c r="AG40" s="407">
        <f>IF(AND($T$44=2,$U$27=2), $M$28,0)</f>
        <v>0</v>
      </c>
      <c r="AH40" s="168">
        <f t="shared" si="2"/>
        <v>0</v>
      </c>
      <c r="AO40" s="37"/>
      <c r="AP40" s="37"/>
      <c r="AQ40" s="37"/>
      <c r="AR40" s="37"/>
      <c r="AS40" s="37"/>
      <c r="AT40" s="37"/>
      <c r="AU40" s="37"/>
      <c r="AV40" s="37"/>
      <c r="AW40" s="37"/>
    </row>
    <row r="41" spans="2:49" ht="16.149999999999999" customHeight="1" x14ac:dyDescent="0.2">
      <c r="D41" s="255"/>
      <c r="E41" s="255"/>
      <c r="F41" s="255"/>
      <c r="G41" s="255"/>
      <c r="H41" s="255"/>
      <c r="I41" s="255"/>
      <c r="J41" s="255"/>
      <c r="K41" s="255"/>
      <c r="L41" s="255"/>
      <c r="N41" s="37" t="str">
        <f>" max. 9 000! "&amp;ListAVS!$B$122</f>
        <v xml:space="preserve"> max. 9 000! Popraw wagę albo wysokość</v>
      </c>
      <c r="Y41" s="164" t="str">
        <f>CenAVS!A188</f>
        <v xml:space="preserve">Tip-on do zawiasu 76mm, PG, szary     </v>
      </c>
      <c r="Z41" s="164" t="str">
        <f>CenAVS!B188</f>
        <v>956A1004</v>
      </c>
      <c r="AA41" s="301" t="str">
        <f>CenAVS!C188</f>
        <v>R7036</v>
      </c>
      <c r="AB41" s="165">
        <f t="shared" si="0"/>
        <v>0</v>
      </c>
      <c r="AC41" s="395">
        <f>CenAVS!F188</f>
        <v>16.100000000000001</v>
      </c>
      <c r="AD41" s="167">
        <f t="shared" si="3"/>
        <v>0</v>
      </c>
      <c r="AE41" s="407"/>
      <c r="AF41" s="168">
        <f t="shared" si="1"/>
        <v>0</v>
      </c>
      <c r="AG41" s="407"/>
      <c r="AH41" s="168">
        <f t="shared" si="2"/>
        <v>0</v>
      </c>
      <c r="AO41" s="37"/>
      <c r="AW41" s="37"/>
    </row>
    <row r="42" spans="2:49" s="37" customFormat="1" ht="16.149999999999999" customHeight="1" x14ac:dyDescent="0.2">
      <c r="D42" s="255"/>
      <c r="E42" s="255"/>
      <c r="F42" s="255"/>
      <c r="G42" s="255"/>
      <c r="H42" s="255"/>
      <c r="I42" s="255"/>
      <c r="J42" s="398"/>
      <c r="K42" s="398"/>
      <c r="L42" s="255"/>
      <c r="N42" s="149" t="str">
        <f>"                       "&amp;ListAVS!$B$123</f>
        <v xml:space="preserve">                       lub dodaj trzeci siłownik</v>
      </c>
      <c r="O42" s="118"/>
      <c r="Q42" s="118"/>
      <c r="Y42" s="164" t="str">
        <f>CenAVS!A189</f>
        <v xml:space="preserve">Tip-on do zawiasu 76mm, SW, biały     </v>
      </c>
      <c r="Z42" s="164" t="str">
        <f>CenAVS!B189</f>
        <v>956A1004</v>
      </c>
      <c r="AA42" s="301" t="str">
        <f>CenAVS!C189</f>
        <v>WA</v>
      </c>
      <c r="AB42" s="165">
        <f t="shared" si="0"/>
        <v>0</v>
      </c>
      <c r="AC42" s="395">
        <f>CenAVS!F189</f>
        <v>16.100000000000001</v>
      </c>
      <c r="AD42" s="167">
        <f t="shared" si="3"/>
        <v>0</v>
      </c>
      <c r="AE42" s="407"/>
      <c r="AF42" s="168">
        <f t="shared" si="1"/>
        <v>0</v>
      </c>
      <c r="AG42" s="407"/>
      <c r="AH42" s="168">
        <f t="shared" si="2"/>
        <v>0</v>
      </c>
      <c r="AL42" s="108"/>
      <c r="AM42" s="108"/>
      <c r="AN42" s="108"/>
      <c r="AO42" s="137"/>
      <c r="AP42" s="137"/>
      <c r="AQ42" s="137"/>
      <c r="AR42" s="137"/>
      <c r="AS42" s="137"/>
      <c r="AT42" s="137"/>
      <c r="AU42" s="137"/>
      <c r="AV42" s="137"/>
    </row>
    <row r="43" spans="2:49" s="37" customFormat="1" ht="16.149999999999999" customHeight="1" x14ac:dyDescent="0.2">
      <c r="B43" s="440"/>
      <c r="C43" s="1188"/>
      <c r="D43" s="1188"/>
      <c r="E43" s="1188"/>
      <c r="F43" s="1188"/>
      <c r="G43" s="1188"/>
      <c r="H43" s="1188"/>
      <c r="I43" s="1188"/>
      <c r="J43" s="1188"/>
      <c r="K43" s="1188"/>
      <c r="L43" s="255"/>
      <c r="O43" s="118"/>
      <c r="Q43" s="118"/>
      <c r="Y43" s="164" t="str">
        <f>CenAVS!A190</f>
        <v>Tip-on do zawiasu długi 76mm z magnesem, komplet, karbon czarny CS</v>
      </c>
      <c r="Z43" s="164" t="str">
        <f>CenAVS!B190</f>
        <v>956A1004</v>
      </c>
      <c r="AA43" s="301" t="str">
        <f>CenAVS!C190</f>
        <v>CS</v>
      </c>
      <c r="AB43" s="165">
        <f t="shared" si="0"/>
        <v>0</v>
      </c>
      <c r="AC43" s="395">
        <f>CenAVS!F190</f>
        <v>16.100000000000001</v>
      </c>
      <c r="AD43" s="167">
        <f t="shared" si="3"/>
        <v>0</v>
      </c>
      <c r="AE43" s="407"/>
      <c r="AF43" s="168">
        <f t="shared" si="1"/>
        <v>0</v>
      </c>
      <c r="AG43" s="407"/>
      <c r="AH43" s="168">
        <f t="shared" si="2"/>
        <v>0</v>
      </c>
      <c r="AL43" s="108"/>
      <c r="AM43" s="108"/>
      <c r="AN43" s="108"/>
      <c r="AO43" s="137"/>
      <c r="AP43" s="137"/>
      <c r="AQ43" s="137"/>
      <c r="AR43" s="137"/>
      <c r="AS43" s="137"/>
      <c r="AT43" s="137"/>
      <c r="AU43" s="137"/>
      <c r="AV43" s="137"/>
      <c r="AW43" s="137"/>
    </row>
    <row r="44" spans="2:49" s="37" customFormat="1" ht="16.149999999999999" customHeight="1" x14ac:dyDescent="0.2">
      <c r="B44" s="273"/>
      <c r="C44" s="1188"/>
      <c r="D44" s="1188"/>
      <c r="E44" s="1188"/>
      <c r="F44" s="1188"/>
      <c r="G44" s="1188"/>
      <c r="H44" s="1188"/>
      <c r="I44" s="1188"/>
      <c r="J44" s="1188"/>
      <c r="K44" s="1188"/>
      <c r="L44" s="255"/>
      <c r="N44" s="151">
        <f>HK!$P$26</f>
        <v>1</v>
      </c>
      <c r="O44" s="182"/>
      <c r="P44" s="117">
        <v>1</v>
      </c>
      <c r="Q44" s="182"/>
      <c r="R44" s="117">
        <f>HKi!$N$26</f>
        <v>1</v>
      </c>
      <c r="S44" s="182"/>
      <c r="T44" s="117">
        <f>MenuAVS!$P$28</f>
        <v>1</v>
      </c>
      <c r="V44" s="151">
        <v>1</v>
      </c>
      <c r="Y44" s="164"/>
      <c r="Z44" s="164"/>
      <c r="AA44" s="301"/>
      <c r="AB44" s="165"/>
      <c r="AC44" s="395"/>
      <c r="AD44" s="167"/>
      <c r="AE44" s="408"/>
      <c r="AF44" s="168"/>
      <c r="AG44" s="408"/>
      <c r="AH44" s="168"/>
      <c r="AL44" s="108"/>
      <c r="AM44" s="108"/>
      <c r="AN44" s="108"/>
      <c r="AO44" s="137"/>
      <c r="AP44" s="137"/>
      <c r="AQ44" s="137"/>
      <c r="AR44" s="137"/>
      <c r="AS44" s="137"/>
      <c r="AT44" s="137"/>
      <c r="AU44" s="137"/>
      <c r="AV44" s="137"/>
      <c r="AW44" s="137"/>
    </row>
    <row r="45" spans="2:49" ht="16.149999999999999" customHeight="1" x14ac:dyDescent="0.2">
      <c r="B45" s="441"/>
      <c r="C45" s="1188"/>
      <c r="D45" s="1188"/>
      <c r="E45" s="1188"/>
      <c r="F45" s="1188"/>
      <c r="G45" s="1188"/>
      <c r="H45" s="1188"/>
      <c r="I45" s="1188"/>
      <c r="J45" s="1188"/>
      <c r="K45" s="1188"/>
      <c r="L45" s="255"/>
      <c r="N45" s="153" t="s">
        <v>104</v>
      </c>
      <c r="P45" s="153" t="s">
        <v>8</v>
      </c>
      <c r="R45" s="153" t="s">
        <v>18</v>
      </c>
      <c r="S45" s="39"/>
      <c r="T45" s="153" t="s">
        <v>6</v>
      </c>
      <c r="V45" s="203" t="s">
        <v>18</v>
      </c>
      <c r="Y45" s="164"/>
      <c r="Z45" s="164"/>
      <c r="AA45" s="301"/>
      <c r="AB45" s="165"/>
      <c r="AC45" s="395"/>
      <c r="AD45" s="167"/>
      <c r="AE45" s="408"/>
      <c r="AF45" s="168"/>
      <c r="AG45" s="408"/>
      <c r="AH45" s="168"/>
    </row>
    <row r="46" spans="2:49" ht="16.149999999999999" customHeight="1" x14ac:dyDescent="0.2">
      <c r="B46" s="350"/>
      <c r="C46" s="148"/>
      <c r="D46" s="148"/>
      <c r="E46" s="148"/>
      <c r="F46" s="148"/>
      <c r="G46" s="148"/>
      <c r="H46" s="148"/>
      <c r="I46" s="148"/>
      <c r="J46" s="148"/>
      <c r="K46" s="148"/>
      <c r="N46" s="37" t="s">
        <v>105</v>
      </c>
      <c r="R46" s="118" t="s">
        <v>654</v>
      </c>
      <c r="T46" s="37" t="str">
        <f>ListAVS!$B$146</f>
        <v>Jasnoszary (HGR)</v>
      </c>
      <c r="V46" s="37" t="s">
        <v>58</v>
      </c>
      <c r="Y46" s="164"/>
      <c r="Z46" s="164"/>
      <c r="AA46" s="301"/>
      <c r="AB46" s="165"/>
      <c r="AC46" s="395"/>
      <c r="AD46" s="167"/>
      <c r="AE46" s="408"/>
      <c r="AF46" s="168"/>
      <c r="AG46" s="408"/>
      <c r="AH46" s="168"/>
    </row>
    <row r="47" spans="2:49" ht="16.149999999999999" customHeight="1" x14ac:dyDescent="0.2">
      <c r="B47" s="316"/>
      <c r="C47" s="317"/>
      <c r="D47" s="317"/>
      <c r="E47" s="317"/>
      <c r="F47" s="317"/>
      <c r="G47" s="317"/>
      <c r="I47" s="317"/>
      <c r="J47" s="317"/>
      <c r="N47" s="37" t="s">
        <v>106</v>
      </c>
      <c r="R47" s="118" t="s">
        <v>655</v>
      </c>
      <c r="T47" s="37" t="str">
        <f>ListAVS!$B$147</f>
        <v>Ciemnoszary (TGR)</v>
      </c>
      <c r="V47" s="37" t="s">
        <v>107</v>
      </c>
      <c r="AG47" s="118"/>
    </row>
    <row r="48" spans="2:49" ht="16.149999999999999" customHeight="1" x14ac:dyDescent="0.2">
      <c r="B48" s="317"/>
      <c r="C48" s="317"/>
      <c r="D48" s="317"/>
      <c r="E48" s="317"/>
      <c r="F48" s="317"/>
      <c r="G48" s="317"/>
      <c r="I48" s="317"/>
      <c r="J48" s="317"/>
      <c r="T48" s="37" t="str">
        <f>ListAVS!$B$148</f>
        <v>Jedwabiście biały (SW)</v>
      </c>
      <c r="AC48" s="144" t="str">
        <f>ListAVS!$B$61&amp;" "</f>
        <v xml:space="preserve">Cena całkowita bez VAT </v>
      </c>
      <c r="AD48" s="171">
        <f>SUM(AD9:AD46)</f>
        <v>0</v>
      </c>
      <c r="AF48" s="201">
        <f>SUM(AF9:AF47)</f>
        <v>0</v>
      </c>
      <c r="AH48" s="201">
        <f>SUM(AH9:AH47)</f>
        <v>0</v>
      </c>
    </row>
    <row r="49" spans="2:48" ht="16.149999999999999" customHeight="1" x14ac:dyDescent="0.2">
      <c r="B49" s="316"/>
      <c r="C49" s="317"/>
      <c r="D49" s="317"/>
      <c r="E49" s="317"/>
      <c r="F49" s="317"/>
      <c r="G49" s="317"/>
      <c r="I49" s="317"/>
      <c r="J49" s="317"/>
      <c r="N49" s="37" t="str">
        <f>ListAVS!B188&amp;". "</f>
        <v xml:space="preserve">W celu określenia rodzaju siłownika będzie wykorzystana podana waga. </v>
      </c>
    </row>
    <row r="50" spans="2:48" ht="16.149999999999999" customHeight="1" x14ac:dyDescent="0.2">
      <c r="B50" s="144"/>
      <c r="C50" s="317"/>
      <c r="N50" s="37" t="str">
        <f>ListAVS!B189&amp;". "</f>
        <v xml:space="preserve">W celu określenia rodzaju siłownika będzie wykorzystana obliczona waga. </v>
      </c>
    </row>
    <row r="51" spans="2:48" ht="20.100000000000001" customHeight="1" x14ac:dyDescent="0.2">
      <c r="B51" s="144"/>
      <c r="N51" s="37" t="str">
        <f>ListAVS!B190</f>
        <v>Jeżeli chcesz wykorzystać obliczoną wagę, zmaż podaną wartość</v>
      </c>
    </row>
    <row r="52" spans="2:48" x14ac:dyDescent="0.2">
      <c r="B52" s="155"/>
      <c r="D52" s="155"/>
      <c r="E52" s="155"/>
      <c r="F52" s="155"/>
      <c r="G52" s="155"/>
      <c r="I52" s="155"/>
      <c r="J52" s="155"/>
      <c r="N52" s="37" t="str">
        <f>ListAVS!B191</f>
        <v>Jeżeli chcesz wykorzystać podaną wagą, wpisz ją w pole</v>
      </c>
    </row>
    <row r="55" spans="2:48" x14ac:dyDescent="0.2">
      <c r="AQ55" s="37"/>
      <c r="AR55" s="37"/>
      <c r="AS55" s="37"/>
      <c r="AT55" s="37"/>
      <c r="AU55" s="37"/>
      <c r="AV55" s="37"/>
    </row>
    <row r="56" spans="2:48" x14ac:dyDescent="0.2">
      <c r="AQ56" s="37"/>
      <c r="AR56" s="37"/>
      <c r="AS56" s="37"/>
      <c r="AT56" s="37"/>
      <c r="AU56" s="37"/>
      <c r="AV56" s="37"/>
    </row>
    <row r="68" spans="1:49" ht="12.75" x14ac:dyDescent="0.2">
      <c r="A68" s="255"/>
      <c r="N68" s="255"/>
      <c r="O68" s="255"/>
      <c r="P68" s="255"/>
      <c r="Q68" s="255"/>
      <c r="R68" s="255"/>
      <c r="S68" s="255"/>
      <c r="T68" s="255"/>
      <c r="U68" s="255"/>
      <c r="V68" s="255"/>
      <c r="W68" s="255"/>
    </row>
    <row r="69" spans="1:49" ht="12.75" x14ac:dyDescent="0.2">
      <c r="A69" s="255"/>
      <c r="N69" s="517" t="str">
        <f>ListAVS!$B$73</f>
        <v>Obliczanie wagi frontów</v>
      </c>
      <c r="O69" s="518"/>
      <c r="P69" s="518"/>
      <c r="Q69" s="518"/>
      <c r="R69" s="518"/>
      <c r="S69" s="255"/>
      <c r="T69" s="255"/>
      <c r="U69" s="255"/>
      <c r="V69" s="255"/>
      <c r="W69" s="255"/>
    </row>
    <row r="70" spans="1:49" ht="15.75" customHeight="1" x14ac:dyDescent="0.2">
      <c r="A70" s="255"/>
      <c r="N70" s="255"/>
      <c r="O70" s="137"/>
      <c r="P70" s="269" t="str">
        <f>ListAVS!$B$180&amp;"  "</f>
        <v xml:space="preserve">Wykonanie frontów  </v>
      </c>
      <c r="Q70" s="255"/>
      <c r="R70" s="255"/>
      <c r="S70" s="255"/>
      <c r="T70" s="829">
        <f>J4</f>
        <v>0</v>
      </c>
      <c r="U70" s="262" t="str">
        <f>IF(Z77=3,IF(T70=0,Y72," "),IF(T70&gt;0,Y73," "))</f>
        <v xml:space="preserve"> </v>
      </c>
      <c r="V70" s="255"/>
      <c r="W70" s="255"/>
      <c r="Y70" s="149" t="str">
        <f>IF($Z$77=1,$Z$78,IF($Z$77=2,$Z$79,$Z$80&amp;" "&amp;$Y$80&amp;"kg/m3"))&amp;" A~"&amp;$T$78&amp;"/ B~"&amp;$T$89&amp;"mm"</f>
        <v>MDF (760 kg/m3) A~0/ B~0mm</v>
      </c>
      <c r="Z70" s="118"/>
      <c r="AB70" s="118"/>
      <c r="AD70" s="598">
        <f>MenuAVS!$Q$81</f>
        <v>2500</v>
      </c>
    </row>
    <row r="71" spans="1:49" ht="13.5" customHeight="1" x14ac:dyDescent="0.2">
      <c r="A71" s="255"/>
      <c r="N71" s="255"/>
      <c r="O71" s="255"/>
      <c r="P71" s="1151" t="str">
        <f>IF($Z$77&lt;&gt;3,$Y$71," ")&amp;"      "</f>
        <v xml:space="preserve"> Możesz zmienić wartości we Wstępie do planowania      </v>
      </c>
      <c r="Q71" s="1151"/>
      <c r="R71" s="1151"/>
      <c r="S71" s="1151"/>
      <c r="T71" s="1151"/>
      <c r="U71" s="255"/>
      <c r="V71" s="255"/>
      <c r="W71" s="255"/>
      <c r="Y71" s="37" t="str">
        <f>" "&amp;ListAVS!$B$410</f>
        <v xml:space="preserve"> Możesz zmienić wartości we Wstępie do planowania</v>
      </c>
      <c r="Z71" s="118"/>
      <c r="AB71" s="118"/>
    </row>
    <row r="72" spans="1:49" ht="15" customHeight="1" x14ac:dyDescent="0.2">
      <c r="A72" s="255"/>
      <c r="N72" s="266"/>
      <c r="O72" s="255"/>
      <c r="P72" s="255"/>
      <c r="Q72" s="255"/>
      <c r="R72" s="255"/>
      <c r="S72" s="255"/>
      <c r="T72" s="255"/>
      <c r="U72" s="255"/>
      <c r="V72" s="255"/>
      <c r="W72" s="255"/>
      <c r="Y72" s="37" t="str">
        <f>" "&amp;ListAVS!$B$245&amp;" [kg/m3]"</f>
        <v xml:space="preserve"> Podaj masę objętościową [kg/m3]</v>
      </c>
      <c r="Z72" s="118"/>
      <c r="AB72" s="118"/>
      <c r="AQ72" s="118"/>
      <c r="AR72" s="118"/>
      <c r="AS72" s="118"/>
      <c r="AT72" s="118"/>
      <c r="AU72" s="118"/>
      <c r="AV72" s="118"/>
    </row>
    <row r="73" spans="1:49" ht="15" customHeight="1" x14ac:dyDescent="0.2">
      <c r="A73" s="255"/>
      <c r="N73" s="266"/>
      <c r="O73" s="255"/>
      <c r="P73" s="255"/>
      <c r="Q73" s="255"/>
      <c r="R73" s="255"/>
      <c r="S73" s="255"/>
      <c r="T73" s="255"/>
      <c r="U73" s="255"/>
      <c r="V73" s="255"/>
      <c r="W73" s="255"/>
      <c r="Y73" s="37" t="str">
        <f>" "&amp;ListAVS!$B$241&amp;" '"&amp;ListAVS!$B$92&amp;"'"</f>
        <v xml:space="preserve"> Wartość obowiązuje tylko dla opcji 'Inne – wybrana gęstość materiału'</v>
      </c>
      <c r="Z73" s="118"/>
      <c r="AB73" s="118"/>
      <c r="AQ73" s="118"/>
      <c r="AR73" s="118"/>
      <c r="AS73" s="118"/>
      <c r="AT73" s="118"/>
      <c r="AU73" s="118"/>
      <c r="AV73" s="118"/>
    </row>
    <row r="74" spans="1:49" ht="15" customHeight="1" x14ac:dyDescent="0.2">
      <c r="A74" s="255"/>
      <c r="N74" s="255"/>
      <c r="O74" s="255"/>
      <c r="P74" s="255"/>
      <c r="Q74" s="255"/>
      <c r="R74" s="255"/>
      <c r="S74" s="255"/>
      <c r="T74" s="255"/>
      <c r="U74" s="255"/>
      <c r="V74" s="255"/>
      <c r="W74" s="255"/>
      <c r="Z74" s="118"/>
      <c r="AB74" s="118"/>
      <c r="AQ74" s="118"/>
      <c r="AR74" s="118"/>
      <c r="AS74" s="118"/>
      <c r="AT74" s="118"/>
      <c r="AU74" s="118"/>
      <c r="AV74" s="118"/>
      <c r="AW74" s="118"/>
    </row>
    <row r="75" spans="1:49" ht="15" customHeight="1" x14ac:dyDescent="0.2">
      <c r="A75" s="255"/>
      <c r="N75" s="266"/>
      <c r="O75" s="266"/>
      <c r="P75" s="266"/>
      <c r="Q75" s="255"/>
      <c r="R75" s="1148" t="str">
        <f>D9</f>
        <v xml:space="preserve"> </v>
      </c>
      <c r="S75" s="1149"/>
      <c r="T75" s="1150"/>
      <c r="U75" s="255"/>
      <c r="V75" s="255"/>
      <c r="W75" s="255"/>
      <c r="Z75" s="118"/>
      <c r="AB75" s="118"/>
      <c r="AD75" s="209"/>
      <c r="AE75" s="601" t="s">
        <v>68</v>
      </c>
      <c r="AF75" s="601" t="s">
        <v>69</v>
      </c>
      <c r="AG75" s="601" t="s">
        <v>70</v>
      </c>
      <c r="AQ75" s="118"/>
      <c r="AR75" s="118"/>
      <c r="AS75" s="118"/>
      <c r="AT75" s="118"/>
      <c r="AU75" s="118"/>
      <c r="AV75" s="118"/>
      <c r="AW75" s="118"/>
    </row>
    <row r="76" spans="1:49" s="118" customFormat="1" ht="15" customHeight="1" x14ac:dyDescent="0.2">
      <c r="A76" s="255"/>
      <c r="N76" s="1138" t="str">
        <f>ListAVS!$B$74&amp;" KB [mm]       "</f>
        <v xml:space="preserve">Szerokość korpusu KB [mm]       </v>
      </c>
      <c r="O76" s="1139"/>
      <c r="P76" s="1139"/>
      <c r="Q76" s="1139"/>
      <c r="R76" s="1139"/>
      <c r="S76" s="1140"/>
      <c r="T76" s="829">
        <f>H10</f>
        <v>0</v>
      </c>
      <c r="U76" s="670"/>
      <c r="V76" s="248"/>
      <c r="W76" s="255"/>
      <c r="X76" s="37"/>
      <c r="Y76" s="37">
        <f>T76*T77*T78</f>
        <v>0</v>
      </c>
      <c r="Z76" s="37"/>
      <c r="AA76" s="37"/>
      <c r="AC76" s="37"/>
      <c r="AD76" s="325">
        <f>IF($AG$76=1,$X$95,$X$96)</f>
        <v>0.62</v>
      </c>
      <c r="AE76" s="339">
        <f>$X$97</f>
        <v>0.61</v>
      </c>
      <c r="AF76" s="327">
        <v>1</v>
      </c>
      <c r="AG76" s="328">
        <f>$O$4</f>
        <v>1</v>
      </c>
      <c r="AH76" s="37"/>
      <c r="AJ76" s="37"/>
      <c r="AK76" s="37"/>
      <c r="AL76" s="108"/>
      <c r="AM76" s="108"/>
      <c r="AN76" s="108"/>
      <c r="AO76" s="137"/>
      <c r="AP76" s="137"/>
    </row>
    <row r="77" spans="1:49" s="118" customFormat="1" ht="15" customHeight="1" x14ac:dyDescent="0.2">
      <c r="A77" s="255"/>
      <c r="N77" s="1138" t="str">
        <f>ListAVS!$B$75&amp;" KH [mm]       "</f>
        <v xml:space="preserve">Wysokość korpusu KH [mm]       </v>
      </c>
      <c r="O77" s="1139"/>
      <c r="P77" s="1139"/>
      <c r="Q77" s="1139"/>
      <c r="R77" s="1139"/>
      <c r="S77" s="1140"/>
      <c r="T77" s="829">
        <f>H11</f>
        <v>0</v>
      </c>
      <c r="U77" s="670"/>
      <c r="V77" s="248"/>
      <c r="W77" s="255"/>
      <c r="X77" s="37"/>
      <c r="Y77" s="37">
        <f>Y76/1000000000</f>
        <v>0</v>
      </c>
      <c r="Z77" s="117">
        <v>1</v>
      </c>
      <c r="AC77" s="37"/>
      <c r="AD77" s="153" t="s">
        <v>71</v>
      </c>
      <c r="AE77" s="209">
        <f>SUM(T76*2,(T77-90)*2)*AD76/1000</f>
        <v>-0.11159999999999999</v>
      </c>
      <c r="AF77" s="601" t="s">
        <v>72</v>
      </c>
      <c r="AG77" s="601"/>
      <c r="AH77" s="37"/>
      <c r="AJ77" s="37"/>
      <c r="AK77" s="37"/>
      <c r="AL77" s="108"/>
      <c r="AM77" s="108"/>
      <c r="AN77" s="108"/>
      <c r="AO77" s="137"/>
      <c r="AP77" s="137"/>
      <c r="AQ77" s="137"/>
      <c r="AR77" s="137"/>
      <c r="AS77" s="137"/>
      <c r="AT77" s="137"/>
      <c r="AU77" s="137"/>
      <c r="AV77" s="137"/>
    </row>
    <row r="78" spans="1:49" s="118" customFormat="1" ht="15" customHeight="1" x14ac:dyDescent="0.2">
      <c r="A78" s="255"/>
      <c r="N78" s="1143" t="str">
        <f>ListAVS!$B$80&amp;" TS [mm] "</f>
        <v xml:space="preserve">Grubość frontu TS [mm] </v>
      </c>
      <c r="O78" s="1144"/>
      <c r="P78" s="1144"/>
      <c r="Q78" s="1144"/>
      <c r="R78" s="1144"/>
      <c r="S78" s="1145"/>
      <c r="T78" s="829">
        <f>H13</f>
        <v>0</v>
      </c>
      <c r="U78" s="256" t="str">
        <f>IF(SUM(T76,T77)=0," ",IF(T78=0," ● "&amp;ListAVS!$B$129," "))</f>
        <v xml:space="preserve"> </v>
      </c>
      <c r="V78" s="248"/>
      <c r="W78" s="255"/>
      <c r="X78" s="37"/>
      <c r="Y78" s="319">
        <f>MenuAVS!$C$31</f>
        <v>760</v>
      </c>
      <c r="Z78" s="175" t="str">
        <f>ListAVS!$B$90&amp;" ("&amp;Y78&amp;" kg/m3)"</f>
        <v>MDF (760 kg/m3)</v>
      </c>
      <c r="AC78" s="37"/>
      <c r="AD78" s="209">
        <f>$AD$70*4/1000</f>
        <v>10</v>
      </c>
      <c r="AE78" s="330">
        <f>IF($AG$76=1,AF78*AD78,AG78*AD78)</f>
        <v>6.4000000000000001E-2</v>
      </c>
      <c r="AF78" s="209">
        <f>SUM(($T$76-80)*($T$77-80)/1000000)</f>
        <v>6.4000000000000003E-3</v>
      </c>
      <c r="AG78" s="351">
        <f>SUM(($T$76-6)*($T$77-6)/1000000)</f>
        <v>3.6000000000000001E-5</v>
      </c>
      <c r="AH78" s="208" t="s">
        <v>73</v>
      </c>
      <c r="AJ78" s="37"/>
      <c r="AK78" s="37"/>
      <c r="AL78" s="108"/>
      <c r="AM78" s="108"/>
      <c r="AN78" s="108"/>
      <c r="AO78" s="137"/>
      <c r="AP78" s="137"/>
      <c r="AQ78" s="137"/>
      <c r="AR78" s="137"/>
      <c r="AS78" s="137"/>
      <c r="AT78" s="137"/>
      <c r="AU78" s="137"/>
      <c r="AV78" s="137"/>
    </row>
    <row r="79" spans="1:49" s="118" customFormat="1" ht="15" customHeight="1" x14ac:dyDescent="0.2">
      <c r="A79" s="255"/>
      <c r="N79" s="1143" t="str">
        <f>ListAVS!$B$83&amp;" [kg] "</f>
        <v xml:space="preserve">Waga uchwytu [kg] </v>
      </c>
      <c r="O79" s="1144"/>
      <c r="P79" s="1144"/>
      <c r="Q79" s="1144"/>
      <c r="R79" s="1144"/>
      <c r="S79" s="1145"/>
      <c r="T79" s="829">
        <f>H14</f>
        <v>0</v>
      </c>
      <c r="U79" s="256" t="str">
        <f>IF($U$16=3," ",IF(SUM(T76,T77)=0," ",IF(T79=0," ● "&amp;ListAVS!$B$130," ")))</f>
        <v xml:space="preserve"> </v>
      </c>
      <c r="V79" s="248"/>
      <c r="W79" s="255"/>
      <c r="X79" s="37"/>
      <c r="Y79" s="319">
        <f>MenuAVS!$C$32</f>
        <v>680</v>
      </c>
      <c r="Z79" s="175" t="str">
        <f>ListAVS!$B$91&amp;" ("&amp;Y79&amp;" kg/m3)"</f>
        <v>Płyta wiórowa (680 kg/m3)</v>
      </c>
      <c r="AC79" s="37"/>
      <c r="AD79" s="209">
        <f>$AD$70*5/1000</f>
        <v>12.5</v>
      </c>
      <c r="AE79" s="330">
        <f>IF($AG$76=1,AF79*AD79,AG79*AD79)</f>
        <v>0.08</v>
      </c>
      <c r="AF79" s="209">
        <f>SUM(($T$76-80)*($T$77-80)/1000000)</f>
        <v>6.4000000000000003E-3</v>
      </c>
      <c r="AG79" s="351">
        <f>SUM(($T$76-6)*($T$77-6)/1000000)</f>
        <v>3.6000000000000001E-5</v>
      </c>
      <c r="AH79" s="208" t="s">
        <v>74</v>
      </c>
      <c r="AJ79" s="37"/>
      <c r="AK79" s="37"/>
      <c r="AL79" s="108"/>
      <c r="AM79" s="108"/>
      <c r="AN79" s="108"/>
      <c r="AO79" s="137"/>
      <c r="AP79" s="137"/>
      <c r="AW79" s="137"/>
    </row>
    <row r="80" spans="1:49" s="118" customFormat="1" ht="15" customHeight="1" x14ac:dyDescent="0.2">
      <c r="A80" s="255"/>
      <c r="N80" s="1143" t="str">
        <f>ListAVS!$B$79&amp;" [kg] "</f>
        <v xml:space="preserve">Obliczona waga frontu [kg] </v>
      </c>
      <c r="O80" s="1144"/>
      <c r="P80" s="1144"/>
      <c r="Q80" s="1144"/>
      <c r="R80" s="1144"/>
      <c r="S80" s="1145"/>
      <c r="T80" s="534">
        <f>IF(AD81=0,0,AD81+2*T79)</f>
        <v>0</v>
      </c>
      <c r="U80" s="227"/>
      <c r="V80" s="248"/>
      <c r="W80" s="255"/>
      <c r="X80" s="186">
        <f>IF(T76*T77*T78=0,0,IF(Z77=1,Y77*Y78,IF(Z77=2,Y77*Y79,Y77*Y80)))</f>
        <v>0</v>
      </c>
      <c r="Y80" s="37">
        <f>$T$70</f>
        <v>0</v>
      </c>
      <c r="Z80" s="175" t="str">
        <f>ListAVS!$B$92</f>
        <v>Inne – wybrana gęstość materiału</v>
      </c>
      <c r="AC80" s="37"/>
      <c r="AD80" s="209">
        <f>$AD$70*$T$70/1000</f>
        <v>0</v>
      </c>
      <c r="AE80" s="330">
        <f>IF($AG$76=1,AF80*AD80,AG80*AD80)</f>
        <v>0</v>
      </c>
      <c r="AF80" s="209">
        <f>SUM(($T$76-80)*($T$77-80)/1000000)</f>
        <v>6.4000000000000003E-3</v>
      </c>
      <c r="AG80" s="351">
        <f>SUM(($T$76-6)*($T$77-6)/1000000)</f>
        <v>3.6000000000000001E-5</v>
      </c>
      <c r="AH80" s="208" t="s">
        <v>75</v>
      </c>
      <c r="AJ80" s="37"/>
      <c r="AK80" s="37"/>
      <c r="AL80" s="108"/>
      <c r="AM80" s="108"/>
      <c r="AN80" s="108"/>
      <c r="AO80" s="137"/>
      <c r="AP80" s="137"/>
      <c r="AW80" s="137"/>
    </row>
    <row r="81" spans="1:49" ht="15" customHeight="1" x14ac:dyDescent="0.2">
      <c r="A81" s="255"/>
      <c r="N81" s="255"/>
      <c r="O81" s="273" t="str">
        <f>IF((U16=3)*AND(T80&gt;0)*AND(T79&gt;0),$Z$96&amp;" "&amp;$Z$97,IF((U16&lt;&gt;3)*AND(T80&gt;0),IF(T79=0,$Z$95," ")," "))</f>
        <v xml:space="preserve"> </v>
      </c>
      <c r="P81" s="255"/>
      <c r="Q81" s="255"/>
      <c r="R81" s="255"/>
      <c r="S81" s="255"/>
      <c r="T81" s="255"/>
      <c r="U81" s="255"/>
      <c r="V81" s="255"/>
      <c r="W81" s="255"/>
      <c r="Z81" s="118"/>
      <c r="AB81" s="118"/>
      <c r="AD81" s="332">
        <f>IF(OR(AND(AF76=3, $T$70=0), T76*T77=0), 0, SUM(IF(AF76=1,AE78,IF(AF76=2,AE79,AE80)),AE77,AE76))</f>
        <v>0</v>
      </c>
      <c r="AQ81" s="118"/>
      <c r="AR81" s="118"/>
      <c r="AS81" s="118"/>
      <c r="AT81" s="118"/>
      <c r="AU81" s="118"/>
      <c r="AV81" s="118"/>
      <c r="AW81" s="118"/>
    </row>
    <row r="82" spans="1:49" ht="15" customHeight="1" x14ac:dyDescent="0.2">
      <c r="A82" s="255"/>
      <c r="N82" s="255"/>
      <c r="O82" s="273"/>
      <c r="P82" s="255"/>
      <c r="Q82" s="255"/>
      <c r="R82" s="255"/>
      <c r="S82" s="255"/>
      <c r="T82" s="255"/>
      <c r="U82" s="255"/>
      <c r="V82" s="255"/>
      <c r="W82" s="255"/>
      <c r="Z82" s="118"/>
      <c r="AB82" s="118"/>
      <c r="AQ82" s="118"/>
      <c r="AR82" s="118"/>
      <c r="AS82" s="118"/>
      <c r="AT82" s="118"/>
      <c r="AU82" s="118"/>
      <c r="AV82" s="118"/>
      <c r="AW82" s="118"/>
    </row>
    <row r="83" spans="1:49" ht="15" customHeight="1" x14ac:dyDescent="0.2">
      <c r="A83" s="255"/>
      <c r="N83" s="255"/>
      <c r="O83" s="273"/>
      <c r="P83" s="255"/>
      <c r="Q83" s="255"/>
      <c r="R83" s="255"/>
      <c r="S83" s="255"/>
      <c r="T83" s="255"/>
      <c r="U83" s="255"/>
      <c r="V83" s="255"/>
      <c r="W83" s="255"/>
      <c r="Z83" s="118"/>
      <c r="AB83" s="118"/>
      <c r="AQ83" s="118"/>
      <c r="AR83" s="118"/>
      <c r="AS83" s="118"/>
      <c r="AT83" s="118"/>
      <c r="AU83" s="118"/>
      <c r="AV83" s="118"/>
      <c r="AW83" s="118"/>
    </row>
    <row r="84" spans="1:49" ht="15" customHeight="1" x14ac:dyDescent="0.2">
      <c r="A84" s="255"/>
      <c r="N84" s="255"/>
      <c r="O84" s="255"/>
      <c r="P84" s="255"/>
      <c r="Q84" s="255"/>
      <c r="R84" s="255"/>
      <c r="S84" s="255"/>
      <c r="T84" s="255"/>
      <c r="U84" s="255"/>
      <c r="V84" s="255"/>
      <c r="W84" s="255"/>
      <c r="Z84" s="118"/>
      <c r="AB84" s="118"/>
      <c r="AQ84" s="118"/>
      <c r="AR84" s="118"/>
      <c r="AS84" s="118"/>
      <c r="AT84" s="118"/>
      <c r="AU84" s="118"/>
      <c r="AV84" s="118"/>
      <c r="AW84" s="118"/>
    </row>
    <row r="85" spans="1:49" s="118" customFormat="1" ht="15" customHeight="1" x14ac:dyDescent="0.2">
      <c r="A85" s="255"/>
      <c r="N85" s="255"/>
      <c r="O85" s="255"/>
      <c r="P85" s="255"/>
      <c r="Q85" s="255"/>
      <c r="R85" s="255"/>
      <c r="S85" s="255"/>
      <c r="T85" s="255"/>
      <c r="U85" s="255"/>
      <c r="V85" s="255"/>
      <c r="W85" s="255"/>
      <c r="X85" s="37"/>
      <c r="Y85" s="37"/>
      <c r="AA85" s="37"/>
      <c r="AC85" s="37"/>
      <c r="AD85" s="37"/>
      <c r="AE85" s="37"/>
      <c r="AF85" s="37"/>
      <c r="AG85" s="37"/>
      <c r="AH85" s="37"/>
      <c r="AJ85" s="37"/>
      <c r="AK85" s="37"/>
      <c r="AL85" s="108"/>
      <c r="AM85" s="108"/>
      <c r="AN85" s="108"/>
      <c r="AO85" s="137"/>
      <c r="AP85" s="137"/>
    </row>
    <row r="86" spans="1:49" s="118" customFormat="1" ht="15" customHeight="1" x14ac:dyDescent="0.2">
      <c r="A86" s="255"/>
      <c r="N86" s="248"/>
      <c r="O86" s="248"/>
      <c r="P86" s="248"/>
      <c r="Q86" s="255"/>
      <c r="R86" s="1148" t="str">
        <f>D20</f>
        <v xml:space="preserve"> </v>
      </c>
      <c r="S86" s="1149"/>
      <c r="T86" s="1150"/>
      <c r="U86" s="255"/>
      <c r="V86" s="255"/>
      <c r="W86" s="255"/>
      <c r="X86" s="37"/>
      <c r="AA86" s="37"/>
      <c r="AC86" s="37"/>
      <c r="AD86" s="209"/>
      <c r="AE86" s="601" t="s">
        <v>68</v>
      </c>
      <c r="AF86" s="601" t="s">
        <v>69</v>
      </c>
      <c r="AG86" s="601" t="s">
        <v>70</v>
      </c>
      <c r="AH86" s="37"/>
      <c r="AJ86" s="37"/>
      <c r="AK86" s="37"/>
      <c r="AL86" s="108"/>
      <c r="AM86" s="108"/>
      <c r="AN86" s="108"/>
      <c r="AO86" s="137"/>
      <c r="AP86" s="137"/>
    </row>
    <row r="87" spans="1:49" s="118" customFormat="1" ht="15" customHeight="1" x14ac:dyDescent="0.2">
      <c r="A87" s="255"/>
      <c r="N87" s="1138" t="str">
        <f>ListAVS!$B$74&amp;" KB [mm]       "</f>
        <v xml:space="preserve">Szerokość korpusu KB [mm]       </v>
      </c>
      <c r="O87" s="1139"/>
      <c r="P87" s="1139"/>
      <c r="Q87" s="1139"/>
      <c r="R87" s="1139"/>
      <c r="S87" s="1140"/>
      <c r="T87" s="829">
        <f>H21</f>
        <v>0</v>
      </c>
      <c r="U87" s="670"/>
      <c r="V87" s="255"/>
      <c r="W87" s="255"/>
      <c r="X87" s="37"/>
      <c r="Y87" s="37">
        <f>T87*T88*T89</f>
        <v>0</v>
      </c>
      <c r="Z87" s="37"/>
      <c r="AA87" s="37"/>
      <c r="AC87" s="37"/>
      <c r="AD87" s="325">
        <f>IF($AG$76=1,$X$95,$X$96)</f>
        <v>0.62</v>
      </c>
      <c r="AE87" s="339">
        <f>$X$97</f>
        <v>0.61</v>
      </c>
      <c r="AF87" s="333">
        <f>$AF$76</f>
        <v>1</v>
      </c>
      <c r="AG87" s="328">
        <f>$O$4</f>
        <v>1</v>
      </c>
      <c r="AH87" s="37"/>
      <c r="AJ87" s="37"/>
      <c r="AK87" s="37"/>
      <c r="AL87" s="108"/>
      <c r="AM87" s="108"/>
      <c r="AN87" s="108"/>
      <c r="AO87" s="137"/>
      <c r="AP87" s="137"/>
    </row>
    <row r="88" spans="1:49" s="118" customFormat="1" ht="15" customHeight="1" x14ac:dyDescent="0.2">
      <c r="A88" s="255"/>
      <c r="N88" s="1138" t="str">
        <f>ListAVS!$B$75&amp;" KH [mm]       "</f>
        <v xml:space="preserve">Wysokość korpusu KH [mm]       </v>
      </c>
      <c r="O88" s="1139"/>
      <c r="P88" s="1139"/>
      <c r="Q88" s="1139"/>
      <c r="R88" s="1139"/>
      <c r="S88" s="1140"/>
      <c r="T88" s="829">
        <f>H22</f>
        <v>0</v>
      </c>
      <c r="U88" s="670"/>
      <c r="V88" s="255"/>
      <c r="W88" s="255"/>
      <c r="X88" s="37"/>
      <c r="Y88" s="37">
        <f>Y87/1000000000</f>
        <v>0</v>
      </c>
      <c r="Z88" s="182">
        <f>Z77</f>
        <v>1</v>
      </c>
      <c r="AC88" s="37"/>
      <c r="AD88" s="144" t="s">
        <v>71</v>
      </c>
      <c r="AE88" s="209">
        <f>SUM(T87*2,(T88-90)*2)*AD87/1000</f>
        <v>-0.11159999999999999</v>
      </c>
      <c r="AF88" s="601" t="s">
        <v>72</v>
      </c>
      <c r="AG88" s="601"/>
      <c r="AH88" s="37"/>
      <c r="AJ88" s="37"/>
      <c r="AK88" s="37"/>
      <c r="AL88" s="108"/>
      <c r="AM88" s="108"/>
      <c r="AN88" s="108"/>
      <c r="AO88" s="137"/>
      <c r="AP88" s="137"/>
    </row>
    <row r="89" spans="1:49" s="118" customFormat="1" ht="15" customHeight="1" x14ac:dyDescent="0.2">
      <c r="A89" s="255"/>
      <c r="N89" s="1143" t="str">
        <f>ListAVS!$B$80&amp;" TS [mm] "</f>
        <v xml:space="preserve">Grubość frontu TS [mm] </v>
      </c>
      <c r="O89" s="1144"/>
      <c r="P89" s="1144"/>
      <c r="Q89" s="1144"/>
      <c r="R89" s="1144"/>
      <c r="S89" s="1145"/>
      <c r="T89" s="829">
        <f>H24</f>
        <v>0</v>
      </c>
      <c r="U89" s="256" t="str">
        <f>IF(SUM(T87,T88)=0," ",IF(T89=0," ● "&amp;ListAVS!$B$129," "))</f>
        <v xml:space="preserve"> </v>
      </c>
      <c r="V89" s="248"/>
      <c r="W89" s="248"/>
      <c r="X89" s="37"/>
      <c r="Y89" s="319">
        <f>$Y$78</f>
        <v>760</v>
      </c>
      <c r="Z89" s="37" t="str">
        <f>$Z$78</f>
        <v>MDF (760 kg/m3)</v>
      </c>
      <c r="AC89" s="37"/>
      <c r="AD89" s="37">
        <f>AD78</f>
        <v>10</v>
      </c>
      <c r="AE89" s="330">
        <f>IF($AG$76=1,AF89*AD89,AG89*AD89)</f>
        <v>6.4000000000000001E-2</v>
      </c>
      <c r="AF89" s="209">
        <f>SUM(($T$87-80)*($T$88-80)/1000000)</f>
        <v>6.4000000000000003E-3</v>
      </c>
      <c r="AG89" s="209">
        <f>SUM(($T$87-6)*($T$88-6)/1000000)</f>
        <v>3.6000000000000001E-5</v>
      </c>
      <c r="AH89" s="208" t="s">
        <v>73</v>
      </c>
      <c r="AJ89" s="37"/>
      <c r="AK89" s="37"/>
      <c r="AL89" s="108"/>
      <c r="AM89" s="108"/>
      <c r="AN89" s="108"/>
      <c r="AO89" s="137"/>
      <c r="AP89" s="137"/>
    </row>
    <row r="90" spans="1:49" s="118" customFormat="1" ht="15" customHeight="1" x14ac:dyDescent="0.2">
      <c r="A90" s="255"/>
      <c r="N90" s="1143" t="str">
        <f>ListAVS!$B$83&amp;" [kg] "</f>
        <v xml:space="preserve">Waga uchwytu [kg] </v>
      </c>
      <c r="O90" s="1144"/>
      <c r="P90" s="1144"/>
      <c r="Q90" s="1144"/>
      <c r="R90" s="1144"/>
      <c r="S90" s="1145"/>
      <c r="T90" s="829">
        <f>H25</f>
        <v>0</v>
      </c>
      <c r="U90" s="256" t="str">
        <f>IF($U$27=3," ",IF(SUM(T87,T88)=0," ",IF(T90=0," ● "&amp;ListAVS!$B$130," ")))</f>
        <v xml:space="preserve"> </v>
      </c>
      <c r="V90" s="248"/>
      <c r="W90" s="248"/>
      <c r="X90" s="37"/>
      <c r="Y90" s="319">
        <f>$Y$79</f>
        <v>680</v>
      </c>
      <c r="Z90" s="37" t="str">
        <f>$Z$79</f>
        <v>Płyta wiórowa (680 kg/m3)</v>
      </c>
      <c r="AC90" s="37"/>
      <c r="AD90" s="37">
        <f>AD79</f>
        <v>12.5</v>
      </c>
      <c r="AE90" s="330">
        <f>IF($AG$76=1,AF90*AD90,AG90*AD90)</f>
        <v>0.08</v>
      </c>
      <c r="AF90" s="209">
        <f>SUM(($T$87-80)*($T$88-80)/1000000)</f>
        <v>6.4000000000000003E-3</v>
      </c>
      <c r="AG90" s="209">
        <f>SUM(($T$87-6)*($T$88-6)/1000000)</f>
        <v>3.6000000000000001E-5</v>
      </c>
      <c r="AH90" s="208" t="s">
        <v>74</v>
      </c>
      <c r="AJ90" s="37"/>
      <c r="AK90" s="37"/>
      <c r="AL90" s="108"/>
      <c r="AM90" s="108"/>
      <c r="AN90" s="108"/>
      <c r="AO90" s="137"/>
      <c r="AP90" s="137"/>
    </row>
    <row r="91" spans="1:49" s="118" customFormat="1" ht="15" customHeight="1" x14ac:dyDescent="0.2">
      <c r="A91" s="255"/>
      <c r="N91" s="1143" t="str">
        <f>ListAVS!$B$79&amp;" [kg] "</f>
        <v xml:space="preserve">Obliczona waga frontu [kg] </v>
      </c>
      <c r="O91" s="1144"/>
      <c r="P91" s="1144"/>
      <c r="Q91" s="1144"/>
      <c r="R91" s="1144"/>
      <c r="S91" s="1145"/>
      <c r="T91" s="534">
        <f>IF(AD92=0,0,AD92+2*T90)</f>
        <v>0</v>
      </c>
      <c r="U91" s="227"/>
      <c r="V91" s="248"/>
      <c r="W91" s="248"/>
      <c r="X91" s="186">
        <f>IF(T87*T88*T89=0,0,IF(Z88=1,Y88*Y89,IF(Z88=2,Y88*Y90,Y88*Y91)))</f>
        <v>0</v>
      </c>
      <c r="Y91" s="37">
        <f>$Y$80</f>
        <v>0</v>
      </c>
      <c r="Z91" s="37" t="str">
        <f>$Z$80</f>
        <v>Inne – wybrana gęstość materiału</v>
      </c>
      <c r="AC91" s="37"/>
      <c r="AD91" s="340">
        <f>AD80</f>
        <v>0</v>
      </c>
      <c r="AE91" s="330">
        <f>IF($AG$76=1,AF91*AD91,AG91*AD91)</f>
        <v>0</v>
      </c>
      <c r="AF91" s="209">
        <f>SUM(($T$87-80)*($T$88-80)/1000000)</f>
        <v>6.4000000000000003E-3</v>
      </c>
      <c r="AG91" s="209">
        <f>SUM(($T$87-6)*($T$88-6)/1000000)</f>
        <v>3.6000000000000001E-5</v>
      </c>
      <c r="AH91" s="208" t="s">
        <v>75</v>
      </c>
      <c r="AJ91" s="37"/>
      <c r="AK91" s="37"/>
      <c r="AL91" s="108"/>
      <c r="AM91" s="108"/>
      <c r="AN91" s="108"/>
      <c r="AO91" s="137"/>
      <c r="AP91" s="137"/>
    </row>
    <row r="92" spans="1:49" s="118" customFormat="1" ht="15" customHeight="1" x14ac:dyDescent="0.2">
      <c r="A92" s="255"/>
      <c r="N92" s="255"/>
      <c r="O92" s="273" t="str">
        <f>IF((U27=3)*AND(T91&gt;0)*AND(T90&gt;0),$Z$96&amp;" "&amp;$Z$97,IF((U27&lt;&gt;3)*AND(T91&gt;0),IF(T90=0,$Z$95," ")," "))</f>
        <v xml:space="preserve"> </v>
      </c>
      <c r="P92" s="255"/>
      <c r="Q92" s="255"/>
      <c r="R92" s="255"/>
      <c r="S92" s="255"/>
      <c r="T92" s="255"/>
      <c r="U92" s="255"/>
      <c r="V92" s="255"/>
      <c r="W92" s="255"/>
      <c r="X92" s="37"/>
      <c r="Y92" s="37"/>
      <c r="AA92" s="37"/>
      <c r="AC92" s="37"/>
      <c r="AD92" s="332">
        <f>IF(OR(AND(AF87=3, $T$70=0), T87*T88=0), 0, SUM(IF(AF87=1,AE89,IF(AF87=2,AE90,AE91)),AE88,AE87))</f>
        <v>0</v>
      </c>
      <c r="AE92" s="37"/>
      <c r="AF92" s="37"/>
      <c r="AG92" s="37"/>
      <c r="AH92" s="37"/>
      <c r="AJ92" s="37"/>
      <c r="AK92" s="37"/>
      <c r="AL92" s="108"/>
      <c r="AM92" s="108"/>
      <c r="AN92" s="108"/>
      <c r="AO92" s="137"/>
      <c r="AP92" s="137"/>
    </row>
    <row r="93" spans="1:49" s="118" customFormat="1" ht="15" customHeight="1" x14ac:dyDescent="0.2">
      <c r="A93" s="255"/>
      <c r="N93" s="255"/>
      <c r="O93" s="255"/>
      <c r="P93" s="255"/>
      <c r="Q93" s="255"/>
      <c r="R93" s="255"/>
      <c r="S93" s="255"/>
      <c r="T93" s="255"/>
      <c r="U93" s="255"/>
      <c r="V93" s="255"/>
      <c r="W93" s="255"/>
      <c r="X93" s="37"/>
      <c r="Y93" s="37"/>
      <c r="AA93" s="37"/>
      <c r="AC93" s="37"/>
      <c r="AD93" s="37"/>
      <c r="AE93" s="37"/>
      <c r="AF93" s="37"/>
      <c r="AG93" s="37"/>
      <c r="AH93" s="37"/>
      <c r="AJ93" s="37"/>
      <c r="AK93" s="37"/>
      <c r="AL93" s="108"/>
      <c r="AM93" s="108"/>
      <c r="AN93" s="108"/>
      <c r="AO93" s="137"/>
      <c r="AP93" s="137"/>
    </row>
    <row r="94" spans="1:49" s="118" customFormat="1" ht="15" customHeight="1" x14ac:dyDescent="0.2">
      <c r="A94" s="255"/>
      <c r="N94" s="255"/>
      <c r="O94" s="255"/>
      <c r="P94" s="255"/>
      <c r="Q94" s="255"/>
      <c r="R94" s="255"/>
      <c r="S94" s="255"/>
      <c r="T94" s="255"/>
      <c r="U94" s="255"/>
      <c r="V94" s="255"/>
      <c r="W94" s="255"/>
      <c r="X94" s="37"/>
      <c r="Y94" s="37"/>
      <c r="AA94" s="37"/>
      <c r="AC94" s="37"/>
      <c r="AD94" s="37"/>
      <c r="AE94" s="37"/>
      <c r="AF94" s="37"/>
      <c r="AG94" s="37"/>
      <c r="AH94" s="37"/>
      <c r="AJ94" s="37"/>
      <c r="AK94" s="37"/>
      <c r="AL94" s="108"/>
      <c r="AM94" s="108"/>
      <c r="AN94" s="108"/>
      <c r="AO94" s="137"/>
      <c r="AP94" s="137"/>
    </row>
    <row r="95" spans="1:49" s="118" customFormat="1" ht="15" customHeight="1" x14ac:dyDescent="0.2">
      <c r="A95" s="255"/>
      <c r="N95" s="255"/>
      <c r="O95" s="255"/>
      <c r="P95" s="255"/>
      <c r="Q95" s="255"/>
      <c r="R95" s="255"/>
      <c r="S95" s="255"/>
      <c r="T95" s="255"/>
      <c r="U95" s="255"/>
      <c r="V95" s="255"/>
      <c r="W95" s="816" t="str">
        <f>ListAVS!$B$422&amp;"  "</f>
        <v xml:space="preserve">z wpuszczanym szkłem  </v>
      </c>
      <c r="X95" s="711">
        <f>MenuAVS!$I$86</f>
        <v>0.62</v>
      </c>
      <c r="Y95" s="37"/>
      <c r="Z95" s="37" t="str">
        <f>ListAVS!$B$103&amp;"!"</f>
        <v>Bez wagi uchwytu!</v>
      </c>
      <c r="AA95" s="37"/>
      <c r="AC95" s="37"/>
      <c r="AD95" s="37"/>
      <c r="AE95" s="37"/>
      <c r="AF95" s="335" t="str">
        <f>ListAVS!$B$93</f>
        <v>Ramki aluminiowe z 4mm szkłem</v>
      </c>
      <c r="AG95" s="37"/>
      <c r="AH95" s="37"/>
      <c r="AJ95" s="37"/>
      <c r="AK95" s="37"/>
      <c r="AL95" s="108"/>
      <c r="AM95" s="108"/>
      <c r="AN95" s="108"/>
      <c r="AO95" s="137"/>
      <c r="AP95" s="137"/>
    </row>
    <row r="96" spans="1:49" s="118" customFormat="1" ht="15" customHeight="1" x14ac:dyDescent="0.2">
      <c r="A96" s="255"/>
      <c r="N96" s="255"/>
      <c r="O96" s="255"/>
      <c r="P96" s="255"/>
      <c r="Q96" s="255"/>
      <c r="R96" s="255"/>
      <c r="S96" s="816"/>
      <c r="T96" s="255"/>
      <c r="U96" s="255"/>
      <c r="V96" s="255"/>
      <c r="W96" s="816" t="str">
        <f>ListAVS!$B$423&amp;"  "</f>
        <v xml:space="preserve">ze szkłem nakładanym lub przyklejanym  </v>
      </c>
      <c r="X96" s="711">
        <f>MenuAVS!$I$87</f>
        <v>0.63</v>
      </c>
      <c r="Y96" s="37"/>
      <c r="Z96" s="37" t="str">
        <f>ListAVS!B104</f>
        <v>Na pewno masz uchwyt do wersji TIP-ON?</v>
      </c>
      <c r="AA96" s="37"/>
      <c r="AC96" s="37"/>
      <c r="AD96" s="37"/>
      <c r="AE96" s="37"/>
      <c r="AF96" s="335" t="str">
        <f>ListAVS!$B$94</f>
        <v>Ramki aluminiowe z 5mm szkłem</v>
      </c>
      <c r="AG96" s="37"/>
      <c r="AH96" s="37"/>
      <c r="AJ96" s="37"/>
      <c r="AK96" s="37"/>
      <c r="AL96" s="108"/>
      <c r="AM96" s="108"/>
      <c r="AN96" s="108"/>
      <c r="AO96" s="137"/>
      <c r="AP96" s="137"/>
    </row>
    <row r="97" spans="1:48" s="118" customFormat="1" ht="15" customHeight="1" x14ac:dyDescent="0.2">
      <c r="A97" s="255"/>
      <c r="N97" s="255"/>
      <c r="O97" s="255"/>
      <c r="P97" s="255"/>
      <c r="Q97" s="255"/>
      <c r="R97" s="255"/>
      <c r="S97" s="816"/>
      <c r="T97" s="255"/>
      <c r="U97" s="255"/>
      <c r="V97" s="255"/>
      <c r="W97" s="816" t="str">
        <f>ListAVS!$B$405&amp;" [kg/set] *  "</f>
        <v xml:space="preserve">Waga materiału łączącego  [kg/set] *  </v>
      </c>
      <c r="X97" s="711">
        <f>MenuAVS!$I$88</f>
        <v>0.61</v>
      </c>
      <c r="Y97" s="37"/>
      <c r="Z97" s="37" t="str">
        <f>ListAVS!B105&amp;"!"</f>
        <v>Jeśli nie wymaż wagę uchwytu!</v>
      </c>
      <c r="AA97" s="37"/>
      <c r="AC97" s="37"/>
      <c r="AD97" s="37"/>
      <c r="AE97" s="37"/>
      <c r="AF97" s="335" t="str">
        <f>ListAVS!$B$95</f>
        <v>Ramki aluminiowe z innym szkłem</v>
      </c>
      <c r="AG97" s="37"/>
      <c r="AH97" s="37"/>
      <c r="AJ97" s="37"/>
      <c r="AK97" s="37"/>
      <c r="AL97" s="108"/>
      <c r="AM97" s="108"/>
      <c r="AN97" s="108"/>
      <c r="AO97" s="137"/>
      <c r="AP97" s="137"/>
      <c r="AQ97" s="37"/>
      <c r="AR97" s="37"/>
      <c r="AS97" s="37"/>
      <c r="AT97" s="37"/>
      <c r="AU97" s="37"/>
      <c r="AV97" s="37"/>
    </row>
    <row r="98" spans="1:48" s="118" customFormat="1" ht="15" customHeight="1" x14ac:dyDescent="0.2">
      <c r="A98" s="255"/>
      <c r="N98" s="255"/>
      <c r="O98" s="255"/>
      <c r="P98" s="255"/>
      <c r="Q98" s="255"/>
      <c r="R98" s="255"/>
      <c r="S98" s="816"/>
      <c r="T98" s="255"/>
      <c r="U98" s="255"/>
      <c r="V98" s="255"/>
      <c r="W98" s="255"/>
      <c r="X98" s="37"/>
      <c r="Y98" s="37"/>
      <c r="AA98" s="37"/>
      <c r="AC98" s="37"/>
      <c r="AD98" s="37"/>
      <c r="AE98" s="37"/>
      <c r="AF98" s="37"/>
      <c r="AG98" s="37"/>
      <c r="AH98" s="37"/>
      <c r="AJ98" s="37"/>
      <c r="AK98" s="37"/>
      <c r="AL98" s="108"/>
      <c r="AM98" s="108"/>
      <c r="AN98" s="108"/>
      <c r="AO98" s="137"/>
      <c r="AP98" s="137"/>
      <c r="AQ98" s="37"/>
      <c r="AR98" s="37"/>
      <c r="AS98" s="37"/>
      <c r="AT98" s="37"/>
      <c r="AU98" s="37"/>
      <c r="AV98" s="37"/>
    </row>
    <row r="99" spans="1:48" ht="12.75" x14ac:dyDescent="0.2">
      <c r="A99" s="1045"/>
      <c r="T99" s="255"/>
    </row>
    <row r="100" spans="1:48" ht="15" customHeight="1" x14ac:dyDescent="0.2">
      <c r="A100" s="1045"/>
      <c r="B100" s="308" t="s">
        <v>19</v>
      </c>
      <c r="C100" s="321"/>
      <c r="D100" s="308"/>
      <c r="E100" s="308"/>
      <c r="F100" s="308"/>
      <c r="G100" s="308"/>
      <c r="H100" s="308"/>
      <c r="I100" s="308"/>
      <c r="J100" s="308"/>
      <c r="K100" s="308"/>
      <c r="L100" s="308"/>
    </row>
    <row r="101" spans="1:48" x14ac:dyDescent="0.2">
      <c r="A101" s="1045"/>
    </row>
    <row r="102" spans="1:48" ht="15" customHeight="1" x14ac:dyDescent="0.2">
      <c r="A102" s="1045"/>
      <c r="B102" s="255" t="str">
        <f>ListAVS!$B$303</f>
        <v>Odpowiedni siłownik będzie określony za pomocą współczynnika mocy</v>
      </c>
      <c r="C102" s="255"/>
      <c r="D102" s="255"/>
      <c r="E102" s="255"/>
      <c r="F102" s="255"/>
      <c r="G102" s="255"/>
      <c r="H102" s="255"/>
      <c r="I102" s="255"/>
      <c r="J102" s="255"/>
      <c r="K102" s="255"/>
      <c r="L102" s="255"/>
    </row>
    <row r="103" spans="1:48" ht="15" customHeight="1" x14ac:dyDescent="0.2">
      <c r="A103" s="1045"/>
      <c r="B103" s="255" t="str">
        <f>ListAVS!$B$341</f>
        <v>Współczynnik mocy zależy od wagi frontu (wraz z podwójną wagą uchwytu) i od wysokości korpusu.</v>
      </c>
      <c r="C103" s="255"/>
      <c r="D103" s="255"/>
      <c r="E103" s="255"/>
      <c r="F103" s="255"/>
      <c r="G103" s="255"/>
      <c r="H103" s="255"/>
      <c r="I103" s="255"/>
      <c r="J103" s="255"/>
      <c r="K103" s="255"/>
      <c r="L103" s="255"/>
    </row>
    <row r="104" spans="1:48" ht="15" customHeight="1" x14ac:dyDescent="0.2">
      <c r="A104" s="1045"/>
      <c r="B104" s="255"/>
      <c r="C104" s="695"/>
      <c r="D104" s="695"/>
      <c r="E104" s="695"/>
      <c r="F104" s="695"/>
      <c r="G104" s="695"/>
      <c r="H104" s="695"/>
      <c r="I104" s="695"/>
      <c r="J104" s="695"/>
      <c r="K104" s="695"/>
      <c r="L104" s="695"/>
    </row>
    <row r="105" spans="1:48" ht="15" customHeight="1" x14ac:dyDescent="0.2">
      <c r="A105" s="1045"/>
      <c r="B105" s="696"/>
      <c r="C105" s="696"/>
      <c r="D105" s="696"/>
      <c r="E105" s="696"/>
      <c r="F105" s="696"/>
      <c r="G105" s="696"/>
      <c r="H105" s="696"/>
      <c r="I105" s="696"/>
      <c r="J105" s="696"/>
      <c r="K105" s="696"/>
      <c r="L105" s="696"/>
    </row>
    <row r="106" spans="1:48" ht="30" customHeight="1" x14ac:dyDescent="0.2">
      <c r="A106" s="1045"/>
      <c r="B106" s="746"/>
      <c r="C106" s="746"/>
      <c r="D106" s="698" t="str">
        <f>ListAVS!$B$86&amp;" = "</f>
        <v xml:space="preserve">Współczynnik mocy = </v>
      </c>
      <c r="E106" s="1068" t="str">
        <f>ListAVS!$B$342&amp;" [kg]"</f>
        <v>wysokość korpusu (KH) [mm] x waga frontu wraz z podwójną wagą uchwytu [kg]</v>
      </c>
      <c r="F106" s="1068"/>
      <c r="G106" s="1068"/>
      <c r="H106" s="1068"/>
      <c r="I106" s="1068"/>
      <c r="J106" s="1068"/>
      <c r="K106" s="1068"/>
      <c r="L106" s="1068"/>
      <c r="N106" s="108"/>
    </row>
    <row r="107" spans="1:48" ht="15" customHeight="1" x14ac:dyDescent="0.2">
      <c r="A107" s="1045"/>
      <c r="B107" s="255"/>
      <c r="C107" s="255"/>
      <c r="D107" s="255"/>
      <c r="E107" s="255"/>
      <c r="F107" s="255"/>
      <c r="G107" s="255"/>
      <c r="H107" s="255"/>
      <c r="I107" s="255"/>
      <c r="J107" s="255"/>
      <c r="K107" s="255"/>
      <c r="L107" s="255"/>
    </row>
    <row r="108" spans="1:48" ht="15" customHeight="1" x14ac:dyDescent="0.2">
      <c r="A108" s="1045"/>
      <c r="B108" s="255"/>
      <c r="C108" s="255"/>
      <c r="D108" s="255"/>
      <c r="E108" s="255"/>
      <c r="F108" s="255"/>
      <c r="G108" s="255"/>
      <c r="H108" s="255"/>
      <c r="I108" s="255"/>
      <c r="J108" s="255"/>
      <c r="K108" s="255"/>
      <c r="L108" s="255"/>
    </row>
    <row r="109" spans="1:48" ht="15" customHeight="1" x14ac:dyDescent="0.2">
      <c r="A109" s="1045"/>
      <c r="B109" s="255"/>
      <c r="C109" s="255"/>
      <c r="D109" s="255"/>
      <c r="E109" s="255"/>
      <c r="F109" s="255"/>
      <c r="G109" s="255"/>
      <c r="H109" s="255"/>
      <c r="I109" s="255"/>
      <c r="J109" s="255"/>
      <c r="K109" s="255"/>
      <c r="L109" s="255"/>
    </row>
    <row r="110" spans="1:48" ht="15" customHeight="1" x14ac:dyDescent="0.2">
      <c r="A110" s="1045"/>
      <c r="B110" s="273"/>
      <c r="C110" s="255"/>
      <c r="D110" s="255"/>
      <c r="E110" s="255"/>
      <c r="F110" s="255"/>
      <c r="G110" s="255"/>
      <c r="H110" s="255"/>
      <c r="I110" s="255"/>
      <c r="J110" s="255"/>
      <c r="K110" s="255"/>
      <c r="L110" s="255"/>
    </row>
    <row r="111" spans="1:48" ht="15" customHeight="1" x14ac:dyDescent="0.2">
      <c r="A111" s="1045"/>
      <c r="B111" s="255"/>
      <c r="C111" s="255"/>
      <c r="D111" s="255"/>
      <c r="E111" s="255"/>
      <c r="F111" s="255"/>
      <c r="G111" s="255"/>
      <c r="H111" s="255"/>
      <c r="I111" s="255"/>
      <c r="J111" s="255"/>
      <c r="K111" s="255"/>
      <c r="L111" s="255"/>
    </row>
    <row r="112" spans="1:48" ht="15" customHeight="1" x14ac:dyDescent="0.2">
      <c r="A112" s="1045"/>
      <c r="B112" s="255" t="str">
        <f>ListAVS!$B$312</f>
        <v>Jeśli znasz wagę frontu, możesz ją wprowadzić, w przeciwnym razie skorzystaj z „Obliczenia wagi”.</v>
      </c>
      <c r="C112" s="255"/>
      <c r="D112" s="255"/>
      <c r="E112" s="255"/>
      <c r="F112" s="255"/>
      <c r="G112" s="255"/>
      <c r="H112" s="255"/>
      <c r="I112" s="255"/>
      <c r="J112" s="255"/>
      <c r="K112" s="255"/>
      <c r="L112" s="255"/>
    </row>
    <row r="113" spans="1:12" ht="15" customHeight="1" x14ac:dyDescent="0.2">
      <c r="A113" s="1045"/>
      <c r="B113" s="255" t="str">
        <f>ListAVS!$B$313</f>
        <v>W tabeli wprowadzona wartość ma pierwszeństwo aby skorzystać z wagi obliczeniowej, należy usunąć wprowadzoną wartość.</v>
      </c>
      <c r="C113" s="255"/>
      <c r="D113" s="255"/>
      <c r="E113" s="255"/>
      <c r="F113" s="255"/>
      <c r="G113" s="255"/>
      <c r="H113" s="255"/>
      <c r="I113" s="255"/>
      <c r="J113" s="255"/>
      <c r="K113" s="255"/>
      <c r="L113" s="255"/>
    </row>
    <row r="114" spans="1:12" ht="15" customHeight="1" x14ac:dyDescent="0.2">
      <c r="A114" s="1045"/>
      <c r="B114" s="255"/>
      <c r="C114" s="255"/>
      <c r="D114" s="255"/>
      <c r="E114" s="255"/>
      <c r="F114" s="255"/>
      <c r="G114" s="255"/>
      <c r="H114" s="255"/>
      <c r="I114" s="255"/>
      <c r="J114" s="255"/>
      <c r="K114" s="255"/>
      <c r="L114" s="255"/>
    </row>
    <row r="115" spans="1:12" ht="15" customHeight="1" x14ac:dyDescent="0.2">
      <c r="A115" s="1045"/>
      <c r="B115" s="255" t="str">
        <f>ListAVS!$B$307</f>
        <v>Aby zmienić rodzaj siłownika (pełna/częściowa integracja), przejdź do wyboru Hki</v>
      </c>
      <c r="C115" s="255"/>
      <c r="D115" s="255"/>
      <c r="E115" s="255"/>
      <c r="F115" s="255"/>
      <c r="G115" s="255"/>
      <c r="H115" s="255"/>
      <c r="I115" s="255"/>
      <c r="J115" s="255"/>
      <c r="K115" s="255"/>
      <c r="L115" s="255"/>
    </row>
    <row r="116" spans="1:12" ht="15" customHeight="1" x14ac:dyDescent="0.2">
      <c r="A116" s="1045"/>
      <c r="B116" s="255" t="str">
        <f>ListAVS!$B$306</f>
        <v>Aby zmienić kolor zaślepek przejdź do „Wprowadzenie do planowania”</v>
      </c>
      <c r="C116" s="255"/>
      <c r="D116" s="255"/>
      <c r="E116" s="255"/>
      <c r="F116" s="255"/>
      <c r="G116" s="255"/>
      <c r="H116" s="255"/>
      <c r="I116" s="255"/>
      <c r="J116" s="255"/>
      <c r="K116" s="255"/>
      <c r="L116" s="255"/>
    </row>
    <row r="117" spans="1:12" ht="15" customHeight="1" x14ac:dyDescent="0.2">
      <c r="A117" s="1045"/>
      <c r="B117" s="255"/>
      <c r="C117" s="255"/>
      <c r="D117" s="255"/>
      <c r="E117" s="255"/>
      <c r="F117" s="255"/>
      <c r="G117" s="255"/>
      <c r="H117" s="255"/>
      <c r="I117" s="255"/>
      <c r="J117" s="255"/>
      <c r="K117" s="255"/>
      <c r="L117" s="255"/>
    </row>
    <row r="118" spans="1:12" ht="15" customHeight="1" x14ac:dyDescent="0.2">
      <c r="A118" s="1045"/>
      <c r="B118" s="255" t="str">
        <f>ListAVS!$B$411</f>
        <v>Zwróć uwagę na wybór ramek aluminiowych</v>
      </c>
      <c r="C118" s="255"/>
      <c r="D118" s="255"/>
      <c r="E118" s="255"/>
      <c r="F118" s="255"/>
      <c r="G118" s="255"/>
      <c r="H118" s="255"/>
      <c r="I118" s="255"/>
      <c r="J118" s="255"/>
      <c r="K118" s="255"/>
      <c r="L118" s="255"/>
    </row>
    <row r="119" spans="1:12" ht="15" customHeight="1" x14ac:dyDescent="0.2">
      <c r="A119" s="1045"/>
      <c r="B119" s="255" t="str">
        <f>ListAVS!$B$412</f>
        <v>Wybierz, rodzaj, który lepiej pasuje do kształtu zastosowanej ramki aluminiowej.</v>
      </c>
      <c r="C119" s="255"/>
      <c r="D119" s="255"/>
      <c r="E119" s="255"/>
      <c r="F119" s="255"/>
      <c r="G119" s="255"/>
      <c r="H119" s="255"/>
      <c r="I119" s="255"/>
      <c r="J119" s="255"/>
      <c r="K119" s="255"/>
      <c r="L119" s="255"/>
    </row>
    <row r="120" spans="1:12" ht="15" customHeight="1" x14ac:dyDescent="0.2">
      <c r="A120" s="1045"/>
      <c r="B120" s="255" t="str">
        <f>ListAVS!$B$413</f>
        <v>Sposób mocowania szkła w ramkę znacząco wpływa na powierzchnię szkła, a co za tym idzie na jego wagę!</v>
      </c>
      <c r="C120" s="255"/>
      <c r="D120" s="255"/>
      <c r="E120" s="255"/>
      <c r="F120" s="255"/>
      <c r="G120" s="255"/>
      <c r="H120" s="255"/>
      <c r="I120" s="255"/>
      <c r="J120" s="255"/>
      <c r="K120" s="255"/>
      <c r="L120" s="255"/>
    </row>
    <row r="121" spans="1:12" ht="15" customHeight="1" x14ac:dyDescent="0.2">
      <c r="A121" s="1045"/>
      <c r="B121" s="255"/>
      <c r="C121" s="255"/>
      <c r="D121" s="255"/>
      <c r="E121" s="255"/>
      <c r="F121" s="255"/>
      <c r="G121" s="255"/>
      <c r="H121" s="255"/>
      <c r="I121" s="255"/>
      <c r="J121" s="255"/>
      <c r="K121" s="255"/>
    </row>
    <row r="122" spans="1:12" ht="15" customHeight="1" x14ac:dyDescent="0.2">
      <c r="A122" s="1045"/>
      <c r="B122" s="255"/>
      <c r="C122" s="796" t="str">
        <f>"  "&amp;ListAVS!$B$422&amp;"  "</f>
        <v xml:space="preserve">  z wpuszczanym szkłem  </v>
      </c>
      <c r="D122" s="255"/>
      <c r="E122" s="255"/>
      <c r="F122" s="255"/>
      <c r="G122" s="255"/>
      <c r="H122" s="255"/>
      <c r="I122" s="255"/>
      <c r="J122" s="255"/>
      <c r="K122" s="255"/>
      <c r="L122" s="255"/>
    </row>
    <row r="123" spans="1:12" ht="15" customHeight="1" x14ac:dyDescent="0.2">
      <c r="A123" s="1045"/>
      <c r="B123" s="255"/>
      <c r="C123" s="266"/>
      <c r="D123" s="255"/>
      <c r="E123" s="255"/>
      <c r="F123" s="255"/>
      <c r="G123" s="255"/>
      <c r="H123" s="255"/>
      <c r="I123" s="255"/>
      <c r="J123" s="255"/>
      <c r="K123" s="255"/>
      <c r="L123" s="255"/>
    </row>
    <row r="124" spans="1:12" ht="12.75" x14ac:dyDescent="0.2">
      <c r="A124" s="1045"/>
      <c r="B124" s="255"/>
      <c r="C124" s="796" t="str">
        <f>"  "&amp;ListAVS!$B$423&amp;"  "</f>
        <v xml:space="preserve">  ze szkłem nakładanym lub przyklejanym  </v>
      </c>
      <c r="D124" s="255"/>
      <c r="E124" s="255"/>
      <c r="F124" s="255"/>
      <c r="G124" s="255"/>
      <c r="H124" s="255"/>
      <c r="I124" s="255"/>
      <c r="J124" s="255"/>
      <c r="K124" s="255"/>
      <c r="L124" s="255"/>
    </row>
    <row r="125" spans="1:12" ht="12.75" x14ac:dyDescent="0.2">
      <c r="A125" s="1045"/>
      <c r="B125" s="255"/>
      <c r="C125" s="255"/>
      <c r="D125" s="255"/>
      <c r="E125" s="255"/>
      <c r="F125" s="255"/>
      <c r="G125" s="255"/>
      <c r="H125" s="255"/>
      <c r="I125" s="255"/>
      <c r="J125" s="255"/>
      <c r="K125" s="255"/>
      <c r="L125" s="255"/>
    </row>
    <row r="126" spans="1:12" ht="12.75" x14ac:dyDescent="0.2">
      <c r="A126" s="1045"/>
      <c r="B126" s="255"/>
      <c r="C126" s="255"/>
      <c r="D126" s="255"/>
      <c r="E126" s="255"/>
      <c r="F126" s="255"/>
      <c r="G126" s="255"/>
      <c r="H126" s="255"/>
      <c r="I126" s="255"/>
      <c r="J126" s="255"/>
      <c r="K126" s="255"/>
      <c r="L126" s="255"/>
    </row>
    <row r="127" spans="1:12" ht="19.899999999999999" customHeight="1" x14ac:dyDescent="0.2">
      <c r="A127" s="1045"/>
      <c r="B127" s="255"/>
      <c r="C127" s="255"/>
      <c r="D127" s="255"/>
      <c r="E127" s="255"/>
      <c r="F127" s="255"/>
      <c r="G127" s="255"/>
      <c r="H127" s="255"/>
      <c r="I127" s="255"/>
      <c r="J127" s="255"/>
      <c r="K127" s="255"/>
      <c r="L127" s="882" t="str">
        <f>ListAVS!$B$168</f>
        <v>Z powrotem</v>
      </c>
    </row>
    <row r="128" spans="1:12" ht="12.75" x14ac:dyDescent="0.2">
      <c r="A128" s="1045"/>
      <c r="B128" s="255"/>
      <c r="C128" s="255"/>
      <c r="D128" s="255"/>
      <c r="E128" s="255"/>
      <c r="F128" s="255"/>
      <c r="G128" s="255"/>
      <c r="H128" s="255"/>
      <c r="I128" s="255"/>
      <c r="J128" s="255"/>
      <c r="K128" s="255"/>
      <c r="L128" s="255"/>
    </row>
    <row r="129" spans="1:12" ht="12.75" x14ac:dyDescent="0.2">
      <c r="A129" s="1045"/>
      <c r="B129" s="255"/>
      <c r="C129" s="255"/>
      <c r="D129" s="255"/>
      <c r="E129" s="255"/>
      <c r="F129" s="255"/>
      <c r="G129" s="255"/>
      <c r="H129" s="255"/>
      <c r="I129" s="255"/>
      <c r="J129" s="255"/>
      <c r="K129" s="255"/>
      <c r="L129" s="255"/>
    </row>
    <row r="130" spans="1:12" x14ac:dyDescent="0.2">
      <c r="A130" s="1045"/>
    </row>
    <row r="131" spans="1:12" x14ac:dyDescent="0.2">
      <c r="A131" s="1045"/>
    </row>
    <row r="132" spans="1:12" x14ac:dyDescent="0.2">
      <c r="A132" s="1045"/>
    </row>
    <row r="133" spans="1:12" x14ac:dyDescent="0.2">
      <c r="A133" s="1045"/>
    </row>
    <row r="134" spans="1:12" x14ac:dyDescent="0.2">
      <c r="A134" s="1045"/>
    </row>
    <row r="135" spans="1:12" x14ac:dyDescent="0.2">
      <c r="A135" s="1045"/>
    </row>
    <row r="136" spans="1:12" x14ac:dyDescent="0.2">
      <c r="A136" s="1045"/>
    </row>
    <row r="137" spans="1:12" x14ac:dyDescent="0.2">
      <c r="A137" s="1045"/>
    </row>
    <row r="138" spans="1:12" x14ac:dyDescent="0.2">
      <c r="A138" s="1045"/>
    </row>
    <row r="139" spans="1:12" x14ac:dyDescent="0.2">
      <c r="A139" s="1045"/>
    </row>
    <row r="140" spans="1:12" x14ac:dyDescent="0.2">
      <c r="A140" s="1045"/>
    </row>
  </sheetData>
  <sheetProtection algorithmName="SHA-512" hashValue="80NWcGkAbHheZ0rbf5jb7UZ8BsQ55pd/NI907Q0Y1KJL0Mv/zK3UGyiveiFl4aB6H5L9hbsBY1bcRmBFbAqBJQ==" saltValue="Q6YMd+ehbt9UVlKKHF83+w==" spinCount="100000" sheet="1" objects="1" scenarios="1"/>
  <mergeCells count="61">
    <mergeCell ref="AQ1:AY1"/>
    <mergeCell ref="B2:D2"/>
    <mergeCell ref="AS8:AS9"/>
    <mergeCell ref="B9:C9"/>
    <mergeCell ref="F9:H9"/>
    <mergeCell ref="R9:S9"/>
    <mergeCell ref="V9:W9"/>
    <mergeCell ref="K4:L5"/>
    <mergeCell ref="F5:J5"/>
    <mergeCell ref="B7:C7"/>
    <mergeCell ref="G7:H7"/>
    <mergeCell ref="AQ8:AR9"/>
    <mergeCell ref="V10:W10"/>
    <mergeCell ref="AQ10:AR10"/>
    <mergeCell ref="B11:G11"/>
    <mergeCell ref="AQ11:AR11"/>
    <mergeCell ref="B13:C15"/>
    <mergeCell ref="D13:G13"/>
    <mergeCell ref="AQ13:AR13"/>
    <mergeCell ref="D14:G14"/>
    <mergeCell ref="D15:G15"/>
    <mergeCell ref="AQ15:AU16"/>
    <mergeCell ref="B16:C16"/>
    <mergeCell ref="D16:G16"/>
    <mergeCell ref="B12:G12"/>
    <mergeCell ref="AQ12:AR12"/>
    <mergeCell ref="B10:G10"/>
    <mergeCell ref="B17:G17"/>
    <mergeCell ref="AQ17:AU18"/>
    <mergeCell ref="B20:C20"/>
    <mergeCell ref="F20:H20"/>
    <mergeCell ref="R20:S20"/>
    <mergeCell ref="V20:W20"/>
    <mergeCell ref="B21:G21"/>
    <mergeCell ref="V21:W21"/>
    <mergeCell ref="B22:G22"/>
    <mergeCell ref="B23:G23"/>
    <mergeCell ref="B24:C26"/>
    <mergeCell ref="D24:G24"/>
    <mergeCell ref="D25:G25"/>
    <mergeCell ref="D26:G26"/>
    <mergeCell ref="N78:S78"/>
    <mergeCell ref="B27:C27"/>
    <mergeCell ref="D27:G27"/>
    <mergeCell ref="B28:G28"/>
    <mergeCell ref="T30:U30"/>
    <mergeCell ref="C43:K45"/>
    <mergeCell ref="P71:T71"/>
    <mergeCell ref="R75:T75"/>
    <mergeCell ref="N76:S76"/>
    <mergeCell ref="N77:S77"/>
    <mergeCell ref="N90:S90"/>
    <mergeCell ref="N91:S91"/>
    <mergeCell ref="A99:A140"/>
    <mergeCell ref="E106:L106"/>
    <mergeCell ref="N79:S79"/>
    <mergeCell ref="N80:S80"/>
    <mergeCell ref="R86:T86"/>
    <mergeCell ref="N87:S87"/>
    <mergeCell ref="N88:S88"/>
    <mergeCell ref="N89:S89"/>
  </mergeCells>
  <conditionalFormatting sqref="B16:C16">
    <cfRule type="expression" dxfId="54" priority="4" stopIfTrue="1">
      <formula>$V$10=TRUE</formula>
    </cfRule>
  </conditionalFormatting>
  <conditionalFormatting sqref="B27:C27">
    <cfRule type="expression" dxfId="53" priority="5" stopIfTrue="1">
      <formula>$V$21=TRUE</formula>
    </cfRule>
  </conditionalFormatting>
  <conditionalFormatting sqref="I23">
    <cfRule type="containsText" dxfId="52" priority="3" operator="containsText" text="Doplňte">
      <formula>NOT(ISERROR(SEARCH("Doplňte",I23)))</formula>
    </cfRule>
  </conditionalFormatting>
  <conditionalFormatting sqref="I26">
    <cfRule type="containsText" dxfId="51" priority="2" operator="containsText" text="Doplňte">
      <formula>NOT(ISERROR(SEARCH("Doplňte",I26)))</formula>
    </cfRule>
  </conditionalFormatting>
  <conditionalFormatting sqref="E9">
    <cfRule type="expression" dxfId="50" priority="6">
      <formula>$M$17&gt;0</formula>
    </cfRule>
  </conditionalFormatting>
  <conditionalFormatting sqref="I12 I15">
    <cfRule type="expression" dxfId="49" priority="7">
      <formula>$M$17=0</formula>
    </cfRule>
    <cfRule type="containsText" dxfId="48" priority="8" operator="containsText" text="Doplňte">
      <formula>NOT(ISERROR(SEARCH("Doplňte",I12)))</formula>
    </cfRule>
  </conditionalFormatting>
  <conditionalFormatting sqref="I23 I26">
    <cfRule type="expression" dxfId="47" priority="9">
      <formula>$M$28=0</formula>
    </cfRule>
  </conditionalFormatting>
  <conditionalFormatting sqref="E20">
    <cfRule type="expression" dxfId="46" priority="1">
      <formula>$M$28&gt;0</formula>
    </cfRule>
  </conditionalFormatting>
  <hyperlinks>
    <hyperlink ref="N76:S76" location="HKw!H10" tooltip=" " display="HKw!H10" xr:uid="{F067601D-0C4E-416A-8816-91811AF33D8A}"/>
    <hyperlink ref="N77:S77" location="HKw!H11" tooltip=" " display="HKw!H11" xr:uid="{5D1D8631-8845-4D55-A0FC-1AC1FB5C088D}"/>
    <hyperlink ref="N87:S87" location="HKw!H19" tooltip=" " display="HKw!H19" xr:uid="{A2E4C3CD-0DA4-45F2-98BB-D4330BB0BE4C}"/>
    <hyperlink ref="N88:S88" location="HKw!H20" tooltip=" " display="HKw!H20" xr:uid="{BCCD11CC-58A8-4B36-88ED-F0DB57EB10AE}"/>
    <hyperlink ref="AN5" location="HKw!A100" tooltip=" " display="HKw!A100" xr:uid="{A41C27BB-C387-401D-8664-33FF04ED8722}"/>
    <hyperlink ref="L127" location="HKiwa!A1" tooltip=" " display="HKiwa!A1" xr:uid="{41308AA2-12BA-412D-87D1-5F91678D995A}"/>
    <hyperlink ref="AN9" location="SumAVS!A1" tooltip=" " display="SumAVS!A1" xr:uid="{322F0ADA-3011-4D33-9D48-A0C75CFE42D8}"/>
    <hyperlink ref="AN10" location="OrdAVS!A1" tooltip=" " display="OrdAVS!A1" xr:uid="{79014A78-243E-4124-9BA5-8DF306EC7587}"/>
    <hyperlink ref="AN7" location="AcsAVS!A1" tooltip=" " display="AcsAVS!A1" xr:uid="{0F63C871-D0EF-4C2E-A415-45B805E813BB}"/>
    <hyperlink ref="AN4" location="MenuAVS!A1" tooltip=" " display="MenuAVS!A1" xr:uid="{8F65BCFB-5FCB-49CD-A443-F68F25C1CE77}"/>
    <hyperlink ref="B2:C2" location="HK!A1" tooltip=" " display="AVENTOS HK top" xr:uid="{C93818FB-296D-4369-BF87-0FE4927DFA70}"/>
    <hyperlink ref="B2:L2" location="HKi!A1" tooltip=" " display="AVENTOS HKi" xr:uid="{DC619D20-7C2D-4E77-8DE5-AD18017D5B51}"/>
  </hyperlinks>
  <pageMargins left="0.62992125984251968" right="0.23622047244094488" top="0.74803149606299213" bottom="0.74803149606299213" header="0.31496062992125984" footer="0.31496062992125984"/>
  <pageSetup paperSize="9" orientation="portrait" horizontalDpi="4294967293"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1729" r:id="rId4" name="Drop Down 1">
              <controlPr defaultSize="0" autoLine="0" autoPict="0">
                <anchor moveWithCells="1">
                  <from>
                    <xdr:col>3</xdr:col>
                    <xdr:colOff>19050</xdr:colOff>
                    <xdr:row>6</xdr:row>
                    <xdr:rowOff>9525</xdr:rowOff>
                  </from>
                  <to>
                    <xdr:col>5</xdr:col>
                    <xdr:colOff>571500</xdr:colOff>
                    <xdr:row>7</xdr:row>
                    <xdr:rowOff>0</xdr:rowOff>
                  </to>
                </anchor>
              </controlPr>
            </control>
          </mc:Choice>
        </mc:AlternateContent>
        <mc:AlternateContent xmlns:mc="http://schemas.openxmlformats.org/markup-compatibility/2006">
          <mc:Choice Requires="x14">
            <control shapeId="201732" r:id="rId5" name="Drop Down 4">
              <controlPr defaultSize="0" autoLine="0" autoPict="0">
                <anchor moveWithCells="1">
                  <from>
                    <xdr:col>1</xdr:col>
                    <xdr:colOff>0</xdr:colOff>
                    <xdr:row>9</xdr:row>
                    <xdr:rowOff>0</xdr:rowOff>
                  </from>
                  <to>
                    <xdr:col>2</xdr:col>
                    <xdr:colOff>571500</xdr:colOff>
                    <xdr:row>10</xdr:row>
                    <xdr:rowOff>0</xdr:rowOff>
                  </to>
                </anchor>
              </controlPr>
            </control>
          </mc:Choice>
        </mc:AlternateContent>
        <mc:AlternateContent xmlns:mc="http://schemas.openxmlformats.org/markup-compatibility/2006">
          <mc:Choice Requires="x14">
            <control shapeId="201733" r:id="rId6" name="Drop Down 5">
              <controlPr defaultSize="0" autoLine="0" autoPict="0">
                <anchor moveWithCells="1">
                  <from>
                    <xdr:col>1</xdr:col>
                    <xdr:colOff>0</xdr:colOff>
                    <xdr:row>20</xdr:row>
                    <xdr:rowOff>0</xdr:rowOff>
                  </from>
                  <to>
                    <xdr:col>2</xdr:col>
                    <xdr:colOff>571500</xdr:colOff>
                    <xdr:row>21</xdr:row>
                    <xdr:rowOff>0</xdr:rowOff>
                  </to>
                </anchor>
              </controlPr>
            </control>
          </mc:Choice>
        </mc:AlternateContent>
        <mc:AlternateContent xmlns:mc="http://schemas.openxmlformats.org/markup-compatibility/2006">
          <mc:Choice Requires="x14">
            <control shapeId="201734" r:id="rId7" name="Drop Down 6">
              <controlPr defaultSize="0" autoLine="0" autoPict="0">
                <anchor moveWithCells="1">
                  <from>
                    <xdr:col>6</xdr:col>
                    <xdr:colOff>9525</xdr:colOff>
                    <xdr:row>3</xdr:row>
                    <xdr:rowOff>0</xdr:rowOff>
                  </from>
                  <to>
                    <xdr:col>9</xdr:col>
                    <xdr:colOff>0</xdr:colOff>
                    <xdr:row>4</xdr:row>
                    <xdr:rowOff>0</xdr:rowOff>
                  </to>
                </anchor>
              </controlPr>
            </control>
          </mc:Choice>
        </mc:AlternateContent>
        <mc:AlternateContent xmlns:mc="http://schemas.openxmlformats.org/markup-compatibility/2006">
          <mc:Choice Requires="x14">
            <control shapeId="201735" r:id="rId8" name="Option Button 7">
              <controlPr defaultSize="0" autoFill="0" autoLine="0" autoPict="0">
                <anchor moveWithCells="1">
                  <from>
                    <xdr:col>1</xdr:col>
                    <xdr:colOff>400050</xdr:colOff>
                    <xdr:row>5</xdr:row>
                    <xdr:rowOff>9525</xdr:rowOff>
                  </from>
                  <to>
                    <xdr:col>2</xdr:col>
                    <xdr:colOff>85725</xdr:colOff>
                    <xdr:row>5</xdr:row>
                    <xdr:rowOff>219075</xdr:rowOff>
                  </to>
                </anchor>
              </controlPr>
            </control>
          </mc:Choice>
        </mc:AlternateContent>
        <mc:AlternateContent xmlns:mc="http://schemas.openxmlformats.org/markup-compatibility/2006">
          <mc:Choice Requires="x14">
            <control shapeId="201736" r:id="rId9" name="Option Button 8">
              <controlPr defaultSize="0" autoFill="0" autoLine="0" autoPict="0">
                <anchor moveWithCells="1">
                  <from>
                    <xdr:col>3</xdr:col>
                    <xdr:colOff>390525</xdr:colOff>
                    <xdr:row>5</xdr:row>
                    <xdr:rowOff>19050</xdr:rowOff>
                  </from>
                  <to>
                    <xdr:col>4</xdr:col>
                    <xdr:colOff>66675</xdr:colOff>
                    <xdr:row>5</xdr:row>
                    <xdr:rowOff>247650</xdr:rowOff>
                  </to>
                </anchor>
              </controlPr>
            </control>
          </mc:Choice>
        </mc:AlternateContent>
      </controls>
    </mc:Choice>
  </mc:AlternateContent>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8820D-7E14-4DD9-AC6B-79E859A43BA3}">
  <sheetPr codeName="Sheet58">
    <tabColor rgb="FF7030A0"/>
  </sheetPr>
  <dimension ref="A1:AY140"/>
  <sheetViews>
    <sheetView showGridLines="0" showRowColHeaders="0" workbookViewId="0"/>
  </sheetViews>
  <sheetFormatPr defaultColWidth="8.28515625" defaultRowHeight="12" x14ac:dyDescent="0.2"/>
  <cols>
    <col min="1" max="1" width="1.28515625" style="37" customWidth="1"/>
    <col min="2" max="9" width="8.5703125" style="37" customWidth="1"/>
    <col min="10" max="10" width="6.7109375" style="37" customWidth="1"/>
    <col min="11" max="11" width="10.42578125" style="37" customWidth="1"/>
    <col min="12" max="12" width="17.28515625" style="37" customWidth="1"/>
    <col min="13" max="14" width="6.42578125" style="37" hidden="1" customWidth="1"/>
    <col min="15" max="15" width="6.42578125" style="118" hidden="1" customWidth="1"/>
    <col min="16" max="16" width="6.42578125" style="37" hidden="1" customWidth="1"/>
    <col min="17" max="17" width="6" style="118" hidden="1" customWidth="1"/>
    <col min="18" max="18" width="6.42578125" style="37" hidden="1" customWidth="1"/>
    <col min="19" max="19" width="7.7109375" style="37" hidden="1" customWidth="1"/>
    <col min="20" max="20" width="9.5703125" style="37" hidden="1" customWidth="1"/>
    <col min="21" max="24" width="6.42578125" style="37" hidden="1" customWidth="1"/>
    <col min="25" max="25" width="37.28515625" style="37" hidden="1" customWidth="1"/>
    <col min="26" max="26" width="13.5703125" style="37" hidden="1" customWidth="1"/>
    <col min="27" max="29" width="6.7109375" style="37" hidden="1" customWidth="1"/>
    <col min="30" max="30" width="9.42578125" style="37" hidden="1" customWidth="1"/>
    <col min="31" max="34" width="6.7109375" style="37" hidden="1" customWidth="1"/>
    <col min="35" max="37" width="6.42578125" style="37" hidden="1" customWidth="1"/>
    <col min="38" max="38" width="3.28515625" style="108" hidden="1" customWidth="1"/>
    <col min="39" max="39" width="5.28515625" style="108" customWidth="1"/>
    <col min="40" max="40" width="23.42578125" style="108" customWidth="1"/>
    <col min="41" max="42" width="8.28515625" style="137"/>
    <col min="43" max="44" width="16.28515625" style="137" customWidth="1"/>
    <col min="45" max="45" width="20.5703125" style="137" customWidth="1"/>
    <col min="46" max="16384" width="8.28515625" style="137"/>
  </cols>
  <sheetData>
    <row r="1" spans="2:51" ht="4.5" customHeight="1" thickBot="1" x14ac:dyDescent="0.25">
      <c r="L1" s="137"/>
      <c r="AQ1" s="1121"/>
      <c r="AR1" s="1121"/>
      <c r="AS1" s="1121"/>
      <c r="AT1" s="1121"/>
      <c r="AU1" s="1121"/>
      <c r="AV1" s="1121"/>
      <c r="AW1" s="1121"/>
      <c r="AX1" s="1121"/>
      <c r="AY1" s="1121"/>
    </row>
    <row r="2" spans="2:51" s="108" customFormat="1" ht="19.5" customHeight="1" thickBot="1" x14ac:dyDescent="0.25">
      <c r="B2" s="1048" t="s">
        <v>638</v>
      </c>
      <c r="C2" s="1048"/>
      <c r="D2" s="1048"/>
      <c r="E2" s="886"/>
      <c r="F2" s="886"/>
      <c r="G2" s="886"/>
      <c r="H2" s="886"/>
      <c r="I2" s="886"/>
      <c r="J2" s="886"/>
      <c r="K2" s="886"/>
      <c r="L2" s="886"/>
      <c r="O2" s="108" t="s">
        <v>64</v>
      </c>
      <c r="S2" s="117">
        <v>3</v>
      </c>
      <c r="AN2" s="379" t="str">
        <f>ListAVS!$B$153</f>
        <v>Przejdź do</v>
      </c>
    </row>
    <row r="3" spans="2:51" ht="3.75" customHeight="1" x14ac:dyDescent="0.2">
      <c r="B3" s="312"/>
      <c r="C3" s="306"/>
      <c r="D3" s="306"/>
      <c r="E3" s="306"/>
      <c r="F3" s="306"/>
      <c r="G3" s="306"/>
      <c r="H3" s="306"/>
      <c r="I3" s="306"/>
      <c r="J3" s="306"/>
      <c r="K3" s="306"/>
      <c r="L3" s="137"/>
      <c r="AL3" s="137"/>
    </row>
    <row r="4" spans="2:51" ht="16.149999999999999" customHeight="1" thickBot="1" x14ac:dyDescent="0.25">
      <c r="B4" s="313" t="str">
        <f>ListAVS!$B$22&amp;" ***"</f>
        <v>Wąska ramka aluminiowa ***</v>
      </c>
      <c r="C4" s="313"/>
      <c r="D4" s="266"/>
      <c r="E4" s="313"/>
      <c r="F4" s="269" t="str">
        <f>ListAVS!$B$180&amp;"  "</f>
        <v xml:space="preserve">Wykonanie frontów  </v>
      </c>
      <c r="G4" s="255"/>
      <c r="H4" s="255"/>
      <c r="I4" s="255"/>
      <c r="J4" s="260"/>
      <c r="K4" s="1047" t="str">
        <f>IF($Z$77=3,IF(J4=0,$Y$72," "),IF(J4&gt;0,$Y$73," "))</f>
        <v xml:space="preserve"> </v>
      </c>
      <c r="L4" s="1047"/>
      <c r="O4" s="117">
        <v>1</v>
      </c>
      <c r="S4" s="37" t="str">
        <f>" "&amp;ListAVS!$B$41&amp;" A "</f>
        <v xml:space="preserve"> Cena za korpus A </v>
      </c>
      <c r="AL4" s="137"/>
      <c r="AN4" s="383" t="s">
        <v>77</v>
      </c>
    </row>
    <row r="5" spans="2:51" ht="16.149999999999999" customHeight="1" x14ac:dyDescent="0.2">
      <c r="B5" s="266"/>
      <c r="C5" s="313"/>
      <c r="D5" s="313"/>
      <c r="E5" s="313"/>
      <c r="F5" s="1016" t="str">
        <f>IF($Z$77&lt;&gt;3,$Y$71," ")&amp;"      "</f>
        <v xml:space="preserve"> Możesz zmienić wartości we Wstępie do planowania      </v>
      </c>
      <c r="G5" s="1016"/>
      <c r="H5" s="1016"/>
      <c r="I5" s="1016"/>
      <c r="J5" s="1016"/>
      <c r="K5" s="1047"/>
      <c r="L5" s="1047"/>
      <c r="O5" s="118" t="s">
        <v>65</v>
      </c>
      <c r="S5" s="37" t="str">
        <f>" "&amp;ListAVS!$B$41&amp;" B "</f>
        <v xml:space="preserve"> Cena za korpus B </v>
      </c>
      <c r="AL5" s="137"/>
      <c r="AN5" s="634" t="str">
        <f>" "&amp;ListAVS!$B$155</f>
        <v xml:space="preserve"> Pomoc</v>
      </c>
    </row>
    <row r="6" spans="2:51" ht="22.5" customHeight="1" x14ac:dyDescent="0.2">
      <c r="B6" s="313"/>
      <c r="C6" s="313"/>
      <c r="D6" s="313"/>
      <c r="E6" s="313"/>
      <c r="F6" s="266"/>
      <c r="G6" s="434"/>
      <c r="H6" s="434"/>
      <c r="I6" s="313"/>
      <c r="J6" s="313"/>
      <c r="K6" s="313"/>
      <c r="L6" s="887"/>
      <c r="O6" s="323" t="s">
        <v>66</v>
      </c>
      <c r="S6" s="37" t="str">
        <f>" "&amp;ListAVS!$B$61</f>
        <v xml:space="preserve"> Cena całkowita bez VAT</v>
      </c>
      <c r="AL6" s="137"/>
      <c r="AN6" s="736"/>
    </row>
    <row r="7" spans="2:51" ht="16.149999999999999" customHeight="1" x14ac:dyDescent="0.2">
      <c r="B7" s="1059" t="str">
        <f>ListAVS!$B$51&amp;":   "</f>
        <v xml:space="preserve">Cena okucia:   </v>
      </c>
      <c r="C7" s="1060"/>
      <c r="D7" s="255"/>
      <c r="E7" s="266"/>
      <c r="F7" s="266"/>
      <c r="G7" s="1061">
        <f>IF(S2=1,$AF$48,IF($S$2=2,$AH$48,IF($S$2=3,$AD$48,0)))</f>
        <v>0</v>
      </c>
      <c r="H7" s="1062"/>
      <c r="I7" s="255"/>
      <c r="J7" s="255"/>
      <c r="K7" s="255"/>
      <c r="L7" s="274" t="str">
        <f>IF($R$44=1, ListAVS!$B$429, ListAVS!$B$430)</f>
        <v xml:space="preserve">w pełni zintegrowany </v>
      </c>
      <c r="Y7" s="156" t="str">
        <f>$B$2</f>
        <v>AVENTOS HKi</v>
      </c>
      <c r="Z7" s="157" t="str">
        <f>B4</f>
        <v>Wąska ramka aluminiowa ***</v>
      </c>
      <c r="AA7" s="157"/>
      <c r="AB7" s="157"/>
      <c r="AC7" s="157"/>
      <c r="AD7" s="158"/>
      <c r="AG7" s="118"/>
      <c r="AN7" s="675" t="str">
        <f>" "&amp;ListAVS!$B$160</f>
        <v xml:space="preserve"> Dodatki</v>
      </c>
    </row>
    <row r="8" spans="2:51" ht="25.15" customHeight="1" thickBot="1" x14ac:dyDescent="0.25">
      <c r="B8" s="255"/>
      <c r="C8" s="255"/>
      <c r="D8" s="255"/>
      <c r="E8" s="255"/>
      <c r="F8" s="255"/>
      <c r="G8" s="255"/>
      <c r="H8" s="579" t="str">
        <f>IF(AND(OR($U$16=2, $U$27=2), $AD$48&gt;0), $N$34, " ")</f>
        <v xml:space="preserve"> </v>
      </c>
      <c r="I8" s="255"/>
      <c r="J8" s="255"/>
      <c r="K8" s="255"/>
      <c r="L8" s="255"/>
      <c r="Y8" s="159" t="str">
        <f>ListAVS!B52</f>
        <v>Nazwa</v>
      </c>
      <c r="Z8" s="160" t="str">
        <f>ListAVS!$B$53</f>
        <v>Kod asortymentu</v>
      </c>
      <c r="AA8" s="161" t="str">
        <f>ListAVS!B54</f>
        <v>Kolor</v>
      </c>
      <c r="AB8" s="161" t="str">
        <f>ListAVS!B56</f>
        <v>Sztuka</v>
      </c>
      <c r="AC8" s="162" t="str">
        <f>ListAVS!B58</f>
        <v>Cena za sztukę</v>
      </c>
      <c r="AD8" s="161" t="str">
        <f>ListAVS!B59</f>
        <v>W sumie</v>
      </c>
      <c r="AE8" s="204" t="s">
        <v>29</v>
      </c>
      <c r="AF8" s="163" t="s">
        <v>30</v>
      </c>
      <c r="AG8" s="163" t="s">
        <v>31</v>
      </c>
      <c r="AH8" s="163" t="s">
        <v>30</v>
      </c>
      <c r="AN8" s="671"/>
      <c r="AQ8" s="1232" t="str">
        <f>"  "&amp;ListAVS!$B$86&amp;" LF "</f>
        <v xml:space="preserve">  Współczynnik mocy LF </v>
      </c>
      <c r="AR8" s="1233"/>
      <c r="AS8" s="1231" t="str">
        <f>ListAVS!$B$84</f>
        <v>Mechanizm podnoszący</v>
      </c>
      <c r="AT8" s="266"/>
      <c r="AU8" s="266"/>
    </row>
    <row r="9" spans="2:51" ht="16.149999999999999" customHeight="1" thickBot="1" x14ac:dyDescent="0.25">
      <c r="B9" s="1051" t="str">
        <f>"▼ "&amp;ListAVS!$B$318</f>
        <v>▼ Sposób otwierania</v>
      </c>
      <c r="C9" s="1052"/>
      <c r="D9" s="406" t="str">
        <f>IF($M$17&gt;0, ListAVS!$B$37&amp;": ", " ")</f>
        <v xml:space="preserve"> </v>
      </c>
      <c r="E9" s="688" t="str">
        <f>IF($AE$9&gt;0,"23",IF($AE$10&gt;0,"25",IF($AE$11&gt;0,"27",IF($AE$12&gt;0,"28",IF($AE$14&gt;0,"23T",IF($AE$15&gt;0,"25T",IF($AE$16&gt;0,"27T",IF($AE$17&gt;0,"28T"," "))))))))</f>
        <v xml:space="preserve"> </v>
      </c>
      <c r="F9" s="1056" t="str">
        <f>ListAVS!$B$64&amp;" A"</f>
        <v>Korpus A</v>
      </c>
      <c r="G9" s="1057"/>
      <c r="H9" s="1058"/>
      <c r="I9" s="273"/>
      <c r="J9" s="255"/>
      <c r="K9" s="255"/>
      <c r="L9" s="255"/>
      <c r="N9" s="119"/>
      <c r="O9" s="132"/>
      <c r="P9" s="119"/>
      <c r="Q9" s="132"/>
      <c r="R9" s="1181" t="s">
        <v>89</v>
      </c>
      <c r="S9" s="1182"/>
      <c r="T9" s="747">
        <v>2000</v>
      </c>
      <c r="U9" s="748">
        <f>T9-1</f>
        <v>1999</v>
      </c>
      <c r="V9" s="1181" t="s">
        <v>90</v>
      </c>
      <c r="W9" s="1182"/>
      <c r="X9" s="749"/>
      <c r="Y9" s="164" t="str">
        <f>CenAVS!A125</f>
        <v xml:space="preserve">Aventos HKi słaby Blumotion Onyx      </v>
      </c>
      <c r="Z9" s="164" t="str">
        <f>CenAVS!B125</f>
        <v>24K2300</v>
      </c>
      <c r="AA9" s="301" t="str">
        <f>CenAVS!C125</f>
        <v>OS</v>
      </c>
      <c r="AB9" s="165">
        <f t="shared" ref="AB9:AB43" si="0">SUM(AE9,AG9)</f>
        <v>0</v>
      </c>
      <c r="AC9" s="395">
        <f>CenAVS!F125</f>
        <v>879.54648999999995</v>
      </c>
      <c r="AD9" s="167">
        <f>AB9*AC9</f>
        <v>0</v>
      </c>
      <c r="AE9" s="407">
        <f>IF($U$16=1, ROUNDUP(SUM(O11:P11)*$M$17,0),0)</f>
        <v>0</v>
      </c>
      <c r="AF9" s="168">
        <f t="shared" ref="AF9:AF43" si="1">$AC9*AE9</f>
        <v>0</v>
      </c>
      <c r="AG9" s="407">
        <f>IF($U$27=1, ROUNDUP(SUM(O22:P22)*$M$28,0),0)</f>
        <v>0</v>
      </c>
      <c r="AH9" s="168">
        <f t="shared" ref="AH9:AH43" si="2">$AC9*AG9</f>
        <v>0</v>
      </c>
      <c r="AI9" s="749"/>
      <c r="AJ9" s="749"/>
      <c r="AK9" s="749"/>
      <c r="AN9" s="383" t="str">
        <f>" "&amp;ListAVS!$B$157</f>
        <v xml:space="preserve"> Rodzaje korpusów</v>
      </c>
      <c r="AQ9" s="1234"/>
      <c r="AR9" s="1235"/>
      <c r="AS9" s="1231"/>
      <c r="AT9" s="266"/>
      <c r="AU9" s="266"/>
    </row>
    <row r="10" spans="2:51" s="37" customFormat="1" ht="16.149999999999999" customHeight="1" thickBot="1" x14ac:dyDescent="0.25">
      <c r="B10" s="1011" t="str">
        <f>ListAVS!$B$74&amp;" KB [mm] "</f>
        <v xml:space="preserve">Szerokość korpusu KB [mm] </v>
      </c>
      <c r="C10" s="1012"/>
      <c r="D10" s="1012"/>
      <c r="E10" s="1012"/>
      <c r="F10" s="1012"/>
      <c r="G10" s="1013"/>
      <c r="H10" s="435"/>
      <c r="I10" s="256" t="str">
        <f>IF($H10=0," ",IF($H10&lt;220," min. 220mm"," "))&amp;IF(H17&gt;0,IF(H10=0,"● "&amp;ListAVS!$B$129," ")," ")</f>
        <v xml:space="preserve">  </v>
      </c>
      <c r="J10" s="255"/>
      <c r="K10" s="255"/>
      <c r="L10" s="255"/>
      <c r="N10" s="198" t="s">
        <v>32</v>
      </c>
      <c r="O10" s="199" t="s">
        <v>91</v>
      </c>
      <c r="P10" s="200" t="s">
        <v>92</v>
      </c>
      <c r="Q10" s="119"/>
      <c r="R10" s="750" t="s">
        <v>93</v>
      </c>
      <c r="S10" s="750" t="s">
        <v>76</v>
      </c>
      <c r="T10" s="751" t="s">
        <v>94</v>
      </c>
      <c r="U10" s="751" t="s">
        <v>95</v>
      </c>
      <c r="V10" s="1183" t="b">
        <v>0</v>
      </c>
      <c r="W10" s="1184"/>
      <c r="X10" s="444"/>
      <c r="Y10" s="164" t="str">
        <f>CenAVS!A126</f>
        <v xml:space="preserve">Aventos HKi średni Blumotion Onyx      </v>
      </c>
      <c r="Z10" s="164" t="str">
        <f>CenAVS!B126</f>
        <v>24K2500</v>
      </c>
      <c r="AA10" s="301" t="str">
        <f>CenAVS!C126</f>
        <v>OS</v>
      </c>
      <c r="AB10" s="165">
        <f t="shared" si="0"/>
        <v>0</v>
      </c>
      <c r="AC10" s="395">
        <f>CenAVS!F126</f>
        <v>879.54648999999995</v>
      </c>
      <c r="AD10" s="167">
        <f t="shared" ref="AD10:AD43" si="3">AB10*AC10</f>
        <v>0</v>
      </c>
      <c r="AE10" s="407">
        <f>IF($U$16=1, ROUNDUP(SUM(O12:P12)*$M$17,0),0)</f>
        <v>0</v>
      </c>
      <c r="AF10" s="168">
        <f t="shared" si="1"/>
        <v>0</v>
      </c>
      <c r="AG10" s="407">
        <f>IF($U$27=1, ROUNDUP(SUM(O23:P23)*$M$28,0),0)</f>
        <v>0</v>
      </c>
      <c r="AH10" s="168">
        <f t="shared" si="2"/>
        <v>0</v>
      </c>
      <c r="AI10" s="444"/>
      <c r="AJ10" s="444"/>
      <c r="AK10" s="444"/>
      <c r="AL10" s="108"/>
      <c r="AM10" s="108"/>
      <c r="AN10" s="383" t="str">
        <f>" "&amp;ListAVS!$B$158</f>
        <v xml:space="preserve"> Zamówienie</v>
      </c>
      <c r="AO10" s="137"/>
      <c r="AP10" s="137"/>
      <c r="AQ10" s="1229" t="s">
        <v>96</v>
      </c>
      <c r="AR10" s="1230"/>
      <c r="AS10" s="743" t="s">
        <v>641</v>
      </c>
      <c r="AT10" s="255"/>
      <c r="AU10" s="255"/>
    </row>
    <row r="11" spans="2:51" s="37" customFormat="1" ht="16.149999999999999" customHeight="1" x14ac:dyDescent="0.2">
      <c r="B11" s="1011" t="str">
        <f>ListAVS!$B$75&amp;" KH [mm]  "</f>
        <v xml:space="preserve">Wysokość korpusu KH [mm]  </v>
      </c>
      <c r="C11" s="1012"/>
      <c r="D11" s="1012"/>
      <c r="E11" s="1012"/>
      <c r="F11" s="1012"/>
      <c r="G11" s="1013"/>
      <c r="H11" s="435"/>
      <c r="I11" s="256" t="str">
        <f>IF($H11=0," ",IF($H11&lt;170," min. 170mm",IF($H11&gt;600," max. 600 mm!"," ")))&amp;IF(H17&gt;0,IF(H11=0,"● "&amp;ListAVS!$B$129," ")," ")</f>
        <v xml:space="preserve">  </v>
      </c>
      <c r="J11" s="255"/>
      <c r="K11" s="255"/>
      <c r="L11" s="255"/>
      <c r="N11" s="119" t="s">
        <v>97</v>
      </c>
      <c r="O11" s="132">
        <f>IF($V$10=FALSE,IF($H$16&gt;R11,IF($H$16&lt;S11,1,0),0),0)</f>
        <v>0</v>
      </c>
      <c r="P11" s="132">
        <f>IF($V$10=TRUE,IF($H$16&gt;V11,IF($H$16&lt;W11,1.5,0),0),0)</f>
        <v>0</v>
      </c>
      <c r="Q11" s="119"/>
      <c r="R11" s="877">
        <v>420</v>
      </c>
      <c r="S11" s="877">
        <v>1160</v>
      </c>
      <c r="T11" s="752"/>
      <c r="U11" s="119"/>
      <c r="V11" s="718">
        <f>R11*1.5</f>
        <v>630</v>
      </c>
      <c r="W11" s="718">
        <f>S11*1.5</f>
        <v>1740</v>
      </c>
      <c r="X11" s="718"/>
      <c r="Y11" s="164" t="str">
        <f>CenAVS!A127</f>
        <v xml:space="preserve">Aventos HKi mocny Blumotion Onyx      </v>
      </c>
      <c r="Z11" s="164" t="str">
        <f>CenAVS!B127</f>
        <v>24K2700</v>
      </c>
      <c r="AA11" s="301" t="str">
        <f>CenAVS!C127</f>
        <v>OS</v>
      </c>
      <c r="AB11" s="165">
        <f t="shared" si="0"/>
        <v>0</v>
      </c>
      <c r="AC11" s="395">
        <f>CenAVS!F127</f>
        <v>894.84276</v>
      </c>
      <c r="AD11" s="167">
        <f t="shared" si="3"/>
        <v>0</v>
      </c>
      <c r="AE11" s="407">
        <f>IF($U$16=1, ROUNDUP(SUM(O13:P13)*$M$17,0),0)</f>
        <v>0</v>
      </c>
      <c r="AF11" s="168">
        <f t="shared" si="1"/>
        <v>0</v>
      </c>
      <c r="AG11" s="407">
        <f>IF($U$27=1, ROUNDUP(SUM(O24:P24)*$M$28,0),0)</f>
        <v>0</v>
      </c>
      <c r="AH11" s="168">
        <f t="shared" si="2"/>
        <v>0</v>
      </c>
      <c r="AI11" s="718"/>
      <c r="AJ11" s="718"/>
      <c r="AK11" s="718"/>
      <c r="AL11" s="108"/>
      <c r="AM11" s="108"/>
      <c r="AN11" s="255"/>
      <c r="AO11" s="137"/>
      <c r="AP11" s="137"/>
      <c r="AQ11" s="1229" t="s">
        <v>98</v>
      </c>
      <c r="AR11" s="1230"/>
      <c r="AS11" s="743" t="s">
        <v>642</v>
      </c>
      <c r="AT11" s="255"/>
      <c r="AU11" s="255"/>
    </row>
    <row r="12" spans="2:51" s="37" customFormat="1" ht="16.149999999999999" customHeight="1" x14ac:dyDescent="0.2">
      <c r="B12" s="1011" t="str">
        <f>ListAVS!$B$78&amp;" [kg] ** "</f>
        <v xml:space="preserve">Waga frontu wraz z 2 uchwytami [kg] ** </v>
      </c>
      <c r="C12" s="1012"/>
      <c r="D12" s="1012"/>
      <c r="E12" s="1012"/>
      <c r="F12" s="1012"/>
      <c r="G12" s="1013"/>
      <c r="H12" s="258"/>
      <c r="I12" s="227" t="str">
        <f>IF($H17=0," ",IF(SUM($H12,$H15)=0,$N$36," "))&amp;IF($H17&gt;0,IF($H12&gt;0,$N$37," ")," ")</f>
        <v xml:space="preserve">  </v>
      </c>
      <c r="J12" s="255"/>
      <c r="K12" s="255"/>
      <c r="L12" s="255"/>
      <c r="N12" s="119" t="s">
        <v>99</v>
      </c>
      <c r="O12" s="132">
        <f>IF($V$10=FALSE,IF($H$16&gt;R12,IF($H$16&lt;S12,1,0),0),0)</f>
        <v>0</v>
      </c>
      <c r="P12" s="132">
        <f>IF($V$10=TRUE,IF($H$16&gt;V12,IF($H$16&lt;W12,1.5,0),0),0)</f>
        <v>0</v>
      </c>
      <c r="Q12" s="119"/>
      <c r="R12" s="877">
        <v>1159.99</v>
      </c>
      <c r="S12" s="877">
        <v>2265</v>
      </c>
      <c r="T12" s="752"/>
      <c r="U12" s="130"/>
      <c r="V12" s="718">
        <v>1739.99</v>
      </c>
      <c r="W12" s="718">
        <v>3398</v>
      </c>
      <c r="X12" s="718"/>
      <c r="Y12" s="164" t="str">
        <f>CenAVS!A128</f>
        <v xml:space="preserve">Aventos HKi najmocniejszy Blumotion Onyx      </v>
      </c>
      <c r="Z12" s="164" t="str">
        <f>CenAVS!B128</f>
        <v>24K2800</v>
      </c>
      <c r="AA12" s="301" t="str">
        <f>CenAVS!C128</f>
        <v>OS</v>
      </c>
      <c r="AB12" s="165">
        <f t="shared" si="0"/>
        <v>0</v>
      </c>
      <c r="AC12" s="395">
        <f>CenAVS!F128</f>
        <v>933.08410000000003</v>
      </c>
      <c r="AD12" s="167">
        <f t="shared" si="3"/>
        <v>0</v>
      </c>
      <c r="AE12" s="407">
        <f>IF($U$16=1, ROUNDUP(SUM(O14:P14)*$M$17,0),0)</f>
        <v>0</v>
      </c>
      <c r="AF12" s="168">
        <f t="shared" si="1"/>
        <v>0</v>
      </c>
      <c r="AG12" s="407">
        <f>IF($U$27=1, ROUNDUP(SUM(O25:P25)*$M$28,0),0)</f>
        <v>0</v>
      </c>
      <c r="AH12" s="168">
        <f t="shared" si="2"/>
        <v>0</v>
      </c>
      <c r="AI12" s="718"/>
      <c r="AJ12" s="718"/>
      <c r="AK12" s="718"/>
      <c r="AL12" s="108"/>
      <c r="AM12" s="108"/>
      <c r="AN12" s="670"/>
      <c r="AO12" s="137"/>
      <c r="AP12" s="137"/>
      <c r="AQ12" s="1229" t="s">
        <v>100</v>
      </c>
      <c r="AR12" s="1230"/>
      <c r="AS12" s="743" t="s">
        <v>643</v>
      </c>
      <c r="AT12" s="255"/>
      <c r="AU12" s="255"/>
    </row>
    <row r="13" spans="2:51" s="37" customFormat="1" ht="16.149999999999999" customHeight="1" x14ac:dyDescent="0.2">
      <c r="B13" s="1055" t="str">
        <f>ListAVS!$B$293</f>
        <v>Obliczenie wagi</v>
      </c>
      <c r="C13" s="1055"/>
      <c r="D13" s="1107" t="str">
        <f>ListAVS!$B$80&amp;" TS [mm] "</f>
        <v xml:space="preserve">Grubość frontu TS [mm] </v>
      </c>
      <c r="E13" s="1107"/>
      <c r="F13" s="1107"/>
      <c r="G13" s="1108"/>
      <c r="H13" s="259"/>
      <c r="I13" s="256"/>
      <c r="J13" s="255"/>
      <c r="K13" s="255"/>
      <c r="L13" s="255"/>
      <c r="N13" s="119" t="s">
        <v>101</v>
      </c>
      <c r="O13" s="132">
        <f>IF($V$10=FALSE,IF($H$16&gt;R13,IF($H$16&lt;S13,1,0),0),0)</f>
        <v>0</v>
      </c>
      <c r="P13" s="132">
        <f>IF($V$10=TRUE,IF($H$16&gt;V13,IF($H$16&lt;W13,1.5,0),0),0)</f>
        <v>0</v>
      </c>
      <c r="Q13" s="119"/>
      <c r="R13" s="877">
        <v>2264.9899999999998</v>
      </c>
      <c r="S13" s="877">
        <v>3470</v>
      </c>
      <c r="V13" s="718">
        <v>3397.99</v>
      </c>
      <c r="W13" s="718">
        <f>S13*1.5</f>
        <v>5205</v>
      </c>
      <c r="X13" s="718"/>
      <c r="Y13" s="164"/>
      <c r="Z13" s="164"/>
      <c r="AA13" s="301"/>
      <c r="AB13" s="165"/>
      <c r="AC13" s="395"/>
      <c r="AD13" s="167"/>
      <c r="AE13" s="407"/>
      <c r="AF13" s="168"/>
      <c r="AG13" s="407"/>
      <c r="AH13" s="168"/>
      <c r="AI13" s="718"/>
      <c r="AJ13" s="718"/>
      <c r="AK13" s="718"/>
      <c r="AL13" s="108"/>
      <c r="AM13" s="108"/>
      <c r="AN13" s="670"/>
      <c r="AO13" s="137"/>
      <c r="AP13" s="137"/>
      <c r="AQ13" s="1229" t="s">
        <v>753</v>
      </c>
      <c r="AR13" s="1230"/>
      <c r="AS13" s="743" t="s">
        <v>644</v>
      </c>
      <c r="AT13" s="255"/>
      <c r="AU13" s="255"/>
    </row>
    <row r="14" spans="2:51" s="37" customFormat="1" ht="16.149999999999999" customHeight="1" x14ac:dyDescent="0.2">
      <c r="B14" s="1055"/>
      <c r="C14" s="1055"/>
      <c r="D14" s="1053" t="str">
        <f>ListAVS!$B$83&amp;" [kg] "</f>
        <v xml:space="preserve">Waga uchwytu [kg] </v>
      </c>
      <c r="E14" s="1053"/>
      <c r="F14" s="1053"/>
      <c r="G14" s="1054"/>
      <c r="H14" s="258"/>
      <c r="I14" s="256" t="str">
        <f>IF(H17=0, " ", IF(AND(H12=0, U16=1, H14=0), " ● "&amp;ListAVS!$B$130," "))</f>
        <v xml:space="preserve"> </v>
      </c>
      <c r="J14" s="255"/>
      <c r="K14" s="255"/>
      <c r="L14" s="255"/>
      <c r="N14" s="119" t="s">
        <v>640</v>
      </c>
      <c r="O14" s="132">
        <f>IF($V$10=FALSE,IF($H$16&gt;R14,IF($H$16&lt;S14,1,0),0),0)</f>
        <v>0</v>
      </c>
      <c r="P14" s="132">
        <f>IF($V$10=TRUE,IF($H$16&gt;V14,IF($H$16&lt;W14,1.5,0),0),0)</f>
        <v>0</v>
      </c>
      <c r="Q14" s="119"/>
      <c r="R14" s="877">
        <v>3469.99</v>
      </c>
      <c r="S14" s="877">
        <v>7800</v>
      </c>
      <c r="V14" s="718">
        <v>5204.99</v>
      </c>
      <c r="W14" s="718">
        <f>S14*1.5</f>
        <v>11700</v>
      </c>
      <c r="X14" s="718"/>
      <c r="Y14" s="164" t="str">
        <f>CenAVS!A130</f>
        <v xml:space="preserve">Aventos HKi słaby Tip-on Onyx      </v>
      </c>
      <c r="Z14" s="164" t="str">
        <f>CenAVS!B130</f>
        <v>24K2300T</v>
      </c>
      <c r="AA14" s="301" t="str">
        <f>CenAVS!C130</f>
        <v>OS</v>
      </c>
      <c r="AB14" s="165">
        <f t="shared" si="0"/>
        <v>0</v>
      </c>
      <c r="AC14" s="395">
        <f>CenAVS!F130</f>
        <v>891.34664000000009</v>
      </c>
      <c r="AD14" s="167">
        <f t="shared" si="3"/>
        <v>0</v>
      </c>
      <c r="AE14" s="407">
        <f>IF($U$16=2, ROUNDUP(SUM(O11:P11)*$M$17,0),0)</f>
        <v>0</v>
      </c>
      <c r="AF14" s="168">
        <f t="shared" si="1"/>
        <v>0</v>
      </c>
      <c r="AG14" s="407">
        <f>IF($U$27=2, ROUNDUP(SUM(O22:P22)*$M$28,0),0)</f>
        <v>0</v>
      </c>
      <c r="AH14" s="168">
        <f t="shared" si="2"/>
        <v>0</v>
      </c>
      <c r="AI14" s="718"/>
      <c r="AJ14" s="718"/>
      <c r="AK14" s="718"/>
      <c r="AL14" s="108"/>
      <c r="AM14" s="108"/>
      <c r="AN14" s="670"/>
      <c r="AO14" s="137"/>
      <c r="AP14" s="137"/>
      <c r="AQ14" s="255"/>
      <c r="AR14" s="255"/>
      <c r="AS14" s="255"/>
      <c r="AT14" s="255"/>
      <c r="AU14" s="255"/>
    </row>
    <row r="15" spans="2:51" s="37" customFormat="1" ht="16.149999999999999" customHeight="1" x14ac:dyDescent="0.2">
      <c r="B15" s="1055"/>
      <c r="C15" s="1055"/>
      <c r="D15" s="1053" t="str">
        <f>ListAVS!$B$79&amp;" [kg] "</f>
        <v xml:space="preserve">Obliczona waga frontu [kg] </v>
      </c>
      <c r="E15" s="1053"/>
      <c r="F15" s="1053"/>
      <c r="G15" s="1054"/>
      <c r="H15" s="259">
        <f>$T$80</f>
        <v>0</v>
      </c>
      <c r="I15" s="227" t="str">
        <f>IF(AND($H17&gt;0,$H15&gt;0,$H12=0,$M17&gt;0), $N$37," ")&amp;IF(AND(H17&gt;0, H12=0, Z77=3, $J$4=0), $N$35, " ")</f>
        <v xml:space="preserve">  </v>
      </c>
      <c r="J15" s="255"/>
      <c r="K15" s="255"/>
      <c r="L15" s="255"/>
      <c r="U15" s="174" t="str">
        <f>IF(U16=1,$V$46, $V$47)</f>
        <v>Standard</v>
      </c>
      <c r="Y15" s="164" t="str">
        <f>CenAVS!A131</f>
        <v xml:space="preserve">Aventos HKi średni Tip-on Onyx      </v>
      </c>
      <c r="Z15" s="164" t="str">
        <f>CenAVS!B131</f>
        <v>24K2500T</v>
      </c>
      <c r="AA15" s="301" t="str">
        <f>CenAVS!C131</f>
        <v>OS</v>
      </c>
      <c r="AB15" s="165">
        <f t="shared" si="0"/>
        <v>0</v>
      </c>
      <c r="AC15" s="395">
        <f>CenAVS!F131</f>
        <v>891.34664000000009</v>
      </c>
      <c r="AD15" s="167">
        <f t="shared" si="3"/>
        <v>0</v>
      </c>
      <c r="AE15" s="407">
        <f>IF($U$16=2, ROUNDUP(SUM(O12:P12)*$M$17,0),0)</f>
        <v>0</v>
      </c>
      <c r="AF15" s="168">
        <f t="shared" si="1"/>
        <v>0</v>
      </c>
      <c r="AG15" s="407">
        <f>IF($U$27=2, ROUNDUP(SUM(O23:P23)*$M$28,0),0)</f>
        <v>0</v>
      </c>
      <c r="AH15" s="168">
        <f t="shared" si="2"/>
        <v>0</v>
      </c>
      <c r="AL15" s="108"/>
      <c r="AM15" s="108"/>
      <c r="AN15" s="255"/>
      <c r="AO15" s="137"/>
      <c r="AP15" s="137"/>
      <c r="AQ15" s="1044" t="str">
        <f>ListAVS!$B$86&amp;" LF = "&amp;ListAVS!$B$75&amp;" KH [mm] x "&amp;ListAVS!$B$78&amp;" [kg]"</f>
        <v>Współczynnik mocy LF = Wysokość korpusu KH [mm] x Waga frontu wraz z 2 uchwytami [kg]</v>
      </c>
      <c r="AR15" s="1044"/>
      <c r="AS15" s="1044"/>
      <c r="AT15" s="1044"/>
      <c r="AU15" s="1044"/>
    </row>
    <row r="16" spans="2:51" s="37" customFormat="1" ht="16.149999999999999" customHeight="1" thickBot="1" x14ac:dyDescent="0.25">
      <c r="B16" s="1011"/>
      <c r="C16" s="1012"/>
      <c r="D16" s="1011" t="str">
        <f>ListAVS!$B$86&amp;" LF "</f>
        <v xml:space="preserve">Współczynnik mocy LF </v>
      </c>
      <c r="E16" s="1012"/>
      <c r="F16" s="1012"/>
      <c r="G16" s="1013"/>
      <c r="H16" s="400">
        <f>IF(H12&gt;0,H11*H12,H11*H15)</f>
        <v>0</v>
      </c>
      <c r="I16" s="256" t="str">
        <f>IF(H17=0," ",IF($H16&lt;420,$N$39,IF($H16&gt;13500,$N$40,IF($H16&gt;9000,IF(V10=FALSE,$N$41," ")," "))))</f>
        <v xml:space="preserve"> </v>
      </c>
      <c r="J16" s="255"/>
      <c r="K16" s="255"/>
      <c r="L16" s="439"/>
      <c r="M16" s="118"/>
      <c r="N16" s="119"/>
      <c r="O16" s="132"/>
      <c r="P16" s="132"/>
      <c r="Q16" s="119"/>
      <c r="R16" s="718"/>
      <c r="S16" s="718"/>
      <c r="T16" s="202"/>
      <c r="U16" s="131">
        <v>1</v>
      </c>
      <c r="V16" s="718"/>
      <c r="W16" s="718"/>
      <c r="X16" s="718"/>
      <c r="Y16" s="164" t="str">
        <f>CenAVS!A132</f>
        <v xml:space="preserve">Aventos HKi silny Tip-on Onyx      </v>
      </c>
      <c r="Z16" s="164" t="str">
        <f>CenAVS!B132</f>
        <v>24K2700T</v>
      </c>
      <c r="AA16" s="301" t="str">
        <f>CenAVS!C132</f>
        <v>OS</v>
      </c>
      <c r="AB16" s="165">
        <f t="shared" si="0"/>
        <v>0</v>
      </c>
      <c r="AC16" s="395">
        <f>CenAVS!F132</f>
        <v>916.86846999999989</v>
      </c>
      <c r="AD16" s="167">
        <f t="shared" si="3"/>
        <v>0</v>
      </c>
      <c r="AE16" s="407">
        <f>IF($U$16=2, ROUNDUP(SUM(O13:P13)*$M$17,0),0)</f>
        <v>0</v>
      </c>
      <c r="AF16" s="168">
        <f t="shared" si="1"/>
        <v>0</v>
      </c>
      <c r="AG16" s="407">
        <f>IF($U$27=2, ROUNDUP(SUM(O24:P24)*$M$28,0),0)</f>
        <v>0</v>
      </c>
      <c r="AH16" s="168">
        <f t="shared" si="2"/>
        <v>0</v>
      </c>
      <c r="AI16" s="718"/>
      <c r="AJ16" s="718"/>
      <c r="AK16" s="718"/>
      <c r="AL16" s="108"/>
      <c r="AM16" s="108"/>
      <c r="AN16" s="255"/>
      <c r="AO16" s="137"/>
      <c r="AP16" s="137"/>
      <c r="AQ16" s="1044"/>
      <c r="AR16" s="1044"/>
      <c r="AS16" s="1044"/>
      <c r="AT16" s="1044"/>
      <c r="AU16" s="1044"/>
    </row>
    <row r="17" spans="1:49" s="37" customFormat="1" ht="16.149999999999999" customHeight="1" thickBot="1" x14ac:dyDescent="0.25">
      <c r="B17" s="1011" t="str">
        <f>ListAVS!$B$71&amp;" "</f>
        <v xml:space="preserve">Ilość szafek </v>
      </c>
      <c r="C17" s="1012"/>
      <c r="D17" s="1012"/>
      <c r="E17" s="1012"/>
      <c r="F17" s="1012"/>
      <c r="G17" s="1012"/>
      <c r="H17" s="437"/>
      <c r="I17" s="256" t="str">
        <f>IF($H16&gt;13500," ",IF($H16&gt;9000,IF(V10=FALSE,$N$42," ")," "))</f>
        <v xml:space="preserve"> </v>
      </c>
      <c r="J17" s="255"/>
      <c r="K17" s="255"/>
      <c r="L17" s="255"/>
      <c r="M17" s="315">
        <f>IF($H10*$H$11*$T17=0,0,IF($H11&lt;210,0,IF($H16&lt;420,0,IF($H16&gt;13500,0,IF(H16&gt;9000,IF(V10=FALSE,0,$H17),H$17)))))</f>
        <v>0</v>
      </c>
      <c r="N17" s="119"/>
      <c r="O17" s="132"/>
      <c r="P17" s="132"/>
      <c r="Q17" s="119"/>
      <c r="R17" s="718"/>
      <c r="S17" s="690" t="s">
        <v>51</v>
      </c>
      <c r="T17" s="691">
        <f>IF(H12&gt;0,H12,H15)</f>
        <v>0</v>
      </c>
      <c r="U17" s="37">
        <f>IF(SUM(H12,H15)=0,0,IF(H12&gt;0,1,2))</f>
        <v>0</v>
      </c>
      <c r="V17" s="571" t="s">
        <v>52</v>
      </c>
      <c r="X17" s="718"/>
      <c r="Y17" s="164" t="str">
        <f>CenAVS!A133</f>
        <v xml:space="preserve">Aventos HKi najsilniejszy Tip-on Onyx      </v>
      </c>
      <c r="Z17" s="164" t="str">
        <f>CenAVS!B133</f>
        <v>24K2800T</v>
      </c>
      <c r="AA17" s="301" t="str">
        <f>CenAVS!C133</f>
        <v>OS</v>
      </c>
      <c r="AB17" s="165">
        <f t="shared" si="0"/>
        <v>0</v>
      </c>
      <c r="AC17" s="395">
        <f>CenAVS!F133</f>
        <v>955.10937000000001</v>
      </c>
      <c r="AD17" s="167">
        <f t="shared" si="3"/>
        <v>0</v>
      </c>
      <c r="AE17" s="407">
        <f>IF($U$16=2, ROUNDUP(SUM(O14:P14)*$M$17,0),0)</f>
        <v>0</v>
      </c>
      <c r="AF17" s="168">
        <f t="shared" si="1"/>
        <v>0</v>
      </c>
      <c r="AG17" s="407">
        <f>IF($U$27=2, ROUNDUP(SUM(O25:P25)*$M$28,0),0)</f>
        <v>0</v>
      </c>
      <c r="AH17" s="168">
        <f t="shared" si="2"/>
        <v>0</v>
      </c>
      <c r="AI17" s="718"/>
      <c r="AJ17" s="718"/>
      <c r="AK17" s="718"/>
      <c r="AL17" s="108"/>
      <c r="AM17" s="108"/>
      <c r="AN17" s="255"/>
      <c r="AO17" s="137"/>
      <c r="AP17" s="137"/>
      <c r="AQ17" s="1044" t="str">
        <f>ListAVS!$B$355</f>
        <v>W razie wykorzystania trzeciego siłownika współczynnik mocy oraz waga frontu mogą się zwiększyć o 50 %.</v>
      </c>
      <c r="AR17" s="1044"/>
      <c r="AS17" s="1044"/>
      <c r="AT17" s="1044"/>
      <c r="AU17" s="1044"/>
    </row>
    <row r="18" spans="1:49" s="37" customFormat="1" ht="16.149999999999999" customHeight="1" x14ac:dyDescent="0.2">
      <c r="B18" s="255" t="str">
        <f>IF(H17&gt;0,IF(OR(U17=0,M17=0), " ",IF(U17=1, $N$49, $N$50))," ")&amp;IF(H17&gt;0,IF(OR(U17=0, M17=0), " ",IF(U17=1, $N$51, $N$52))," ")</f>
        <v xml:space="preserve">  </v>
      </c>
      <c r="C18" s="255"/>
      <c r="D18" s="255"/>
      <c r="E18" s="255"/>
      <c r="F18" s="433"/>
      <c r="G18" s="433"/>
      <c r="H18" s="255"/>
      <c r="I18" s="255"/>
      <c r="J18" s="255"/>
      <c r="K18" s="255"/>
      <c r="L18" s="255"/>
      <c r="M18" s="118"/>
      <c r="N18" s="119"/>
      <c r="O18" s="132"/>
      <c r="P18" s="132"/>
      <c r="Q18" s="119"/>
      <c r="R18" s="718"/>
      <c r="S18" s="718"/>
      <c r="T18" s="119"/>
      <c r="U18" s="151"/>
      <c r="V18" s="718"/>
      <c r="W18" s="718"/>
      <c r="X18" s="718"/>
      <c r="Y18" s="164"/>
      <c r="Z18" s="164"/>
      <c r="AA18" s="301"/>
      <c r="AB18" s="165"/>
      <c r="AC18" s="395"/>
      <c r="AD18" s="167"/>
      <c r="AE18" s="407"/>
      <c r="AF18" s="168"/>
      <c r="AG18" s="407"/>
      <c r="AH18" s="168"/>
      <c r="AI18" s="749"/>
      <c r="AJ18" s="749"/>
      <c r="AK18" s="749"/>
      <c r="AL18" s="108"/>
      <c r="AM18" s="108"/>
      <c r="AN18" s="692"/>
      <c r="AO18" s="137"/>
      <c r="AP18" s="137"/>
      <c r="AQ18" s="1044"/>
      <c r="AR18" s="1044"/>
      <c r="AS18" s="1044"/>
      <c r="AT18" s="1044"/>
      <c r="AU18" s="1044"/>
    </row>
    <row r="19" spans="1:49" s="37" customFormat="1" ht="25.15" customHeight="1" thickBot="1" x14ac:dyDescent="0.25">
      <c r="B19" s="255"/>
      <c r="C19" s="255"/>
      <c r="D19" s="255"/>
      <c r="E19" s="255"/>
      <c r="F19" s="433"/>
      <c r="G19" s="433"/>
      <c r="H19" s="255"/>
      <c r="I19" s="255"/>
      <c r="J19" s="255"/>
      <c r="K19" s="255"/>
      <c r="L19" s="255"/>
      <c r="M19" s="118"/>
      <c r="N19" s="119"/>
      <c r="O19" s="132"/>
      <c r="P19" s="132"/>
      <c r="Q19" s="119"/>
      <c r="R19" s="718"/>
      <c r="S19" s="718"/>
      <c r="T19" s="119"/>
      <c r="U19" s="151"/>
      <c r="V19" s="718"/>
      <c r="W19" s="718"/>
      <c r="X19" s="718"/>
      <c r="Y19" s="164" t="str">
        <f>CenAVS!A135</f>
        <v xml:space="preserve">Aventos HKi mocowanie frontu Expando Onyx     </v>
      </c>
      <c r="Z19" s="164" t="str">
        <f>CenAVS!B135</f>
        <v>24K42E1</v>
      </c>
      <c r="AA19" s="301" t="str">
        <f>CenAVS!C135</f>
        <v>OS</v>
      </c>
      <c r="AB19" s="165">
        <f>SUM(AE19,AG19)</f>
        <v>0</v>
      </c>
      <c r="AC19" s="395">
        <f>CenAVS!F135</f>
        <v>22.944630000000004</v>
      </c>
      <c r="AD19" s="167">
        <f>AB19*AC19</f>
        <v>0</v>
      </c>
      <c r="AE19" s="407"/>
      <c r="AF19" s="168">
        <f>$AC19*AE19</f>
        <v>0</v>
      </c>
      <c r="AG19" s="407"/>
      <c r="AH19" s="168">
        <f>$AC19*AG19</f>
        <v>0</v>
      </c>
      <c r="AI19" s="444"/>
      <c r="AJ19" s="444"/>
      <c r="AK19" s="444"/>
      <c r="AL19" s="108"/>
      <c r="AM19" s="108"/>
      <c r="AN19" s="255"/>
      <c r="AO19" s="137"/>
      <c r="AP19" s="137"/>
      <c r="AQ19" s="255"/>
      <c r="AR19" s="255"/>
      <c r="AS19" s="255"/>
      <c r="AT19" s="255"/>
      <c r="AU19" s="255"/>
    </row>
    <row r="20" spans="1:49" s="37" customFormat="1" ht="16.149999999999999" customHeight="1" thickBot="1" x14ac:dyDescent="0.25">
      <c r="B20" s="1051" t="str">
        <f>"▼ "&amp;ListAVS!$B$318</f>
        <v>▼ Sposób otwierania</v>
      </c>
      <c r="C20" s="1052"/>
      <c r="D20" s="406" t="str">
        <f>IF($M$28&gt;0, ListAVS!$B$37&amp;": ", " ")</f>
        <v xml:space="preserve"> </v>
      </c>
      <c r="E20" s="688" t="str">
        <f>IF($AG$9&gt;0,"23",IF($AG$10&gt;0,"25",IF($AG$11&gt;0,"27",IF($AG$12&gt;0,"28",IF($AG$14&gt;0,"23T",IF($AG$15&gt;0,"25T",IF($AG$16&gt;0,"27T",IF($AG$17&gt;0,"28T"," "))))))))</f>
        <v xml:space="preserve"> </v>
      </c>
      <c r="F20" s="1056" t="str">
        <f>ListAVS!$B$64&amp;" B"</f>
        <v>Korpus B</v>
      </c>
      <c r="G20" s="1057"/>
      <c r="H20" s="1058"/>
      <c r="I20" s="273"/>
      <c r="J20" s="255"/>
      <c r="K20" s="255"/>
      <c r="L20" s="255"/>
      <c r="N20" s="119"/>
      <c r="O20" s="132"/>
      <c r="P20" s="119"/>
      <c r="Q20" s="132"/>
      <c r="R20" s="1181" t="s">
        <v>89</v>
      </c>
      <c r="S20" s="1182"/>
      <c r="T20" s="119"/>
      <c r="U20" s="130"/>
      <c r="V20" s="1181" t="s">
        <v>90</v>
      </c>
      <c r="W20" s="1182"/>
      <c r="X20" s="749"/>
      <c r="Y20" s="164" t="str">
        <f>CenAVS!A136</f>
        <v xml:space="preserve">Aventos HKi mocowanie frontu alu ramki Onyx    </v>
      </c>
      <c r="Z20" s="164" t="str">
        <f>CenAVS!B136</f>
        <v>24K4201A</v>
      </c>
      <c r="AA20" s="301" t="str">
        <f>CenAVS!C136</f>
        <v>OS</v>
      </c>
      <c r="AB20" s="165">
        <f>SUM(AE20,AG20)</f>
        <v>0</v>
      </c>
      <c r="AC20" s="395">
        <f>CenAVS!F136</f>
        <v>25.238869999999999</v>
      </c>
      <c r="AD20" s="167">
        <f>AB20*AC20</f>
        <v>0</v>
      </c>
      <c r="AE20" s="407">
        <f>SUM($AE$9:$AE$17)*2</f>
        <v>0</v>
      </c>
      <c r="AF20" s="168">
        <f>$AC20*AE20</f>
        <v>0</v>
      </c>
      <c r="AG20" s="407">
        <f>SUM($AG$9:$AG$17)*2</f>
        <v>0</v>
      </c>
      <c r="AH20" s="168">
        <f>$AC20*AG20</f>
        <v>0</v>
      </c>
      <c r="AI20" s="718"/>
      <c r="AJ20" s="718"/>
      <c r="AK20" s="718"/>
      <c r="AL20" s="108"/>
      <c r="AM20" s="108"/>
      <c r="AN20" s="255"/>
      <c r="AO20" s="137"/>
      <c r="AP20" s="137"/>
      <c r="AQ20" s="255"/>
      <c r="AR20" s="255"/>
      <c r="AS20" s="255"/>
      <c r="AT20" s="255"/>
      <c r="AU20" s="255"/>
    </row>
    <row r="21" spans="1:49" s="37" customFormat="1" ht="16.149999999999999" customHeight="1" x14ac:dyDescent="0.2">
      <c r="B21" s="1011" t="str">
        <f>ListAVS!$B$74&amp;" KB [mm] "</f>
        <v xml:space="preserve">Szerokość korpusu KB [mm] </v>
      </c>
      <c r="C21" s="1012"/>
      <c r="D21" s="1012"/>
      <c r="E21" s="1012"/>
      <c r="F21" s="1012"/>
      <c r="G21" s="1013"/>
      <c r="H21" s="435"/>
      <c r="I21" s="256" t="str">
        <f>IF($H21=0," ",IF($H21&lt;220," min. 220mm",IF($H21&gt;1800," max. 1 800mm"," ")))&amp;IF(H28&gt;0,IF(H21=0,"● "&amp;ListAVS!$B$129," ")," ")</f>
        <v xml:space="preserve">  </v>
      </c>
      <c r="J21" s="255"/>
      <c r="K21" s="255"/>
      <c r="L21" s="255"/>
      <c r="N21" s="198" t="s">
        <v>53</v>
      </c>
      <c r="O21" s="199" t="s">
        <v>91</v>
      </c>
      <c r="P21" s="200" t="s">
        <v>92</v>
      </c>
      <c r="Q21" s="119"/>
      <c r="R21" s="750" t="s">
        <v>93</v>
      </c>
      <c r="S21" s="750" t="s">
        <v>76</v>
      </c>
      <c r="T21" s="751"/>
      <c r="U21" s="132"/>
      <c r="V21" s="1185" t="b">
        <v>0</v>
      </c>
      <c r="W21" s="1186"/>
      <c r="X21" s="444"/>
      <c r="Y21" s="164"/>
      <c r="Z21" s="164"/>
      <c r="AA21" s="301"/>
      <c r="AB21" s="165"/>
      <c r="AC21" s="395"/>
      <c r="AD21" s="167"/>
      <c r="AE21" s="407"/>
      <c r="AF21" s="168"/>
      <c r="AG21" s="407"/>
      <c r="AH21" s="168"/>
      <c r="AI21" s="718"/>
      <c r="AJ21" s="718"/>
      <c r="AK21" s="718"/>
      <c r="AL21" s="108"/>
      <c r="AM21" s="108"/>
      <c r="AN21" s="255"/>
      <c r="AO21" s="137"/>
      <c r="AP21" s="137"/>
      <c r="AQ21" s="680"/>
      <c r="AR21" s="255"/>
      <c r="AS21" s="255"/>
      <c r="AT21" s="255"/>
      <c r="AU21" s="255"/>
    </row>
    <row r="22" spans="1:49" s="37" customFormat="1" ht="16.149999999999999" customHeight="1" x14ac:dyDescent="0.2">
      <c r="B22" s="1011" t="str">
        <f>ListAVS!$B$75&amp;" KH [mm] "</f>
        <v xml:space="preserve">Wysokość korpusu KH [mm] </v>
      </c>
      <c r="C22" s="1012"/>
      <c r="D22" s="1012"/>
      <c r="E22" s="1012"/>
      <c r="F22" s="1012"/>
      <c r="G22" s="1013"/>
      <c r="H22" s="435"/>
      <c r="I22" s="256" t="str">
        <f>IF($H22=0," ",IF($H22&lt;170," min. 170mm",IF($H22&gt;600," max. 600 mm!"," ")))&amp;IF(H28&gt;0,IF(H22=0,"● "&amp;ListAVS!$B$129," ")," ")</f>
        <v xml:space="preserve">  </v>
      </c>
      <c r="J22" s="255"/>
      <c r="K22" s="255"/>
      <c r="L22" s="255"/>
      <c r="N22" s="119" t="s">
        <v>97</v>
      </c>
      <c r="O22" s="132">
        <f>IF($V$21=FALSE,IF($H$27&gt;R22,IF($H$27&lt;S22,1,0),0),0)</f>
        <v>0</v>
      </c>
      <c r="P22" s="132">
        <f>IF($V$21=TRUE,IF($H$27&gt;V22,IF($H$27&lt;W22,1.5,0),0),0)</f>
        <v>0</v>
      </c>
      <c r="Q22" s="119"/>
      <c r="R22" s="877">
        <v>420</v>
      </c>
      <c r="S22" s="877">
        <v>1160</v>
      </c>
      <c r="T22" s="752"/>
      <c r="U22" s="119"/>
      <c r="V22" s="718">
        <f>R22*1.5</f>
        <v>630</v>
      </c>
      <c r="W22" s="718">
        <f>S22*1.5</f>
        <v>1740</v>
      </c>
      <c r="X22" s="718"/>
      <c r="Y22" s="164" t="str">
        <f>CenAVS!A138</f>
        <v xml:space="preserve">Aventos HKi zestaw zaślepek jedwabiście biały SW    </v>
      </c>
      <c r="Z22" s="164" t="str">
        <f>CenAVS!B138</f>
        <v>24K8000</v>
      </c>
      <c r="AA22" s="301" t="str">
        <f>CenAVS!C138</f>
        <v>SW</v>
      </c>
      <c r="AB22" s="165">
        <f t="shared" si="0"/>
        <v>0</v>
      </c>
      <c r="AC22" s="395">
        <f>CenAVS!F138</f>
        <v>75.625519999999995</v>
      </c>
      <c r="AD22" s="167">
        <f t="shared" si="3"/>
        <v>0</v>
      </c>
      <c r="AE22" s="407">
        <f>IF(AND($R$44=2, $T$44=3),SUM($AE$9:$AE$17),0)</f>
        <v>0</v>
      </c>
      <c r="AF22" s="168">
        <f t="shared" si="1"/>
        <v>0</v>
      </c>
      <c r="AG22" s="407">
        <f>IF(AND($R$44=2, $T$44=3),SUM($AG$9:$AG$17),0)</f>
        <v>0</v>
      </c>
      <c r="AH22" s="168">
        <f t="shared" si="2"/>
        <v>0</v>
      </c>
      <c r="AI22" s="718"/>
      <c r="AJ22" s="718"/>
      <c r="AK22" s="718"/>
      <c r="AL22" s="108"/>
      <c r="AM22" s="108"/>
      <c r="AN22" s="255"/>
      <c r="AO22" s="137"/>
      <c r="AP22" s="137"/>
    </row>
    <row r="23" spans="1:49" s="37" customFormat="1" ht="16.149999999999999" customHeight="1" x14ac:dyDescent="0.2">
      <c r="B23" s="1011" t="str">
        <f>ListAVS!$B$78&amp;" [kg] ** "</f>
        <v xml:space="preserve">Waga frontu wraz z 2 uchwytami [kg] ** </v>
      </c>
      <c r="C23" s="1012"/>
      <c r="D23" s="1012"/>
      <c r="E23" s="1012"/>
      <c r="F23" s="1012"/>
      <c r="G23" s="1013"/>
      <c r="H23" s="258"/>
      <c r="I23" s="227" t="str">
        <f>IF($H28=0," ",IF(SUM($H23,$H26)=0,$N$36," "))&amp;IF($H28&gt;0,IF($H23&gt;0,$N$37," ")," ")</f>
        <v xml:space="preserve">  </v>
      </c>
      <c r="J23" s="255"/>
      <c r="K23" s="255"/>
      <c r="L23" s="255"/>
      <c r="N23" s="119" t="s">
        <v>99</v>
      </c>
      <c r="O23" s="132">
        <f>IF($V$21=FALSE,IF($H$27&gt;R23,IF($H$27&lt;S23,1,0),0),0)</f>
        <v>0</v>
      </c>
      <c r="P23" s="132">
        <f>IF($V$21=TRUE,IF($H$27&gt;V23,IF($H$27&lt;W23,1.5,0),0),0)</f>
        <v>0</v>
      </c>
      <c r="Q23" s="119"/>
      <c r="R23" s="877">
        <v>1159.99</v>
      </c>
      <c r="S23" s="877">
        <v>2265</v>
      </c>
      <c r="T23" s="752"/>
      <c r="U23" s="130"/>
      <c r="V23" s="718">
        <v>1739.99</v>
      </c>
      <c r="W23" s="718">
        <v>3398</v>
      </c>
      <c r="X23" s="718"/>
      <c r="Y23" s="164" t="str">
        <f>CenAVS!A139</f>
        <v xml:space="preserve">Aventos HKi zestaw zaślepek szary HG     </v>
      </c>
      <c r="Z23" s="164" t="str">
        <f>CenAVS!B139</f>
        <v>24K8000</v>
      </c>
      <c r="AA23" s="301" t="str">
        <f>CenAVS!C139</f>
        <v>HGR</v>
      </c>
      <c r="AB23" s="165">
        <f t="shared" si="0"/>
        <v>0</v>
      </c>
      <c r="AC23" s="395">
        <f>CenAVS!F139</f>
        <v>73.422380000000004</v>
      </c>
      <c r="AD23" s="167">
        <f t="shared" si="3"/>
        <v>0</v>
      </c>
      <c r="AE23" s="407">
        <f>IF(AND($R$44=2, $T$44=1),SUM($AE$9:$AE$17),0)</f>
        <v>0</v>
      </c>
      <c r="AF23" s="168">
        <f t="shared" si="1"/>
        <v>0</v>
      </c>
      <c r="AG23" s="407">
        <f>IF(AND($R$44=2, $T$44=1),SUM($AG$9:$AG$17),0)</f>
        <v>0</v>
      </c>
      <c r="AH23" s="168">
        <f t="shared" si="2"/>
        <v>0</v>
      </c>
      <c r="AI23" s="718"/>
      <c r="AJ23" s="718"/>
      <c r="AK23" s="718"/>
      <c r="AL23" s="108"/>
      <c r="AM23" s="108"/>
      <c r="AN23" s="255"/>
      <c r="AO23" s="137"/>
    </row>
    <row r="24" spans="1:49" s="37" customFormat="1" ht="16.149999999999999" customHeight="1" x14ac:dyDescent="0.2">
      <c r="B24" s="1055" t="str">
        <f>ListAVS!$B$293</f>
        <v>Obliczenie wagi</v>
      </c>
      <c r="C24" s="1055"/>
      <c r="D24" s="1107" t="str">
        <f>ListAVS!$B$80&amp;" TS [mm] "</f>
        <v xml:space="preserve">Grubość frontu TS [mm] </v>
      </c>
      <c r="E24" s="1107"/>
      <c r="F24" s="1107"/>
      <c r="G24" s="1108"/>
      <c r="H24" s="259"/>
      <c r="I24" s="256"/>
      <c r="J24" s="255"/>
      <c r="K24" s="255"/>
      <c r="L24" s="255"/>
      <c r="N24" s="119" t="s">
        <v>101</v>
      </c>
      <c r="O24" s="132">
        <f>IF($V$21=FALSE,IF($H$27&gt;R24,IF($H$27&lt;S24,1,0),0),0)</f>
        <v>0</v>
      </c>
      <c r="P24" s="132">
        <f>IF($V$21=TRUE,IF($H$27&gt;V24,IF($H$27&lt;W24,1.5,0),0),0)</f>
        <v>0</v>
      </c>
      <c r="Q24" s="119"/>
      <c r="R24" s="877">
        <v>2264.9899999999998</v>
      </c>
      <c r="S24" s="877">
        <v>3470</v>
      </c>
      <c r="V24" s="718">
        <v>3397.99</v>
      </c>
      <c r="W24" s="718">
        <f>S24*1.5</f>
        <v>5205</v>
      </c>
      <c r="X24" s="718"/>
      <c r="Y24" s="164" t="str">
        <f>CenAVS!A140</f>
        <v xml:space="preserve">24K8000 Aventos Hki zestaw zaślepek ciemnoszary TG    </v>
      </c>
      <c r="Z24" s="164" t="str">
        <f>CenAVS!B140</f>
        <v>24K8000</v>
      </c>
      <c r="AA24" s="301" t="str">
        <f>CenAVS!C140</f>
        <v>TGR</v>
      </c>
      <c r="AB24" s="165">
        <f t="shared" si="0"/>
        <v>0</v>
      </c>
      <c r="AC24" s="395">
        <f>CenAVS!F140</f>
        <v>75.625519999999995</v>
      </c>
      <c r="AD24" s="167">
        <f t="shared" si="3"/>
        <v>0</v>
      </c>
      <c r="AE24" s="407">
        <f>IF(AND($R$44=2, $T$44=2),SUM($AE$9:$AE$17),0)</f>
        <v>0</v>
      </c>
      <c r="AF24" s="168">
        <f t="shared" si="1"/>
        <v>0</v>
      </c>
      <c r="AG24" s="407">
        <f>IF(AND($R$44=2, $T$44=2),SUM($AG$9:$AG$17),0)</f>
        <v>0</v>
      </c>
      <c r="AH24" s="168">
        <f t="shared" si="2"/>
        <v>0</v>
      </c>
      <c r="AL24" s="108"/>
      <c r="AM24" s="108"/>
      <c r="AN24" s="137"/>
      <c r="AP24" s="137"/>
      <c r="AQ24" s="137"/>
      <c r="AR24" s="137"/>
      <c r="AS24" s="137"/>
      <c r="AT24" s="137"/>
      <c r="AU24" s="137"/>
      <c r="AV24" s="137"/>
    </row>
    <row r="25" spans="1:49" s="37" customFormat="1" ht="16.149999999999999" customHeight="1" x14ac:dyDescent="0.2">
      <c r="B25" s="1055"/>
      <c r="C25" s="1055"/>
      <c r="D25" s="1053" t="str">
        <f>ListAVS!$B$83&amp;" [kg] "</f>
        <v xml:space="preserve">Waga uchwytu [kg] </v>
      </c>
      <c r="E25" s="1053"/>
      <c r="F25" s="1053"/>
      <c r="G25" s="1054"/>
      <c r="H25" s="258"/>
      <c r="I25" s="256" t="str">
        <f>IF(H28=0, " ", IF(AND(H23=0, U27=1, H25=0), " ● "&amp;ListAVS!$B$130," "))</f>
        <v xml:space="preserve"> </v>
      </c>
      <c r="J25" s="255"/>
      <c r="K25" s="255"/>
      <c r="L25" s="255"/>
      <c r="M25" s="118"/>
      <c r="N25" s="119" t="s">
        <v>640</v>
      </c>
      <c r="O25" s="132">
        <f>IF($V$21=FALSE,IF($H$27&gt;R25,IF($H$27&lt;S25,1,0),0),0)</f>
        <v>0</v>
      </c>
      <c r="P25" s="132">
        <f>IF($V$21=TRUE,IF($H$27&gt;V25,IF($H$27&lt;W25,1.5,0),0),0)</f>
        <v>0</v>
      </c>
      <c r="Q25" s="119"/>
      <c r="R25" s="877">
        <v>3469.99</v>
      </c>
      <c r="S25" s="877">
        <v>7800</v>
      </c>
      <c r="V25" s="718">
        <v>5204.99</v>
      </c>
      <c r="W25" s="718">
        <f>S25*1.5</f>
        <v>11700</v>
      </c>
      <c r="X25" s="718"/>
      <c r="Y25" s="164"/>
      <c r="Z25" s="164"/>
      <c r="AA25" s="301"/>
      <c r="AB25" s="165"/>
      <c r="AC25" s="395"/>
      <c r="AD25" s="167"/>
      <c r="AE25" s="407"/>
      <c r="AF25" s="168"/>
      <c r="AG25" s="407"/>
      <c r="AH25" s="168"/>
      <c r="AL25" s="108"/>
      <c r="AM25" s="108"/>
      <c r="AN25" s="137"/>
      <c r="AO25" s="137"/>
      <c r="AP25" s="137"/>
      <c r="AQ25" s="137"/>
      <c r="AR25" s="137"/>
      <c r="AS25" s="137"/>
      <c r="AT25" s="137"/>
      <c r="AU25" s="137"/>
      <c r="AV25" s="137"/>
    </row>
    <row r="26" spans="1:49" s="37" customFormat="1" ht="16.149999999999999" customHeight="1" x14ac:dyDescent="0.2">
      <c r="B26" s="1055"/>
      <c r="C26" s="1055"/>
      <c r="D26" s="1053" t="str">
        <f>ListAVS!$B$79&amp;" [kg] "</f>
        <v xml:space="preserve">Obliczona waga frontu [kg] </v>
      </c>
      <c r="E26" s="1053"/>
      <c r="F26" s="1053"/>
      <c r="G26" s="1054"/>
      <c r="H26" s="259">
        <f>$T$91</f>
        <v>0</v>
      </c>
      <c r="I26" s="227" t="str">
        <f>IF(AND($H28&gt;0,$H26&gt;0,$H23=0,$M28&gt;0), $N$37," ")&amp;IF(AND(H28&gt;0, H23=0, Z88=3, $J$4=0), $N$35, " ")</f>
        <v xml:space="preserve">  </v>
      </c>
      <c r="J26" s="255"/>
      <c r="K26" s="255"/>
      <c r="L26" s="255"/>
      <c r="T26" s="132"/>
      <c r="U26" s="174" t="str">
        <f>IF(U27=1,$V$46,$V$47)</f>
        <v>Standard</v>
      </c>
      <c r="Y26" s="164" t="str">
        <f>CenAVS!A144</f>
        <v xml:space="preserve">Zestaw wstępnie wyfrezowanych półfabrykatów HKi      </v>
      </c>
      <c r="Z26" s="164" t="str">
        <f>CenAVS!B144</f>
        <v>24K7100</v>
      </c>
      <c r="AA26" s="301" t="str">
        <f>CenAVS!C144</f>
        <v>NA</v>
      </c>
      <c r="AB26" s="166">
        <f>J32</f>
        <v>0</v>
      </c>
      <c r="AC26" s="395">
        <f>CenAVS!F144</f>
        <v>314.61586999999997</v>
      </c>
      <c r="AD26" s="167">
        <f t="shared" si="3"/>
        <v>0</v>
      </c>
      <c r="AE26" s="407"/>
      <c r="AF26" s="168">
        <f t="shared" si="1"/>
        <v>0</v>
      </c>
      <c r="AG26" s="407"/>
      <c r="AH26" s="168">
        <f t="shared" si="2"/>
        <v>0</v>
      </c>
      <c r="AL26" s="108"/>
      <c r="AM26" s="108"/>
      <c r="AN26" s="108"/>
      <c r="AO26" s="137"/>
      <c r="AP26" s="137"/>
      <c r="AQ26" s="137"/>
      <c r="AR26" s="137"/>
      <c r="AS26" s="137"/>
      <c r="AT26" s="137"/>
      <c r="AU26" s="137"/>
      <c r="AV26" s="137"/>
      <c r="AW26" s="137"/>
    </row>
    <row r="27" spans="1:49" s="37" customFormat="1" ht="16.149999999999999" customHeight="1" thickBot="1" x14ac:dyDescent="0.25">
      <c r="B27" s="1011"/>
      <c r="C27" s="1012"/>
      <c r="D27" s="1011" t="str">
        <f>ListAVS!$B$86&amp;" LF "</f>
        <v xml:space="preserve">Współczynnik mocy LF </v>
      </c>
      <c r="E27" s="1012"/>
      <c r="F27" s="1012"/>
      <c r="G27" s="1013"/>
      <c r="H27" s="400">
        <f>IF(H23&gt;0,H22*H23,H22*H26)</f>
        <v>0</v>
      </c>
      <c r="I27" s="256" t="str">
        <f>IF(H28=0," ",IF($H27&lt;420,$N$39,IF($H27&gt;13500,$N$40,IF($H27&gt;9000,IF(V21=FALSE,$N$41," ")," "))))</f>
        <v xml:space="preserve"> </v>
      </c>
      <c r="J27" s="255"/>
      <c r="K27" s="248"/>
      <c r="L27" s="255"/>
      <c r="N27" s="137"/>
      <c r="O27" s="137"/>
      <c r="P27" s="137"/>
      <c r="Q27" s="137"/>
      <c r="T27" s="202"/>
      <c r="U27" s="131">
        <v>1</v>
      </c>
      <c r="Y27" s="164" t="str">
        <f>CenAVS!A145</f>
        <v xml:space="preserve">Podkładka do Aventos HKi       </v>
      </c>
      <c r="Z27" s="164" t="str">
        <f>CenAVS!B145</f>
        <v>M45.1010</v>
      </c>
      <c r="AA27" s="301" t="str">
        <f>CenAVS!C145</f>
        <v>NA</v>
      </c>
      <c r="AB27" s="166">
        <f>J33</f>
        <v>0</v>
      </c>
      <c r="AC27" s="395">
        <f>CenAVS!F145</f>
        <v>94.213800000000006</v>
      </c>
      <c r="AD27" s="167">
        <f t="shared" si="3"/>
        <v>0</v>
      </c>
      <c r="AE27" s="407"/>
      <c r="AF27" s="168">
        <f t="shared" si="1"/>
        <v>0</v>
      </c>
      <c r="AG27" s="407"/>
      <c r="AH27" s="168">
        <f t="shared" si="2"/>
        <v>0</v>
      </c>
      <c r="AI27" s="118"/>
      <c r="AJ27" s="118"/>
      <c r="AK27" s="118"/>
      <c r="AL27" s="108"/>
      <c r="AM27" s="108"/>
      <c r="AN27" s="693"/>
      <c r="AO27" s="137"/>
      <c r="AP27" s="137"/>
      <c r="AQ27" s="137"/>
      <c r="AR27" s="137"/>
      <c r="AS27" s="137"/>
      <c r="AT27" s="137"/>
      <c r="AU27" s="137"/>
      <c r="AV27" s="137"/>
      <c r="AW27" s="137"/>
    </row>
    <row r="28" spans="1:49" ht="16.149999999999999" customHeight="1" thickBot="1" x14ac:dyDescent="0.25">
      <c r="B28" s="1011" t="str">
        <f>ListAVS!$B$71&amp;" "</f>
        <v xml:space="preserve">Ilość szafek </v>
      </c>
      <c r="C28" s="1012"/>
      <c r="D28" s="1012"/>
      <c r="E28" s="1012"/>
      <c r="F28" s="1012"/>
      <c r="G28" s="1012"/>
      <c r="H28" s="437"/>
      <c r="I28" s="256" t="str">
        <f>IF($H27&gt;13500," ",IF($H27&gt;9000,IF(V21=FALSE,$N$42," ")," "))</f>
        <v xml:space="preserve"> </v>
      </c>
      <c r="J28" s="264"/>
      <c r="K28" s="396"/>
      <c r="L28" s="265"/>
      <c r="M28" s="315">
        <f>IF($H21*$H$22*$T28=0,0,IF($H22&lt;210,0,IF($H27&lt;420,0,IF($H27&gt;13500,0,IF(H27&gt;9000,IF(V21=FALSE,0,$H28),H$28)))))</f>
        <v>0</v>
      </c>
      <c r="N28" s="39"/>
      <c r="O28" s="39"/>
      <c r="P28" s="39"/>
      <c r="Q28" s="39"/>
      <c r="R28" s="137"/>
      <c r="S28" s="690" t="s">
        <v>51</v>
      </c>
      <c r="T28" s="691">
        <f>IF(H23&gt;0,H23,H26)</f>
        <v>0</v>
      </c>
      <c r="U28" s="37">
        <f>IF(SUM(H23,H26)=0,0,IF(H23&gt;0,1,2))</f>
        <v>0</v>
      </c>
      <c r="V28" s="571" t="s">
        <v>52</v>
      </c>
      <c r="Y28" s="164" t="str">
        <f>CenAVS!A146</f>
        <v xml:space="preserve">          </v>
      </c>
      <c r="Z28" s="164">
        <f>CenAVS!B146</f>
        <v>0</v>
      </c>
      <c r="AA28" s="301">
        <f>CenAVS!C146</f>
        <v>0</v>
      </c>
      <c r="AB28" s="165">
        <f t="shared" si="0"/>
        <v>0</v>
      </c>
      <c r="AC28" s="395">
        <f>CenAVS!F146</f>
        <v>0</v>
      </c>
      <c r="AD28" s="167">
        <f t="shared" si="3"/>
        <v>0</v>
      </c>
      <c r="AE28" s="407"/>
      <c r="AF28" s="168">
        <f t="shared" si="1"/>
        <v>0</v>
      </c>
      <c r="AG28" s="407"/>
      <c r="AH28" s="168">
        <f t="shared" si="2"/>
        <v>0</v>
      </c>
      <c r="AN28" s="693"/>
    </row>
    <row r="29" spans="1:49" ht="16.149999999999999" customHeight="1" x14ac:dyDescent="0.2">
      <c r="A29" s="137"/>
      <c r="B29" s="255" t="str">
        <f>IF(H28&gt;0,IF(OR(U28=0,M28=0), " ",IF(U28=1, $N$49, $N$50))," ")&amp;IF(H28&gt;0,IF(OR(U28=0, M28=0), " ",IF(U28=1, $N$51, $N$52))," ")</f>
        <v xml:space="preserve">  </v>
      </c>
      <c r="C29" s="255"/>
      <c r="D29" s="255"/>
      <c r="E29" s="255"/>
      <c r="F29" s="255"/>
      <c r="G29" s="255"/>
      <c r="H29" s="273"/>
      <c r="I29" s="273"/>
      <c r="J29" s="266"/>
      <c r="K29" s="266"/>
      <c r="L29" s="266"/>
      <c r="X29" s="118"/>
      <c r="Y29" s="164" t="str">
        <f>CenAVS!A147</f>
        <v xml:space="preserve">          </v>
      </c>
      <c r="Z29" s="164">
        <f>CenAVS!B147</f>
        <v>0</v>
      </c>
      <c r="AA29" s="301">
        <f>CenAVS!C147</f>
        <v>0</v>
      </c>
      <c r="AB29" s="165">
        <f t="shared" si="0"/>
        <v>0</v>
      </c>
      <c r="AC29" s="395">
        <f>CenAVS!F147</f>
        <v>0</v>
      </c>
      <c r="AD29" s="167">
        <f t="shared" si="3"/>
        <v>0</v>
      </c>
      <c r="AE29" s="407"/>
      <c r="AF29" s="168">
        <f t="shared" si="1"/>
        <v>0</v>
      </c>
      <c r="AG29" s="407"/>
      <c r="AH29" s="168">
        <f t="shared" si="2"/>
        <v>0</v>
      </c>
      <c r="AN29" s="693"/>
    </row>
    <row r="30" spans="1:49" ht="16.149999999999999" customHeight="1" x14ac:dyDescent="0.2">
      <c r="B30" s="396"/>
      <c r="C30" s="248"/>
      <c r="D30" s="396"/>
      <c r="E30" s="396"/>
      <c r="F30" s="274"/>
      <c r="G30" s="274"/>
      <c r="H30" s="396"/>
      <c r="I30" s="264"/>
      <c r="J30" s="264"/>
      <c r="K30" s="396"/>
      <c r="L30" s="265"/>
      <c r="S30" s="138">
        <f>IF($T$30=FALSE,2,1)</f>
        <v>2</v>
      </c>
      <c r="T30" s="1063" t="b">
        <v>0</v>
      </c>
      <c r="U30" s="1064"/>
      <c r="V30" s="139" t="s">
        <v>56</v>
      </c>
      <c r="W30" s="140"/>
      <c r="Y30" s="164"/>
      <c r="Z30" s="164"/>
      <c r="AA30" s="301"/>
      <c r="AB30" s="165"/>
      <c r="AC30" s="395"/>
      <c r="AD30" s="167">
        <f t="shared" si="3"/>
        <v>0</v>
      </c>
      <c r="AE30" s="407"/>
      <c r="AF30" s="168">
        <f t="shared" si="1"/>
        <v>0</v>
      </c>
      <c r="AG30" s="407"/>
      <c r="AH30" s="168">
        <f t="shared" si="2"/>
        <v>0</v>
      </c>
    </row>
    <row r="31" spans="1:49" ht="16.149999999999999" customHeight="1" x14ac:dyDescent="0.2">
      <c r="B31" s="227"/>
      <c r="C31" s="227"/>
      <c r="D31" s="227"/>
      <c r="E31" s="227"/>
      <c r="F31" s="227"/>
      <c r="G31" s="227"/>
      <c r="H31" s="227"/>
      <c r="I31" s="227"/>
      <c r="J31" s="269"/>
      <c r="K31" s="397"/>
      <c r="L31" s="397"/>
      <c r="Y31" s="164"/>
      <c r="Z31" s="164"/>
      <c r="AA31" s="301"/>
      <c r="AB31" s="165"/>
      <c r="AC31" s="395"/>
      <c r="AD31" s="167">
        <f t="shared" si="3"/>
        <v>0</v>
      </c>
      <c r="AE31" s="407"/>
      <c r="AF31" s="168">
        <f t="shared" si="1"/>
        <v>0</v>
      </c>
      <c r="AG31" s="407"/>
      <c r="AH31" s="168">
        <f t="shared" si="2"/>
        <v>0</v>
      </c>
      <c r="AN31" s="710"/>
    </row>
    <row r="32" spans="1:49" ht="16.149999999999999" customHeight="1" x14ac:dyDescent="0.2">
      <c r="B32" s="956" t="str">
        <f>ListAVS!B344&amp;" """&amp;ListAVS!B160&amp;""""</f>
        <v>Aby zamówić zestaw wstępnie wyfrezowanych boków, użyj "Dodatki"</v>
      </c>
      <c r="C32" s="227"/>
      <c r="D32" s="227"/>
      <c r="E32" s="227"/>
      <c r="F32" s="227"/>
      <c r="G32" s="227"/>
      <c r="H32" s="227"/>
      <c r="I32" s="227"/>
      <c r="J32" s="971"/>
      <c r="K32" s="397"/>
      <c r="L32" s="397"/>
      <c r="N32" s="142"/>
      <c r="Y32" s="164"/>
      <c r="Z32" s="164"/>
      <c r="AA32" s="301"/>
      <c r="AB32" s="165"/>
      <c r="AC32" s="395"/>
      <c r="AD32" s="167">
        <f t="shared" si="3"/>
        <v>0</v>
      </c>
      <c r="AE32" s="407"/>
      <c r="AF32" s="168">
        <f t="shared" si="1"/>
        <v>0</v>
      </c>
      <c r="AG32" s="407"/>
      <c r="AH32" s="168">
        <f t="shared" si="2"/>
        <v>0</v>
      </c>
    </row>
    <row r="33" spans="2:49" ht="16.149999999999999" customHeight="1" x14ac:dyDescent="0.2">
      <c r="B33" s="227"/>
      <c r="C33" s="227"/>
      <c r="D33" s="227"/>
      <c r="E33" s="227"/>
      <c r="F33" s="227"/>
      <c r="G33" s="227"/>
      <c r="H33" s="227"/>
      <c r="I33" s="227"/>
      <c r="J33" s="971"/>
      <c r="K33" s="266"/>
      <c r="L33" s="255"/>
      <c r="Y33" s="164"/>
      <c r="Z33" s="164"/>
      <c r="AA33" s="301"/>
      <c r="AB33" s="165"/>
      <c r="AC33" s="395"/>
      <c r="AD33" s="167">
        <f t="shared" si="3"/>
        <v>0</v>
      </c>
      <c r="AE33" s="407"/>
      <c r="AF33" s="168">
        <f t="shared" si="1"/>
        <v>0</v>
      </c>
      <c r="AG33" s="407"/>
      <c r="AH33" s="168">
        <f t="shared" si="2"/>
        <v>0</v>
      </c>
    </row>
    <row r="34" spans="2:49" ht="16.149999999999999" customHeight="1" x14ac:dyDescent="0.2">
      <c r="G34" s="266"/>
      <c r="H34" s="266"/>
      <c r="I34" s="255"/>
      <c r="J34" s="266"/>
      <c r="K34" s="266"/>
      <c r="L34" s="255"/>
      <c r="N34" s="37" t="str">
        <f>ListAVS!B177</f>
        <v>Cena bez zasilacza!</v>
      </c>
      <c r="Y34" s="164"/>
      <c r="Z34" s="164"/>
      <c r="AA34" s="301"/>
      <c r="AB34" s="165"/>
      <c r="AC34" s="395"/>
      <c r="AD34" s="167">
        <f t="shared" si="3"/>
        <v>0</v>
      </c>
      <c r="AE34" s="407"/>
      <c r="AF34" s="168">
        <f t="shared" si="1"/>
        <v>0</v>
      </c>
      <c r="AG34" s="407"/>
      <c r="AH34" s="168">
        <f t="shared" si="2"/>
        <v>0</v>
      </c>
    </row>
    <row r="35" spans="2:49" ht="16.149999999999999" customHeight="1" x14ac:dyDescent="0.2">
      <c r="G35" s="266"/>
      <c r="H35" s="266"/>
      <c r="I35" s="255"/>
      <c r="J35" s="266"/>
      <c r="K35" s="266"/>
      <c r="L35" s="255"/>
      <c r="N35" s="37" t="str">
        <f>" "&amp;ListAVS!$B$118</f>
        <v xml:space="preserve"> Wprowadź na górze masę objętościową </v>
      </c>
      <c r="Y35" s="164"/>
      <c r="Z35" s="164"/>
      <c r="AA35" s="301"/>
      <c r="AB35" s="165"/>
      <c r="AC35" s="395"/>
      <c r="AD35" s="167">
        <f t="shared" si="3"/>
        <v>0</v>
      </c>
      <c r="AE35" s="407"/>
      <c r="AF35" s="168">
        <f t="shared" si="1"/>
        <v>0</v>
      </c>
      <c r="AG35" s="407"/>
      <c r="AH35" s="168">
        <f t="shared" si="2"/>
        <v>0</v>
      </c>
    </row>
    <row r="36" spans="2:49" ht="16.149999999999999" customHeight="1" x14ac:dyDescent="0.2">
      <c r="B36" s="274"/>
      <c r="C36" s="255" t="str">
        <f>"** "&amp;ListAVS!$B$187</f>
        <v>** Jeżeli znasz wagę i nie chcesz skorzystać z "obliczenie wagi"</v>
      </c>
      <c r="D36" s="266"/>
      <c r="E36" s="266"/>
      <c r="F36" s="266"/>
      <c r="G36" s="266"/>
      <c r="H36" s="266"/>
      <c r="I36" s="255"/>
      <c r="J36" s="266"/>
      <c r="K36" s="266"/>
      <c r="L36" s="255"/>
      <c r="N36" s="37" t="str">
        <f>" "&amp;ListAVS!$B$116</f>
        <v xml:space="preserve"> Wprowadź wagę lub wypełnij wszystkie komórki</v>
      </c>
      <c r="Y36" s="164"/>
      <c r="Z36" s="164"/>
      <c r="AA36" s="301"/>
      <c r="AB36" s="165"/>
      <c r="AC36" s="395"/>
      <c r="AD36" s="167">
        <f t="shared" si="3"/>
        <v>0</v>
      </c>
      <c r="AE36" s="407"/>
      <c r="AF36" s="168">
        <f t="shared" si="1"/>
        <v>0</v>
      </c>
      <c r="AG36" s="407"/>
      <c r="AH36" s="168">
        <f t="shared" si="2"/>
        <v>0</v>
      </c>
    </row>
    <row r="37" spans="2:49" ht="16.149999999999999" customHeight="1" x14ac:dyDescent="0.2">
      <c r="B37" s="255"/>
      <c r="C37" s="273" t="str">
        <f>"*** "&amp;ListAVS!$B$403</f>
        <v>*** Wybierz rodzaj ramki aluminiowej!</v>
      </c>
      <c r="D37" s="266"/>
      <c r="E37" s="266"/>
      <c r="F37" s="266"/>
      <c r="G37" s="276"/>
      <c r="H37" s="276"/>
      <c r="I37" s="276"/>
      <c r="J37" s="276"/>
      <c r="K37" s="276"/>
      <c r="L37" s="255"/>
      <c r="N37" s="37" t="str">
        <f>"◄ "&amp;ListAVS!$B$112</f>
        <v>◄ wartość będzie wykorzystana do obliczenia LF</v>
      </c>
      <c r="Y37" s="164"/>
      <c r="Z37" s="164"/>
      <c r="AA37" s="301"/>
      <c r="AB37" s="165"/>
      <c r="AC37" s="395"/>
      <c r="AD37" s="167">
        <f t="shared" si="3"/>
        <v>0</v>
      </c>
      <c r="AE37" s="407"/>
      <c r="AF37" s="168">
        <f t="shared" si="1"/>
        <v>0</v>
      </c>
      <c r="AG37" s="407"/>
      <c r="AH37" s="168">
        <f t="shared" si="2"/>
        <v>0</v>
      </c>
    </row>
    <row r="38" spans="2:49" ht="16.149999999999999" customHeight="1" x14ac:dyDescent="0.2">
      <c r="B38" s="255"/>
      <c r="C38" s="276"/>
      <c r="D38" s="276"/>
      <c r="E38" s="276"/>
      <c r="F38" s="276"/>
      <c r="G38" s="276"/>
      <c r="H38" s="276"/>
      <c r="I38" s="276"/>
      <c r="J38" s="276"/>
      <c r="K38" s="276"/>
      <c r="L38" s="255"/>
      <c r="N38" s="37" t="str">
        <f>" * "&amp;ListAVS!$B$128</f>
        <v xml:space="preserve"> * Wypełnij wartości</v>
      </c>
      <c r="Y38" s="164" t="str">
        <f>CenAVS!A185</f>
        <v xml:space="preserve">Tip-on do zawiasu 50mm PG, szary     </v>
      </c>
      <c r="Z38" s="164" t="str">
        <f>CenAVS!B185</f>
        <v>956.1004</v>
      </c>
      <c r="AA38" s="301" t="str">
        <f>CenAVS!C185</f>
        <v>R7036</v>
      </c>
      <c r="AB38" s="165">
        <f t="shared" si="0"/>
        <v>0</v>
      </c>
      <c r="AC38" s="395">
        <f>CenAVS!F185</f>
        <v>12.830769999999999</v>
      </c>
      <c r="AD38" s="167">
        <f t="shared" si="3"/>
        <v>0</v>
      </c>
      <c r="AE38" s="407">
        <f>IF(AND($T$44=1,$U$16=2), $M$17,0)</f>
        <v>0</v>
      </c>
      <c r="AF38" s="168">
        <f t="shared" si="1"/>
        <v>0</v>
      </c>
      <c r="AG38" s="407">
        <f>IF(AND($T$44=1,$U$27=2), $M$28,0)</f>
        <v>0</v>
      </c>
      <c r="AH38" s="168">
        <f t="shared" si="2"/>
        <v>0</v>
      </c>
      <c r="AP38" s="37"/>
      <c r="AQ38" s="37"/>
      <c r="AR38" s="37"/>
      <c r="AS38" s="37"/>
      <c r="AT38" s="37"/>
      <c r="AU38" s="37"/>
      <c r="AV38" s="37"/>
    </row>
    <row r="39" spans="2:49" ht="16.149999999999999" customHeight="1" x14ac:dyDescent="0.2">
      <c r="B39" s="255"/>
      <c r="C39" s="276"/>
      <c r="D39" s="276"/>
      <c r="E39" s="276"/>
      <c r="F39" s="276"/>
      <c r="G39" s="276"/>
      <c r="H39" s="276"/>
      <c r="I39" s="276"/>
      <c r="J39" s="276"/>
      <c r="K39" s="276"/>
      <c r="L39" s="255"/>
      <c r="N39" s="37" t="str">
        <f>" min. 420! "&amp;ListAVS!$B$122</f>
        <v xml:space="preserve"> min. 420! Popraw wagę albo wysokość</v>
      </c>
      <c r="Y39" s="164" t="str">
        <f>CenAVS!A186</f>
        <v xml:space="preserve">Tip-on do zawiasu 50mm SW, biały     </v>
      </c>
      <c r="Z39" s="164" t="str">
        <f>CenAVS!B186</f>
        <v>956.1004</v>
      </c>
      <c r="AA39" s="301" t="str">
        <f>CenAVS!C186</f>
        <v>SW</v>
      </c>
      <c r="AB39" s="165">
        <f t="shared" si="0"/>
        <v>0</v>
      </c>
      <c r="AC39" s="395">
        <f>CenAVS!F186</f>
        <v>12.830769999999999</v>
      </c>
      <c r="AD39" s="167">
        <f t="shared" si="3"/>
        <v>0</v>
      </c>
      <c r="AE39" s="407">
        <f>IF(AND($T$44=3,$U$16=2), $M$17,0)</f>
        <v>0</v>
      </c>
      <c r="AF39" s="168">
        <f t="shared" si="1"/>
        <v>0</v>
      </c>
      <c r="AG39" s="407">
        <f>IF(AND($T$44=3,$U$27=2), $M$28,0)</f>
        <v>0</v>
      </c>
      <c r="AH39" s="168">
        <f t="shared" si="2"/>
        <v>0</v>
      </c>
      <c r="AO39" s="37"/>
      <c r="AP39" s="37"/>
      <c r="AQ39" s="37"/>
      <c r="AR39" s="37"/>
      <c r="AS39" s="37"/>
      <c r="AT39" s="37"/>
      <c r="AU39" s="37"/>
      <c r="AV39" s="37"/>
    </row>
    <row r="40" spans="2:49" ht="16.149999999999999" customHeight="1" x14ac:dyDescent="0.2">
      <c r="B40" s="255"/>
      <c r="C40" s="276"/>
      <c r="D40" s="276"/>
      <c r="E40" s="276"/>
      <c r="F40" s="276"/>
      <c r="G40" s="276"/>
      <c r="H40" s="276"/>
      <c r="I40" s="276"/>
      <c r="J40" s="276"/>
      <c r="K40" s="276"/>
      <c r="L40" s="255"/>
      <c r="N40" s="37" t="str">
        <f>" max. 13.500! "&amp;ListAVS!$B$122</f>
        <v xml:space="preserve"> max. 13.500! Popraw wagę albo wysokość</v>
      </c>
      <c r="O40" s="37"/>
      <c r="Q40" s="37"/>
      <c r="Y40" s="164" t="str">
        <f>CenAVS!A187</f>
        <v xml:space="preserve">Tip-on do zawiasu krótki 50mm z magnesem,komplet, karbon czarny CS </v>
      </c>
      <c r="Z40" s="164" t="str">
        <f>CenAVS!B187</f>
        <v>956.1004</v>
      </c>
      <c r="AA40" s="301" t="str">
        <f>CenAVS!C187</f>
        <v>CS</v>
      </c>
      <c r="AB40" s="165">
        <f t="shared" si="0"/>
        <v>0</v>
      </c>
      <c r="AC40" s="395">
        <f>CenAVS!F187</f>
        <v>12.830769999999999</v>
      </c>
      <c r="AD40" s="167">
        <f t="shared" si="3"/>
        <v>0</v>
      </c>
      <c r="AE40" s="407">
        <f>IF(AND($T$44=2,$U$16=2), $M$17,0)</f>
        <v>0</v>
      </c>
      <c r="AF40" s="168">
        <f t="shared" si="1"/>
        <v>0</v>
      </c>
      <c r="AG40" s="407">
        <f>IF(AND($T$44=2,$U$27=2), $M$28,0)</f>
        <v>0</v>
      </c>
      <c r="AH40" s="168">
        <f t="shared" si="2"/>
        <v>0</v>
      </c>
      <c r="AO40" s="37"/>
      <c r="AP40" s="37"/>
      <c r="AQ40" s="37"/>
      <c r="AR40" s="37"/>
      <c r="AS40" s="37"/>
      <c r="AT40" s="37"/>
      <c r="AU40" s="37"/>
      <c r="AV40" s="37"/>
      <c r="AW40" s="37"/>
    </row>
    <row r="41" spans="2:49" ht="16.149999999999999" customHeight="1" x14ac:dyDescent="0.2">
      <c r="D41" s="255"/>
      <c r="E41" s="255"/>
      <c r="F41" s="255"/>
      <c r="G41" s="255"/>
      <c r="H41" s="255"/>
      <c r="I41" s="255"/>
      <c r="J41" s="255"/>
      <c r="K41" s="255"/>
      <c r="L41" s="255"/>
      <c r="N41" s="37" t="str">
        <f>" max. 9 000! "&amp;ListAVS!$B$122</f>
        <v xml:space="preserve"> max. 9 000! Popraw wagę albo wysokość</v>
      </c>
      <c r="Y41" s="164" t="str">
        <f>CenAVS!A188</f>
        <v xml:space="preserve">Tip-on do zawiasu 76mm, PG, szary     </v>
      </c>
      <c r="Z41" s="164" t="str">
        <f>CenAVS!B188</f>
        <v>956A1004</v>
      </c>
      <c r="AA41" s="301" t="str">
        <f>CenAVS!C188</f>
        <v>R7036</v>
      </c>
      <c r="AB41" s="165">
        <f t="shared" si="0"/>
        <v>0</v>
      </c>
      <c r="AC41" s="395">
        <f>CenAVS!F188</f>
        <v>16.100000000000001</v>
      </c>
      <c r="AD41" s="167">
        <f t="shared" si="3"/>
        <v>0</v>
      </c>
      <c r="AE41" s="407"/>
      <c r="AF41" s="168">
        <f t="shared" si="1"/>
        <v>0</v>
      </c>
      <c r="AG41" s="407"/>
      <c r="AH41" s="168">
        <f t="shared" si="2"/>
        <v>0</v>
      </c>
      <c r="AO41" s="37"/>
      <c r="AW41" s="37"/>
    </row>
    <row r="42" spans="2:49" s="37" customFormat="1" ht="16.149999999999999" customHeight="1" x14ac:dyDescent="0.2">
      <c r="D42" s="255"/>
      <c r="E42" s="255"/>
      <c r="F42" s="255"/>
      <c r="G42" s="255"/>
      <c r="H42" s="255"/>
      <c r="I42" s="255"/>
      <c r="J42" s="398"/>
      <c r="K42" s="398"/>
      <c r="L42" s="255"/>
      <c r="N42" s="149" t="str">
        <f>"                       "&amp;ListAVS!$B$123</f>
        <v xml:space="preserve">                       lub dodaj trzeci siłownik</v>
      </c>
      <c r="O42" s="118"/>
      <c r="Q42" s="118"/>
      <c r="Y42" s="164" t="str">
        <f>CenAVS!A189</f>
        <v xml:space="preserve">Tip-on do zawiasu 76mm, SW, biały     </v>
      </c>
      <c r="Z42" s="164" t="str">
        <f>CenAVS!B189</f>
        <v>956A1004</v>
      </c>
      <c r="AA42" s="301" t="str">
        <f>CenAVS!C189</f>
        <v>WA</v>
      </c>
      <c r="AB42" s="165">
        <f t="shared" si="0"/>
        <v>0</v>
      </c>
      <c r="AC42" s="395">
        <f>CenAVS!F189</f>
        <v>16.100000000000001</v>
      </c>
      <c r="AD42" s="167">
        <f t="shared" si="3"/>
        <v>0</v>
      </c>
      <c r="AE42" s="407"/>
      <c r="AF42" s="168">
        <f t="shared" si="1"/>
        <v>0</v>
      </c>
      <c r="AG42" s="407"/>
      <c r="AH42" s="168">
        <f t="shared" si="2"/>
        <v>0</v>
      </c>
      <c r="AL42" s="108"/>
      <c r="AM42" s="108"/>
      <c r="AN42" s="108"/>
      <c r="AO42" s="137"/>
      <c r="AP42" s="137"/>
      <c r="AQ42" s="137"/>
      <c r="AR42" s="137"/>
      <c r="AS42" s="137"/>
      <c r="AT42" s="137"/>
      <c r="AU42" s="137"/>
      <c r="AV42" s="137"/>
    </row>
    <row r="43" spans="2:49" s="37" customFormat="1" ht="16.149999999999999" customHeight="1" x14ac:dyDescent="0.2">
      <c r="B43" s="440"/>
      <c r="C43" s="1188"/>
      <c r="D43" s="1188"/>
      <c r="E43" s="1188"/>
      <c r="F43" s="1188"/>
      <c r="G43" s="1188"/>
      <c r="H43" s="1188"/>
      <c r="I43" s="1188"/>
      <c r="J43" s="1188"/>
      <c r="K43" s="1188"/>
      <c r="L43" s="255"/>
      <c r="O43" s="118"/>
      <c r="Q43" s="118"/>
      <c r="Y43" s="164" t="str">
        <f>CenAVS!A190</f>
        <v>Tip-on do zawiasu długi 76mm z magnesem, komplet, karbon czarny CS</v>
      </c>
      <c r="Z43" s="164" t="str">
        <f>CenAVS!B190</f>
        <v>956A1004</v>
      </c>
      <c r="AA43" s="301" t="str">
        <f>CenAVS!C190</f>
        <v>CS</v>
      </c>
      <c r="AB43" s="165">
        <f t="shared" si="0"/>
        <v>0</v>
      </c>
      <c r="AC43" s="395">
        <f>CenAVS!F190</f>
        <v>16.100000000000001</v>
      </c>
      <c r="AD43" s="167">
        <f t="shared" si="3"/>
        <v>0</v>
      </c>
      <c r="AE43" s="407"/>
      <c r="AF43" s="168">
        <f t="shared" si="1"/>
        <v>0</v>
      </c>
      <c r="AG43" s="407"/>
      <c r="AH43" s="168">
        <f t="shared" si="2"/>
        <v>0</v>
      </c>
      <c r="AL43" s="108"/>
      <c r="AM43" s="108"/>
      <c r="AN43" s="108"/>
      <c r="AO43" s="137"/>
      <c r="AP43" s="137"/>
      <c r="AQ43" s="137"/>
      <c r="AR43" s="137"/>
      <c r="AS43" s="137"/>
      <c r="AT43" s="137"/>
      <c r="AU43" s="137"/>
      <c r="AV43" s="137"/>
      <c r="AW43" s="137"/>
    </row>
    <row r="44" spans="2:49" s="37" customFormat="1" ht="16.149999999999999" customHeight="1" x14ac:dyDescent="0.2">
      <c r="B44" s="273"/>
      <c r="C44" s="1188"/>
      <c r="D44" s="1188"/>
      <c r="E44" s="1188"/>
      <c r="F44" s="1188"/>
      <c r="G44" s="1188"/>
      <c r="H44" s="1188"/>
      <c r="I44" s="1188"/>
      <c r="J44" s="1188"/>
      <c r="K44" s="1188"/>
      <c r="L44" s="255"/>
      <c r="N44" s="151">
        <f>HK!$P$26</f>
        <v>1</v>
      </c>
      <c r="O44" s="182"/>
      <c r="P44" s="117">
        <v>1</v>
      </c>
      <c r="Q44" s="182"/>
      <c r="R44" s="117">
        <f>HKi!$N$26</f>
        <v>1</v>
      </c>
      <c r="S44" s="182"/>
      <c r="T44" s="117">
        <f>MenuAVS!$P$28</f>
        <v>1</v>
      </c>
      <c r="V44" s="151">
        <v>1</v>
      </c>
      <c r="Y44" s="164"/>
      <c r="Z44" s="164"/>
      <c r="AA44" s="301"/>
      <c r="AB44" s="165"/>
      <c r="AC44" s="395"/>
      <c r="AD44" s="167"/>
      <c r="AE44" s="408"/>
      <c r="AF44" s="168"/>
      <c r="AG44" s="408"/>
      <c r="AH44" s="168"/>
      <c r="AL44" s="108"/>
      <c r="AM44" s="108"/>
      <c r="AN44" s="108"/>
      <c r="AO44" s="137"/>
      <c r="AP44" s="137"/>
      <c r="AQ44" s="137"/>
      <c r="AR44" s="137"/>
      <c r="AS44" s="137"/>
      <c r="AT44" s="137"/>
      <c r="AU44" s="137"/>
      <c r="AV44" s="137"/>
      <c r="AW44" s="137"/>
    </row>
    <row r="45" spans="2:49" ht="16.149999999999999" customHeight="1" x14ac:dyDescent="0.2">
      <c r="B45" s="441"/>
      <c r="C45" s="1188"/>
      <c r="D45" s="1188"/>
      <c r="E45" s="1188"/>
      <c r="F45" s="1188"/>
      <c r="G45" s="1188"/>
      <c r="H45" s="1188"/>
      <c r="I45" s="1188"/>
      <c r="J45" s="1188"/>
      <c r="K45" s="1188"/>
      <c r="L45" s="255"/>
      <c r="N45" s="153" t="s">
        <v>104</v>
      </c>
      <c r="P45" s="153" t="s">
        <v>8</v>
      </c>
      <c r="R45" s="153" t="s">
        <v>18</v>
      </c>
      <c r="S45" s="39"/>
      <c r="T45" s="153" t="s">
        <v>6</v>
      </c>
      <c r="V45" s="203" t="s">
        <v>18</v>
      </c>
      <c r="Y45" s="164"/>
      <c r="Z45" s="164"/>
      <c r="AA45" s="301"/>
      <c r="AB45" s="165"/>
      <c r="AC45" s="395"/>
      <c r="AD45" s="167"/>
      <c r="AE45" s="408"/>
      <c r="AF45" s="168"/>
      <c r="AG45" s="408"/>
      <c r="AH45" s="168"/>
    </row>
    <row r="46" spans="2:49" ht="16.149999999999999" customHeight="1" x14ac:dyDescent="0.2">
      <c r="B46" s="350"/>
      <c r="C46" s="148"/>
      <c r="D46" s="148"/>
      <c r="E46" s="148"/>
      <c r="F46" s="148"/>
      <c r="G46" s="148"/>
      <c r="H46" s="148"/>
      <c r="I46" s="148"/>
      <c r="J46" s="148"/>
      <c r="K46" s="148"/>
      <c r="N46" s="37" t="s">
        <v>105</v>
      </c>
      <c r="R46" s="118" t="s">
        <v>654</v>
      </c>
      <c r="T46" s="37" t="str">
        <f>ListAVS!$B$146</f>
        <v>Jasnoszary (HGR)</v>
      </c>
      <c r="V46" s="37" t="s">
        <v>58</v>
      </c>
      <c r="Y46" s="164"/>
      <c r="Z46" s="164"/>
      <c r="AA46" s="301"/>
      <c r="AB46" s="165"/>
      <c r="AC46" s="395"/>
      <c r="AD46" s="167"/>
      <c r="AE46" s="408"/>
      <c r="AF46" s="168"/>
      <c r="AG46" s="408"/>
      <c r="AH46" s="168"/>
    </row>
    <row r="47" spans="2:49" ht="16.149999999999999" customHeight="1" x14ac:dyDescent="0.2">
      <c r="B47" s="316"/>
      <c r="C47" s="317"/>
      <c r="D47" s="317"/>
      <c r="E47" s="317"/>
      <c r="F47" s="317"/>
      <c r="G47" s="317"/>
      <c r="I47" s="317"/>
      <c r="J47" s="317"/>
      <c r="N47" s="37" t="s">
        <v>106</v>
      </c>
      <c r="R47" s="118" t="s">
        <v>655</v>
      </c>
      <c r="T47" s="37" t="str">
        <f>ListAVS!$B$147</f>
        <v>Ciemnoszary (TGR)</v>
      </c>
      <c r="V47" s="37" t="s">
        <v>107</v>
      </c>
      <c r="AG47" s="118"/>
    </row>
    <row r="48" spans="2:49" ht="16.149999999999999" customHeight="1" x14ac:dyDescent="0.2">
      <c r="B48" s="317"/>
      <c r="C48" s="317"/>
      <c r="D48" s="317"/>
      <c r="E48" s="317"/>
      <c r="F48" s="317"/>
      <c r="G48" s="317"/>
      <c r="I48" s="317"/>
      <c r="J48" s="317"/>
      <c r="T48" s="37" t="str">
        <f>ListAVS!$B$148</f>
        <v>Jedwabiście biały (SW)</v>
      </c>
      <c r="AC48" s="144" t="str">
        <f>ListAVS!$B$61&amp;" "</f>
        <v xml:space="preserve">Cena całkowita bez VAT </v>
      </c>
      <c r="AD48" s="171">
        <f>SUM(AD9:AD46)</f>
        <v>0</v>
      </c>
      <c r="AF48" s="201">
        <f>SUM(AF9:AF47)</f>
        <v>0</v>
      </c>
      <c r="AH48" s="201">
        <f>SUM(AH9:AH47)</f>
        <v>0</v>
      </c>
    </row>
    <row r="49" spans="2:48" ht="16.149999999999999" customHeight="1" x14ac:dyDescent="0.2">
      <c r="B49" s="316"/>
      <c r="C49" s="317"/>
      <c r="D49" s="317"/>
      <c r="E49" s="317"/>
      <c r="F49" s="317"/>
      <c r="G49" s="317"/>
      <c r="I49" s="317"/>
      <c r="J49" s="317"/>
      <c r="N49" s="37" t="str">
        <f>ListAVS!B188&amp;". "</f>
        <v xml:space="preserve">W celu określenia rodzaju siłownika będzie wykorzystana podana waga. </v>
      </c>
    </row>
    <row r="50" spans="2:48" ht="16.149999999999999" customHeight="1" x14ac:dyDescent="0.2">
      <c r="B50" s="144"/>
      <c r="C50" s="317"/>
      <c r="N50" s="37" t="str">
        <f>ListAVS!B189&amp;". "</f>
        <v xml:space="preserve">W celu określenia rodzaju siłownika będzie wykorzystana obliczona waga. </v>
      </c>
    </row>
    <row r="51" spans="2:48" ht="20.100000000000001" customHeight="1" x14ac:dyDescent="0.2">
      <c r="B51" s="144"/>
      <c r="N51" s="37" t="str">
        <f>ListAVS!B190</f>
        <v>Jeżeli chcesz wykorzystać obliczoną wagę, zmaż podaną wartość</v>
      </c>
    </row>
    <row r="52" spans="2:48" x14ac:dyDescent="0.2">
      <c r="B52" s="155"/>
      <c r="D52" s="155"/>
      <c r="E52" s="155"/>
      <c r="F52" s="155"/>
      <c r="G52" s="155"/>
      <c r="I52" s="155"/>
      <c r="J52" s="155"/>
      <c r="N52" s="37" t="str">
        <f>ListAVS!B191</f>
        <v>Jeżeli chcesz wykorzystać podaną wagą, wpisz ją w pole</v>
      </c>
    </row>
    <row r="55" spans="2:48" x14ac:dyDescent="0.2">
      <c r="AQ55" s="37"/>
      <c r="AR55" s="37"/>
      <c r="AS55" s="37"/>
      <c r="AT55" s="37"/>
      <c r="AU55" s="37"/>
      <c r="AV55" s="37"/>
    </row>
    <row r="56" spans="2:48" x14ac:dyDescent="0.2">
      <c r="AQ56" s="37"/>
      <c r="AR56" s="37"/>
      <c r="AS56" s="37"/>
      <c r="AT56" s="37"/>
      <c r="AU56" s="37"/>
      <c r="AV56" s="37"/>
    </row>
    <row r="68" spans="1:49" ht="12.75" x14ac:dyDescent="0.2">
      <c r="A68" s="255"/>
      <c r="N68" s="255"/>
      <c r="O68" s="255"/>
      <c r="P68" s="255"/>
      <c r="Q68" s="255"/>
      <c r="R68" s="255"/>
      <c r="S68" s="255"/>
      <c r="T68" s="255"/>
      <c r="U68" s="255"/>
      <c r="V68" s="255"/>
      <c r="W68" s="255"/>
    </row>
    <row r="69" spans="1:49" ht="12.75" x14ac:dyDescent="0.2">
      <c r="A69" s="255"/>
      <c r="N69" s="517" t="str">
        <f>ListAVS!$B$73</f>
        <v>Obliczanie wagi frontów</v>
      </c>
      <c r="O69" s="518"/>
      <c r="P69" s="518"/>
      <c r="Q69" s="518"/>
      <c r="R69" s="518"/>
      <c r="S69" s="255"/>
      <c r="T69" s="255"/>
      <c r="U69" s="255"/>
      <c r="V69" s="255"/>
      <c r="W69" s="255"/>
    </row>
    <row r="70" spans="1:49" ht="15.75" customHeight="1" x14ac:dyDescent="0.2">
      <c r="A70" s="255"/>
      <c r="N70" s="255"/>
      <c r="O70" s="137"/>
      <c r="P70" s="269" t="str">
        <f>ListAVS!$B$180&amp;"  "</f>
        <v xml:space="preserve">Wykonanie frontów  </v>
      </c>
      <c r="Q70" s="255"/>
      <c r="R70" s="255"/>
      <c r="S70" s="255"/>
      <c r="T70" s="829">
        <f>J4</f>
        <v>0</v>
      </c>
      <c r="U70" s="262" t="str">
        <f>IF(Z77=3,IF(T70=0,Y72," "),IF(T70&gt;0,Y73," "))</f>
        <v xml:space="preserve"> </v>
      </c>
      <c r="V70" s="255"/>
      <c r="W70" s="255"/>
      <c r="Y70" s="149" t="str">
        <f>IF($Z$77=1,$Z$78,IF($Z$77=2,$Z$79,$Z$80&amp;" "&amp;$Y$80&amp;"kg/m3"))&amp;" A~"&amp;$T$78&amp;"/ B~"&amp;$T$89&amp;"mm"</f>
        <v>MDF (760 kg/m3) A~0/ B~0mm</v>
      </c>
      <c r="Z70" s="118"/>
      <c r="AB70" s="118"/>
      <c r="AD70" s="598">
        <f>MenuAVS!$Q$81</f>
        <v>2500</v>
      </c>
    </row>
    <row r="71" spans="1:49" ht="13.5" customHeight="1" x14ac:dyDescent="0.2">
      <c r="A71" s="255"/>
      <c r="N71" s="255"/>
      <c r="O71" s="255"/>
      <c r="P71" s="1151" t="str">
        <f>IF($Z$77&lt;&gt;3,$Y$71," ")&amp;"      "</f>
        <v xml:space="preserve"> Możesz zmienić wartości we Wstępie do planowania      </v>
      </c>
      <c r="Q71" s="1151"/>
      <c r="R71" s="1151"/>
      <c r="S71" s="1151"/>
      <c r="T71" s="1151"/>
      <c r="U71" s="255"/>
      <c r="V71" s="255"/>
      <c r="W71" s="255"/>
      <c r="Y71" s="37" t="str">
        <f>" "&amp;ListAVS!$B$410</f>
        <v xml:space="preserve"> Możesz zmienić wartości we Wstępie do planowania</v>
      </c>
      <c r="Z71" s="118"/>
      <c r="AB71" s="118"/>
    </row>
    <row r="72" spans="1:49" ht="15" customHeight="1" x14ac:dyDescent="0.2">
      <c r="A72" s="255"/>
      <c r="N72" s="266"/>
      <c r="O72" s="255"/>
      <c r="P72" s="255"/>
      <c r="Q72" s="255"/>
      <c r="R72" s="255"/>
      <c r="S72" s="255"/>
      <c r="T72" s="255"/>
      <c r="U72" s="255"/>
      <c r="V72" s="255"/>
      <c r="W72" s="255"/>
      <c r="Y72" s="37" t="str">
        <f>" "&amp;ListAVS!$B$245&amp;" [kg/m3]"</f>
        <v xml:space="preserve"> Podaj masę objętościową [kg/m3]</v>
      </c>
      <c r="Z72" s="118"/>
      <c r="AB72" s="118"/>
      <c r="AQ72" s="118"/>
      <c r="AR72" s="118"/>
      <c r="AS72" s="118"/>
      <c r="AT72" s="118"/>
      <c r="AU72" s="118"/>
      <c r="AV72" s="118"/>
    </row>
    <row r="73" spans="1:49" ht="15" customHeight="1" x14ac:dyDescent="0.2">
      <c r="A73" s="255"/>
      <c r="N73" s="266"/>
      <c r="O73" s="255"/>
      <c r="P73" s="255"/>
      <c r="Q73" s="255"/>
      <c r="R73" s="255"/>
      <c r="S73" s="255"/>
      <c r="T73" s="255"/>
      <c r="U73" s="255"/>
      <c r="V73" s="255"/>
      <c r="W73" s="255"/>
      <c r="Y73" s="37" t="str">
        <f>" "&amp;ListAVS!$B$241&amp;" '"&amp;ListAVS!$B$92&amp;"'"</f>
        <v xml:space="preserve"> Wartość obowiązuje tylko dla opcji 'Inne – wybrana gęstość materiału'</v>
      </c>
      <c r="Z73" s="118"/>
      <c r="AB73" s="118"/>
      <c r="AQ73" s="118"/>
      <c r="AR73" s="118"/>
      <c r="AS73" s="118"/>
      <c r="AT73" s="118"/>
      <c r="AU73" s="118"/>
      <c r="AV73" s="118"/>
    </row>
    <row r="74" spans="1:49" ht="15" customHeight="1" x14ac:dyDescent="0.2">
      <c r="A74" s="255"/>
      <c r="N74" s="255"/>
      <c r="O74" s="255"/>
      <c r="P74" s="255"/>
      <c r="Q74" s="255"/>
      <c r="R74" s="255"/>
      <c r="S74" s="255"/>
      <c r="T74" s="255"/>
      <c r="U74" s="255"/>
      <c r="V74" s="255"/>
      <c r="W74" s="255"/>
      <c r="Z74" s="118"/>
      <c r="AB74" s="118"/>
      <c r="AQ74" s="118"/>
      <c r="AR74" s="118"/>
      <c r="AS74" s="118"/>
      <c r="AT74" s="118"/>
      <c r="AU74" s="118"/>
      <c r="AV74" s="118"/>
      <c r="AW74" s="118"/>
    </row>
    <row r="75" spans="1:49" ht="15" customHeight="1" x14ac:dyDescent="0.2">
      <c r="A75" s="255"/>
      <c r="N75" s="266"/>
      <c r="O75" s="266"/>
      <c r="P75" s="266"/>
      <c r="Q75" s="255"/>
      <c r="R75" s="1148" t="str">
        <f>D9</f>
        <v xml:space="preserve"> </v>
      </c>
      <c r="S75" s="1149"/>
      <c r="T75" s="1150"/>
      <c r="U75" s="255"/>
      <c r="V75" s="255"/>
      <c r="W75" s="255"/>
      <c r="Z75" s="118"/>
      <c r="AB75" s="118"/>
      <c r="AD75" s="209"/>
      <c r="AE75" s="601" t="s">
        <v>68</v>
      </c>
      <c r="AF75" s="601" t="s">
        <v>69</v>
      </c>
      <c r="AG75" s="601" t="s">
        <v>70</v>
      </c>
      <c r="AQ75" s="118"/>
      <c r="AR75" s="118"/>
      <c r="AS75" s="118"/>
      <c r="AT75" s="118"/>
      <c r="AU75" s="118"/>
      <c r="AV75" s="118"/>
      <c r="AW75" s="118"/>
    </row>
    <row r="76" spans="1:49" s="118" customFormat="1" ht="15" customHeight="1" x14ac:dyDescent="0.2">
      <c r="A76" s="255"/>
      <c r="N76" s="1138" t="str">
        <f>ListAVS!$B$74&amp;" KB [mm]       "</f>
        <v xml:space="preserve">Szerokość korpusu KB [mm]       </v>
      </c>
      <c r="O76" s="1139"/>
      <c r="P76" s="1139"/>
      <c r="Q76" s="1139"/>
      <c r="R76" s="1139"/>
      <c r="S76" s="1140"/>
      <c r="T76" s="829">
        <f>H10</f>
        <v>0</v>
      </c>
      <c r="U76" s="670"/>
      <c r="V76" s="248"/>
      <c r="W76" s="255"/>
      <c r="X76" s="37"/>
      <c r="Y76" s="37">
        <f>T76*T77*T78</f>
        <v>0</v>
      </c>
      <c r="Z76" s="37"/>
      <c r="AA76" s="37"/>
      <c r="AC76" s="37"/>
      <c r="AD76" s="325">
        <f>IF($AG$76=1,$X$95,$X$96)</f>
        <v>0.31</v>
      </c>
      <c r="AE76" s="339">
        <f>$X$97</f>
        <v>0.46</v>
      </c>
      <c r="AF76" s="327">
        <v>1</v>
      </c>
      <c r="AG76" s="328">
        <f>$O$4</f>
        <v>1</v>
      </c>
      <c r="AH76" s="37"/>
      <c r="AJ76" s="37"/>
      <c r="AK76" s="37"/>
      <c r="AL76" s="108"/>
      <c r="AM76" s="108"/>
      <c r="AN76" s="108"/>
      <c r="AO76" s="137"/>
      <c r="AP76" s="137"/>
    </row>
    <row r="77" spans="1:49" s="118" customFormat="1" ht="15" customHeight="1" x14ac:dyDescent="0.2">
      <c r="A77" s="255"/>
      <c r="N77" s="1138" t="str">
        <f>ListAVS!$B$75&amp;" KH [mm]       "</f>
        <v xml:space="preserve">Wysokość korpusu KH [mm]       </v>
      </c>
      <c r="O77" s="1139"/>
      <c r="P77" s="1139"/>
      <c r="Q77" s="1139"/>
      <c r="R77" s="1139"/>
      <c r="S77" s="1140"/>
      <c r="T77" s="829">
        <f>H11</f>
        <v>0</v>
      </c>
      <c r="U77" s="670"/>
      <c r="V77" s="248"/>
      <c r="W77" s="255"/>
      <c r="X77" s="37"/>
      <c r="Y77" s="37">
        <f>Y76/1000000000</f>
        <v>0</v>
      </c>
      <c r="Z77" s="117">
        <v>1</v>
      </c>
      <c r="AC77" s="37"/>
      <c r="AD77" s="153" t="s">
        <v>71</v>
      </c>
      <c r="AE77" s="209">
        <f>SUM(T76*2,(T77-40)*2)*AD76/1000</f>
        <v>-2.4799999999999999E-2</v>
      </c>
      <c r="AF77" s="601" t="s">
        <v>72</v>
      </c>
      <c r="AG77" s="601"/>
      <c r="AH77" s="37"/>
      <c r="AJ77" s="37"/>
      <c r="AK77" s="37"/>
      <c r="AL77" s="108"/>
      <c r="AM77" s="108"/>
      <c r="AN77" s="108"/>
      <c r="AO77" s="137"/>
      <c r="AP77" s="137"/>
      <c r="AQ77" s="137"/>
      <c r="AR77" s="137"/>
      <c r="AS77" s="137"/>
      <c r="AT77" s="137"/>
      <c r="AU77" s="137"/>
      <c r="AV77" s="137"/>
    </row>
    <row r="78" spans="1:49" s="118" customFormat="1" ht="15" customHeight="1" x14ac:dyDescent="0.2">
      <c r="A78" s="255"/>
      <c r="N78" s="1143" t="str">
        <f>ListAVS!$B$80&amp;" TS [mm] "</f>
        <v xml:space="preserve">Grubość frontu TS [mm] </v>
      </c>
      <c r="O78" s="1144"/>
      <c r="P78" s="1144"/>
      <c r="Q78" s="1144"/>
      <c r="R78" s="1144"/>
      <c r="S78" s="1145"/>
      <c r="T78" s="829">
        <f>H13</f>
        <v>0</v>
      </c>
      <c r="U78" s="256" t="str">
        <f>IF(SUM(T76,T77)=0," ",IF(T78=0," ● "&amp;ListAVS!$B$129," "))</f>
        <v xml:space="preserve"> </v>
      </c>
      <c r="V78" s="248"/>
      <c r="W78" s="255"/>
      <c r="X78" s="37"/>
      <c r="Y78" s="319">
        <f>MenuAVS!$C$31</f>
        <v>760</v>
      </c>
      <c r="Z78" s="175" t="str">
        <f>ListAVS!$B$90&amp;" ("&amp;Y78&amp;" kg/m3)"</f>
        <v>MDF (760 kg/m3)</v>
      </c>
      <c r="AC78" s="37"/>
      <c r="AD78" s="209">
        <f>$AD$70*4/1000</f>
        <v>10</v>
      </c>
      <c r="AE78" s="330">
        <f>IF($AG$76=1,AF78*AD78,AG78*AD78)</f>
        <v>8.9999999999999993E-3</v>
      </c>
      <c r="AF78" s="209">
        <f>SUM(($T$76-30)*($T$77-30)/1000000)</f>
        <v>8.9999999999999998E-4</v>
      </c>
      <c r="AG78" s="351">
        <f>SUM(($T$76-6)*($T$77-6)/1000000)</f>
        <v>3.6000000000000001E-5</v>
      </c>
      <c r="AH78" s="208" t="s">
        <v>73</v>
      </c>
      <c r="AJ78" s="37"/>
      <c r="AK78" s="37"/>
      <c r="AL78" s="108"/>
      <c r="AM78" s="108"/>
      <c r="AN78" s="108"/>
      <c r="AO78" s="137"/>
      <c r="AP78" s="137"/>
      <c r="AQ78" s="137"/>
      <c r="AR78" s="137"/>
      <c r="AS78" s="137"/>
      <c r="AT78" s="137"/>
      <c r="AU78" s="137"/>
      <c r="AV78" s="137"/>
    </row>
    <row r="79" spans="1:49" s="118" customFormat="1" ht="15" customHeight="1" x14ac:dyDescent="0.2">
      <c r="A79" s="255"/>
      <c r="N79" s="1143" t="str">
        <f>ListAVS!$B$83&amp;" [kg] "</f>
        <v xml:space="preserve">Waga uchwytu [kg] </v>
      </c>
      <c r="O79" s="1144"/>
      <c r="P79" s="1144"/>
      <c r="Q79" s="1144"/>
      <c r="R79" s="1144"/>
      <c r="S79" s="1145"/>
      <c r="T79" s="829">
        <f>H14</f>
        <v>0</v>
      </c>
      <c r="U79" s="256" t="str">
        <f>IF($U$16=3," ",IF(SUM(T76,T77)=0," ",IF(T79=0," ● "&amp;ListAVS!$B$130," ")))</f>
        <v xml:space="preserve"> </v>
      </c>
      <c r="V79" s="248"/>
      <c r="W79" s="255"/>
      <c r="X79" s="37"/>
      <c r="Y79" s="319">
        <f>MenuAVS!$C$32</f>
        <v>680</v>
      </c>
      <c r="Z79" s="175" t="str">
        <f>ListAVS!$B$91&amp;" ("&amp;Y79&amp;" kg/m3)"</f>
        <v>Płyta wiórowa (680 kg/m3)</v>
      </c>
      <c r="AC79" s="37"/>
      <c r="AD79" s="209">
        <f>$AD$70*5/1000</f>
        <v>12.5</v>
      </c>
      <c r="AE79" s="330">
        <f>IF($AG$76=1,AF79*AD79,AG79*AD79)</f>
        <v>1.125E-2</v>
      </c>
      <c r="AF79" s="209">
        <f>SUM(($T$76-30)*($T$77-30)/1000000)</f>
        <v>8.9999999999999998E-4</v>
      </c>
      <c r="AG79" s="351">
        <f>SUM(($T$76-6)*($T$77-6)/1000000)</f>
        <v>3.6000000000000001E-5</v>
      </c>
      <c r="AH79" s="208" t="s">
        <v>74</v>
      </c>
      <c r="AJ79" s="37"/>
      <c r="AK79" s="37"/>
      <c r="AL79" s="108"/>
      <c r="AM79" s="108"/>
      <c r="AN79" s="108"/>
      <c r="AO79" s="137"/>
      <c r="AP79" s="137"/>
      <c r="AW79" s="137"/>
    </row>
    <row r="80" spans="1:49" s="118" customFormat="1" ht="15" customHeight="1" x14ac:dyDescent="0.2">
      <c r="A80" s="255"/>
      <c r="N80" s="1143" t="str">
        <f>ListAVS!$B$79&amp;" [kg] "</f>
        <v xml:space="preserve">Obliczona waga frontu [kg] </v>
      </c>
      <c r="O80" s="1144"/>
      <c r="P80" s="1144"/>
      <c r="Q80" s="1144"/>
      <c r="R80" s="1144"/>
      <c r="S80" s="1145"/>
      <c r="T80" s="534">
        <f>IF(AD81=0,0,AD81+2*T79)</f>
        <v>0</v>
      </c>
      <c r="U80" s="227"/>
      <c r="V80" s="248"/>
      <c r="W80" s="255"/>
      <c r="X80" s="186">
        <f>IF(T76*T77*T78=0,0,IF(Z77=1,Y77*Y78,IF(Z77=2,Y77*Y79,Y77*Y80)))</f>
        <v>0</v>
      </c>
      <c r="Y80" s="37">
        <f>$T$70</f>
        <v>0</v>
      </c>
      <c r="Z80" s="175" t="str">
        <f>ListAVS!$B$92</f>
        <v>Inne – wybrana gęstość materiału</v>
      </c>
      <c r="AC80" s="37"/>
      <c r="AD80" s="209">
        <f>$AD$70*$T$70/1000</f>
        <v>0</v>
      </c>
      <c r="AE80" s="330">
        <f>IF($AG$76=1,AF80*AD80,AG80*AD80)</f>
        <v>0</v>
      </c>
      <c r="AF80" s="209">
        <f>SUM(($T$76-30)*($T$77-30)/1000000)</f>
        <v>8.9999999999999998E-4</v>
      </c>
      <c r="AG80" s="351">
        <f>SUM(($T$76-6)*($T$77-6)/1000000)</f>
        <v>3.6000000000000001E-5</v>
      </c>
      <c r="AH80" s="208" t="s">
        <v>75</v>
      </c>
      <c r="AJ80" s="37"/>
      <c r="AK80" s="37"/>
      <c r="AL80" s="108"/>
      <c r="AM80" s="108"/>
      <c r="AN80" s="108"/>
      <c r="AO80" s="137"/>
      <c r="AP80" s="137"/>
      <c r="AW80" s="137"/>
    </row>
    <row r="81" spans="1:49" ht="15" customHeight="1" x14ac:dyDescent="0.2">
      <c r="A81" s="255"/>
      <c r="N81" s="255"/>
      <c r="O81" s="273" t="str">
        <f>IF((U16=3)*AND(T80&gt;0)*AND(T79&gt;0),$Z$96&amp;" "&amp;$Z$97,IF((U16&lt;&gt;3)*AND(T80&gt;0),IF(T79=0,$Z$95," ")," "))</f>
        <v xml:space="preserve"> </v>
      </c>
      <c r="P81" s="255"/>
      <c r="Q81" s="255"/>
      <c r="R81" s="255"/>
      <c r="S81" s="255"/>
      <c r="T81" s="255"/>
      <c r="U81" s="255"/>
      <c r="V81" s="255"/>
      <c r="W81" s="255"/>
      <c r="Z81" s="118"/>
      <c r="AB81" s="118"/>
      <c r="AD81" s="332">
        <f>IF(OR(AND(AF76=3, $T$70=0), T76*T77=0), 0, SUM(IF(AF76=1,AE78,IF(AF76=2,AE79,AE80)),AE77,AE76))</f>
        <v>0</v>
      </c>
      <c r="AQ81" s="118"/>
      <c r="AR81" s="118"/>
      <c r="AS81" s="118"/>
      <c r="AT81" s="118"/>
      <c r="AU81" s="118"/>
      <c r="AV81" s="118"/>
      <c r="AW81" s="118"/>
    </row>
    <row r="82" spans="1:49" ht="15" customHeight="1" x14ac:dyDescent="0.2">
      <c r="A82" s="255"/>
      <c r="N82" s="255"/>
      <c r="O82" s="273"/>
      <c r="P82" s="255"/>
      <c r="Q82" s="255"/>
      <c r="R82" s="255"/>
      <c r="S82" s="255"/>
      <c r="T82" s="255"/>
      <c r="U82" s="255"/>
      <c r="V82" s="255"/>
      <c r="W82" s="255"/>
      <c r="Z82" s="118"/>
      <c r="AB82" s="118"/>
      <c r="AQ82" s="118"/>
      <c r="AR82" s="118"/>
      <c r="AS82" s="118"/>
      <c r="AT82" s="118"/>
      <c r="AU82" s="118"/>
      <c r="AV82" s="118"/>
      <c r="AW82" s="118"/>
    </row>
    <row r="83" spans="1:49" ht="15" customHeight="1" x14ac:dyDescent="0.2">
      <c r="A83" s="255"/>
      <c r="N83" s="255"/>
      <c r="O83" s="273"/>
      <c r="P83" s="255"/>
      <c r="Q83" s="255"/>
      <c r="R83" s="255"/>
      <c r="S83" s="255"/>
      <c r="T83" s="255"/>
      <c r="U83" s="255"/>
      <c r="V83" s="255"/>
      <c r="W83" s="255"/>
      <c r="Z83" s="118"/>
      <c r="AB83" s="118"/>
      <c r="AQ83" s="118"/>
      <c r="AR83" s="118"/>
      <c r="AS83" s="118"/>
      <c r="AT83" s="118"/>
      <c r="AU83" s="118"/>
      <c r="AV83" s="118"/>
      <c r="AW83" s="118"/>
    </row>
    <row r="84" spans="1:49" ht="15" customHeight="1" x14ac:dyDescent="0.2">
      <c r="A84" s="255"/>
      <c r="N84" s="255"/>
      <c r="O84" s="255"/>
      <c r="P84" s="255"/>
      <c r="Q84" s="255"/>
      <c r="R84" s="255"/>
      <c r="S84" s="255"/>
      <c r="T84" s="255"/>
      <c r="U84" s="255"/>
      <c r="V84" s="255"/>
      <c r="W84" s="255"/>
      <c r="Z84" s="118"/>
      <c r="AB84" s="118"/>
      <c r="AQ84" s="118"/>
      <c r="AR84" s="118"/>
      <c r="AS84" s="118"/>
      <c r="AT84" s="118"/>
      <c r="AU84" s="118"/>
      <c r="AV84" s="118"/>
      <c r="AW84" s="118"/>
    </row>
    <row r="85" spans="1:49" s="118" customFormat="1" ht="15" customHeight="1" x14ac:dyDescent="0.2">
      <c r="A85" s="255"/>
      <c r="N85" s="255"/>
      <c r="O85" s="255"/>
      <c r="P85" s="255"/>
      <c r="Q85" s="255"/>
      <c r="R85" s="255"/>
      <c r="S85" s="255"/>
      <c r="T85" s="255"/>
      <c r="U85" s="255"/>
      <c r="V85" s="255"/>
      <c r="W85" s="255"/>
      <c r="X85" s="37"/>
      <c r="Y85" s="37"/>
      <c r="AA85" s="37"/>
      <c r="AC85" s="37"/>
      <c r="AD85" s="37"/>
      <c r="AE85" s="37"/>
      <c r="AF85" s="37"/>
      <c r="AG85" s="37"/>
      <c r="AH85" s="37"/>
      <c r="AJ85" s="37"/>
      <c r="AK85" s="37"/>
      <c r="AL85" s="108"/>
      <c r="AM85" s="108"/>
      <c r="AN85" s="108"/>
      <c r="AO85" s="137"/>
      <c r="AP85" s="137"/>
    </row>
    <row r="86" spans="1:49" s="118" customFormat="1" ht="15" customHeight="1" x14ac:dyDescent="0.2">
      <c r="A86" s="255"/>
      <c r="N86" s="248"/>
      <c r="O86" s="248"/>
      <c r="P86" s="248"/>
      <c r="Q86" s="255"/>
      <c r="R86" s="1148" t="str">
        <f>D20</f>
        <v xml:space="preserve"> </v>
      </c>
      <c r="S86" s="1149"/>
      <c r="T86" s="1150"/>
      <c r="U86" s="255"/>
      <c r="V86" s="255"/>
      <c r="W86" s="255"/>
      <c r="X86" s="37"/>
      <c r="AA86" s="37"/>
      <c r="AC86" s="37"/>
      <c r="AD86" s="209"/>
      <c r="AE86" s="601" t="s">
        <v>68</v>
      </c>
      <c r="AF86" s="601" t="s">
        <v>69</v>
      </c>
      <c r="AG86" s="601" t="s">
        <v>70</v>
      </c>
      <c r="AH86" s="37"/>
      <c r="AJ86" s="37"/>
      <c r="AK86" s="37"/>
      <c r="AL86" s="108"/>
      <c r="AM86" s="108"/>
      <c r="AN86" s="108"/>
      <c r="AO86" s="137"/>
      <c r="AP86" s="137"/>
    </row>
    <row r="87" spans="1:49" s="118" customFormat="1" ht="15" customHeight="1" x14ac:dyDescent="0.2">
      <c r="A87" s="255"/>
      <c r="N87" s="1138" t="str">
        <f>ListAVS!$B$74&amp;" KB [mm]       "</f>
        <v xml:space="preserve">Szerokość korpusu KB [mm]       </v>
      </c>
      <c r="O87" s="1139"/>
      <c r="P87" s="1139"/>
      <c r="Q87" s="1139"/>
      <c r="R87" s="1139"/>
      <c r="S87" s="1140"/>
      <c r="T87" s="829">
        <f>H21</f>
        <v>0</v>
      </c>
      <c r="U87" s="670"/>
      <c r="V87" s="255"/>
      <c r="W87" s="255"/>
      <c r="X87" s="37"/>
      <c r="Y87" s="37">
        <f>T87*T88*T89</f>
        <v>0</v>
      </c>
      <c r="Z87" s="37"/>
      <c r="AA87" s="37"/>
      <c r="AC87" s="37"/>
      <c r="AD87" s="325">
        <f>IF($AG$76=1,$X$95,$X$96)</f>
        <v>0.31</v>
      </c>
      <c r="AE87" s="339">
        <f>$X$97</f>
        <v>0.46</v>
      </c>
      <c r="AF87" s="333">
        <f>$AF$76</f>
        <v>1</v>
      </c>
      <c r="AG87" s="328">
        <f>$O$4</f>
        <v>1</v>
      </c>
      <c r="AH87" s="37"/>
      <c r="AJ87" s="37"/>
      <c r="AK87" s="37"/>
      <c r="AL87" s="108"/>
      <c r="AM87" s="108"/>
      <c r="AN87" s="108"/>
      <c r="AO87" s="137"/>
      <c r="AP87" s="137"/>
    </row>
    <row r="88" spans="1:49" s="118" customFormat="1" ht="15" customHeight="1" x14ac:dyDescent="0.2">
      <c r="A88" s="255"/>
      <c r="N88" s="1138" t="str">
        <f>ListAVS!$B$75&amp;" KH [mm]       "</f>
        <v xml:space="preserve">Wysokość korpusu KH [mm]       </v>
      </c>
      <c r="O88" s="1139"/>
      <c r="P88" s="1139"/>
      <c r="Q88" s="1139"/>
      <c r="R88" s="1139"/>
      <c r="S88" s="1140"/>
      <c r="T88" s="829">
        <f>H22</f>
        <v>0</v>
      </c>
      <c r="U88" s="670"/>
      <c r="V88" s="255"/>
      <c r="W88" s="255"/>
      <c r="X88" s="37"/>
      <c r="Y88" s="37">
        <f>Y87/1000000000</f>
        <v>0</v>
      </c>
      <c r="Z88" s="182">
        <f>Z77</f>
        <v>1</v>
      </c>
      <c r="AC88" s="37"/>
      <c r="AD88" s="144" t="s">
        <v>71</v>
      </c>
      <c r="AE88" s="209">
        <f>SUM(T87*2,(T88-40)*2)*AD87/1000</f>
        <v>-2.4799999999999999E-2</v>
      </c>
      <c r="AF88" s="601" t="s">
        <v>72</v>
      </c>
      <c r="AG88" s="601"/>
      <c r="AH88" s="37"/>
      <c r="AJ88" s="37"/>
      <c r="AK88" s="37"/>
      <c r="AL88" s="108"/>
      <c r="AM88" s="108"/>
      <c r="AN88" s="108"/>
      <c r="AO88" s="137"/>
      <c r="AP88" s="137"/>
    </row>
    <row r="89" spans="1:49" s="118" customFormat="1" ht="15" customHeight="1" x14ac:dyDescent="0.2">
      <c r="A89" s="255"/>
      <c r="N89" s="1143" t="str">
        <f>ListAVS!$B$80&amp;" TS [mm] "</f>
        <v xml:space="preserve">Grubość frontu TS [mm] </v>
      </c>
      <c r="O89" s="1144"/>
      <c r="P89" s="1144"/>
      <c r="Q89" s="1144"/>
      <c r="R89" s="1144"/>
      <c r="S89" s="1145"/>
      <c r="T89" s="829">
        <f>H24</f>
        <v>0</v>
      </c>
      <c r="U89" s="256" t="str">
        <f>IF(SUM(T87,T88)=0," ",IF(T89=0," ● "&amp;ListAVS!$B$129," "))</f>
        <v xml:space="preserve"> </v>
      </c>
      <c r="V89" s="248"/>
      <c r="W89" s="248"/>
      <c r="X89" s="37"/>
      <c r="Y89" s="319">
        <f>$Y$78</f>
        <v>760</v>
      </c>
      <c r="Z89" s="37" t="str">
        <f>$Z$78</f>
        <v>MDF (760 kg/m3)</v>
      </c>
      <c r="AC89" s="37"/>
      <c r="AD89" s="37">
        <f>AD78</f>
        <v>10</v>
      </c>
      <c r="AE89" s="330">
        <f>IF($AG$76=1,AF89*AD89,AG89*AD89)</f>
        <v>8.9999999999999993E-3</v>
      </c>
      <c r="AF89" s="209">
        <f>SUM(($T$87-30)*($T$88-30)/1000000)</f>
        <v>8.9999999999999998E-4</v>
      </c>
      <c r="AG89" s="209">
        <f>SUM(($T$87-6)*($T$88-6)/1000000)</f>
        <v>3.6000000000000001E-5</v>
      </c>
      <c r="AH89" s="208" t="s">
        <v>73</v>
      </c>
      <c r="AJ89" s="37"/>
      <c r="AK89" s="37"/>
      <c r="AL89" s="108"/>
      <c r="AM89" s="108"/>
      <c r="AN89" s="108"/>
      <c r="AO89" s="137"/>
      <c r="AP89" s="137"/>
    </row>
    <row r="90" spans="1:49" s="118" customFormat="1" ht="15" customHeight="1" x14ac:dyDescent="0.2">
      <c r="A90" s="255"/>
      <c r="N90" s="1143" t="str">
        <f>ListAVS!$B$83&amp;" [kg] "</f>
        <v xml:space="preserve">Waga uchwytu [kg] </v>
      </c>
      <c r="O90" s="1144"/>
      <c r="P90" s="1144"/>
      <c r="Q90" s="1144"/>
      <c r="R90" s="1144"/>
      <c r="S90" s="1145"/>
      <c r="T90" s="829">
        <f>H25</f>
        <v>0</v>
      </c>
      <c r="U90" s="256" t="str">
        <f>IF($U$27=3," ",IF(SUM(T87,T88)=0," ",IF(T90=0," ● "&amp;ListAVS!$B$130," ")))</f>
        <v xml:space="preserve"> </v>
      </c>
      <c r="V90" s="248"/>
      <c r="W90" s="248"/>
      <c r="X90" s="37"/>
      <c r="Y90" s="319">
        <f>$Y$79</f>
        <v>680</v>
      </c>
      <c r="Z90" s="37" t="str">
        <f>$Z$79</f>
        <v>Płyta wiórowa (680 kg/m3)</v>
      </c>
      <c r="AC90" s="37"/>
      <c r="AD90" s="37">
        <f>AD79</f>
        <v>12.5</v>
      </c>
      <c r="AE90" s="330">
        <f>IF($AG$76=1,AF90*AD90,AG90*AD90)</f>
        <v>1.125E-2</v>
      </c>
      <c r="AF90" s="209">
        <f>SUM(($T$87-30)*($T$88-30)/1000000)</f>
        <v>8.9999999999999998E-4</v>
      </c>
      <c r="AG90" s="209">
        <f>SUM(($T$87-6)*($T$88-6)/1000000)</f>
        <v>3.6000000000000001E-5</v>
      </c>
      <c r="AH90" s="208" t="s">
        <v>74</v>
      </c>
      <c r="AJ90" s="37"/>
      <c r="AK90" s="37"/>
      <c r="AL90" s="108"/>
      <c r="AM90" s="108"/>
      <c r="AN90" s="108"/>
      <c r="AO90" s="137"/>
      <c r="AP90" s="137"/>
    </row>
    <row r="91" spans="1:49" s="118" customFormat="1" ht="15" customHeight="1" x14ac:dyDescent="0.2">
      <c r="A91" s="255"/>
      <c r="N91" s="1143" t="str">
        <f>ListAVS!$B$79&amp;" [kg] "</f>
        <v xml:space="preserve">Obliczona waga frontu [kg] </v>
      </c>
      <c r="O91" s="1144"/>
      <c r="P91" s="1144"/>
      <c r="Q91" s="1144"/>
      <c r="R91" s="1144"/>
      <c r="S91" s="1145"/>
      <c r="T91" s="534">
        <f>IF(AD92=0,0,AD92+2*T90)</f>
        <v>0</v>
      </c>
      <c r="U91" s="227"/>
      <c r="V91" s="248"/>
      <c r="W91" s="248"/>
      <c r="X91" s="186">
        <f>IF(T87*T88*T89=0,0,IF(Z88=1,Y88*Y89,IF(Z88=2,Y88*Y90,Y88*Y91)))</f>
        <v>0</v>
      </c>
      <c r="Y91" s="37">
        <f>$Y$80</f>
        <v>0</v>
      </c>
      <c r="Z91" s="37" t="str">
        <f>$Z$80</f>
        <v>Inne – wybrana gęstość materiału</v>
      </c>
      <c r="AC91" s="37"/>
      <c r="AD91" s="340">
        <f>AD80</f>
        <v>0</v>
      </c>
      <c r="AE91" s="330">
        <f>IF($AG$76=1,AF91*AD91,AG91*AD91)</f>
        <v>0</v>
      </c>
      <c r="AF91" s="209">
        <f>SUM(($T$87-30)*($T$88-30)/1000000)</f>
        <v>8.9999999999999998E-4</v>
      </c>
      <c r="AG91" s="209">
        <f>SUM(($T$87-6)*($T$88-6)/1000000)</f>
        <v>3.6000000000000001E-5</v>
      </c>
      <c r="AH91" s="208" t="s">
        <v>75</v>
      </c>
      <c r="AJ91" s="37"/>
      <c r="AK91" s="37"/>
      <c r="AL91" s="108"/>
      <c r="AM91" s="108"/>
      <c r="AN91" s="108"/>
      <c r="AO91" s="137"/>
      <c r="AP91" s="137"/>
    </row>
    <row r="92" spans="1:49" s="118" customFormat="1" ht="15" customHeight="1" x14ac:dyDescent="0.2">
      <c r="A92" s="255"/>
      <c r="N92" s="255"/>
      <c r="O92" s="273" t="str">
        <f>IF((U27=3)*AND(T91&gt;0)*AND(T90&gt;0),$Z$96&amp;" "&amp;$Z$97,IF((U27&lt;&gt;3)*AND(T91&gt;0),IF(T90=0,$Z$95," ")," "))</f>
        <v xml:space="preserve"> </v>
      </c>
      <c r="P92" s="255"/>
      <c r="Q92" s="255"/>
      <c r="R92" s="255"/>
      <c r="S92" s="255"/>
      <c r="T92" s="255"/>
      <c r="U92" s="255"/>
      <c r="V92" s="255"/>
      <c r="W92" s="255"/>
      <c r="X92" s="37"/>
      <c r="Y92" s="37"/>
      <c r="AA92" s="37"/>
      <c r="AC92" s="37"/>
      <c r="AD92" s="332">
        <f>IF(OR(AND(AF87=3, $T$70=0), T87*T88=0), 0, SUM(IF(AF87=1,AE89,IF(AF87=2,AE90,AE91)),AE88,AE87))</f>
        <v>0</v>
      </c>
      <c r="AE92" s="37"/>
      <c r="AF92" s="37"/>
      <c r="AG92" s="37"/>
      <c r="AH92" s="37"/>
      <c r="AJ92" s="37"/>
      <c r="AK92" s="37"/>
      <c r="AL92" s="108"/>
      <c r="AM92" s="108"/>
      <c r="AN92" s="108"/>
      <c r="AO92" s="137"/>
      <c r="AP92" s="137"/>
    </row>
    <row r="93" spans="1:49" s="118" customFormat="1" ht="15" customHeight="1" x14ac:dyDescent="0.2">
      <c r="A93" s="255"/>
      <c r="N93" s="255"/>
      <c r="O93" s="255"/>
      <c r="P93" s="255"/>
      <c r="Q93" s="255"/>
      <c r="R93" s="255"/>
      <c r="S93" s="255"/>
      <c r="T93" s="255"/>
      <c r="U93" s="255"/>
      <c r="V93" s="255"/>
      <c r="W93" s="255"/>
      <c r="X93" s="37"/>
      <c r="Y93" s="37"/>
      <c r="AA93" s="37"/>
      <c r="AC93" s="37"/>
      <c r="AD93" s="37"/>
      <c r="AE93" s="37"/>
      <c r="AF93" s="37"/>
      <c r="AG93" s="37"/>
      <c r="AH93" s="37"/>
      <c r="AJ93" s="37"/>
      <c r="AK93" s="37"/>
      <c r="AL93" s="108"/>
      <c r="AM93" s="108"/>
      <c r="AN93" s="108"/>
      <c r="AO93" s="137"/>
      <c r="AP93" s="137"/>
    </row>
    <row r="94" spans="1:49" s="118" customFormat="1" ht="15" customHeight="1" x14ac:dyDescent="0.2">
      <c r="A94" s="255"/>
      <c r="N94" s="255"/>
      <c r="O94" s="255"/>
      <c r="P94" s="255"/>
      <c r="Q94" s="255"/>
      <c r="R94" s="255"/>
      <c r="S94" s="255"/>
      <c r="T94" s="255"/>
      <c r="U94" s="255"/>
      <c r="V94" s="255"/>
      <c r="W94" s="255"/>
      <c r="X94" s="37"/>
      <c r="Y94" s="37"/>
      <c r="AA94" s="37"/>
      <c r="AC94" s="37"/>
      <c r="AD94" s="37"/>
      <c r="AE94" s="37"/>
      <c r="AF94" s="37"/>
      <c r="AG94" s="37"/>
      <c r="AH94" s="37"/>
      <c r="AJ94" s="37"/>
      <c r="AK94" s="37"/>
      <c r="AL94" s="108"/>
      <c r="AM94" s="108"/>
      <c r="AN94" s="108"/>
      <c r="AO94" s="137"/>
      <c r="AP94" s="137"/>
    </row>
    <row r="95" spans="1:49" s="118" customFormat="1" ht="15" customHeight="1" x14ac:dyDescent="0.2">
      <c r="A95" s="255"/>
      <c r="N95" s="255"/>
      <c r="O95" s="255"/>
      <c r="P95" s="255"/>
      <c r="Q95" s="255"/>
      <c r="R95" s="255"/>
      <c r="S95" s="255"/>
      <c r="T95" s="255"/>
      <c r="U95" s="255"/>
      <c r="V95" s="255"/>
      <c r="W95" s="816" t="str">
        <f>ListAVS!$B$422&amp;"  "</f>
        <v xml:space="preserve">z wpuszczanym szkłem  </v>
      </c>
      <c r="X95" s="711">
        <f>MenuAVS!$I$91</f>
        <v>0.31</v>
      </c>
      <c r="Y95" s="37"/>
      <c r="Z95" s="37" t="str">
        <f>ListAVS!$B$103&amp;"!"</f>
        <v>Bez wagi uchwytu!</v>
      </c>
      <c r="AA95" s="37"/>
      <c r="AC95" s="37"/>
      <c r="AD95" s="37"/>
      <c r="AE95" s="37"/>
      <c r="AF95" s="335" t="str">
        <f>ListAVS!$B$93</f>
        <v>Ramki aluminiowe z 4mm szkłem</v>
      </c>
      <c r="AG95" s="37"/>
      <c r="AH95" s="37"/>
      <c r="AJ95" s="37"/>
      <c r="AK95" s="37"/>
      <c r="AL95" s="108"/>
      <c r="AM95" s="108"/>
      <c r="AN95" s="108"/>
      <c r="AO95" s="137"/>
      <c r="AP95" s="137"/>
    </row>
    <row r="96" spans="1:49" s="118" customFormat="1" ht="15" customHeight="1" x14ac:dyDescent="0.2">
      <c r="A96" s="255"/>
      <c r="N96" s="255"/>
      <c r="O96" s="255"/>
      <c r="P96" s="255"/>
      <c r="Q96" s="255"/>
      <c r="R96" s="255"/>
      <c r="S96" s="816"/>
      <c r="T96" s="255"/>
      <c r="U96" s="255"/>
      <c r="V96" s="255"/>
      <c r="W96" s="816" t="str">
        <f>ListAVS!$B$423&amp;"  "</f>
        <v xml:space="preserve">ze szkłem nakładanym lub przyklejanym  </v>
      </c>
      <c r="X96" s="711">
        <f>MenuAVS!$I$92</f>
        <v>0.32</v>
      </c>
      <c r="Y96" s="37"/>
      <c r="Z96" s="37" t="str">
        <f>ListAVS!B104</f>
        <v>Na pewno masz uchwyt do wersji TIP-ON?</v>
      </c>
      <c r="AA96" s="37"/>
      <c r="AC96" s="37"/>
      <c r="AD96" s="37"/>
      <c r="AE96" s="37"/>
      <c r="AF96" s="335" t="str">
        <f>ListAVS!$B$94</f>
        <v>Ramki aluminiowe z 5mm szkłem</v>
      </c>
      <c r="AG96" s="37"/>
      <c r="AH96" s="37"/>
      <c r="AJ96" s="37"/>
      <c r="AK96" s="37"/>
      <c r="AL96" s="108"/>
      <c r="AM96" s="108"/>
      <c r="AN96" s="108"/>
      <c r="AO96" s="137"/>
      <c r="AP96" s="137"/>
    </row>
    <row r="97" spans="1:48" s="118" customFormat="1" ht="15" customHeight="1" x14ac:dyDescent="0.2">
      <c r="A97" s="255"/>
      <c r="N97" s="255"/>
      <c r="O97" s="255"/>
      <c r="P97" s="255"/>
      <c r="Q97" s="255"/>
      <c r="R97" s="255"/>
      <c r="S97" s="816"/>
      <c r="T97" s="255"/>
      <c r="U97" s="255"/>
      <c r="V97" s="255"/>
      <c r="W97" s="816" t="str">
        <f>ListAVS!$B$405&amp;" [kg/set] *  "</f>
        <v xml:space="preserve">Waga materiału łączącego  [kg/set] *  </v>
      </c>
      <c r="X97" s="711">
        <f>MenuAVS!$I$93</f>
        <v>0.46</v>
      </c>
      <c r="Y97" s="37"/>
      <c r="Z97" s="37" t="str">
        <f>ListAVS!B105&amp;"!"</f>
        <v>Jeśli nie wymaż wagę uchwytu!</v>
      </c>
      <c r="AA97" s="37"/>
      <c r="AC97" s="37"/>
      <c r="AD97" s="37"/>
      <c r="AE97" s="37"/>
      <c r="AF97" s="335" t="str">
        <f>ListAVS!$B$95</f>
        <v>Ramki aluminiowe z innym szkłem</v>
      </c>
      <c r="AG97" s="37"/>
      <c r="AH97" s="37"/>
      <c r="AJ97" s="37"/>
      <c r="AK97" s="37"/>
      <c r="AL97" s="108"/>
      <c r="AM97" s="108"/>
      <c r="AN97" s="108"/>
      <c r="AO97" s="137"/>
      <c r="AP97" s="137"/>
      <c r="AQ97" s="37"/>
      <c r="AR97" s="37"/>
      <c r="AS97" s="37"/>
      <c r="AT97" s="37"/>
      <c r="AU97" s="37"/>
      <c r="AV97" s="37"/>
    </row>
    <row r="98" spans="1:48" s="118" customFormat="1" ht="15" customHeight="1" x14ac:dyDescent="0.2">
      <c r="A98" s="255"/>
      <c r="N98" s="255"/>
      <c r="O98" s="255"/>
      <c r="P98" s="255"/>
      <c r="Q98" s="255"/>
      <c r="R98" s="255"/>
      <c r="S98" s="816"/>
      <c r="T98" s="255"/>
      <c r="U98" s="255"/>
      <c r="V98" s="255"/>
      <c r="W98" s="255"/>
      <c r="X98" s="37"/>
      <c r="Y98" s="37"/>
      <c r="AA98" s="37"/>
      <c r="AC98" s="37"/>
      <c r="AD98" s="37"/>
      <c r="AE98" s="37"/>
      <c r="AF98" s="37"/>
      <c r="AG98" s="37"/>
      <c r="AH98" s="37"/>
      <c r="AJ98" s="37"/>
      <c r="AK98" s="37"/>
      <c r="AL98" s="108"/>
      <c r="AM98" s="108"/>
      <c r="AN98" s="108"/>
      <c r="AO98" s="137"/>
      <c r="AP98" s="137"/>
      <c r="AQ98" s="37"/>
      <c r="AR98" s="37"/>
      <c r="AS98" s="37"/>
      <c r="AT98" s="37"/>
      <c r="AU98" s="37"/>
      <c r="AV98" s="37"/>
    </row>
    <row r="99" spans="1:48" ht="12.75" x14ac:dyDescent="0.2">
      <c r="A99" s="1045"/>
      <c r="T99" s="255"/>
    </row>
    <row r="100" spans="1:48" ht="15" customHeight="1" x14ac:dyDescent="0.2">
      <c r="A100" s="1045"/>
      <c r="B100" s="308" t="s">
        <v>19</v>
      </c>
      <c r="C100" s="321"/>
      <c r="D100" s="308"/>
      <c r="E100" s="308"/>
      <c r="F100" s="308"/>
      <c r="G100" s="308"/>
      <c r="H100" s="308"/>
      <c r="I100" s="308"/>
      <c r="J100" s="308"/>
      <c r="K100" s="308"/>
      <c r="L100" s="308"/>
    </row>
    <row r="101" spans="1:48" x14ac:dyDescent="0.2">
      <c r="A101" s="1045"/>
    </row>
    <row r="102" spans="1:48" ht="15" customHeight="1" x14ac:dyDescent="0.2">
      <c r="A102" s="1045"/>
      <c r="B102" s="255" t="str">
        <f>ListAVS!$B$303</f>
        <v>Odpowiedni siłownik będzie określony za pomocą współczynnika mocy</v>
      </c>
      <c r="C102" s="255"/>
      <c r="D102" s="255"/>
      <c r="E102" s="255"/>
      <c r="F102" s="255"/>
      <c r="G102" s="255"/>
      <c r="H102" s="255"/>
      <c r="I102" s="255"/>
      <c r="J102" s="255"/>
      <c r="K102" s="255"/>
      <c r="L102" s="255"/>
    </row>
    <row r="103" spans="1:48" ht="15" customHeight="1" x14ac:dyDescent="0.2">
      <c r="A103" s="1045"/>
      <c r="B103" s="255" t="str">
        <f>ListAVS!$B$341</f>
        <v>Współczynnik mocy zależy od wagi frontu (wraz z podwójną wagą uchwytu) i od wysokości korpusu.</v>
      </c>
      <c r="C103" s="255"/>
      <c r="D103" s="255"/>
      <c r="E103" s="255"/>
      <c r="F103" s="255"/>
      <c r="G103" s="255"/>
      <c r="H103" s="255"/>
      <c r="I103" s="255"/>
      <c r="J103" s="255"/>
      <c r="K103" s="255"/>
      <c r="L103" s="255"/>
    </row>
    <row r="104" spans="1:48" ht="15" customHeight="1" x14ac:dyDescent="0.2">
      <c r="A104" s="1045"/>
      <c r="B104" s="255"/>
      <c r="C104" s="695"/>
      <c r="D104" s="695"/>
      <c r="E104" s="695"/>
      <c r="F104" s="695"/>
      <c r="G104" s="695"/>
      <c r="H104" s="695"/>
      <c r="I104" s="695"/>
      <c r="J104" s="695"/>
      <c r="K104" s="695"/>
      <c r="L104" s="695"/>
    </row>
    <row r="105" spans="1:48" ht="15" customHeight="1" x14ac:dyDescent="0.2">
      <c r="A105" s="1045"/>
      <c r="B105" s="696"/>
      <c r="C105" s="696"/>
      <c r="D105" s="696"/>
      <c r="E105" s="696"/>
      <c r="F105" s="696"/>
      <c r="G105" s="696"/>
      <c r="H105" s="696"/>
      <c r="I105" s="696"/>
      <c r="J105" s="696"/>
      <c r="K105" s="696"/>
      <c r="L105" s="696"/>
    </row>
    <row r="106" spans="1:48" ht="30" customHeight="1" x14ac:dyDescent="0.2">
      <c r="A106" s="1045"/>
      <c r="B106" s="746"/>
      <c r="C106" s="746"/>
      <c r="D106" s="698" t="str">
        <f>ListAVS!$B$86&amp;" = "</f>
        <v xml:space="preserve">Współczynnik mocy = </v>
      </c>
      <c r="E106" s="1068" t="str">
        <f>ListAVS!$B$342&amp;" [kg]"</f>
        <v>wysokość korpusu (KH) [mm] x waga frontu wraz z podwójną wagą uchwytu [kg]</v>
      </c>
      <c r="F106" s="1068"/>
      <c r="G106" s="1068"/>
      <c r="H106" s="1068"/>
      <c r="I106" s="1068"/>
      <c r="J106" s="1068"/>
      <c r="K106" s="1068"/>
      <c r="L106" s="1068"/>
      <c r="N106" s="108"/>
    </row>
    <row r="107" spans="1:48" ht="15" customHeight="1" x14ac:dyDescent="0.2">
      <c r="A107" s="1045"/>
      <c r="B107" s="255"/>
      <c r="C107" s="255"/>
      <c r="D107" s="255"/>
      <c r="E107" s="255"/>
      <c r="F107" s="255"/>
      <c r="G107" s="255"/>
      <c r="H107" s="255"/>
      <c r="I107" s="255"/>
      <c r="J107" s="255"/>
      <c r="K107" s="255"/>
      <c r="L107" s="255"/>
    </row>
    <row r="108" spans="1:48" ht="15" customHeight="1" x14ac:dyDescent="0.2">
      <c r="A108" s="1045"/>
      <c r="B108" s="255"/>
      <c r="C108" s="255"/>
      <c r="D108" s="255"/>
      <c r="E108" s="255"/>
      <c r="F108" s="255"/>
      <c r="G108" s="255"/>
      <c r="H108" s="255"/>
      <c r="I108" s="255"/>
      <c r="J108" s="255"/>
      <c r="K108" s="255"/>
      <c r="L108" s="255"/>
    </row>
    <row r="109" spans="1:48" ht="15" customHeight="1" x14ac:dyDescent="0.2">
      <c r="A109" s="1045"/>
      <c r="B109" s="255"/>
      <c r="C109" s="255"/>
      <c r="D109" s="255"/>
      <c r="E109" s="255"/>
      <c r="F109" s="255"/>
      <c r="G109" s="255"/>
      <c r="H109" s="255"/>
      <c r="I109" s="255"/>
      <c r="J109" s="255"/>
      <c r="K109" s="255"/>
      <c r="L109" s="255"/>
    </row>
    <row r="110" spans="1:48" ht="15" customHeight="1" x14ac:dyDescent="0.2">
      <c r="A110" s="1045"/>
      <c r="B110" s="273"/>
      <c r="C110" s="255"/>
      <c r="D110" s="255"/>
      <c r="E110" s="255"/>
      <c r="F110" s="255"/>
      <c r="G110" s="255"/>
      <c r="H110" s="255"/>
      <c r="I110" s="255"/>
      <c r="J110" s="255"/>
      <c r="K110" s="255"/>
      <c r="L110" s="255"/>
    </row>
    <row r="111" spans="1:48" ht="15" customHeight="1" x14ac:dyDescent="0.2">
      <c r="A111" s="1045"/>
      <c r="B111" s="255"/>
      <c r="C111" s="255"/>
      <c r="D111" s="255"/>
      <c r="E111" s="255"/>
      <c r="F111" s="255"/>
      <c r="G111" s="255"/>
      <c r="H111" s="255"/>
      <c r="I111" s="255"/>
      <c r="J111" s="255"/>
      <c r="K111" s="255"/>
      <c r="L111" s="255"/>
    </row>
    <row r="112" spans="1:48" ht="15" customHeight="1" x14ac:dyDescent="0.2">
      <c r="A112" s="1045"/>
      <c r="B112" s="255" t="str">
        <f>ListAVS!$B$312</f>
        <v>Jeśli znasz wagę frontu, możesz ją wprowadzić, w przeciwnym razie skorzystaj z „Obliczenia wagi”.</v>
      </c>
      <c r="C112" s="255"/>
      <c r="D112" s="255"/>
      <c r="E112" s="255"/>
      <c r="F112" s="255"/>
      <c r="G112" s="255"/>
      <c r="H112" s="255"/>
      <c r="I112" s="255"/>
      <c r="J112" s="255"/>
      <c r="K112" s="255"/>
      <c r="L112" s="255"/>
    </row>
    <row r="113" spans="1:12" ht="15" customHeight="1" x14ac:dyDescent="0.2">
      <c r="A113" s="1045"/>
      <c r="B113" s="255" t="str">
        <f>ListAVS!$B$313</f>
        <v>W tabeli wprowadzona wartość ma pierwszeństwo aby skorzystać z wagi obliczeniowej, należy usunąć wprowadzoną wartość.</v>
      </c>
      <c r="C113" s="255"/>
      <c r="D113" s="255"/>
      <c r="E113" s="255"/>
      <c r="F113" s="255"/>
      <c r="G113" s="255"/>
      <c r="H113" s="255"/>
      <c r="I113" s="255"/>
      <c r="J113" s="255"/>
      <c r="K113" s="255"/>
      <c r="L113" s="255"/>
    </row>
    <row r="114" spans="1:12" ht="15" customHeight="1" x14ac:dyDescent="0.2">
      <c r="A114" s="1045"/>
      <c r="B114" s="255"/>
      <c r="C114" s="255"/>
      <c r="D114" s="255"/>
      <c r="E114" s="255"/>
      <c r="F114" s="255"/>
      <c r="G114" s="255"/>
      <c r="H114" s="255"/>
      <c r="I114" s="255"/>
      <c r="J114" s="255"/>
      <c r="K114" s="255"/>
      <c r="L114" s="255"/>
    </row>
    <row r="115" spans="1:12" ht="15" customHeight="1" x14ac:dyDescent="0.2">
      <c r="A115" s="1045"/>
      <c r="B115" s="255" t="str">
        <f>ListAVS!$B$307</f>
        <v>Aby zmienić rodzaj siłownika (pełna/częściowa integracja), przejdź do wyboru Hki</v>
      </c>
      <c r="C115" s="255"/>
      <c r="D115" s="255"/>
      <c r="E115" s="255"/>
      <c r="F115" s="255"/>
      <c r="G115" s="255"/>
      <c r="H115" s="255"/>
      <c r="I115" s="255"/>
      <c r="J115" s="255"/>
      <c r="K115" s="255"/>
      <c r="L115" s="255"/>
    </row>
    <row r="116" spans="1:12" ht="15" customHeight="1" x14ac:dyDescent="0.2">
      <c r="A116" s="1045"/>
      <c r="B116" s="255" t="str">
        <f>ListAVS!$B$306</f>
        <v>Aby zmienić kolor zaślepek przejdź do „Wprowadzenie do planowania”</v>
      </c>
      <c r="C116" s="255"/>
      <c r="D116" s="255"/>
      <c r="E116" s="255"/>
      <c r="F116" s="255"/>
      <c r="G116" s="255"/>
      <c r="H116" s="255"/>
      <c r="I116" s="255"/>
      <c r="J116" s="255"/>
      <c r="K116" s="255"/>
      <c r="L116" s="255"/>
    </row>
    <row r="117" spans="1:12" ht="15" customHeight="1" x14ac:dyDescent="0.2">
      <c r="A117" s="1045"/>
      <c r="B117" s="255"/>
      <c r="C117" s="255"/>
      <c r="D117" s="255"/>
      <c r="E117" s="255"/>
      <c r="F117" s="255"/>
      <c r="G117" s="255"/>
      <c r="H117" s="255"/>
      <c r="I117" s="255"/>
      <c r="J117" s="255"/>
      <c r="K117" s="255"/>
      <c r="L117" s="255"/>
    </row>
    <row r="118" spans="1:12" ht="15" customHeight="1" x14ac:dyDescent="0.2">
      <c r="A118" s="1045"/>
      <c r="B118" s="255" t="str">
        <f>ListAVS!$B$411</f>
        <v>Zwróć uwagę na wybór ramek aluminiowych</v>
      </c>
      <c r="C118" s="255"/>
      <c r="D118" s="255"/>
      <c r="E118" s="255"/>
      <c r="F118" s="255"/>
      <c r="G118" s="255"/>
      <c r="H118" s="255"/>
      <c r="I118" s="255"/>
      <c r="J118" s="255"/>
      <c r="K118" s="255"/>
      <c r="L118" s="255"/>
    </row>
    <row r="119" spans="1:12" ht="15" customHeight="1" x14ac:dyDescent="0.2">
      <c r="A119" s="1045"/>
      <c r="B119" s="255" t="str">
        <f>ListAVS!$B$412</f>
        <v>Wybierz, rodzaj, który lepiej pasuje do kształtu zastosowanej ramki aluminiowej.</v>
      </c>
      <c r="C119" s="255"/>
      <c r="D119" s="255"/>
      <c r="E119" s="255"/>
      <c r="F119" s="255"/>
      <c r="G119" s="255"/>
      <c r="H119" s="255"/>
      <c r="I119" s="255"/>
      <c r="J119" s="255"/>
      <c r="K119" s="255"/>
      <c r="L119" s="255"/>
    </row>
    <row r="120" spans="1:12" ht="15" customHeight="1" x14ac:dyDescent="0.2">
      <c r="A120" s="1045"/>
      <c r="B120" s="255" t="str">
        <f>ListAVS!$B$413</f>
        <v>Sposób mocowania szkła w ramkę znacząco wpływa na powierzchnię szkła, a co za tym idzie na jego wagę!</v>
      </c>
      <c r="C120" s="255"/>
      <c r="D120" s="255"/>
      <c r="E120" s="255"/>
      <c r="F120" s="255"/>
      <c r="G120" s="255"/>
      <c r="H120" s="255"/>
      <c r="I120" s="255"/>
      <c r="J120" s="255"/>
      <c r="K120" s="255"/>
      <c r="L120" s="255"/>
    </row>
    <row r="121" spans="1:12" ht="15" customHeight="1" x14ac:dyDescent="0.2">
      <c r="A121" s="1045"/>
      <c r="B121" s="255"/>
      <c r="C121" s="255"/>
      <c r="D121" s="255"/>
      <c r="E121" s="255"/>
      <c r="F121" s="255"/>
      <c r="G121" s="255"/>
      <c r="H121" s="255"/>
      <c r="I121" s="255"/>
      <c r="J121" s="255"/>
      <c r="K121" s="255"/>
    </row>
    <row r="122" spans="1:12" ht="15" customHeight="1" x14ac:dyDescent="0.2">
      <c r="A122" s="1045"/>
      <c r="B122" s="255"/>
      <c r="C122" s="796" t="str">
        <f>"  "&amp;ListAVS!$B$422&amp;"  "</f>
        <v xml:space="preserve">  z wpuszczanym szkłem  </v>
      </c>
      <c r="D122" s="255"/>
      <c r="E122" s="255"/>
      <c r="F122" s="255"/>
      <c r="G122" s="255"/>
      <c r="H122" s="255"/>
      <c r="I122" s="255"/>
      <c r="J122" s="255"/>
      <c r="K122" s="255"/>
      <c r="L122" s="255"/>
    </row>
    <row r="123" spans="1:12" ht="15" customHeight="1" x14ac:dyDescent="0.2">
      <c r="A123" s="1045"/>
      <c r="B123" s="255"/>
      <c r="C123" s="266"/>
      <c r="D123" s="255"/>
      <c r="E123" s="255"/>
      <c r="F123" s="255"/>
      <c r="G123" s="255"/>
      <c r="H123" s="255"/>
      <c r="I123" s="255"/>
      <c r="J123" s="255"/>
      <c r="K123" s="255"/>
      <c r="L123" s="255"/>
    </row>
    <row r="124" spans="1:12" ht="12.75" x14ac:dyDescent="0.2">
      <c r="A124" s="1045"/>
      <c r="B124" s="255"/>
      <c r="C124" s="796" t="str">
        <f>"  "&amp;ListAVS!$B$423&amp;"  "</f>
        <v xml:space="preserve">  ze szkłem nakładanym lub przyklejanym  </v>
      </c>
      <c r="D124" s="255"/>
      <c r="E124" s="255"/>
      <c r="F124" s="255"/>
      <c r="G124" s="255"/>
      <c r="H124" s="255"/>
      <c r="I124" s="255"/>
      <c r="J124" s="255"/>
      <c r="K124" s="255"/>
      <c r="L124" s="255"/>
    </row>
    <row r="125" spans="1:12" ht="12.75" x14ac:dyDescent="0.2">
      <c r="A125" s="1045"/>
      <c r="B125" s="255"/>
      <c r="C125" s="255"/>
      <c r="D125" s="255"/>
      <c r="E125" s="255"/>
      <c r="F125" s="255"/>
      <c r="G125" s="255"/>
      <c r="H125" s="255"/>
      <c r="I125" s="255"/>
      <c r="J125" s="255"/>
      <c r="K125" s="255"/>
      <c r="L125" s="255"/>
    </row>
    <row r="126" spans="1:12" ht="12.75" x14ac:dyDescent="0.2">
      <c r="A126" s="1045"/>
      <c r="B126" s="255"/>
      <c r="C126" s="255"/>
      <c r="D126" s="255"/>
      <c r="E126" s="255"/>
      <c r="F126" s="255"/>
      <c r="G126" s="255"/>
      <c r="H126" s="255"/>
      <c r="I126" s="255"/>
      <c r="J126" s="255"/>
      <c r="K126" s="255"/>
      <c r="L126" s="255"/>
    </row>
    <row r="127" spans="1:12" ht="19.899999999999999" customHeight="1" x14ac:dyDescent="0.2">
      <c r="A127" s="1045"/>
      <c r="B127" s="255"/>
      <c r="C127" s="255"/>
      <c r="D127" s="255"/>
      <c r="E127" s="255"/>
      <c r="F127" s="255"/>
      <c r="G127" s="255"/>
      <c r="H127" s="255"/>
      <c r="I127" s="255"/>
      <c r="J127" s="255"/>
      <c r="K127" s="255"/>
      <c r="L127" s="882" t="str">
        <f>ListAVS!$B$168</f>
        <v>Z powrotem</v>
      </c>
    </row>
    <row r="128" spans="1:12" ht="12.75" x14ac:dyDescent="0.2">
      <c r="A128" s="1045"/>
      <c r="B128" s="255"/>
      <c r="C128" s="255"/>
      <c r="D128" s="255"/>
      <c r="E128" s="255"/>
      <c r="F128" s="255"/>
      <c r="G128" s="255"/>
      <c r="H128" s="255"/>
      <c r="I128" s="255"/>
      <c r="J128" s="255"/>
      <c r="K128" s="255"/>
      <c r="L128" s="255"/>
    </row>
    <row r="129" spans="1:12" ht="12.75" x14ac:dyDescent="0.2">
      <c r="A129" s="1045"/>
      <c r="B129" s="255"/>
      <c r="C129" s="255"/>
      <c r="D129" s="255"/>
      <c r="E129" s="255"/>
      <c r="F129" s="255"/>
      <c r="G129" s="255"/>
      <c r="H129" s="255"/>
      <c r="I129" s="255"/>
      <c r="J129" s="255"/>
      <c r="K129" s="255"/>
      <c r="L129" s="255"/>
    </row>
    <row r="130" spans="1:12" x14ac:dyDescent="0.2">
      <c r="A130" s="1045"/>
    </row>
    <row r="131" spans="1:12" x14ac:dyDescent="0.2">
      <c r="A131" s="1045"/>
    </row>
    <row r="132" spans="1:12" x14ac:dyDescent="0.2">
      <c r="A132" s="1045"/>
    </row>
    <row r="133" spans="1:12" x14ac:dyDescent="0.2">
      <c r="A133" s="1045"/>
    </row>
    <row r="134" spans="1:12" x14ac:dyDescent="0.2">
      <c r="A134" s="1045"/>
    </row>
    <row r="135" spans="1:12" x14ac:dyDescent="0.2">
      <c r="A135" s="1045"/>
    </row>
    <row r="136" spans="1:12" x14ac:dyDescent="0.2">
      <c r="A136" s="1045"/>
    </row>
    <row r="137" spans="1:12" x14ac:dyDescent="0.2">
      <c r="A137" s="1045"/>
    </row>
    <row r="138" spans="1:12" x14ac:dyDescent="0.2">
      <c r="A138" s="1045"/>
    </row>
    <row r="139" spans="1:12" x14ac:dyDescent="0.2">
      <c r="A139" s="1045"/>
    </row>
    <row r="140" spans="1:12" x14ac:dyDescent="0.2">
      <c r="A140" s="1045"/>
    </row>
  </sheetData>
  <sheetProtection algorithmName="SHA-512" hashValue="F907GCAUW6cC7qifjbkDSV56jvRQa5JS6P911hNvn4cGeUdfJY7HcqxwvmG2XkrGA162I2ERHHfcRc3qeEI5JQ==" saltValue="4ze/8nOUS1dXSo0/I0q2rQ==" spinCount="100000" sheet="1" objects="1" scenarios="1"/>
  <mergeCells count="61">
    <mergeCell ref="AQ1:AY1"/>
    <mergeCell ref="B2:D2"/>
    <mergeCell ref="AS8:AS9"/>
    <mergeCell ref="B9:C9"/>
    <mergeCell ref="F9:H9"/>
    <mergeCell ref="R9:S9"/>
    <mergeCell ref="V9:W9"/>
    <mergeCell ref="K4:L5"/>
    <mergeCell ref="F5:J5"/>
    <mergeCell ref="B7:C7"/>
    <mergeCell ref="G7:H7"/>
    <mergeCell ref="AQ8:AR9"/>
    <mergeCell ref="V10:W10"/>
    <mergeCell ref="AQ10:AR10"/>
    <mergeCell ref="B11:G11"/>
    <mergeCell ref="AQ11:AR11"/>
    <mergeCell ref="B13:C15"/>
    <mergeCell ref="D13:G13"/>
    <mergeCell ref="AQ13:AR13"/>
    <mergeCell ref="D14:G14"/>
    <mergeCell ref="D15:G15"/>
    <mergeCell ref="AQ15:AU16"/>
    <mergeCell ref="B16:C16"/>
    <mergeCell ref="D16:G16"/>
    <mergeCell ref="B12:G12"/>
    <mergeCell ref="AQ12:AR12"/>
    <mergeCell ref="B10:G10"/>
    <mergeCell ref="B17:G17"/>
    <mergeCell ref="AQ17:AU18"/>
    <mergeCell ref="B20:C20"/>
    <mergeCell ref="F20:H20"/>
    <mergeCell ref="R20:S20"/>
    <mergeCell ref="V20:W20"/>
    <mergeCell ref="B21:G21"/>
    <mergeCell ref="V21:W21"/>
    <mergeCell ref="B22:G22"/>
    <mergeCell ref="B23:G23"/>
    <mergeCell ref="B24:C26"/>
    <mergeCell ref="D24:G24"/>
    <mergeCell ref="D25:G25"/>
    <mergeCell ref="D26:G26"/>
    <mergeCell ref="N78:S78"/>
    <mergeCell ref="B27:C27"/>
    <mergeCell ref="D27:G27"/>
    <mergeCell ref="B28:G28"/>
    <mergeCell ref="T30:U30"/>
    <mergeCell ref="C43:K45"/>
    <mergeCell ref="P71:T71"/>
    <mergeCell ref="R75:T75"/>
    <mergeCell ref="N76:S76"/>
    <mergeCell ref="N77:S77"/>
    <mergeCell ref="N90:S90"/>
    <mergeCell ref="N91:S91"/>
    <mergeCell ref="A99:A140"/>
    <mergeCell ref="E106:L106"/>
    <mergeCell ref="N79:S79"/>
    <mergeCell ref="N80:S80"/>
    <mergeCell ref="R86:T86"/>
    <mergeCell ref="N87:S87"/>
    <mergeCell ref="N88:S88"/>
    <mergeCell ref="N89:S89"/>
  </mergeCells>
  <conditionalFormatting sqref="B16:C16">
    <cfRule type="expression" dxfId="45" priority="4" stopIfTrue="1">
      <formula>$V$10=TRUE</formula>
    </cfRule>
  </conditionalFormatting>
  <conditionalFormatting sqref="B27:C27">
    <cfRule type="expression" dxfId="44" priority="5" stopIfTrue="1">
      <formula>$V$21=TRUE</formula>
    </cfRule>
  </conditionalFormatting>
  <conditionalFormatting sqref="I23">
    <cfRule type="containsText" dxfId="43" priority="3" operator="containsText" text="Doplňte">
      <formula>NOT(ISERROR(SEARCH("Doplňte",I23)))</formula>
    </cfRule>
  </conditionalFormatting>
  <conditionalFormatting sqref="I26">
    <cfRule type="containsText" dxfId="42" priority="2" operator="containsText" text="Doplňte">
      <formula>NOT(ISERROR(SEARCH("Doplňte",I26)))</formula>
    </cfRule>
  </conditionalFormatting>
  <conditionalFormatting sqref="E9">
    <cfRule type="expression" dxfId="41" priority="6">
      <formula>$M$17&gt;0</formula>
    </cfRule>
  </conditionalFormatting>
  <conditionalFormatting sqref="I12 I15">
    <cfRule type="expression" dxfId="40" priority="7">
      <formula>$M$17=0</formula>
    </cfRule>
    <cfRule type="containsText" dxfId="39" priority="8" operator="containsText" text="Doplňte">
      <formula>NOT(ISERROR(SEARCH("Doplňte",I12)))</formula>
    </cfRule>
  </conditionalFormatting>
  <conditionalFormatting sqref="I23 I26">
    <cfRule type="expression" dxfId="38" priority="9">
      <formula>$M$28=0</formula>
    </cfRule>
  </conditionalFormatting>
  <conditionalFormatting sqref="E20">
    <cfRule type="expression" dxfId="37" priority="1">
      <formula>$M$28&gt;0</formula>
    </cfRule>
  </conditionalFormatting>
  <hyperlinks>
    <hyperlink ref="N76:S76" location="HKw!H10" tooltip=" " display="HKw!H10" xr:uid="{CF94454A-73C7-42B0-86B7-72F4638E063A}"/>
    <hyperlink ref="N77:S77" location="HKw!H11" tooltip=" " display="HKw!H11" xr:uid="{C8498B7D-0891-4F06-BAF7-3C2E801D6130}"/>
    <hyperlink ref="N87:S87" location="HKw!H19" tooltip=" " display="HKw!H19" xr:uid="{55BE6C4D-0B89-41C5-A019-3CF5B2A7C296}"/>
    <hyperlink ref="N88:S88" location="HKw!H20" tooltip=" " display="HKw!H20" xr:uid="{D5D50A09-2F88-4F76-9400-209F732227B8}"/>
    <hyperlink ref="AN5" location="HKw!A100" tooltip=" " display="HKw!A100" xr:uid="{20E4185D-894C-4E69-BB30-416DB02CA11B}"/>
    <hyperlink ref="L127" location="HKiwa!A1" tooltip=" " display="HKiwa!A1" xr:uid="{8B1C3162-AC90-4D36-9634-C976669B686D}"/>
    <hyperlink ref="AN9" location="SumAVS!A1" tooltip=" " display="SumAVS!A1" xr:uid="{BF5F775C-F890-4133-822A-1807E21F9A5E}"/>
    <hyperlink ref="AN10" location="OrdAVS!A1" tooltip=" " display="OrdAVS!A1" xr:uid="{24860C1F-B822-4FBF-AC3C-237A4559C994}"/>
    <hyperlink ref="AN7" location="AcsAVS!A1" tooltip=" " display="AcsAVS!A1" xr:uid="{57FD3DCA-036C-43AC-90AE-CD4937410719}"/>
    <hyperlink ref="AN4" location="MenuAVS!A1" tooltip=" " display="MenuAVS!A1" xr:uid="{E196726F-BA43-4393-B2D8-C13F0E5B0076}"/>
    <hyperlink ref="B2:C2" location="HK!A1" tooltip=" " display="AVENTOS HK top" xr:uid="{8FAE4334-B7FA-46BD-B6A8-812C14DFB9C8}"/>
    <hyperlink ref="B2:L2" location="HKi!A1" tooltip=" " display="AVENTOS HKi" xr:uid="{082C8CB7-9D7D-49FF-A3CC-8A0295FFF7A1}"/>
  </hyperlinks>
  <pageMargins left="0.62992125984251968" right="0.23622047244094488" top="0.74803149606299213" bottom="0.74803149606299213" header="0.31496062992125984" footer="0.31496062992125984"/>
  <pageSetup paperSize="9" orientation="portrait" horizontalDpi="4294967293"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2753" r:id="rId4" name="Drop Down 1">
              <controlPr defaultSize="0" autoLine="0" autoPict="0">
                <anchor moveWithCells="1">
                  <from>
                    <xdr:col>3</xdr:col>
                    <xdr:colOff>19050</xdr:colOff>
                    <xdr:row>6</xdr:row>
                    <xdr:rowOff>9525</xdr:rowOff>
                  </from>
                  <to>
                    <xdr:col>5</xdr:col>
                    <xdr:colOff>571500</xdr:colOff>
                    <xdr:row>7</xdr:row>
                    <xdr:rowOff>0</xdr:rowOff>
                  </to>
                </anchor>
              </controlPr>
            </control>
          </mc:Choice>
        </mc:AlternateContent>
        <mc:AlternateContent xmlns:mc="http://schemas.openxmlformats.org/markup-compatibility/2006">
          <mc:Choice Requires="x14">
            <control shapeId="202754" r:id="rId5" name="Drop Down 2">
              <controlPr defaultSize="0" autoLine="0" autoPict="0">
                <anchor moveWithCells="1">
                  <from>
                    <xdr:col>1</xdr:col>
                    <xdr:colOff>0</xdr:colOff>
                    <xdr:row>9</xdr:row>
                    <xdr:rowOff>0</xdr:rowOff>
                  </from>
                  <to>
                    <xdr:col>2</xdr:col>
                    <xdr:colOff>571500</xdr:colOff>
                    <xdr:row>10</xdr:row>
                    <xdr:rowOff>0</xdr:rowOff>
                  </to>
                </anchor>
              </controlPr>
            </control>
          </mc:Choice>
        </mc:AlternateContent>
        <mc:AlternateContent xmlns:mc="http://schemas.openxmlformats.org/markup-compatibility/2006">
          <mc:Choice Requires="x14">
            <control shapeId="202755" r:id="rId6" name="Drop Down 3">
              <controlPr defaultSize="0" autoLine="0" autoPict="0">
                <anchor moveWithCells="1">
                  <from>
                    <xdr:col>1</xdr:col>
                    <xdr:colOff>0</xdr:colOff>
                    <xdr:row>20</xdr:row>
                    <xdr:rowOff>0</xdr:rowOff>
                  </from>
                  <to>
                    <xdr:col>2</xdr:col>
                    <xdr:colOff>571500</xdr:colOff>
                    <xdr:row>21</xdr:row>
                    <xdr:rowOff>0</xdr:rowOff>
                  </to>
                </anchor>
              </controlPr>
            </control>
          </mc:Choice>
        </mc:AlternateContent>
        <mc:AlternateContent xmlns:mc="http://schemas.openxmlformats.org/markup-compatibility/2006">
          <mc:Choice Requires="x14">
            <control shapeId="202756" r:id="rId7" name="Drop Down 4">
              <controlPr defaultSize="0" autoLine="0" autoPict="0">
                <anchor moveWithCells="1">
                  <from>
                    <xdr:col>6</xdr:col>
                    <xdr:colOff>9525</xdr:colOff>
                    <xdr:row>3</xdr:row>
                    <xdr:rowOff>0</xdr:rowOff>
                  </from>
                  <to>
                    <xdr:col>9</xdr:col>
                    <xdr:colOff>0</xdr:colOff>
                    <xdr:row>4</xdr:row>
                    <xdr:rowOff>0</xdr:rowOff>
                  </to>
                </anchor>
              </controlPr>
            </control>
          </mc:Choice>
        </mc:AlternateContent>
        <mc:AlternateContent xmlns:mc="http://schemas.openxmlformats.org/markup-compatibility/2006">
          <mc:Choice Requires="x14">
            <control shapeId="202757" r:id="rId8" name="Option Button 5">
              <controlPr defaultSize="0" autoFill="0" autoLine="0" autoPict="0">
                <anchor moveWithCells="1">
                  <from>
                    <xdr:col>1</xdr:col>
                    <xdr:colOff>400050</xdr:colOff>
                    <xdr:row>5</xdr:row>
                    <xdr:rowOff>9525</xdr:rowOff>
                  </from>
                  <to>
                    <xdr:col>2</xdr:col>
                    <xdr:colOff>85725</xdr:colOff>
                    <xdr:row>5</xdr:row>
                    <xdr:rowOff>219075</xdr:rowOff>
                  </to>
                </anchor>
              </controlPr>
            </control>
          </mc:Choice>
        </mc:AlternateContent>
        <mc:AlternateContent xmlns:mc="http://schemas.openxmlformats.org/markup-compatibility/2006">
          <mc:Choice Requires="x14">
            <control shapeId="202758" r:id="rId9" name="Option Button 6">
              <controlPr defaultSize="0" autoFill="0" autoLine="0" autoPict="0">
                <anchor moveWithCells="1">
                  <from>
                    <xdr:col>3</xdr:col>
                    <xdr:colOff>390525</xdr:colOff>
                    <xdr:row>5</xdr:row>
                    <xdr:rowOff>19050</xdr:rowOff>
                  </from>
                  <to>
                    <xdr:col>4</xdr:col>
                    <xdr:colOff>66675</xdr:colOff>
                    <xdr:row>5</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A2FB6-8DA5-4C6A-90EA-DCDB2CB34E26}">
  <sheetPr codeName="Sheet10"/>
  <dimension ref="A1:AC213"/>
  <sheetViews>
    <sheetView showGridLines="0" showRowColHeaders="0" zoomScaleNormal="100" workbookViewId="0">
      <selection activeCell="U13" sqref="U13"/>
    </sheetView>
  </sheetViews>
  <sheetFormatPr defaultColWidth="8.7109375" defaultRowHeight="12" x14ac:dyDescent="0.2"/>
  <cols>
    <col min="1" max="1" width="2.7109375" style="36" customWidth="1"/>
    <col min="2" max="3" width="10.42578125" style="36" customWidth="1"/>
    <col min="4" max="4" width="3.7109375" style="36" customWidth="1"/>
    <col min="5" max="6" width="10.42578125" style="36" customWidth="1"/>
    <col min="7" max="7" width="3.7109375" style="36" customWidth="1"/>
    <col min="8" max="9" width="10.42578125" style="36" customWidth="1"/>
    <col min="10" max="10" width="3.7109375" style="36" customWidth="1"/>
    <col min="11" max="12" width="10.42578125" style="36" customWidth="1"/>
    <col min="13" max="19" width="8.28515625" style="36" hidden="1" customWidth="1"/>
    <col min="20" max="20" width="8.7109375" style="36" customWidth="1"/>
    <col min="21" max="21" width="20.7109375" style="108" customWidth="1"/>
    <col min="22" max="16384" width="8.7109375" style="36"/>
  </cols>
  <sheetData>
    <row r="1" spans="1:23" x14ac:dyDescent="0.2">
      <c r="A1" s="108"/>
      <c r="B1" s="108"/>
      <c r="C1" s="108"/>
      <c r="D1" s="108"/>
      <c r="E1" s="108"/>
      <c r="F1" s="108"/>
      <c r="G1" s="108"/>
      <c r="H1" s="108"/>
      <c r="I1" s="108"/>
      <c r="J1" s="108"/>
      <c r="K1" s="108"/>
      <c r="L1" s="108"/>
      <c r="M1" s="108"/>
      <c r="N1" s="108"/>
      <c r="O1" s="108"/>
      <c r="P1" s="108"/>
      <c r="Q1" s="108"/>
      <c r="R1" s="108"/>
      <c r="S1" s="108"/>
      <c r="T1" s="108"/>
      <c r="V1" s="108"/>
      <c r="W1" s="108"/>
    </row>
    <row r="2" spans="1:23" ht="6" customHeight="1" thickBot="1" x14ac:dyDescent="0.25">
      <c r="A2" s="108"/>
      <c r="B2" s="303"/>
      <c r="C2" s="305"/>
      <c r="D2" s="303"/>
      <c r="E2" s="303"/>
      <c r="F2" s="303"/>
      <c r="G2" s="303"/>
      <c r="H2" s="303"/>
      <c r="I2" s="303"/>
      <c r="J2" s="303"/>
      <c r="K2" s="303"/>
      <c r="L2" s="303"/>
      <c r="M2" s="306"/>
      <c r="N2" s="108"/>
      <c r="O2" s="108"/>
      <c r="P2" s="108"/>
      <c r="Q2" s="108"/>
      <c r="R2" s="108"/>
      <c r="S2" s="108"/>
      <c r="T2" s="108"/>
      <c r="V2" s="108"/>
      <c r="W2" s="108"/>
    </row>
    <row r="3" spans="1:23" ht="18" customHeight="1" thickBot="1" x14ac:dyDescent="0.25">
      <c r="A3" s="108"/>
      <c r="B3" s="304" t="s">
        <v>673</v>
      </c>
      <c r="C3" s="305"/>
      <c r="D3" s="303"/>
      <c r="E3" s="303"/>
      <c r="F3" s="303"/>
      <c r="G3" s="303"/>
      <c r="H3" s="303"/>
      <c r="I3" s="303"/>
      <c r="J3" s="303"/>
      <c r="K3" s="303"/>
      <c r="L3" s="303"/>
      <c r="M3" s="306"/>
      <c r="N3" s="108"/>
      <c r="O3" s="108"/>
      <c r="P3" s="108"/>
      <c r="Q3" s="108"/>
      <c r="R3" s="108"/>
      <c r="S3" s="108"/>
      <c r="T3" s="108"/>
      <c r="U3" s="226" t="str">
        <f>ListAVS!$B$153</f>
        <v>Przejdź do</v>
      </c>
      <c r="V3" s="108"/>
      <c r="W3" s="108"/>
    </row>
    <row r="4" spans="1:23" ht="4.5" customHeight="1" x14ac:dyDescent="0.2">
      <c r="A4" s="108"/>
      <c r="B4" s="303"/>
      <c r="C4" s="303"/>
      <c r="D4" s="303"/>
      <c r="E4" s="303"/>
      <c r="F4" s="303"/>
      <c r="G4" s="303"/>
      <c r="H4" s="303"/>
      <c r="I4" s="303"/>
      <c r="J4" s="303"/>
      <c r="K4" s="303"/>
      <c r="L4" s="303"/>
      <c r="M4" s="306"/>
      <c r="N4" s="108"/>
      <c r="O4" s="108"/>
      <c r="P4" s="108"/>
      <c r="Q4" s="108"/>
      <c r="R4" s="108"/>
      <c r="S4" s="108"/>
      <c r="T4" s="108"/>
      <c r="V4" s="108"/>
      <c r="W4" s="108"/>
    </row>
    <row r="5" spans="1:23" ht="15" customHeight="1" thickBot="1" x14ac:dyDescent="0.25">
      <c r="A5" s="670"/>
      <c r="B5" s="670"/>
      <c r="C5" s="670"/>
      <c r="D5" s="670"/>
      <c r="E5" s="670"/>
      <c r="F5" s="670"/>
      <c r="G5" s="670"/>
      <c r="H5" s="670"/>
      <c r="I5" s="670"/>
      <c r="J5" s="670"/>
      <c r="K5" s="670"/>
      <c r="L5" s="670"/>
      <c r="M5" s="670"/>
      <c r="N5" s="670"/>
      <c r="O5" s="670"/>
      <c r="P5" s="670"/>
      <c r="Q5" s="670"/>
      <c r="R5" s="670"/>
      <c r="S5" s="670"/>
      <c r="T5" s="670"/>
      <c r="U5" s="383" t="str">
        <f>" "&amp;ListAVS!$B$154</f>
        <v xml:space="preserve"> Wprowadzenie do planowania</v>
      </c>
      <c r="V5" s="108"/>
      <c r="W5" s="108"/>
    </row>
    <row r="6" spans="1:23" ht="15" customHeight="1" x14ac:dyDescent="0.2">
      <c r="A6" s="670"/>
      <c r="B6" s="670"/>
      <c r="C6" s="670"/>
      <c r="D6" s="670"/>
      <c r="E6" s="670"/>
      <c r="F6" s="670"/>
      <c r="G6" s="670"/>
      <c r="H6" s="670"/>
      <c r="I6" s="670"/>
      <c r="J6" s="670"/>
      <c r="K6" s="670"/>
      <c r="L6" s="670"/>
      <c r="M6" s="670"/>
      <c r="N6" s="670"/>
      <c r="O6" s="670"/>
      <c r="P6" s="670"/>
      <c r="Q6" s="670"/>
      <c r="R6" s="670"/>
      <c r="S6" s="670"/>
      <c r="T6" s="670"/>
      <c r="U6" s="634" t="str">
        <f>" "&amp;ListAVS!$B$155</f>
        <v xml:space="preserve"> Pomoc</v>
      </c>
      <c r="V6" s="108"/>
      <c r="W6" s="108"/>
    </row>
    <row r="7" spans="1:23" ht="15" customHeight="1" x14ac:dyDescent="0.2">
      <c r="A7" s="670"/>
      <c r="B7" s="1036" t="str">
        <f>ListAVS!$B$74&amp;" (KB) "</f>
        <v xml:space="preserve">Szerokość korpusu (KB) </v>
      </c>
      <c r="C7" s="1036"/>
      <c r="D7" s="1037" t="str">
        <f>" "&amp;ListAVS!$B$171&amp;" 1800 mm"</f>
        <v xml:space="preserve"> do 1800 mm</v>
      </c>
      <c r="E7" s="1037"/>
      <c r="F7" s="670"/>
      <c r="G7" s="670"/>
      <c r="H7" s="670"/>
      <c r="I7" s="670"/>
      <c r="J7" s="670"/>
      <c r="K7" s="670"/>
      <c r="L7" s="670"/>
      <c r="M7" s="670"/>
      <c r="N7" s="670"/>
      <c r="O7" s="670"/>
      <c r="P7" s="670"/>
      <c r="Q7" s="670"/>
      <c r="R7" s="670"/>
      <c r="S7" s="670"/>
      <c r="T7" s="670"/>
      <c r="U7" s="891"/>
      <c r="V7" s="108"/>
      <c r="W7" s="108"/>
    </row>
    <row r="8" spans="1:23" ht="15" customHeight="1" x14ac:dyDescent="0.2">
      <c r="A8" s="670"/>
      <c r="B8" s="1036" t="str">
        <f>ListAVS!$B$75&amp;" (KH) "</f>
        <v xml:space="preserve">Wysokość korpusu (KH) </v>
      </c>
      <c r="C8" s="1036"/>
      <c r="D8" s="826" t="s">
        <v>12</v>
      </c>
      <c r="E8" s="826"/>
      <c r="F8" s="670"/>
      <c r="G8" s="670"/>
      <c r="H8" s="670"/>
      <c r="I8" s="670"/>
      <c r="J8" s="670"/>
      <c r="K8" s="670"/>
      <c r="L8" s="670"/>
      <c r="M8" s="670"/>
      <c r="N8" s="670"/>
      <c r="O8" s="670"/>
      <c r="P8" s="670"/>
      <c r="Q8" s="670"/>
      <c r="R8" s="670"/>
      <c r="S8" s="670"/>
      <c r="T8" s="670"/>
      <c r="U8" s="675" t="str">
        <f>" "&amp;ListAVS!$B$160</f>
        <v xml:space="preserve"> Dodatki</v>
      </c>
      <c r="V8" s="108"/>
      <c r="W8" s="108"/>
    </row>
    <row r="9" spans="1:23" ht="15" customHeight="1" x14ac:dyDescent="0.2">
      <c r="A9" s="670"/>
      <c r="B9" s="670"/>
      <c r="C9" s="670"/>
      <c r="D9" s="670"/>
      <c r="E9" s="670"/>
      <c r="F9" s="670"/>
      <c r="G9" s="670"/>
      <c r="H9" s="670"/>
      <c r="I9" s="670"/>
      <c r="J9" s="670"/>
      <c r="K9" s="670"/>
      <c r="L9" s="670"/>
      <c r="M9" s="670"/>
      <c r="N9" s="670"/>
      <c r="O9" s="670"/>
      <c r="P9" s="670"/>
      <c r="Q9" s="670"/>
      <c r="R9" s="670"/>
      <c r="S9" s="670"/>
      <c r="T9" s="670"/>
      <c r="U9" s="671"/>
      <c r="V9" s="108"/>
      <c r="W9" s="108"/>
    </row>
    <row r="10" spans="1:23" ht="15" customHeight="1" thickBot="1" x14ac:dyDescent="0.25">
      <c r="A10" s="670"/>
      <c r="B10" s="670"/>
      <c r="C10" s="670"/>
      <c r="D10" s="670"/>
      <c r="E10" s="670"/>
      <c r="F10" s="670"/>
      <c r="G10" s="670"/>
      <c r="H10" s="670"/>
      <c r="I10" s="670"/>
      <c r="J10" s="670"/>
      <c r="K10" s="670"/>
      <c r="L10" s="670"/>
      <c r="M10" s="670"/>
      <c r="N10" s="670"/>
      <c r="O10" s="670"/>
      <c r="P10" s="670"/>
      <c r="Q10" s="670"/>
      <c r="R10" s="670"/>
      <c r="S10" s="670"/>
      <c r="T10" s="670"/>
      <c r="U10" s="383" t="str">
        <f>" "&amp;ListAVS!$B$157</f>
        <v xml:space="preserve"> Rodzaje korpusów</v>
      </c>
      <c r="V10" s="108"/>
      <c r="W10" s="108"/>
    </row>
    <row r="11" spans="1:23" ht="15" customHeight="1" thickBot="1" x14ac:dyDescent="0.25">
      <c r="A11" s="670"/>
      <c r="B11" s="670"/>
      <c r="C11" s="670"/>
      <c r="D11" s="670"/>
      <c r="E11" s="670"/>
      <c r="F11" s="670"/>
      <c r="G11" s="670"/>
      <c r="H11" s="670"/>
      <c r="I11" s="670"/>
      <c r="J11" s="670"/>
      <c r="K11" s="670"/>
      <c r="L11" s="670"/>
      <c r="M11" s="670"/>
      <c r="N11" s="670"/>
      <c r="O11" s="670"/>
      <c r="P11" s="670"/>
      <c r="Q11" s="670"/>
      <c r="R11" s="670"/>
      <c r="S11" s="670"/>
      <c r="T11" s="670"/>
      <c r="U11" s="383" t="str">
        <f>" "&amp;ListAVS!$B$158</f>
        <v xml:space="preserve"> Zamówienie</v>
      </c>
      <c r="V11" s="108"/>
      <c r="W11" s="108"/>
    </row>
    <row r="12" spans="1:23" ht="15" customHeight="1" x14ac:dyDescent="0.2">
      <c r="A12" s="670"/>
      <c r="B12" s="670"/>
      <c r="C12" s="670"/>
      <c r="D12" s="670"/>
      <c r="E12" s="670"/>
      <c r="F12" s="670"/>
      <c r="G12" s="670"/>
      <c r="H12" s="670"/>
      <c r="I12" s="670"/>
      <c r="J12" s="670"/>
      <c r="K12" s="670"/>
      <c r="L12" s="670"/>
      <c r="M12" s="670"/>
      <c r="N12" s="670"/>
      <c r="O12" s="670"/>
      <c r="P12" s="670"/>
      <c r="Q12" s="670"/>
      <c r="R12" s="670"/>
      <c r="S12" s="670"/>
      <c r="T12" s="670"/>
      <c r="U12" s="891"/>
      <c r="V12" s="108"/>
      <c r="W12" s="108"/>
    </row>
    <row r="13" spans="1:23" ht="15" customHeight="1" x14ac:dyDescent="0.2">
      <c r="A13" s="670"/>
      <c r="B13" s="670"/>
      <c r="C13" s="670"/>
      <c r="D13" s="670"/>
      <c r="E13" s="670"/>
      <c r="F13" s="670"/>
      <c r="G13" s="670"/>
      <c r="H13" s="670"/>
      <c r="I13" s="670"/>
      <c r="J13" s="670"/>
      <c r="K13" s="670"/>
      <c r="L13" s="670"/>
      <c r="M13" s="670"/>
      <c r="N13" s="670"/>
      <c r="O13" s="670"/>
      <c r="P13" s="670"/>
      <c r="Q13" s="670"/>
      <c r="R13" s="670"/>
      <c r="S13" s="670"/>
      <c r="T13" s="670"/>
      <c r="U13" s="891"/>
      <c r="V13" s="108"/>
      <c r="W13" s="108"/>
    </row>
    <row r="14" spans="1:23" ht="15" customHeight="1" x14ac:dyDescent="0.2">
      <c r="A14" s="670"/>
      <c r="B14" s="670"/>
      <c r="C14" s="670"/>
      <c r="D14" s="670"/>
      <c r="E14" s="670"/>
      <c r="F14" s="670"/>
      <c r="G14" s="670"/>
      <c r="H14" s="670"/>
      <c r="I14" s="670"/>
      <c r="J14" s="670"/>
      <c r="K14" s="670"/>
      <c r="L14" s="670"/>
      <c r="M14" s="670"/>
      <c r="N14" s="670"/>
      <c r="O14" s="670"/>
      <c r="P14" s="670"/>
      <c r="Q14" s="670"/>
      <c r="R14" s="670"/>
      <c r="S14" s="670"/>
      <c r="T14" s="670"/>
      <c r="U14" s="891"/>
      <c r="V14" s="108"/>
      <c r="W14" s="108"/>
    </row>
    <row r="15" spans="1:23" ht="15" customHeight="1" x14ac:dyDescent="0.2">
      <c r="A15" s="670"/>
      <c r="B15" s="670"/>
      <c r="C15" s="670"/>
      <c r="D15" s="670"/>
      <c r="E15" s="670"/>
      <c r="F15" s="670"/>
      <c r="G15" s="670"/>
      <c r="H15" s="670"/>
      <c r="I15" s="670"/>
      <c r="J15" s="670"/>
      <c r="K15" s="670"/>
      <c r="L15" s="670"/>
      <c r="M15" s="670"/>
      <c r="N15" s="670"/>
      <c r="O15" s="670"/>
      <c r="P15" s="670"/>
      <c r="Q15" s="670"/>
      <c r="R15" s="670"/>
      <c r="S15" s="670"/>
      <c r="T15" s="670"/>
      <c r="U15" s="671"/>
      <c r="V15" s="108"/>
      <c r="W15" s="108"/>
    </row>
    <row r="16" spans="1:23" ht="15" customHeight="1" x14ac:dyDescent="0.2">
      <c r="A16" s="670"/>
      <c r="B16" s="670"/>
      <c r="C16" s="670"/>
      <c r="D16" s="670"/>
      <c r="E16" s="670"/>
      <c r="F16" s="670"/>
      <c r="G16" s="670"/>
      <c r="H16" s="670"/>
      <c r="I16" s="670"/>
      <c r="J16" s="670"/>
      <c r="K16" s="670"/>
      <c r="L16" s="670"/>
      <c r="M16" s="670"/>
      <c r="N16" s="670"/>
      <c r="O16" s="670"/>
      <c r="P16" s="670"/>
      <c r="Q16" s="670"/>
      <c r="R16" s="670"/>
      <c r="S16" s="670"/>
      <c r="T16" s="670"/>
      <c r="V16" s="108"/>
      <c r="W16" s="108"/>
    </row>
    <row r="17" spans="1:23" ht="15" customHeight="1" x14ac:dyDescent="0.2">
      <c r="A17" s="670"/>
      <c r="B17" s="670"/>
      <c r="C17" s="670"/>
      <c r="D17" s="670"/>
      <c r="E17" s="670"/>
      <c r="F17" s="670"/>
      <c r="G17" s="670"/>
      <c r="H17" s="670"/>
      <c r="I17" s="670"/>
      <c r="J17" s="670"/>
      <c r="K17" s="670"/>
      <c r="L17" s="670"/>
      <c r="M17" s="670"/>
      <c r="N17" s="670"/>
      <c r="O17" s="670"/>
      <c r="P17" s="670"/>
      <c r="Q17" s="670"/>
      <c r="R17" s="670"/>
      <c r="S17" s="670"/>
      <c r="T17" s="670"/>
      <c r="V17" s="108"/>
      <c r="W17" s="108"/>
    </row>
    <row r="18" spans="1:23" ht="15" customHeight="1" x14ac:dyDescent="0.2">
      <c r="A18" s="670"/>
      <c r="B18" s="670"/>
      <c r="C18" s="670"/>
      <c r="D18" s="670"/>
      <c r="E18" s="670"/>
      <c r="F18" s="670"/>
      <c r="G18" s="670"/>
      <c r="H18" s="670"/>
      <c r="I18" s="670"/>
      <c r="J18" s="670"/>
      <c r="K18" s="670"/>
      <c r="L18" s="670"/>
      <c r="M18" s="670"/>
      <c r="N18" s="670"/>
      <c r="O18" s="670"/>
      <c r="P18" s="670"/>
      <c r="Q18" s="670"/>
      <c r="R18" s="670"/>
      <c r="S18" s="670"/>
      <c r="T18" s="670"/>
      <c r="V18" s="108"/>
      <c r="W18" s="108"/>
    </row>
    <row r="19" spans="1:23" ht="15" customHeight="1" x14ac:dyDescent="0.2">
      <c r="A19" s="670"/>
      <c r="B19" s="670"/>
      <c r="C19" s="670"/>
      <c r="D19" s="670"/>
      <c r="E19" s="670"/>
      <c r="F19" s="670"/>
      <c r="G19" s="670"/>
      <c r="H19" s="670"/>
      <c r="I19" s="670"/>
      <c r="J19" s="670"/>
      <c r="K19" s="670"/>
      <c r="L19" s="670"/>
      <c r="M19" s="670"/>
      <c r="N19" s="670"/>
      <c r="O19" s="670"/>
      <c r="P19" s="670"/>
      <c r="Q19" s="670"/>
      <c r="R19" s="670"/>
      <c r="S19" s="670"/>
      <c r="T19" s="670"/>
      <c r="V19" s="108"/>
      <c r="W19" s="108"/>
    </row>
    <row r="20" spans="1:23" ht="15" customHeight="1" x14ac:dyDescent="0.2">
      <c r="A20" s="670"/>
      <c r="B20" s="670"/>
      <c r="C20" s="670"/>
      <c r="D20" s="670"/>
      <c r="E20" s="670"/>
      <c r="F20" s="670"/>
      <c r="G20" s="670"/>
      <c r="H20" s="670"/>
      <c r="I20" s="670"/>
      <c r="J20" s="670"/>
      <c r="K20" s="670"/>
      <c r="L20" s="670"/>
      <c r="M20" s="670"/>
      <c r="N20" s="670"/>
      <c r="O20" s="670"/>
      <c r="P20" s="670"/>
      <c r="Q20" s="670"/>
      <c r="R20" s="670"/>
      <c r="S20" s="670"/>
      <c r="T20" s="670"/>
      <c r="U20" s="670"/>
      <c r="V20" s="108"/>
      <c r="W20" s="108"/>
    </row>
    <row r="21" spans="1:23" ht="15" customHeight="1" x14ac:dyDescent="0.2">
      <c r="A21" s="670"/>
      <c r="B21" s="670"/>
      <c r="C21" s="670"/>
      <c r="D21" s="670"/>
      <c r="E21" s="670"/>
      <c r="F21" s="670"/>
      <c r="G21" s="670"/>
      <c r="H21" s="670"/>
      <c r="I21" s="670"/>
      <c r="J21" s="670"/>
      <c r="K21" s="670"/>
      <c r="L21" s="670"/>
      <c r="M21" s="670"/>
      <c r="N21" s="670"/>
      <c r="O21" s="670"/>
      <c r="P21" s="670"/>
      <c r="Q21" s="670"/>
      <c r="R21" s="670"/>
      <c r="S21" s="670"/>
      <c r="T21" s="670"/>
      <c r="U21" s="670"/>
      <c r="V21" s="108"/>
      <c r="W21" s="108"/>
    </row>
    <row r="22" spans="1:23" ht="5.25" customHeight="1" x14ac:dyDescent="0.2">
      <c r="A22" s="670"/>
      <c r="B22" s="670"/>
      <c r="C22" s="670"/>
      <c r="D22" s="670"/>
      <c r="E22" s="670"/>
      <c r="F22" s="670"/>
      <c r="G22" s="670"/>
      <c r="H22" s="670"/>
      <c r="I22" s="670"/>
      <c r="J22" s="670"/>
      <c r="K22" s="670"/>
      <c r="L22" s="670"/>
      <c r="M22" s="670"/>
      <c r="N22" s="670"/>
      <c r="O22" s="670"/>
      <c r="P22" s="670"/>
      <c r="Q22" s="670"/>
      <c r="R22" s="670"/>
      <c r="S22" s="670"/>
      <c r="T22" s="670"/>
      <c r="U22" s="670"/>
      <c r="V22" s="108"/>
      <c r="W22" s="108"/>
    </row>
    <row r="23" spans="1:23" ht="15" customHeight="1" x14ac:dyDescent="0.2">
      <c r="A23" s="670"/>
      <c r="B23" s="1038" t="str">
        <f>ListAVS!$B$17</f>
        <v>Front drewniany</v>
      </c>
      <c r="C23" s="1038"/>
      <c r="D23" s="677"/>
      <c r="E23" s="1038" t="str">
        <f>ListAVS!$B$20</f>
        <v>Szeroka ramka aluminiowa</v>
      </c>
      <c r="F23" s="1038"/>
      <c r="G23" s="677"/>
      <c r="H23" s="1038" t="str">
        <f>ListAVS!$B$22</f>
        <v>Wąska ramka aluminiowa</v>
      </c>
      <c r="I23" s="1038"/>
      <c r="J23" s="677"/>
      <c r="K23" s="1038" t="str">
        <f>ListAVS!$B$23</f>
        <v>Cienkie materiały</v>
      </c>
      <c r="L23" s="1038"/>
      <c r="M23" s="670"/>
      <c r="N23" s="670"/>
      <c r="O23" s="670"/>
      <c r="P23" s="670"/>
      <c r="Q23" s="670"/>
      <c r="R23" s="670"/>
      <c r="S23" s="670"/>
      <c r="T23" s="670"/>
      <c r="U23" s="670"/>
      <c r="V23" s="108"/>
      <c r="W23" s="108"/>
    </row>
    <row r="24" spans="1:23" ht="12.75" x14ac:dyDescent="0.2">
      <c r="A24" s="670"/>
      <c r="B24" s="670"/>
      <c r="C24" s="670"/>
      <c r="D24" s="670"/>
      <c r="E24" s="670"/>
      <c r="F24" s="670"/>
      <c r="G24" s="670"/>
      <c r="H24" s="670"/>
      <c r="I24" s="670"/>
      <c r="J24" s="670"/>
      <c r="K24" s="670"/>
      <c r="L24" s="670"/>
      <c r="M24" s="670"/>
      <c r="N24" s="670"/>
      <c r="O24" s="670"/>
      <c r="P24" s="670"/>
      <c r="Q24" s="670"/>
      <c r="R24" s="670"/>
      <c r="S24" s="670"/>
      <c r="T24" s="670"/>
      <c r="U24" s="670"/>
      <c r="V24" s="108"/>
      <c r="W24" s="108"/>
    </row>
    <row r="25" spans="1:23" ht="12.75" x14ac:dyDescent="0.2">
      <c r="A25" s="670"/>
      <c r="B25" s="670"/>
      <c r="C25" s="670"/>
      <c r="D25" s="670"/>
      <c r="E25" s="670"/>
      <c r="F25" s="670"/>
      <c r="G25" s="670"/>
      <c r="H25" s="670"/>
      <c r="I25" s="670"/>
      <c r="J25" s="670"/>
      <c r="K25" s="670"/>
      <c r="L25" s="670"/>
      <c r="M25" s="670"/>
      <c r="N25" s="670"/>
      <c r="O25" s="670"/>
      <c r="P25" s="670"/>
      <c r="Q25" s="670"/>
      <c r="R25" s="670"/>
      <c r="S25" s="670"/>
      <c r="T25" s="670"/>
      <c r="U25" s="670"/>
      <c r="V25" s="108"/>
      <c r="W25" s="108"/>
    </row>
    <row r="26" spans="1:23" ht="15.75" customHeight="1" x14ac:dyDescent="0.2">
      <c r="A26" s="670"/>
      <c r="B26" s="1011" t="str">
        <f>ListAVS!$B$142&amp;" "</f>
        <v xml:space="preserve">Mocowanie frontu </v>
      </c>
      <c r="C26" s="1012"/>
      <c r="D26" s="1013"/>
      <c r="E26" s="269"/>
      <c r="F26" s="266"/>
      <c r="G26" s="670"/>
      <c r="H26" s="670"/>
      <c r="I26" s="670"/>
      <c r="J26" s="670"/>
      <c r="K26" s="670"/>
      <c r="L26" s="670"/>
      <c r="M26" s="670"/>
      <c r="N26" s="523">
        <v>2</v>
      </c>
      <c r="O26" s="670"/>
      <c r="P26" s="960">
        <v>1</v>
      </c>
      <c r="Q26" s="670"/>
      <c r="R26" s="670"/>
      <c r="S26" s="670"/>
      <c r="T26" s="670"/>
      <c r="U26" s="670"/>
      <c r="V26" s="108"/>
      <c r="W26" s="108"/>
    </row>
    <row r="27" spans="1:23" ht="15.4" customHeight="1" x14ac:dyDescent="0.2">
      <c r="A27" s="670"/>
      <c r="B27" s="1033" t="str">
        <f>ListAVS!$B$347&amp;"** "</f>
        <v xml:space="preserve">funkcja podnośnika** </v>
      </c>
      <c r="C27" s="1034"/>
      <c r="D27" s="1035"/>
      <c r="E27" s="670"/>
      <c r="F27" s="670"/>
      <c r="G27" s="670"/>
      <c r="H27" s="670"/>
      <c r="I27" s="670"/>
      <c r="J27" s="670"/>
      <c r="K27" s="670"/>
      <c r="L27" s="670"/>
      <c r="M27" s="670"/>
      <c r="N27" s="38" t="s">
        <v>13</v>
      </c>
      <c r="O27" s="670"/>
      <c r="P27" s="38" t="s">
        <v>679</v>
      </c>
      <c r="Q27" s="670"/>
      <c r="R27" s="670"/>
      <c r="S27" s="670"/>
      <c r="T27" s="670"/>
      <c r="U27" s="670"/>
      <c r="V27" s="108"/>
      <c r="W27" s="108"/>
    </row>
    <row r="28" spans="1:23" ht="12.75" x14ac:dyDescent="0.2">
      <c r="A28" s="670"/>
      <c r="B28" s="670"/>
      <c r="C28" s="670"/>
      <c r="D28" s="670"/>
      <c r="E28" s="266"/>
      <c r="F28" s="266"/>
      <c r="G28" s="266"/>
      <c r="H28" s="266"/>
      <c r="I28" s="255"/>
      <c r="J28" s="255"/>
      <c r="K28" s="255"/>
      <c r="L28" s="255"/>
      <c r="M28" s="670"/>
      <c r="N28" s="248" t="s">
        <v>10</v>
      </c>
      <c r="O28" s="670"/>
      <c r="P28" s="248" t="str">
        <f>ListAVS!$B$350</f>
        <v>wkręty</v>
      </c>
      <c r="Q28" s="670"/>
      <c r="R28" s="670"/>
      <c r="S28" s="670"/>
      <c r="T28" s="670"/>
      <c r="U28" s="670"/>
      <c r="V28" s="108"/>
      <c r="W28" s="108"/>
    </row>
    <row r="29" spans="1:23" ht="12.75" x14ac:dyDescent="0.2">
      <c r="A29" s="670"/>
      <c r="B29" s="807" t="str">
        <f>" ** "&amp;ListAVS!$B$349&amp;":"</f>
        <v xml:space="preserve"> ** Wybierz sposób montażu:</v>
      </c>
      <c r="C29" s="108"/>
      <c r="D29" s="108"/>
      <c r="E29" s="670"/>
      <c r="F29" s="670"/>
      <c r="G29" s="670"/>
      <c r="H29" s="670"/>
      <c r="I29" s="670"/>
      <c r="J29" s="670"/>
      <c r="K29" s="670"/>
      <c r="L29" s="670"/>
      <c r="M29" s="670"/>
      <c r="N29" s="248" t="str">
        <f>ListAVS!$B$144</f>
        <v>na wkręty</v>
      </c>
      <c r="O29" s="670"/>
      <c r="P29" s="248" t="str">
        <f>ListAVS!$B$351</f>
        <v>wstępnie zamontowane eurowkręty</v>
      </c>
      <c r="Q29" s="670"/>
      <c r="R29" s="670"/>
      <c r="S29" s="670"/>
      <c r="T29" s="670"/>
      <c r="U29" s="670"/>
      <c r="V29" s="108"/>
      <c r="W29" s="108"/>
    </row>
    <row r="30" spans="1:23" ht="12.75" x14ac:dyDescent="0.2">
      <c r="A30" s="670"/>
      <c r="B30" s="807" t="str">
        <f>"    "&amp;ListAVS!$B$350&amp;" = "&amp;ListAVS!$B$352</f>
        <v xml:space="preserve">    wkręty = podnośniki z zintegrowanym szablonem (nie ma potrzeby mierzenia)</v>
      </c>
      <c r="C30" s="108"/>
      <c r="D30" s="108"/>
      <c r="E30" s="670"/>
      <c r="F30" s="670"/>
      <c r="G30" s="670"/>
      <c r="H30" s="670"/>
      <c r="I30" s="670"/>
      <c r="J30" s="670"/>
      <c r="K30" s="670"/>
      <c r="L30" s="670"/>
      <c r="M30" s="670"/>
      <c r="N30" s="670"/>
      <c r="O30" s="670"/>
      <c r="P30" s="670"/>
      <c r="Q30" s="670"/>
      <c r="R30" s="670"/>
      <c r="S30" s="670"/>
      <c r="T30" s="670"/>
      <c r="U30" s="670"/>
      <c r="V30" s="108"/>
      <c r="W30" s="108"/>
    </row>
    <row r="31" spans="1:23" ht="12.75" x14ac:dyDescent="0.2">
      <c r="A31" s="108"/>
      <c r="B31" s="807" t="str">
        <f>"    "&amp;ListAVS!$B$351&amp;" = "&amp;ListAVS!$B$353</f>
        <v xml:space="preserve">    wstępnie zamontowane eurowkręty = podnośniki ze wstępnie zamontowanymi wkrętami (wymagane wstępne nawiercenie)</v>
      </c>
      <c r="C31" s="108"/>
      <c r="D31" s="108"/>
      <c r="E31" s="108"/>
      <c r="F31" s="108"/>
      <c r="G31" s="108"/>
      <c r="H31" s="108"/>
      <c r="I31" s="108"/>
      <c r="J31" s="108"/>
      <c r="K31" s="108"/>
      <c r="L31" s="108"/>
      <c r="M31" s="108"/>
      <c r="N31" s="108"/>
      <c r="O31" s="108"/>
      <c r="P31" s="108"/>
      <c r="Q31" s="108"/>
      <c r="R31" s="108"/>
      <c r="S31" s="108"/>
      <c r="T31" s="108"/>
      <c r="U31" s="670"/>
      <c r="V31" s="108"/>
      <c r="W31" s="108"/>
    </row>
    <row r="32" spans="1:23" x14ac:dyDescent="0.2">
      <c r="A32" s="108"/>
      <c r="B32" s="108"/>
      <c r="C32" s="108"/>
      <c r="D32" s="108"/>
      <c r="E32" s="108"/>
      <c r="F32" s="108"/>
      <c r="G32" s="108"/>
      <c r="H32" s="108"/>
      <c r="I32" s="108"/>
      <c r="J32" s="108"/>
      <c r="K32" s="108"/>
      <c r="L32" s="108"/>
      <c r="M32" s="108"/>
      <c r="N32" s="108"/>
      <c r="O32" s="108"/>
      <c r="P32" s="108"/>
      <c r="Q32" s="108"/>
      <c r="R32" s="108"/>
      <c r="S32" s="108"/>
      <c r="T32" s="108"/>
      <c r="V32" s="108"/>
      <c r="W32" s="108"/>
    </row>
    <row r="33" spans="1:23" x14ac:dyDescent="0.2">
      <c r="A33" s="108"/>
      <c r="B33" s="108"/>
      <c r="C33" s="108"/>
      <c r="D33" s="108"/>
      <c r="E33" s="108"/>
      <c r="F33" s="108"/>
      <c r="G33" s="108"/>
      <c r="H33" s="108"/>
      <c r="I33" s="108"/>
      <c r="J33" s="108"/>
      <c r="K33" s="108"/>
      <c r="L33" s="108"/>
      <c r="M33" s="108"/>
      <c r="N33" s="108"/>
      <c r="O33" s="108"/>
      <c r="P33" s="108"/>
      <c r="Q33" s="108"/>
      <c r="R33" s="108"/>
      <c r="S33" s="108"/>
      <c r="T33" s="108"/>
      <c r="V33" s="108"/>
      <c r="W33" s="108"/>
    </row>
    <row r="34" spans="1:23" x14ac:dyDescent="0.2">
      <c r="A34" s="108"/>
      <c r="B34" s="108"/>
      <c r="C34" s="108"/>
      <c r="D34" s="108"/>
      <c r="E34" s="108"/>
      <c r="F34" s="108"/>
      <c r="G34" s="108"/>
      <c r="H34" s="108"/>
      <c r="I34" s="108"/>
      <c r="J34" s="108"/>
      <c r="K34" s="108"/>
      <c r="L34" s="108"/>
      <c r="M34" s="108"/>
      <c r="N34" s="108"/>
      <c r="O34" s="108"/>
      <c r="P34" s="108"/>
      <c r="Q34" s="108"/>
      <c r="R34" s="108"/>
      <c r="S34" s="108"/>
      <c r="T34" s="108"/>
      <c r="V34" s="108"/>
      <c r="W34" s="108"/>
    </row>
    <row r="35" spans="1:23" x14ac:dyDescent="0.2">
      <c r="A35" s="108"/>
      <c r="B35" s="108"/>
      <c r="C35" s="108"/>
      <c r="D35" s="108"/>
      <c r="E35" s="108"/>
      <c r="F35" s="108"/>
      <c r="G35" s="108"/>
      <c r="H35" s="108"/>
      <c r="I35" s="108"/>
      <c r="J35" s="108"/>
      <c r="K35" s="108"/>
      <c r="L35" s="108"/>
      <c r="M35" s="108"/>
      <c r="N35" s="108"/>
      <c r="O35" s="108"/>
      <c r="P35" s="108"/>
      <c r="Q35" s="108"/>
      <c r="R35" s="108"/>
      <c r="S35" s="108"/>
      <c r="T35" s="108"/>
      <c r="V35" s="108"/>
      <c r="W35" s="108"/>
    </row>
    <row r="36" spans="1:23" x14ac:dyDescent="0.2">
      <c r="A36" s="108"/>
      <c r="B36" s="108"/>
      <c r="C36" s="108"/>
      <c r="D36" s="108"/>
      <c r="E36" s="108"/>
      <c r="F36" s="108"/>
      <c r="G36" s="108"/>
      <c r="H36" s="108"/>
      <c r="I36" s="108"/>
      <c r="J36" s="108"/>
      <c r="K36" s="108"/>
      <c r="L36" s="108"/>
      <c r="M36" s="108"/>
      <c r="N36" s="108"/>
      <c r="O36" s="108"/>
      <c r="P36" s="108"/>
      <c r="Q36" s="108"/>
      <c r="R36" s="108"/>
      <c r="S36" s="108"/>
      <c r="T36" s="108"/>
      <c r="V36" s="108"/>
      <c r="W36" s="108"/>
    </row>
    <row r="37" spans="1:23" x14ac:dyDescent="0.2">
      <c r="A37" s="108"/>
      <c r="B37" s="108"/>
      <c r="C37" s="108"/>
      <c r="D37" s="108"/>
      <c r="E37" s="108"/>
      <c r="F37" s="108"/>
      <c r="G37" s="108"/>
      <c r="H37" s="108"/>
      <c r="I37" s="108"/>
      <c r="J37" s="108"/>
      <c r="K37" s="108"/>
      <c r="L37" s="108"/>
      <c r="M37" s="108"/>
      <c r="N37" s="108"/>
      <c r="O37" s="108"/>
      <c r="P37" s="108"/>
      <c r="Q37" s="108"/>
      <c r="R37" s="108"/>
      <c r="S37" s="108"/>
      <c r="T37" s="108"/>
      <c r="V37" s="108"/>
      <c r="W37" s="108"/>
    </row>
    <row r="38" spans="1:23" x14ac:dyDescent="0.2">
      <c r="A38" s="108"/>
      <c r="B38" s="108"/>
      <c r="C38" s="108"/>
      <c r="D38" s="108"/>
      <c r="E38" s="108"/>
      <c r="F38" s="108"/>
      <c r="G38" s="108"/>
      <c r="H38" s="108"/>
      <c r="I38" s="108"/>
      <c r="J38" s="108"/>
      <c r="K38" s="108"/>
      <c r="L38" s="108"/>
      <c r="M38" s="108"/>
      <c r="N38" s="108"/>
      <c r="O38" s="108"/>
      <c r="P38" s="108"/>
      <c r="Q38" s="108"/>
      <c r="R38" s="108"/>
      <c r="S38" s="108"/>
      <c r="T38" s="108"/>
      <c r="V38" s="108"/>
      <c r="W38" s="108"/>
    </row>
    <row r="39" spans="1:23" x14ac:dyDescent="0.2">
      <c r="A39" s="108"/>
      <c r="B39" s="108"/>
      <c r="C39" s="108"/>
      <c r="D39" s="108"/>
      <c r="E39" s="108"/>
      <c r="F39" s="108"/>
      <c r="G39" s="108"/>
      <c r="H39" s="108"/>
      <c r="I39" s="108"/>
      <c r="J39" s="108"/>
      <c r="K39" s="108"/>
      <c r="L39" s="108"/>
      <c r="M39" s="108"/>
      <c r="N39" s="108"/>
      <c r="O39" s="108"/>
      <c r="P39" s="108"/>
      <c r="Q39" s="108"/>
      <c r="R39" s="108"/>
      <c r="S39" s="108"/>
      <c r="T39" s="108"/>
      <c r="V39" s="108"/>
      <c r="W39" s="108"/>
    </row>
    <row r="40" spans="1:23" x14ac:dyDescent="0.2">
      <c r="A40" s="108"/>
      <c r="B40" s="108"/>
      <c r="C40" s="108"/>
      <c r="D40" s="108"/>
      <c r="E40" s="108"/>
      <c r="F40" s="108"/>
      <c r="G40" s="108"/>
      <c r="H40" s="108"/>
      <c r="I40" s="108"/>
      <c r="J40" s="108"/>
      <c r="K40" s="108"/>
      <c r="L40" s="108"/>
      <c r="M40" s="108"/>
      <c r="N40" s="108"/>
      <c r="O40" s="108"/>
      <c r="P40" s="108"/>
      <c r="Q40" s="108"/>
      <c r="R40" s="108"/>
      <c r="S40" s="108"/>
      <c r="T40" s="108"/>
      <c r="V40" s="108"/>
      <c r="W40" s="108"/>
    </row>
    <row r="41" spans="1:23" x14ac:dyDescent="0.2">
      <c r="A41" s="108"/>
      <c r="B41" s="108"/>
      <c r="C41" s="108"/>
      <c r="D41" s="108"/>
      <c r="E41" s="108"/>
      <c r="F41" s="108"/>
      <c r="G41" s="108"/>
      <c r="H41" s="108"/>
      <c r="I41" s="108"/>
      <c r="J41" s="108"/>
      <c r="K41" s="108"/>
      <c r="L41" s="108"/>
      <c r="M41" s="108"/>
      <c r="N41" s="108"/>
      <c r="O41" s="108"/>
      <c r="P41" s="108"/>
      <c r="Q41" s="108"/>
      <c r="R41" s="108"/>
      <c r="S41" s="108"/>
      <c r="T41" s="108"/>
      <c r="V41" s="108"/>
      <c r="W41" s="108"/>
    </row>
    <row r="42" spans="1:23" x14ac:dyDescent="0.2">
      <c r="A42" s="108"/>
      <c r="B42" s="108"/>
      <c r="C42" s="108"/>
      <c r="D42" s="108"/>
      <c r="E42" s="108"/>
      <c r="F42" s="108"/>
      <c r="G42" s="108"/>
      <c r="H42" s="108"/>
      <c r="I42" s="108"/>
      <c r="J42" s="108"/>
      <c r="K42" s="108"/>
      <c r="L42" s="108"/>
      <c r="M42" s="108"/>
      <c r="N42" s="108"/>
      <c r="O42" s="108"/>
      <c r="P42" s="108"/>
      <c r="Q42" s="108"/>
      <c r="R42" s="108"/>
      <c r="S42" s="108"/>
      <c r="T42" s="108"/>
      <c r="V42" s="108"/>
      <c r="W42" s="108"/>
    </row>
    <row r="43" spans="1:23" x14ac:dyDescent="0.2">
      <c r="A43" s="108"/>
      <c r="B43" s="108"/>
      <c r="C43" s="108"/>
      <c r="D43" s="108"/>
      <c r="E43" s="108"/>
      <c r="F43" s="108"/>
      <c r="G43" s="108"/>
      <c r="H43" s="108"/>
      <c r="I43" s="108"/>
      <c r="J43" s="108"/>
      <c r="K43" s="108"/>
      <c r="L43" s="108"/>
      <c r="M43" s="108"/>
      <c r="N43" s="108"/>
      <c r="O43" s="108"/>
      <c r="P43" s="108"/>
      <c r="Q43" s="108"/>
      <c r="R43" s="108"/>
      <c r="S43" s="108"/>
      <c r="T43" s="108"/>
      <c r="V43" s="108"/>
      <c r="W43" s="108"/>
    </row>
    <row r="44" spans="1:23" x14ac:dyDescent="0.2">
      <c r="A44" s="108"/>
      <c r="B44" s="108"/>
      <c r="C44" s="108"/>
      <c r="D44" s="108"/>
      <c r="E44" s="108"/>
      <c r="F44" s="108"/>
      <c r="G44" s="108"/>
      <c r="H44" s="108"/>
      <c r="I44" s="108"/>
      <c r="J44" s="108"/>
      <c r="K44" s="108"/>
      <c r="L44" s="108"/>
      <c r="M44" s="108"/>
      <c r="N44" s="108"/>
      <c r="O44" s="108"/>
      <c r="P44" s="108"/>
      <c r="Q44" s="108"/>
      <c r="R44" s="108"/>
      <c r="S44" s="108"/>
      <c r="T44" s="108"/>
      <c r="V44" s="108"/>
      <c r="W44" s="108"/>
    </row>
    <row r="45" spans="1:23" x14ac:dyDescent="0.2">
      <c r="A45" s="108"/>
      <c r="B45" s="108"/>
      <c r="C45" s="108"/>
      <c r="D45" s="108"/>
      <c r="E45" s="108"/>
      <c r="F45" s="108"/>
      <c r="G45" s="108"/>
      <c r="H45" s="108"/>
      <c r="I45" s="108"/>
      <c r="J45" s="108"/>
      <c r="K45" s="108"/>
      <c r="L45" s="108"/>
      <c r="M45" s="108"/>
      <c r="N45" s="108"/>
      <c r="O45" s="108"/>
      <c r="P45" s="108"/>
      <c r="Q45" s="108"/>
      <c r="R45" s="108"/>
      <c r="S45" s="108"/>
      <c r="T45" s="108"/>
      <c r="V45" s="108"/>
      <c r="W45" s="108"/>
    </row>
    <row r="46" spans="1:23" x14ac:dyDescent="0.2">
      <c r="A46" s="108"/>
      <c r="B46" s="108"/>
      <c r="C46" s="108"/>
      <c r="D46" s="108"/>
      <c r="E46" s="108"/>
      <c r="F46" s="108"/>
      <c r="G46" s="108"/>
      <c r="H46" s="108"/>
      <c r="I46" s="108"/>
      <c r="J46" s="108"/>
      <c r="K46" s="108"/>
      <c r="L46" s="108"/>
      <c r="M46" s="108"/>
      <c r="N46" s="108"/>
      <c r="O46" s="108"/>
      <c r="P46" s="108"/>
      <c r="Q46" s="108"/>
      <c r="R46" s="108"/>
      <c r="S46" s="108"/>
      <c r="T46" s="108"/>
      <c r="V46" s="108"/>
      <c r="W46" s="108"/>
    </row>
    <row r="47" spans="1:23" x14ac:dyDescent="0.2">
      <c r="A47" s="108"/>
      <c r="B47" s="108"/>
      <c r="C47" s="108"/>
      <c r="D47" s="108"/>
      <c r="E47" s="108"/>
      <c r="F47" s="108"/>
      <c r="G47" s="108"/>
      <c r="H47" s="108"/>
      <c r="I47" s="108"/>
      <c r="J47" s="108"/>
      <c r="K47" s="108"/>
      <c r="L47" s="108"/>
      <c r="M47" s="108"/>
      <c r="N47" s="108"/>
      <c r="O47" s="108"/>
      <c r="P47" s="108"/>
      <c r="Q47" s="108"/>
      <c r="R47" s="108"/>
      <c r="S47" s="108"/>
      <c r="T47" s="108"/>
      <c r="V47" s="108"/>
      <c r="W47" s="108"/>
    </row>
    <row r="48" spans="1:23" x14ac:dyDescent="0.2">
      <c r="A48" s="108"/>
      <c r="B48" s="108"/>
      <c r="C48" s="108"/>
      <c r="D48" s="108"/>
      <c r="E48" s="108"/>
      <c r="F48" s="108"/>
      <c r="G48" s="108"/>
      <c r="H48" s="108"/>
      <c r="I48" s="108"/>
      <c r="J48" s="108"/>
      <c r="K48" s="108"/>
      <c r="L48" s="108"/>
      <c r="M48" s="108"/>
      <c r="N48" s="108"/>
      <c r="O48" s="108"/>
      <c r="P48" s="108"/>
      <c r="Q48" s="108"/>
      <c r="R48" s="108"/>
      <c r="S48" s="108"/>
      <c r="T48" s="108"/>
      <c r="V48" s="108"/>
      <c r="W48" s="108"/>
    </row>
    <row r="49" spans="1:23" x14ac:dyDescent="0.2">
      <c r="A49" s="108"/>
      <c r="B49" s="108"/>
      <c r="C49" s="108"/>
      <c r="D49" s="108"/>
      <c r="E49" s="108"/>
      <c r="F49" s="108"/>
      <c r="G49" s="108"/>
      <c r="H49" s="108"/>
      <c r="I49" s="108"/>
      <c r="J49" s="108"/>
      <c r="K49" s="108"/>
      <c r="L49" s="108"/>
      <c r="M49" s="108"/>
      <c r="N49" s="108"/>
      <c r="O49" s="108"/>
      <c r="P49" s="108"/>
      <c r="Q49" s="108"/>
      <c r="R49" s="108"/>
      <c r="S49" s="108"/>
      <c r="T49" s="108"/>
      <c r="V49" s="108"/>
      <c r="W49" s="108"/>
    </row>
    <row r="50" spans="1:23" x14ac:dyDescent="0.2">
      <c r="A50" s="108"/>
      <c r="B50" s="108"/>
      <c r="C50" s="108"/>
      <c r="D50" s="108"/>
      <c r="E50" s="108"/>
      <c r="F50" s="108"/>
      <c r="G50" s="108"/>
      <c r="H50" s="108"/>
      <c r="I50" s="108"/>
      <c r="J50" s="108"/>
      <c r="K50" s="108"/>
      <c r="L50" s="108"/>
      <c r="M50" s="108"/>
      <c r="N50" s="108"/>
      <c r="O50" s="108"/>
      <c r="P50" s="108"/>
      <c r="Q50" s="108"/>
      <c r="R50" s="108"/>
      <c r="S50" s="108"/>
      <c r="T50" s="108"/>
      <c r="V50" s="108"/>
      <c r="W50" s="108"/>
    </row>
    <row r="51" spans="1:23" x14ac:dyDescent="0.2">
      <c r="A51" s="108"/>
      <c r="B51" s="108"/>
      <c r="C51" s="108"/>
      <c r="D51" s="108"/>
      <c r="E51" s="108"/>
      <c r="F51" s="108"/>
      <c r="G51" s="108"/>
      <c r="H51" s="108"/>
      <c r="I51" s="108"/>
      <c r="J51" s="108"/>
      <c r="K51" s="108"/>
      <c r="L51" s="108"/>
      <c r="M51" s="108"/>
      <c r="N51" s="108"/>
      <c r="O51" s="108"/>
      <c r="P51" s="108"/>
      <c r="Q51" s="108"/>
      <c r="R51" s="108"/>
      <c r="S51" s="108"/>
      <c r="T51" s="108"/>
      <c r="V51" s="108"/>
      <c r="W51" s="108"/>
    </row>
    <row r="52" spans="1:23" x14ac:dyDescent="0.2">
      <c r="A52" s="108"/>
      <c r="B52" s="108"/>
      <c r="C52" s="108"/>
      <c r="D52" s="108"/>
      <c r="E52" s="108"/>
      <c r="F52" s="108"/>
      <c r="G52" s="108"/>
      <c r="H52" s="108"/>
      <c r="I52" s="108"/>
      <c r="J52" s="108"/>
      <c r="K52" s="108"/>
      <c r="L52" s="108"/>
      <c r="M52" s="108"/>
      <c r="N52" s="108"/>
      <c r="O52" s="108"/>
      <c r="P52" s="108"/>
      <c r="Q52" s="108"/>
      <c r="R52" s="108"/>
      <c r="S52" s="108"/>
      <c r="T52" s="108"/>
      <c r="V52" s="108"/>
      <c r="W52" s="108"/>
    </row>
    <row r="53" spans="1:23" x14ac:dyDescent="0.2">
      <c r="A53" s="108"/>
      <c r="B53" s="108"/>
      <c r="C53" s="108"/>
      <c r="D53" s="108"/>
      <c r="E53" s="108"/>
      <c r="F53" s="108"/>
      <c r="G53" s="108"/>
      <c r="H53" s="108"/>
      <c r="I53" s="108"/>
      <c r="J53" s="108"/>
      <c r="K53" s="108"/>
      <c r="L53" s="108"/>
      <c r="M53" s="108"/>
      <c r="N53" s="108"/>
      <c r="O53" s="108"/>
      <c r="P53" s="108"/>
      <c r="Q53" s="108"/>
      <c r="R53" s="108"/>
      <c r="S53" s="108"/>
      <c r="T53" s="108"/>
      <c r="V53" s="108"/>
      <c r="W53" s="108"/>
    </row>
    <row r="54" spans="1:23" x14ac:dyDescent="0.2">
      <c r="A54" s="108"/>
      <c r="B54" s="108"/>
      <c r="C54" s="108"/>
      <c r="D54" s="108"/>
      <c r="E54" s="108"/>
      <c r="F54" s="108"/>
      <c r="G54" s="108"/>
      <c r="H54" s="108"/>
      <c r="I54" s="108"/>
      <c r="J54" s="108"/>
      <c r="K54" s="108"/>
      <c r="L54" s="108"/>
      <c r="M54" s="108"/>
      <c r="N54" s="108"/>
      <c r="O54" s="108"/>
      <c r="P54" s="108"/>
      <c r="Q54" s="108"/>
      <c r="R54" s="108"/>
      <c r="S54" s="108"/>
      <c r="T54" s="108"/>
      <c r="V54" s="108"/>
      <c r="W54" s="108"/>
    </row>
    <row r="55" spans="1:23" x14ac:dyDescent="0.2">
      <c r="A55" s="108"/>
      <c r="B55" s="108"/>
      <c r="C55" s="108"/>
      <c r="D55" s="108"/>
      <c r="E55" s="108"/>
      <c r="F55" s="108"/>
      <c r="G55" s="108"/>
      <c r="H55" s="108"/>
      <c r="I55" s="108"/>
      <c r="J55" s="108"/>
      <c r="K55" s="108"/>
      <c r="L55" s="108"/>
      <c r="M55" s="108"/>
      <c r="N55" s="108"/>
      <c r="O55" s="108"/>
      <c r="P55" s="108"/>
      <c r="Q55" s="108"/>
      <c r="R55" s="108"/>
      <c r="S55" s="108"/>
      <c r="T55" s="108"/>
      <c r="V55" s="108"/>
      <c r="W55" s="108"/>
    </row>
    <row r="56" spans="1:23" x14ac:dyDescent="0.2">
      <c r="A56" s="108"/>
      <c r="B56" s="108"/>
      <c r="C56" s="108"/>
      <c r="D56" s="108"/>
      <c r="E56" s="108"/>
      <c r="F56" s="108"/>
      <c r="G56" s="108"/>
      <c r="H56" s="108"/>
      <c r="I56" s="108"/>
      <c r="J56" s="108"/>
      <c r="K56" s="108"/>
      <c r="L56" s="108"/>
      <c r="M56" s="108"/>
      <c r="N56" s="108"/>
      <c r="O56" s="108"/>
      <c r="P56" s="108"/>
      <c r="Q56" s="108"/>
      <c r="R56" s="108"/>
      <c r="S56" s="108"/>
      <c r="T56" s="108"/>
      <c r="V56" s="108"/>
      <c r="W56" s="108"/>
    </row>
    <row r="57" spans="1:23" x14ac:dyDescent="0.2">
      <c r="A57" s="108"/>
      <c r="B57" s="108"/>
      <c r="C57" s="108"/>
      <c r="D57" s="108"/>
      <c r="E57" s="108"/>
      <c r="F57" s="108"/>
      <c r="G57" s="108"/>
      <c r="H57" s="108"/>
      <c r="I57" s="108"/>
      <c r="J57" s="108"/>
      <c r="K57" s="108"/>
      <c r="L57" s="108"/>
      <c r="M57" s="108"/>
      <c r="N57" s="108"/>
      <c r="O57" s="108"/>
      <c r="P57" s="108"/>
      <c r="Q57" s="108"/>
      <c r="R57" s="108"/>
      <c r="S57" s="108"/>
      <c r="T57" s="108"/>
      <c r="V57" s="108"/>
      <c r="W57" s="108"/>
    </row>
    <row r="58" spans="1:23" x14ac:dyDescent="0.2">
      <c r="A58" s="108"/>
      <c r="B58" s="108"/>
      <c r="C58" s="108"/>
      <c r="D58" s="108"/>
      <c r="E58" s="108"/>
      <c r="F58" s="108"/>
      <c r="G58" s="108"/>
      <c r="H58" s="108"/>
      <c r="I58" s="108"/>
      <c r="J58" s="108"/>
      <c r="K58" s="108"/>
      <c r="L58" s="108"/>
      <c r="M58" s="108"/>
      <c r="N58" s="108"/>
      <c r="O58" s="108"/>
      <c r="P58" s="108"/>
      <c r="Q58" s="108"/>
      <c r="R58" s="108"/>
      <c r="S58" s="108"/>
      <c r="T58" s="108"/>
      <c r="V58" s="108"/>
      <c r="W58" s="108"/>
    </row>
    <row r="59" spans="1:23" x14ac:dyDescent="0.2">
      <c r="A59" s="108"/>
      <c r="B59" s="108"/>
      <c r="C59" s="108"/>
      <c r="D59" s="108"/>
      <c r="E59" s="108"/>
      <c r="F59" s="108"/>
      <c r="G59" s="108"/>
      <c r="H59" s="108"/>
      <c r="I59" s="108"/>
      <c r="J59" s="108"/>
      <c r="K59" s="108"/>
      <c r="L59" s="108"/>
      <c r="M59" s="108"/>
      <c r="N59" s="108"/>
      <c r="O59" s="108"/>
      <c r="P59" s="108"/>
      <c r="Q59" s="108"/>
      <c r="R59" s="108"/>
      <c r="S59" s="108"/>
      <c r="T59" s="108"/>
      <c r="V59" s="108"/>
      <c r="W59" s="108"/>
    </row>
    <row r="60" spans="1:23" x14ac:dyDescent="0.2">
      <c r="A60" s="108"/>
      <c r="B60" s="108"/>
      <c r="C60" s="108"/>
      <c r="D60" s="108"/>
      <c r="E60" s="108"/>
      <c r="F60" s="108"/>
      <c r="G60" s="108"/>
      <c r="H60" s="108"/>
      <c r="I60" s="108"/>
      <c r="J60" s="108"/>
      <c r="K60" s="108"/>
      <c r="L60" s="108"/>
      <c r="M60" s="108"/>
      <c r="N60" s="108"/>
      <c r="O60" s="108"/>
      <c r="P60" s="108"/>
      <c r="Q60" s="108"/>
      <c r="R60" s="108"/>
      <c r="S60" s="108"/>
      <c r="T60" s="108"/>
      <c r="V60" s="108"/>
      <c r="W60" s="108"/>
    </row>
    <row r="61" spans="1:23" x14ac:dyDescent="0.2">
      <c r="A61" s="108"/>
      <c r="B61" s="108"/>
      <c r="C61" s="108"/>
      <c r="D61" s="108"/>
      <c r="E61" s="108"/>
      <c r="F61" s="108"/>
      <c r="G61" s="108"/>
      <c r="H61" s="108"/>
      <c r="I61" s="108"/>
      <c r="J61" s="108"/>
      <c r="K61" s="108"/>
      <c r="L61" s="108"/>
      <c r="M61" s="108"/>
      <c r="N61" s="108"/>
      <c r="O61" s="108"/>
      <c r="P61" s="108"/>
      <c r="Q61" s="108"/>
      <c r="R61" s="108"/>
      <c r="S61" s="108"/>
      <c r="T61" s="108"/>
      <c r="V61" s="108"/>
      <c r="W61" s="108"/>
    </row>
    <row r="62" spans="1:23" x14ac:dyDescent="0.2">
      <c r="A62" s="108"/>
      <c r="B62" s="108"/>
      <c r="C62" s="108"/>
      <c r="D62" s="108"/>
      <c r="E62" s="108"/>
      <c r="F62" s="108"/>
      <c r="G62" s="108"/>
      <c r="H62" s="108"/>
      <c r="I62" s="108"/>
      <c r="J62" s="108"/>
      <c r="K62" s="108"/>
      <c r="L62" s="108"/>
      <c r="M62" s="108"/>
      <c r="N62" s="108"/>
      <c r="O62" s="108"/>
      <c r="P62" s="108"/>
      <c r="Q62" s="108"/>
      <c r="R62" s="108"/>
      <c r="S62" s="108"/>
      <c r="T62" s="108"/>
      <c r="V62" s="108"/>
      <c r="W62" s="108"/>
    </row>
    <row r="63" spans="1:23" x14ac:dyDescent="0.2">
      <c r="A63" s="108"/>
      <c r="B63" s="108"/>
      <c r="C63" s="108"/>
      <c r="D63" s="108"/>
      <c r="E63" s="108"/>
      <c r="F63" s="108"/>
      <c r="G63" s="108"/>
      <c r="H63" s="108"/>
      <c r="I63" s="108"/>
      <c r="J63" s="108"/>
      <c r="K63" s="108"/>
      <c r="L63" s="108"/>
      <c r="M63" s="108"/>
      <c r="N63" s="108"/>
      <c r="O63" s="108"/>
      <c r="P63" s="108"/>
      <c r="Q63" s="108"/>
      <c r="R63" s="108"/>
      <c r="S63" s="108"/>
      <c r="T63" s="108"/>
      <c r="V63" s="108"/>
      <c r="W63" s="108"/>
    </row>
    <row r="64" spans="1:23" x14ac:dyDescent="0.2">
      <c r="A64" s="108"/>
      <c r="B64" s="108"/>
      <c r="C64" s="108"/>
      <c r="D64" s="108"/>
      <c r="E64" s="108"/>
      <c r="F64" s="108"/>
      <c r="G64" s="108"/>
      <c r="H64" s="108"/>
      <c r="I64" s="108"/>
      <c r="J64" s="108"/>
      <c r="K64" s="108"/>
      <c r="L64" s="108"/>
      <c r="M64" s="108"/>
      <c r="N64" s="108"/>
      <c r="O64" s="108"/>
      <c r="P64" s="108"/>
      <c r="Q64" s="108"/>
      <c r="R64" s="108"/>
      <c r="S64" s="108"/>
      <c r="T64" s="108"/>
      <c r="V64" s="108"/>
      <c r="W64" s="108"/>
    </row>
    <row r="65" spans="1:29" x14ac:dyDescent="0.2">
      <c r="A65" s="108"/>
      <c r="B65" s="108"/>
      <c r="C65" s="108"/>
      <c r="D65" s="108"/>
      <c r="E65" s="108"/>
      <c r="F65" s="108"/>
      <c r="G65" s="108"/>
      <c r="H65" s="108"/>
      <c r="I65" s="108"/>
      <c r="J65" s="108"/>
      <c r="K65" s="108"/>
      <c r="L65" s="108"/>
      <c r="M65" s="108"/>
      <c r="N65" s="108"/>
      <c r="O65" s="108"/>
      <c r="P65" s="108"/>
      <c r="Q65" s="108"/>
      <c r="R65" s="108"/>
      <c r="S65" s="108"/>
      <c r="T65" s="108"/>
      <c r="V65" s="108"/>
      <c r="W65" s="108"/>
    </row>
    <row r="66" spans="1:29" x14ac:dyDescent="0.2">
      <c r="A66" s="108"/>
      <c r="B66" s="108"/>
      <c r="C66" s="108"/>
      <c r="D66" s="108"/>
      <c r="E66" s="108"/>
      <c r="F66" s="108"/>
      <c r="G66" s="108"/>
      <c r="H66" s="108"/>
      <c r="I66" s="108"/>
      <c r="J66" s="108"/>
      <c r="K66" s="108"/>
      <c r="L66" s="108"/>
      <c r="M66" s="108"/>
      <c r="N66" s="108"/>
      <c r="O66" s="108"/>
      <c r="P66" s="108"/>
      <c r="Q66" s="108"/>
      <c r="R66" s="108"/>
      <c r="S66" s="108"/>
      <c r="T66" s="108"/>
      <c r="V66" s="108"/>
      <c r="W66" s="108"/>
    </row>
    <row r="67" spans="1:29" x14ac:dyDescent="0.2">
      <c r="A67" s="108"/>
      <c r="B67" s="108"/>
      <c r="C67" s="108"/>
      <c r="D67" s="108"/>
      <c r="E67" s="108"/>
      <c r="F67" s="108"/>
      <c r="G67" s="108"/>
      <c r="H67" s="108"/>
      <c r="I67" s="108"/>
      <c r="J67" s="108"/>
      <c r="K67" s="108"/>
      <c r="L67" s="108"/>
      <c r="M67" s="108"/>
      <c r="N67" s="108"/>
      <c r="O67" s="108"/>
      <c r="P67" s="108"/>
      <c r="Q67" s="108"/>
      <c r="R67" s="108"/>
      <c r="S67" s="108"/>
      <c r="T67" s="108"/>
      <c r="V67" s="108"/>
      <c r="W67" s="108"/>
    </row>
    <row r="68" spans="1:29" x14ac:dyDescent="0.2">
      <c r="A68" s="108"/>
      <c r="B68" s="108"/>
      <c r="C68" s="108"/>
      <c r="D68" s="108"/>
      <c r="E68" s="108"/>
      <c r="F68" s="108"/>
      <c r="G68" s="108"/>
      <c r="H68" s="108"/>
      <c r="I68" s="108"/>
      <c r="J68" s="108"/>
      <c r="K68" s="108"/>
      <c r="L68" s="108"/>
      <c r="M68" s="108"/>
      <c r="N68" s="108"/>
      <c r="O68" s="108"/>
      <c r="P68" s="108"/>
      <c r="Q68" s="108"/>
      <c r="R68" s="108"/>
      <c r="S68" s="108"/>
      <c r="T68" s="108"/>
      <c r="V68" s="108"/>
      <c r="W68" s="108"/>
    </row>
    <row r="69" spans="1:29" s="607" customFormat="1" ht="15" customHeight="1" x14ac:dyDescent="0.2">
      <c r="A69" s="980"/>
      <c r="B69" s="670"/>
      <c r="C69" s="670"/>
      <c r="D69" s="670"/>
      <c r="E69" s="670"/>
      <c r="F69" s="670"/>
      <c r="G69" s="670"/>
      <c r="H69" s="670"/>
      <c r="I69" s="670"/>
      <c r="J69" s="670"/>
      <c r="K69" s="670"/>
      <c r="L69" s="670"/>
      <c r="M69" s="670"/>
      <c r="N69" s="670"/>
      <c r="O69" s="670"/>
      <c r="P69" s="670"/>
      <c r="Q69" s="670"/>
      <c r="R69" s="670"/>
      <c r="S69" s="670"/>
      <c r="T69" s="670"/>
      <c r="U69" s="108"/>
      <c r="V69" s="670"/>
      <c r="W69" s="670"/>
      <c r="X69" s="825"/>
      <c r="Y69" s="825"/>
      <c r="Z69" s="825"/>
      <c r="AA69" s="825"/>
      <c r="AB69" s="825"/>
      <c r="AC69" s="825"/>
    </row>
    <row r="70" spans="1:29" s="253" customFormat="1" ht="15" customHeight="1" x14ac:dyDescent="0.2">
      <c r="A70" s="980"/>
      <c r="B70" s="266"/>
      <c r="C70" s="609" t="s">
        <v>14</v>
      </c>
      <c r="D70" s="609"/>
      <c r="E70" s="609"/>
      <c r="F70" s="609"/>
      <c r="G70" s="609"/>
      <c r="H70" s="609"/>
      <c r="I70" s="609"/>
      <c r="J70" s="609"/>
      <c r="K70" s="609"/>
      <c r="L70" s="609"/>
      <c r="M70" s="609"/>
      <c r="N70" s="609"/>
      <c r="O70" s="609"/>
      <c r="P70" s="255"/>
      <c r="Q70" s="255"/>
      <c r="R70" s="248"/>
      <c r="S70" s="255"/>
      <c r="T70" s="248"/>
      <c r="U70" s="670"/>
      <c r="V70" s="255"/>
      <c r="W70" s="255"/>
      <c r="X70" s="255"/>
      <c r="Y70" s="255"/>
      <c r="Z70" s="255"/>
      <c r="AA70" s="825"/>
      <c r="AB70" s="825"/>
      <c r="AC70" s="825"/>
    </row>
    <row r="71" spans="1:29" s="253" customFormat="1" ht="15" customHeight="1" x14ac:dyDescent="0.2">
      <c r="A71" s="980"/>
      <c r="B71" s="266"/>
      <c r="C71" s="313"/>
      <c r="D71" s="313"/>
      <c r="E71" s="313"/>
      <c r="F71" s="313"/>
      <c r="G71" s="313"/>
      <c r="H71" s="313"/>
      <c r="I71" s="313"/>
      <c r="J71" s="313"/>
      <c r="K71" s="313"/>
      <c r="L71" s="313"/>
      <c r="M71" s="313"/>
      <c r="N71" s="313"/>
      <c r="O71" s="313"/>
      <c r="P71" s="255"/>
      <c r="Q71" s="255"/>
      <c r="R71" s="248"/>
      <c r="S71" s="255"/>
      <c r="T71" s="248"/>
      <c r="U71" s="255"/>
      <c r="V71" s="255"/>
      <c r="W71" s="255"/>
      <c r="X71" s="255"/>
      <c r="Y71" s="255"/>
      <c r="Z71" s="255"/>
      <c r="AA71" s="825"/>
      <c r="AB71" s="825"/>
      <c r="AC71" s="825"/>
    </row>
    <row r="72" spans="1:29" s="607" customFormat="1" ht="15" customHeight="1" x14ac:dyDescent="0.2">
      <c r="A72" s="980"/>
      <c r="B72" s="670"/>
      <c r="C72" s="670"/>
      <c r="D72" s="670"/>
      <c r="E72" s="670"/>
      <c r="F72" s="670"/>
      <c r="G72" s="670"/>
      <c r="H72" s="670"/>
      <c r="I72" s="670"/>
      <c r="J72" s="670"/>
      <c r="K72" s="670"/>
      <c r="L72" s="670"/>
      <c r="M72" s="670"/>
      <c r="N72" s="670"/>
      <c r="O72" s="670"/>
      <c r="P72" s="670"/>
      <c r="Q72" s="670"/>
      <c r="R72" s="670"/>
      <c r="S72" s="670"/>
      <c r="T72" s="670"/>
      <c r="U72" s="255"/>
      <c r="V72" s="670"/>
      <c r="W72" s="670"/>
      <c r="X72" s="825"/>
      <c r="Y72" s="825"/>
      <c r="Z72" s="825"/>
      <c r="AA72" s="825"/>
      <c r="AB72" s="825"/>
      <c r="AC72" s="825"/>
    </row>
    <row r="73" spans="1:29" s="607" customFormat="1" ht="15" customHeight="1" x14ac:dyDescent="0.2">
      <c r="A73" s="980"/>
      <c r="B73" s="670"/>
      <c r="C73" s="670" t="str">
        <f>ListAVS!$B$332</f>
        <v>Wybierz dogodną technikę montażu mocowania frontu</v>
      </c>
      <c r="D73" s="670"/>
      <c r="E73" s="670"/>
      <c r="F73" s="670"/>
      <c r="G73" s="670"/>
      <c r="H73" s="670"/>
      <c r="I73" s="670"/>
      <c r="J73" s="670"/>
      <c r="K73" s="670"/>
      <c r="L73" s="670"/>
      <c r="M73" s="670"/>
      <c r="N73" s="670"/>
      <c r="O73" s="670"/>
      <c r="P73" s="670"/>
      <c r="Q73" s="670"/>
      <c r="R73" s="670"/>
      <c r="S73" s="670"/>
      <c r="T73" s="670"/>
      <c r="U73" s="670"/>
      <c r="V73" s="670"/>
      <c r="W73" s="670"/>
      <c r="X73" s="825"/>
      <c r="Y73" s="825"/>
      <c r="Z73" s="825"/>
      <c r="AA73" s="825"/>
      <c r="AB73" s="825"/>
      <c r="AC73" s="825"/>
    </row>
    <row r="74" spans="1:29" s="607" customFormat="1" ht="15" customHeight="1" x14ac:dyDescent="0.2">
      <c r="A74" s="980"/>
      <c r="B74" s="670"/>
      <c r="C74" s="670"/>
      <c r="D74" s="670"/>
      <c r="E74" s="670"/>
      <c r="F74" s="670"/>
      <c r="G74" s="670"/>
      <c r="H74" s="670"/>
      <c r="I74" s="670"/>
      <c r="J74" s="670"/>
      <c r="K74" s="670"/>
      <c r="L74" s="670"/>
      <c r="M74" s="670"/>
      <c r="N74" s="670"/>
      <c r="O74" s="670"/>
      <c r="P74" s="670"/>
      <c r="Q74" s="670"/>
      <c r="R74" s="670"/>
      <c r="S74" s="670"/>
      <c r="T74" s="670"/>
      <c r="U74" s="670"/>
      <c r="V74" s="670"/>
      <c r="W74" s="670"/>
      <c r="X74" s="825"/>
      <c r="Y74" s="825"/>
      <c r="Z74" s="825"/>
      <c r="AA74" s="825"/>
      <c r="AB74" s="825"/>
      <c r="AC74" s="825"/>
    </row>
    <row r="75" spans="1:29" s="607" customFormat="1" ht="15" customHeight="1" x14ac:dyDescent="0.2">
      <c r="A75" s="980"/>
      <c r="B75" s="670"/>
      <c r="C75" s="670" t="str">
        <f>ListAVS!$B$289</f>
        <v>Kliknij na zdjęcie lub opis, aby przejść do żądanego typu podnośnika.</v>
      </c>
      <c r="D75" s="670"/>
      <c r="E75" s="670"/>
      <c r="F75" s="670"/>
      <c r="G75" s="670"/>
      <c r="H75" s="670"/>
      <c r="I75" s="670"/>
      <c r="J75" s="670"/>
      <c r="K75" s="670"/>
      <c r="L75" s="670"/>
      <c r="M75" s="670"/>
      <c r="N75" s="670"/>
      <c r="O75" s="670"/>
      <c r="P75" s="670"/>
      <c r="Q75" s="670"/>
      <c r="R75" s="670"/>
      <c r="S75" s="670"/>
      <c r="T75" s="670"/>
      <c r="U75" s="670"/>
      <c r="V75" s="670"/>
      <c r="W75" s="670"/>
      <c r="X75" s="825"/>
      <c r="Y75" s="825"/>
      <c r="Z75" s="825"/>
      <c r="AA75" s="825"/>
      <c r="AB75" s="825"/>
      <c r="AC75" s="825"/>
    </row>
    <row r="76" spans="1:29" s="607" customFormat="1" ht="15" customHeight="1" x14ac:dyDescent="0.2">
      <c r="A76" s="980"/>
      <c r="B76" s="670"/>
      <c r="C76" s="670"/>
      <c r="D76" s="670"/>
      <c r="E76" s="670"/>
      <c r="F76" s="670"/>
      <c r="G76" s="670"/>
      <c r="H76" s="670"/>
      <c r="I76" s="670"/>
      <c r="J76" s="670"/>
      <c r="K76" s="670"/>
      <c r="L76" s="670"/>
      <c r="M76" s="670"/>
      <c r="N76" s="670"/>
      <c r="O76" s="670"/>
      <c r="P76" s="670"/>
      <c r="Q76" s="670"/>
      <c r="R76" s="670"/>
      <c r="S76" s="670"/>
      <c r="T76" s="670"/>
      <c r="U76" s="670"/>
      <c r="V76" s="670"/>
      <c r="W76" s="670"/>
      <c r="X76" s="825"/>
      <c r="Y76" s="825"/>
      <c r="Z76" s="825"/>
      <c r="AA76" s="825"/>
      <c r="AB76" s="825"/>
      <c r="AC76" s="825"/>
    </row>
    <row r="77" spans="1:29" s="607" customFormat="1" ht="15" customHeight="1" x14ac:dyDescent="0.2">
      <c r="A77" s="980"/>
      <c r="B77" s="670"/>
      <c r="C77" s="670"/>
      <c r="D77" s="670"/>
      <c r="E77" s="670"/>
      <c r="F77" s="670"/>
      <c r="G77" s="670"/>
      <c r="H77" s="670"/>
      <c r="I77" s="670"/>
      <c r="J77" s="670"/>
      <c r="K77" s="670"/>
      <c r="L77" s="670"/>
      <c r="M77" s="670"/>
      <c r="N77" s="670"/>
      <c r="O77" s="670"/>
      <c r="P77" s="670"/>
      <c r="Q77" s="670"/>
      <c r="R77" s="670"/>
      <c r="S77" s="670"/>
      <c r="T77" s="670"/>
      <c r="U77" s="670"/>
      <c r="V77" s="670"/>
      <c r="W77" s="670"/>
      <c r="X77" s="825"/>
      <c r="Y77" s="825"/>
      <c r="Z77" s="825"/>
      <c r="AA77" s="825"/>
      <c r="AB77" s="825"/>
      <c r="AC77" s="825"/>
    </row>
    <row r="78" spans="1:29" s="607" customFormat="1" ht="15" customHeight="1" x14ac:dyDescent="0.2">
      <c r="A78" s="980"/>
      <c r="B78" s="670"/>
      <c r="C78" s="670"/>
      <c r="D78" s="670"/>
      <c r="E78" s="670"/>
      <c r="F78" s="670"/>
      <c r="G78" s="670"/>
      <c r="H78" s="670"/>
      <c r="I78" s="670"/>
      <c r="J78" s="670"/>
      <c r="K78" s="670"/>
      <c r="L78" s="670"/>
      <c r="M78" s="670"/>
      <c r="N78" s="670"/>
      <c r="O78" s="670"/>
      <c r="P78" s="670"/>
      <c r="Q78" s="670"/>
      <c r="R78" s="670"/>
      <c r="S78" s="670"/>
      <c r="T78" s="670"/>
      <c r="U78" s="670"/>
      <c r="V78" s="670"/>
      <c r="W78" s="670"/>
      <c r="X78" s="825"/>
      <c r="Y78" s="825"/>
      <c r="Z78" s="825"/>
      <c r="AA78" s="825"/>
      <c r="AB78" s="825"/>
      <c r="AC78" s="825"/>
    </row>
    <row r="79" spans="1:29" s="607" customFormat="1" ht="15" customHeight="1" x14ac:dyDescent="0.2">
      <c r="A79" s="980"/>
      <c r="B79" s="670"/>
      <c r="C79" s="670"/>
      <c r="D79" s="670"/>
      <c r="E79" s="670"/>
      <c r="F79" s="670"/>
      <c r="G79" s="670"/>
      <c r="H79" s="670"/>
      <c r="I79" s="670"/>
      <c r="J79" s="670"/>
      <c r="K79" s="670"/>
      <c r="L79" s="670"/>
      <c r="M79" s="670"/>
      <c r="N79" s="670"/>
      <c r="O79" s="670"/>
      <c r="P79" s="670"/>
      <c r="Q79" s="670"/>
      <c r="R79" s="670"/>
      <c r="S79" s="670"/>
      <c r="T79" s="670"/>
      <c r="U79" s="670"/>
      <c r="V79" s="670"/>
      <c r="W79" s="670"/>
      <c r="X79" s="825"/>
      <c r="Y79" s="825"/>
      <c r="Z79" s="825"/>
      <c r="AA79" s="825"/>
      <c r="AB79" s="825"/>
      <c r="AC79" s="825"/>
    </row>
    <row r="80" spans="1:29" s="607" customFormat="1" ht="15" customHeight="1" x14ac:dyDescent="0.2">
      <c r="A80" s="980"/>
      <c r="B80" s="670"/>
      <c r="C80" s="670"/>
      <c r="D80" s="670"/>
      <c r="E80" s="670"/>
      <c r="F80" s="670"/>
      <c r="G80" s="670"/>
      <c r="H80" s="670"/>
      <c r="I80" s="670"/>
      <c r="J80" s="670"/>
      <c r="K80" s="670"/>
      <c r="L80" s="670"/>
      <c r="M80" s="670"/>
      <c r="N80" s="670"/>
      <c r="O80" s="670"/>
      <c r="P80" s="670"/>
      <c r="Q80" s="670"/>
      <c r="R80" s="670"/>
      <c r="S80" s="670"/>
      <c r="T80" s="670"/>
      <c r="U80" s="670"/>
      <c r="V80" s="670"/>
      <c r="W80" s="670"/>
      <c r="X80" s="825"/>
      <c r="Y80" s="825"/>
      <c r="Z80" s="825"/>
      <c r="AA80" s="825"/>
      <c r="AB80" s="825"/>
      <c r="AC80" s="825"/>
    </row>
    <row r="81" spans="1:23" s="607" customFormat="1" ht="15" customHeight="1" x14ac:dyDescent="0.2">
      <c r="A81" s="980"/>
      <c r="B81" s="670"/>
      <c r="C81" s="670"/>
      <c r="D81" s="670"/>
      <c r="E81" s="670"/>
      <c r="F81" s="670"/>
      <c r="G81" s="670"/>
      <c r="H81" s="670"/>
      <c r="I81" s="670"/>
      <c r="J81" s="671"/>
      <c r="K81" s="671"/>
      <c r="L81" s="670"/>
      <c r="M81" s="670"/>
      <c r="N81" s="670"/>
      <c r="O81" s="670"/>
      <c r="P81" s="670"/>
      <c r="Q81" s="670"/>
      <c r="R81" s="670"/>
      <c r="S81" s="670"/>
      <c r="T81" s="670"/>
      <c r="U81" s="670"/>
      <c r="V81" s="670"/>
      <c r="W81" s="670"/>
    </row>
    <row r="82" spans="1:23" s="607" customFormat="1" ht="15" customHeight="1" x14ac:dyDescent="0.2">
      <c r="A82" s="980"/>
      <c r="B82" s="670"/>
      <c r="C82" s="670"/>
      <c r="D82" s="670"/>
      <c r="E82" s="670"/>
      <c r="F82" s="670"/>
      <c r="G82" s="670"/>
      <c r="H82" s="670"/>
      <c r="I82" s="670"/>
      <c r="J82" s="670"/>
      <c r="K82" s="670"/>
      <c r="L82" s="670"/>
      <c r="M82" s="670"/>
      <c r="N82" s="670"/>
      <c r="O82" s="670"/>
      <c r="P82" s="670"/>
      <c r="Q82" s="670"/>
      <c r="R82" s="670"/>
      <c r="S82" s="670"/>
      <c r="T82" s="670"/>
      <c r="U82" s="670"/>
      <c r="V82" s="670"/>
      <c r="W82" s="670"/>
    </row>
    <row r="83" spans="1:23" s="607" customFormat="1" ht="15" customHeight="1" x14ac:dyDescent="0.2">
      <c r="A83" s="980"/>
      <c r="B83" s="670"/>
      <c r="C83" s="670"/>
      <c r="D83" s="670"/>
      <c r="E83" s="670"/>
      <c r="F83" s="670"/>
      <c r="G83" s="670"/>
      <c r="H83" s="670"/>
      <c r="I83" s="670"/>
      <c r="J83" s="670"/>
      <c r="K83" s="670"/>
      <c r="L83" s="670"/>
      <c r="M83" s="670"/>
      <c r="N83" s="670"/>
      <c r="O83" s="670"/>
      <c r="P83" s="670"/>
      <c r="Q83" s="670"/>
      <c r="R83" s="670"/>
      <c r="S83" s="670"/>
      <c r="T83" s="670"/>
      <c r="U83" s="670"/>
      <c r="V83" s="670"/>
      <c r="W83" s="670"/>
    </row>
    <row r="84" spans="1:23" s="607" customFormat="1" ht="15" customHeight="1" x14ac:dyDescent="0.2">
      <c r="A84" s="980"/>
      <c r="B84" s="670"/>
      <c r="C84" s="670"/>
      <c r="D84" s="670"/>
      <c r="E84" s="670"/>
      <c r="F84" s="670"/>
      <c r="G84" s="670"/>
      <c r="H84" s="670"/>
      <c r="I84" s="670"/>
      <c r="J84" s="670"/>
      <c r="K84" s="670"/>
      <c r="L84" s="670"/>
      <c r="M84" s="670"/>
      <c r="N84" s="670"/>
      <c r="O84" s="670"/>
      <c r="P84" s="670"/>
      <c r="Q84" s="670"/>
      <c r="R84" s="670"/>
      <c r="S84" s="670"/>
      <c r="T84" s="670"/>
      <c r="U84" s="670"/>
      <c r="V84" s="670"/>
      <c r="W84" s="670"/>
    </row>
    <row r="85" spans="1:23" s="607" customFormat="1" ht="15" customHeight="1" x14ac:dyDescent="0.2">
      <c r="A85" s="980"/>
      <c r="B85" s="670"/>
      <c r="C85" s="670"/>
      <c r="D85" s="670"/>
      <c r="E85" s="670"/>
      <c r="F85" s="670"/>
      <c r="G85" s="670"/>
      <c r="H85" s="979" t="str">
        <f>ListAVS!$B$168</f>
        <v>Z powrotem</v>
      </c>
      <c r="I85" s="979"/>
      <c r="J85" s="678"/>
      <c r="K85" s="678"/>
      <c r="L85" s="678"/>
      <c r="M85" s="1039"/>
      <c r="N85" s="1039"/>
      <c r="O85" s="670"/>
      <c r="P85" s="670"/>
      <c r="Q85" s="670"/>
      <c r="R85" s="670"/>
      <c r="S85" s="670"/>
      <c r="T85" s="670"/>
      <c r="U85" s="670"/>
      <c r="V85" s="670"/>
      <c r="W85" s="670"/>
    </row>
    <row r="86" spans="1:23" s="607" customFormat="1" ht="15" customHeight="1" x14ac:dyDescent="0.2">
      <c r="A86" s="980"/>
      <c r="B86" s="670"/>
      <c r="C86" s="670"/>
      <c r="D86" s="670"/>
      <c r="E86" s="670"/>
      <c r="F86" s="670"/>
      <c r="G86" s="670"/>
      <c r="H86" s="670"/>
      <c r="I86" s="670"/>
      <c r="J86" s="670"/>
      <c r="K86" s="670"/>
      <c r="L86" s="670"/>
      <c r="M86" s="670"/>
      <c r="N86" s="670"/>
      <c r="O86" s="670"/>
      <c r="P86" s="670"/>
      <c r="Q86" s="670"/>
      <c r="R86" s="670"/>
      <c r="S86" s="670"/>
      <c r="T86" s="670"/>
      <c r="U86" s="670"/>
      <c r="V86" s="670"/>
      <c r="W86" s="670"/>
    </row>
    <row r="87" spans="1:23" s="607" customFormat="1" ht="15" customHeight="1" x14ac:dyDescent="0.2">
      <c r="A87" s="980"/>
      <c r="B87" s="670"/>
      <c r="C87" s="670"/>
      <c r="D87" s="670"/>
      <c r="E87" s="670"/>
      <c r="F87" s="670"/>
      <c r="G87" s="670"/>
      <c r="H87" s="670"/>
      <c r="I87" s="670"/>
      <c r="J87" s="670"/>
      <c r="K87" s="670"/>
      <c r="L87" s="670"/>
      <c r="M87" s="670"/>
      <c r="N87" s="670"/>
      <c r="O87" s="670"/>
      <c r="P87" s="670"/>
      <c r="Q87" s="670"/>
      <c r="R87" s="670"/>
      <c r="S87" s="670"/>
      <c r="T87" s="670"/>
      <c r="U87" s="670"/>
      <c r="V87" s="670"/>
      <c r="W87" s="670"/>
    </row>
    <row r="88" spans="1:23" s="607" customFormat="1" ht="15" customHeight="1" x14ac:dyDescent="0.2">
      <c r="A88" s="980"/>
      <c r="B88" s="670"/>
      <c r="C88" s="670"/>
      <c r="D88" s="670"/>
      <c r="E88" s="670"/>
      <c r="F88" s="670"/>
      <c r="G88" s="670"/>
      <c r="H88" s="670"/>
      <c r="I88" s="670"/>
      <c r="J88" s="670"/>
      <c r="K88" s="670"/>
      <c r="L88" s="670"/>
      <c r="M88" s="670"/>
      <c r="N88" s="670"/>
      <c r="O88" s="670"/>
      <c r="P88" s="670"/>
      <c r="Q88" s="670"/>
      <c r="R88" s="670"/>
      <c r="S88" s="670"/>
      <c r="T88" s="670"/>
      <c r="U88" s="670"/>
      <c r="V88" s="670"/>
      <c r="W88" s="670"/>
    </row>
    <row r="89" spans="1:23" s="607" customFormat="1" ht="15" customHeight="1" x14ac:dyDescent="0.2">
      <c r="A89" s="980"/>
      <c r="B89" s="670"/>
      <c r="C89" s="670"/>
      <c r="D89" s="670"/>
      <c r="E89" s="670"/>
      <c r="F89" s="670"/>
      <c r="G89" s="670"/>
      <c r="H89" s="670"/>
      <c r="I89" s="670"/>
      <c r="J89" s="670"/>
      <c r="K89" s="670"/>
      <c r="L89" s="670"/>
      <c r="M89" s="670"/>
      <c r="N89" s="670"/>
      <c r="O89" s="670"/>
      <c r="P89" s="670"/>
      <c r="Q89" s="670"/>
      <c r="R89" s="670"/>
      <c r="S89" s="670"/>
      <c r="T89" s="670"/>
      <c r="U89" s="670"/>
      <c r="V89" s="670"/>
      <c r="W89" s="670"/>
    </row>
    <row r="90" spans="1:23" s="607" customFormat="1" ht="15" customHeight="1" x14ac:dyDescent="0.2">
      <c r="A90" s="980"/>
      <c r="B90" s="670"/>
      <c r="C90" s="670"/>
      <c r="D90" s="670"/>
      <c r="E90" s="670"/>
      <c r="F90" s="670"/>
      <c r="G90" s="670"/>
      <c r="H90" s="670"/>
      <c r="I90" s="670"/>
      <c r="J90" s="670"/>
      <c r="K90" s="670"/>
      <c r="L90" s="670"/>
      <c r="M90" s="670"/>
      <c r="N90" s="670"/>
      <c r="O90" s="670"/>
      <c r="P90" s="670"/>
      <c r="Q90" s="670"/>
      <c r="R90" s="670"/>
      <c r="S90" s="670"/>
      <c r="T90" s="670"/>
      <c r="U90" s="670"/>
      <c r="V90" s="670"/>
      <c r="W90" s="670"/>
    </row>
    <row r="91" spans="1:23" ht="12.75" x14ac:dyDescent="0.2">
      <c r="A91" s="980"/>
      <c r="B91" s="108"/>
      <c r="C91" s="108"/>
      <c r="D91" s="108"/>
      <c r="E91" s="108"/>
      <c r="F91" s="108"/>
      <c r="G91" s="108"/>
      <c r="H91" s="108"/>
      <c r="I91" s="108"/>
      <c r="J91" s="108"/>
      <c r="K91" s="108"/>
      <c r="L91" s="108"/>
      <c r="M91" s="108"/>
      <c r="N91" s="108"/>
      <c r="O91" s="108"/>
      <c r="P91" s="108"/>
      <c r="Q91" s="108"/>
      <c r="R91" s="108"/>
      <c r="S91" s="108"/>
      <c r="T91" s="108"/>
      <c r="U91" s="670"/>
      <c r="V91" s="108"/>
      <c r="W91" s="108"/>
    </row>
    <row r="92" spans="1:23" x14ac:dyDescent="0.2">
      <c r="A92" s="980"/>
      <c r="B92" s="108"/>
      <c r="C92" s="108"/>
      <c r="D92" s="108"/>
      <c r="E92" s="108"/>
      <c r="F92" s="108"/>
      <c r="G92" s="108"/>
      <c r="H92" s="108"/>
      <c r="I92" s="108"/>
      <c r="J92" s="108"/>
      <c r="K92" s="108"/>
      <c r="L92" s="108"/>
      <c r="M92" s="108"/>
      <c r="N92" s="108"/>
      <c r="O92" s="108"/>
      <c r="P92" s="108"/>
      <c r="Q92" s="108"/>
      <c r="R92" s="108"/>
      <c r="S92" s="108"/>
      <c r="T92" s="108"/>
      <c r="V92" s="108"/>
      <c r="W92" s="108"/>
    </row>
    <row r="93" spans="1:23" x14ac:dyDescent="0.2">
      <c r="A93" s="980"/>
      <c r="B93" s="108"/>
      <c r="C93" s="108"/>
      <c r="D93" s="108"/>
      <c r="E93" s="108"/>
      <c r="F93" s="108"/>
      <c r="G93" s="108"/>
      <c r="H93" s="108"/>
      <c r="I93" s="108"/>
      <c r="J93" s="108"/>
      <c r="K93" s="108"/>
      <c r="L93" s="108"/>
      <c r="M93" s="108"/>
      <c r="N93" s="108"/>
      <c r="O93" s="108"/>
      <c r="P93" s="108"/>
      <c r="Q93" s="108"/>
      <c r="R93" s="108"/>
      <c r="S93" s="108"/>
      <c r="T93" s="108"/>
      <c r="V93" s="108"/>
      <c r="W93" s="108"/>
    </row>
    <row r="94" spans="1:23" x14ac:dyDescent="0.2">
      <c r="A94" s="980"/>
      <c r="B94" s="108"/>
      <c r="C94" s="108"/>
      <c r="D94" s="108"/>
      <c r="E94" s="108"/>
      <c r="F94" s="108"/>
      <c r="G94" s="108"/>
      <c r="H94" s="108"/>
      <c r="I94" s="108"/>
      <c r="J94" s="108"/>
      <c r="K94" s="108"/>
      <c r="L94" s="108"/>
      <c r="M94" s="108"/>
      <c r="N94" s="108"/>
      <c r="O94" s="108"/>
      <c r="P94" s="108"/>
      <c r="Q94" s="108"/>
      <c r="R94" s="108"/>
      <c r="S94" s="108"/>
      <c r="T94" s="108"/>
      <c r="V94" s="108"/>
      <c r="W94" s="108"/>
    </row>
    <row r="95" spans="1:23" x14ac:dyDescent="0.2">
      <c r="A95" s="980"/>
      <c r="B95" s="108"/>
      <c r="C95" s="108"/>
      <c r="D95" s="108"/>
      <c r="E95" s="108"/>
      <c r="F95" s="108"/>
      <c r="G95" s="108"/>
      <c r="H95" s="108"/>
      <c r="I95" s="108"/>
      <c r="J95" s="108"/>
      <c r="K95" s="108"/>
      <c r="L95" s="108"/>
      <c r="M95" s="108"/>
      <c r="N95" s="108"/>
      <c r="O95" s="108"/>
      <c r="P95" s="108"/>
      <c r="Q95" s="108"/>
      <c r="R95" s="108"/>
      <c r="S95" s="108"/>
      <c r="T95" s="108"/>
      <c r="V95" s="108"/>
      <c r="W95" s="108"/>
    </row>
    <row r="96" spans="1:23" x14ac:dyDescent="0.2">
      <c r="A96" s="980"/>
      <c r="B96" s="108"/>
      <c r="C96" s="108"/>
      <c r="D96" s="108"/>
      <c r="E96" s="108"/>
      <c r="F96" s="108"/>
      <c r="G96" s="108"/>
      <c r="H96" s="108"/>
      <c r="I96" s="108"/>
      <c r="J96" s="108"/>
      <c r="K96" s="108"/>
      <c r="L96" s="108"/>
      <c r="M96" s="108"/>
      <c r="N96" s="108"/>
      <c r="O96" s="108"/>
      <c r="P96" s="108"/>
      <c r="Q96" s="108"/>
      <c r="R96" s="108"/>
      <c r="S96" s="108"/>
      <c r="T96" s="108"/>
      <c r="V96" s="108"/>
      <c r="W96" s="108"/>
    </row>
    <row r="97" spans="1:23" x14ac:dyDescent="0.2">
      <c r="A97" s="980"/>
      <c r="B97" s="108"/>
      <c r="C97" s="108"/>
      <c r="D97" s="108"/>
      <c r="E97" s="108"/>
      <c r="F97" s="108"/>
      <c r="G97" s="108"/>
      <c r="H97" s="108"/>
      <c r="I97" s="108"/>
      <c r="J97" s="108"/>
      <c r="K97" s="108"/>
      <c r="L97" s="108"/>
      <c r="M97" s="108"/>
      <c r="N97" s="108"/>
      <c r="O97" s="108"/>
      <c r="P97" s="108"/>
      <c r="Q97" s="108"/>
      <c r="R97" s="108"/>
      <c r="S97" s="108"/>
      <c r="T97" s="108"/>
      <c r="V97" s="108"/>
      <c r="W97" s="108"/>
    </row>
    <row r="98" spans="1:23" x14ac:dyDescent="0.2">
      <c r="A98" s="980"/>
      <c r="B98" s="108"/>
      <c r="C98" s="108"/>
      <c r="D98" s="108"/>
      <c r="E98" s="108"/>
      <c r="F98" s="108"/>
      <c r="G98" s="108"/>
      <c r="H98" s="108"/>
      <c r="I98" s="108"/>
      <c r="J98" s="108"/>
      <c r="K98" s="108"/>
      <c r="L98" s="108"/>
      <c r="M98" s="108"/>
      <c r="N98" s="108"/>
      <c r="O98" s="108"/>
      <c r="P98" s="108"/>
      <c r="Q98" s="108"/>
      <c r="R98" s="108"/>
      <c r="S98" s="108"/>
      <c r="T98" s="108"/>
      <c r="V98" s="108"/>
      <c r="W98" s="108"/>
    </row>
    <row r="99" spans="1:23" x14ac:dyDescent="0.2">
      <c r="A99" s="980"/>
      <c r="B99" s="108"/>
      <c r="C99" s="108"/>
      <c r="D99" s="108"/>
      <c r="E99" s="108"/>
      <c r="F99" s="108"/>
      <c r="G99" s="108"/>
      <c r="H99" s="108"/>
      <c r="I99" s="108"/>
      <c r="J99" s="108"/>
      <c r="K99" s="108"/>
      <c r="L99" s="108"/>
      <c r="M99" s="108"/>
      <c r="N99" s="108"/>
      <c r="O99" s="108"/>
      <c r="P99" s="108"/>
      <c r="Q99" s="108"/>
      <c r="R99" s="108"/>
      <c r="S99" s="108"/>
      <c r="T99" s="108"/>
      <c r="V99" s="108"/>
      <c r="W99" s="108"/>
    </row>
    <row r="100" spans="1:23" x14ac:dyDescent="0.2">
      <c r="A100" s="980"/>
      <c r="B100" s="108"/>
      <c r="C100" s="108"/>
      <c r="D100" s="108"/>
      <c r="E100" s="108"/>
      <c r="F100" s="108"/>
      <c r="G100" s="108"/>
      <c r="H100" s="108"/>
      <c r="I100" s="108"/>
      <c r="J100" s="108"/>
      <c r="K100" s="108"/>
      <c r="L100" s="108"/>
      <c r="M100" s="108"/>
      <c r="N100" s="108"/>
      <c r="O100" s="108"/>
      <c r="P100" s="108"/>
      <c r="Q100" s="108"/>
      <c r="R100" s="108"/>
      <c r="S100" s="108"/>
      <c r="T100" s="108"/>
      <c r="V100" s="108"/>
      <c r="W100" s="108"/>
    </row>
    <row r="101" spans="1:23" x14ac:dyDescent="0.2">
      <c r="A101" s="980"/>
      <c r="B101" s="108"/>
      <c r="C101" s="108"/>
      <c r="D101" s="108"/>
      <c r="E101" s="108"/>
      <c r="F101" s="108"/>
      <c r="G101" s="108"/>
      <c r="H101" s="108"/>
      <c r="I101" s="108"/>
      <c r="J101" s="108"/>
      <c r="K101" s="108"/>
      <c r="L101" s="108"/>
      <c r="M101" s="108"/>
      <c r="N101" s="108"/>
      <c r="O101" s="108"/>
      <c r="P101" s="108"/>
      <c r="Q101" s="108"/>
      <c r="R101" s="108"/>
      <c r="S101" s="108"/>
      <c r="T101" s="108"/>
      <c r="V101" s="108"/>
      <c r="W101" s="108"/>
    </row>
    <row r="102" spans="1:23" x14ac:dyDescent="0.2">
      <c r="A102" s="980"/>
      <c r="B102" s="108"/>
      <c r="C102" s="108"/>
      <c r="D102" s="108"/>
      <c r="E102" s="108"/>
      <c r="F102" s="108"/>
      <c r="G102" s="108"/>
      <c r="H102" s="108"/>
      <c r="I102" s="108"/>
      <c r="J102" s="108"/>
      <c r="K102" s="108"/>
      <c r="L102" s="108"/>
      <c r="M102" s="108"/>
      <c r="N102" s="108"/>
      <c r="O102" s="108"/>
      <c r="P102" s="108"/>
      <c r="Q102" s="108"/>
      <c r="R102" s="108"/>
      <c r="S102" s="108"/>
      <c r="T102" s="108"/>
      <c r="V102" s="108"/>
      <c r="W102" s="108"/>
    </row>
    <row r="103" spans="1:23" x14ac:dyDescent="0.2">
      <c r="A103" s="980"/>
      <c r="B103" s="108"/>
      <c r="C103" s="108"/>
      <c r="D103" s="108"/>
      <c r="E103" s="108"/>
      <c r="F103" s="108"/>
      <c r="G103" s="108"/>
      <c r="H103" s="108"/>
      <c r="I103" s="108"/>
      <c r="J103" s="108"/>
      <c r="K103" s="108"/>
      <c r="L103" s="108"/>
      <c r="M103" s="108"/>
      <c r="N103" s="108"/>
      <c r="O103" s="108"/>
      <c r="P103" s="108"/>
      <c r="Q103" s="108"/>
      <c r="R103" s="108"/>
      <c r="S103" s="108"/>
      <c r="T103" s="108"/>
      <c r="V103" s="108"/>
      <c r="W103" s="108"/>
    </row>
    <row r="104" spans="1:23" x14ac:dyDescent="0.2">
      <c r="A104" s="980"/>
      <c r="B104" s="108"/>
      <c r="C104" s="108"/>
      <c r="D104" s="108"/>
      <c r="E104" s="108"/>
      <c r="F104" s="108"/>
      <c r="G104" s="108"/>
      <c r="H104" s="108"/>
      <c r="I104" s="108"/>
      <c r="J104" s="108"/>
      <c r="K104" s="108"/>
      <c r="L104" s="108"/>
      <c r="M104" s="108"/>
      <c r="N104" s="108"/>
      <c r="O104" s="108"/>
      <c r="P104" s="108"/>
      <c r="Q104" s="108"/>
      <c r="R104" s="108"/>
      <c r="S104" s="108"/>
      <c r="T104" s="108"/>
      <c r="V104" s="108"/>
      <c r="W104" s="108"/>
    </row>
    <row r="105" spans="1:23" x14ac:dyDescent="0.2">
      <c r="A105" s="980"/>
      <c r="B105" s="108"/>
      <c r="C105" s="108"/>
      <c r="D105" s="108"/>
      <c r="E105" s="108"/>
      <c r="F105" s="108"/>
      <c r="G105" s="108"/>
      <c r="H105" s="108"/>
      <c r="I105" s="108"/>
      <c r="J105" s="108"/>
      <c r="K105" s="108"/>
      <c r="L105" s="108"/>
      <c r="M105" s="108"/>
      <c r="N105" s="108"/>
      <c r="O105" s="108"/>
      <c r="P105" s="108"/>
      <c r="Q105" s="108"/>
      <c r="R105" s="108"/>
      <c r="S105" s="108"/>
      <c r="T105" s="108"/>
      <c r="V105" s="108"/>
      <c r="W105" s="108"/>
    </row>
    <row r="106" spans="1:23" x14ac:dyDescent="0.2">
      <c r="A106" s="980"/>
      <c r="B106" s="108"/>
      <c r="C106" s="108"/>
      <c r="D106" s="108"/>
      <c r="E106" s="108"/>
      <c r="F106" s="108"/>
      <c r="G106" s="108"/>
      <c r="H106" s="108"/>
      <c r="I106" s="108"/>
      <c r="J106" s="108"/>
      <c r="K106" s="108"/>
      <c r="L106" s="108"/>
      <c r="M106" s="108"/>
      <c r="N106" s="108"/>
      <c r="O106" s="108"/>
      <c r="P106" s="108"/>
      <c r="Q106" s="108"/>
      <c r="R106" s="108"/>
      <c r="S106" s="108"/>
      <c r="T106" s="108"/>
      <c r="V106" s="108"/>
      <c r="W106" s="108"/>
    </row>
    <row r="107" spans="1:23" x14ac:dyDescent="0.2">
      <c r="A107" s="980"/>
      <c r="B107" s="108"/>
      <c r="C107" s="108"/>
      <c r="D107" s="108"/>
      <c r="E107" s="108"/>
      <c r="F107" s="108"/>
      <c r="G107" s="108"/>
      <c r="H107" s="108"/>
      <c r="I107" s="108"/>
      <c r="J107" s="108"/>
      <c r="K107" s="108"/>
      <c r="L107" s="108"/>
      <c r="M107" s="108"/>
      <c r="N107" s="108"/>
      <c r="O107" s="108"/>
      <c r="P107" s="108"/>
      <c r="Q107" s="108"/>
      <c r="R107" s="108"/>
      <c r="S107" s="108"/>
      <c r="T107" s="108"/>
      <c r="V107" s="108"/>
      <c r="W107" s="108"/>
    </row>
    <row r="108" spans="1:23" x14ac:dyDescent="0.2">
      <c r="A108" s="980"/>
      <c r="B108" s="108"/>
      <c r="C108" s="108"/>
      <c r="D108" s="108"/>
      <c r="E108" s="108"/>
      <c r="F108" s="108"/>
      <c r="G108" s="108"/>
      <c r="H108" s="108"/>
      <c r="I108" s="108"/>
      <c r="J108" s="108"/>
      <c r="K108" s="108"/>
      <c r="L108" s="108"/>
      <c r="M108" s="108"/>
      <c r="N108" s="108"/>
      <c r="O108" s="108"/>
      <c r="P108" s="108"/>
      <c r="Q108" s="108"/>
      <c r="R108" s="108"/>
      <c r="S108" s="108"/>
      <c r="T108" s="108"/>
      <c r="V108" s="108"/>
      <c r="W108" s="108"/>
    </row>
    <row r="109" spans="1:23" x14ac:dyDescent="0.2">
      <c r="A109" s="980"/>
      <c r="B109" s="108"/>
      <c r="C109" s="108"/>
      <c r="D109" s="108"/>
      <c r="E109" s="108"/>
      <c r="F109" s="108"/>
      <c r="G109" s="108"/>
      <c r="H109" s="108"/>
      <c r="I109" s="108"/>
      <c r="J109" s="108"/>
      <c r="K109" s="108"/>
      <c r="L109" s="108"/>
      <c r="M109" s="108"/>
      <c r="N109" s="108"/>
      <c r="O109" s="108"/>
      <c r="P109" s="108"/>
      <c r="Q109" s="108"/>
      <c r="R109" s="108"/>
      <c r="S109" s="108"/>
      <c r="T109" s="108"/>
      <c r="V109" s="108"/>
      <c r="W109" s="108"/>
    </row>
    <row r="110" spans="1:23" x14ac:dyDescent="0.2">
      <c r="A110" s="980"/>
      <c r="B110" s="108"/>
      <c r="C110" s="108"/>
      <c r="D110" s="108"/>
      <c r="E110" s="108"/>
      <c r="F110" s="108"/>
      <c r="G110" s="108"/>
      <c r="H110" s="108"/>
      <c r="I110" s="108"/>
      <c r="J110" s="108"/>
      <c r="K110" s="108"/>
      <c r="L110" s="108"/>
      <c r="M110" s="108"/>
      <c r="N110" s="108"/>
      <c r="O110" s="108"/>
      <c r="P110" s="108"/>
      <c r="Q110" s="108"/>
      <c r="R110" s="108"/>
      <c r="S110" s="108"/>
      <c r="T110" s="108"/>
      <c r="V110" s="108"/>
      <c r="W110" s="108"/>
    </row>
    <row r="111" spans="1:23" x14ac:dyDescent="0.2">
      <c r="A111" s="108"/>
      <c r="B111" s="108"/>
      <c r="C111" s="108"/>
      <c r="D111" s="108"/>
      <c r="E111" s="108"/>
      <c r="F111" s="108"/>
      <c r="G111" s="108"/>
      <c r="H111" s="108"/>
      <c r="I111" s="108"/>
      <c r="J111" s="108"/>
      <c r="K111" s="108"/>
      <c r="L111" s="108"/>
      <c r="M111" s="108"/>
      <c r="N111" s="108"/>
      <c r="O111" s="108"/>
      <c r="P111" s="108"/>
      <c r="Q111" s="108"/>
      <c r="R111" s="108"/>
      <c r="S111" s="108"/>
      <c r="T111" s="108"/>
      <c r="V111" s="108"/>
      <c r="W111" s="108"/>
    </row>
    <row r="112" spans="1:23" x14ac:dyDescent="0.2">
      <c r="A112" s="108"/>
      <c r="B112" s="108"/>
      <c r="C112" s="108"/>
      <c r="D112" s="108"/>
      <c r="E112" s="108"/>
      <c r="F112" s="108"/>
      <c r="G112" s="108"/>
      <c r="H112" s="108"/>
      <c r="I112" s="108"/>
      <c r="J112" s="108"/>
      <c r="K112" s="108"/>
      <c r="L112" s="108"/>
      <c r="M112" s="108"/>
      <c r="N112" s="108"/>
      <c r="O112" s="108"/>
      <c r="P112" s="108"/>
      <c r="Q112" s="108"/>
      <c r="R112" s="108"/>
      <c r="S112" s="108"/>
      <c r="T112" s="108"/>
      <c r="V112" s="108"/>
      <c r="W112" s="108"/>
    </row>
    <row r="113" spans="1:23" x14ac:dyDescent="0.2">
      <c r="A113" s="108"/>
      <c r="B113" s="108"/>
      <c r="C113" s="108"/>
      <c r="D113" s="108"/>
      <c r="E113" s="108"/>
      <c r="F113" s="108"/>
      <c r="G113" s="108"/>
      <c r="H113" s="108"/>
      <c r="I113" s="108"/>
      <c r="J113" s="108"/>
      <c r="K113" s="108"/>
      <c r="L113" s="108"/>
      <c r="M113" s="108"/>
      <c r="N113" s="108"/>
      <c r="O113" s="108"/>
      <c r="P113" s="108"/>
      <c r="Q113" s="108"/>
      <c r="R113" s="108"/>
      <c r="S113" s="108"/>
      <c r="T113" s="108"/>
      <c r="V113" s="108"/>
      <c r="W113" s="108"/>
    </row>
    <row r="114" spans="1:23" x14ac:dyDescent="0.2">
      <c r="A114" s="108"/>
      <c r="B114" s="108"/>
      <c r="C114" s="108"/>
      <c r="D114" s="108"/>
      <c r="E114" s="108"/>
      <c r="F114" s="108"/>
      <c r="G114" s="108"/>
      <c r="H114" s="108"/>
      <c r="I114" s="108"/>
      <c r="J114" s="108"/>
      <c r="K114" s="108"/>
      <c r="L114" s="108"/>
      <c r="M114" s="108"/>
      <c r="N114" s="108"/>
      <c r="O114" s="108"/>
      <c r="P114" s="108"/>
      <c r="Q114" s="108"/>
      <c r="R114" s="108"/>
      <c r="S114" s="108"/>
      <c r="T114" s="108"/>
      <c r="V114" s="108"/>
      <c r="W114" s="108"/>
    </row>
    <row r="115" spans="1:23" x14ac:dyDescent="0.2">
      <c r="A115" s="108"/>
      <c r="B115" s="108"/>
      <c r="C115" s="108"/>
      <c r="D115" s="108"/>
      <c r="E115" s="108"/>
      <c r="F115" s="108"/>
      <c r="G115" s="108"/>
      <c r="H115" s="108"/>
      <c r="I115" s="108"/>
      <c r="J115" s="108"/>
      <c r="K115" s="108"/>
      <c r="L115" s="108"/>
      <c r="M115" s="108"/>
      <c r="N115" s="108"/>
      <c r="O115" s="108"/>
      <c r="P115" s="108"/>
      <c r="Q115" s="108"/>
      <c r="R115" s="108"/>
      <c r="S115" s="108"/>
      <c r="T115" s="108"/>
      <c r="V115" s="108"/>
      <c r="W115" s="108"/>
    </row>
    <row r="116" spans="1:23" x14ac:dyDescent="0.2">
      <c r="A116" s="108"/>
      <c r="B116" s="108"/>
      <c r="C116" s="108"/>
      <c r="D116" s="108"/>
      <c r="E116" s="108"/>
      <c r="F116" s="108"/>
      <c r="G116" s="108"/>
      <c r="H116" s="108"/>
      <c r="I116" s="108"/>
      <c r="J116" s="108"/>
      <c r="K116" s="108"/>
      <c r="L116" s="108"/>
      <c r="M116" s="108"/>
      <c r="N116" s="108"/>
      <c r="O116" s="108"/>
      <c r="P116" s="108"/>
      <c r="Q116" s="108"/>
      <c r="R116" s="108"/>
      <c r="S116" s="108"/>
      <c r="T116" s="108"/>
      <c r="V116" s="108"/>
      <c r="W116" s="108"/>
    </row>
    <row r="117" spans="1:23" x14ac:dyDescent="0.2">
      <c r="A117" s="108"/>
      <c r="B117" s="108"/>
      <c r="C117" s="108"/>
      <c r="D117" s="108"/>
      <c r="E117" s="108"/>
      <c r="F117" s="108"/>
      <c r="G117" s="108"/>
      <c r="H117" s="108"/>
      <c r="I117" s="108"/>
      <c r="J117" s="108"/>
      <c r="K117" s="108"/>
      <c r="L117" s="108"/>
      <c r="M117" s="108"/>
      <c r="N117" s="108"/>
      <c r="O117" s="108"/>
      <c r="P117" s="108"/>
      <c r="Q117" s="108"/>
      <c r="R117" s="108"/>
      <c r="S117" s="108"/>
      <c r="T117" s="108"/>
      <c r="V117" s="108"/>
      <c r="W117" s="108"/>
    </row>
    <row r="118" spans="1:23" x14ac:dyDescent="0.2">
      <c r="A118" s="108"/>
      <c r="B118" s="108"/>
      <c r="C118" s="108"/>
      <c r="D118" s="108"/>
      <c r="E118" s="108"/>
      <c r="F118" s="108"/>
      <c r="G118" s="108"/>
      <c r="H118" s="108"/>
      <c r="I118" s="108"/>
      <c r="J118" s="108"/>
      <c r="K118" s="108"/>
      <c r="L118" s="108"/>
      <c r="M118" s="108"/>
      <c r="N118" s="108"/>
      <c r="O118" s="108"/>
      <c r="P118" s="108"/>
      <c r="Q118" s="108"/>
      <c r="R118" s="108"/>
      <c r="S118" s="108"/>
      <c r="T118" s="108"/>
      <c r="V118" s="108"/>
      <c r="W118" s="108"/>
    </row>
    <row r="119" spans="1:23" x14ac:dyDescent="0.2">
      <c r="A119" s="108"/>
      <c r="B119" s="108"/>
      <c r="C119" s="108"/>
      <c r="D119" s="108"/>
      <c r="E119" s="108"/>
      <c r="F119" s="108"/>
      <c r="G119" s="108"/>
      <c r="H119" s="108"/>
      <c r="I119" s="108"/>
      <c r="J119" s="108"/>
      <c r="K119" s="108"/>
      <c r="L119" s="108"/>
      <c r="M119" s="108"/>
      <c r="N119" s="108"/>
      <c r="O119" s="108"/>
      <c r="P119" s="108"/>
      <c r="Q119" s="108"/>
      <c r="R119" s="108"/>
      <c r="S119" s="108"/>
      <c r="T119" s="108"/>
      <c r="V119" s="108"/>
      <c r="W119" s="108"/>
    </row>
    <row r="120" spans="1:23" x14ac:dyDescent="0.2">
      <c r="A120" s="108"/>
      <c r="B120" s="108"/>
      <c r="C120" s="108"/>
      <c r="D120" s="108"/>
      <c r="E120" s="108"/>
      <c r="F120" s="108"/>
      <c r="G120" s="108"/>
      <c r="H120" s="108"/>
      <c r="I120" s="108"/>
      <c r="J120" s="108"/>
      <c r="K120" s="108"/>
      <c r="L120" s="108"/>
      <c r="M120" s="108"/>
      <c r="N120" s="108"/>
      <c r="O120" s="108"/>
      <c r="P120" s="108"/>
      <c r="Q120" s="108"/>
      <c r="R120" s="108"/>
      <c r="S120" s="108"/>
      <c r="T120" s="108"/>
      <c r="V120" s="108"/>
      <c r="W120" s="108"/>
    </row>
    <row r="121" spans="1:23" x14ac:dyDescent="0.2">
      <c r="A121" s="108"/>
      <c r="B121" s="108"/>
      <c r="C121" s="108"/>
      <c r="D121" s="108"/>
      <c r="E121" s="108"/>
      <c r="F121" s="108"/>
      <c r="G121" s="108"/>
      <c r="H121" s="108"/>
      <c r="I121" s="108"/>
      <c r="J121" s="108"/>
      <c r="K121" s="108"/>
      <c r="L121" s="108"/>
      <c r="M121" s="108"/>
      <c r="N121" s="108"/>
      <c r="O121" s="108"/>
      <c r="P121" s="108"/>
      <c r="Q121" s="108"/>
      <c r="R121" s="108"/>
      <c r="S121" s="108"/>
      <c r="T121" s="108"/>
      <c r="V121" s="108"/>
      <c r="W121" s="108"/>
    </row>
    <row r="122" spans="1:23" x14ac:dyDescent="0.2">
      <c r="A122" s="108"/>
      <c r="B122" s="108"/>
      <c r="C122" s="108"/>
      <c r="D122" s="108"/>
      <c r="E122" s="108"/>
      <c r="F122" s="108"/>
      <c r="G122" s="108"/>
      <c r="H122" s="108"/>
      <c r="I122" s="108"/>
      <c r="J122" s="108"/>
      <c r="K122" s="108"/>
      <c r="L122" s="108"/>
      <c r="M122" s="108"/>
      <c r="N122" s="108"/>
      <c r="O122" s="108"/>
      <c r="P122" s="108"/>
      <c r="Q122" s="108"/>
      <c r="R122" s="108"/>
      <c r="S122" s="108"/>
      <c r="T122" s="108"/>
      <c r="V122" s="108"/>
      <c r="W122" s="108"/>
    </row>
    <row r="123" spans="1:23" x14ac:dyDescent="0.2">
      <c r="A123" s="108"/>
      <c r="B123" s="108"/>
      <c r="C123" s="108"/>
      <c r="D123" s="108"/>
      <c r="E123" s="108"/>
      <c r="F123" s="108"/>
      <c r="G123" s="108"/>
      <c r="H123" s="108"/>
      <c r="I123" s="108"/>
      <c r="J123" s="108"/>
      <c r="K123" s="108"/>
      <c r="L123" s="108"/>
      <c r="M123" s="108"/>
      <c r="N123" s="108"/>
      <c r="O123" s="108"/>
      <c r="P123" s="108"/>
      <c r="Q123" s="108"/>
      <c r="R123" s="108"/>
      <c r="S123" s="108"/>
      <c r="T123" s="108"/>
      <c r="V123" s="108"/>
      <c r="W123" s="108"/>
    </row>
    <row r="124" spans="1:23" x14ac:dyDescent="0.2">
      <c r="A124" s="108"/>
      <c r="B124" s="108"/>
      <c r="C124" s="108"/>
      <c r="D124" s="108"/>
      <c r="E124" s="108"/>
      <c r="F124" s="108"/>
      <c r="G124" s="108"/>
      <c r="H124" s="108"/>
      <c r="I124" s="108"/>
      <c r="J124" s="108"/>
      <c r="K124" s="108"/>
      <c r="L124" s="108"/>
      <c r="M124" s="108"/>
      <c r="N124" s="108"/>
      <c r="O124" s="108"/>
      <c r="P124" s="108"/>
      <c r="Q124" s="108"/>
      <c r="R124" s="108"/>
      <c r="S124" s="108"/>
      <c r="T124" s="108"/>
      <c r="V124" s="108"/>
      <c r="W124" s="108"/>
    </row>
    <row r="125" spans="1:23" x14ac:dyDescent="0.2">
      <c r="A125" s="108"/>
      <c r="B125" s="108"/>
      <c r="C125" s="108"/>
      <c r="D125" s="108"/>
      <c r="E125" s="108"/>
      <c r="F125" s="108"/>
      <c r="G125" s="108"/>
      <c r="H125" s="108"/>
      <c r="I125" s="108"/>
      <c r="J125" s="108"/>
      <c r="K125" s="108"/>
      <c r="L125" s="108"/>
      <c r="M125" s="108"/>
      <c r="N125" s="108"/>
      <c r="O125" s="108"/>
      <c r="P125" s="108"/>
      <c r="Q125" s="108"/>
      <c r="R125" s="108"/>
      <c r="S125" s="108"/>
      <c r="T125" s="108"/>
      <c r="V125" s="108"/>
      <c r="W125" s="108"/>
    </row>
    <row r="126" spans="1:23" x14ac:dyDescent="0.2">
      <c r="A126" s="108"/>
      <c r="B126" s="108"/>
      <c r="C126" s="108"/>
      <c r="D126" s="108"/>
      <c r="E126" s="108"/>
      <c r="F126" s="108"/>
      <c r="G126" s="108"/>
      <c r="H126" s="108"/>
      <c r="I126" s="108"/>
      <c r="J126" s="108"/>
      <c r="K126" s="108"/>
      <c r="L126" s="108"/>
      <c r="M126" s="108"/>
      <c r="N126" s="108"/>
      <c r="O126" s="108"/>
      <c r="P126" s="108"/>
      <c r="Q126" s="108"/>
      <c r="R126" s="108"/>
      <c r="S126" s="108"/>
      <c r="T126" s="108"/>
      <c r="V126" s="108"/>
      <c r="W126" s="108"/>
    </row>
    <row r="127" spans="1:23" x14ac:dyDescent="0.2">
      <c r="A127" s="108"/>
      <c r="B127" s="108"/>
      <c r="C127" s="108"/>
      <c r="D127" s="108"/>
      <c r="E127" s="108"/>
      <c r="F127" s="108"/>
      <c r="G127" s="108"/>
      <c r="H127" s="108"/>
      <c r="I127" s="108"/>
      <c r="J127" s="108"/>
      <c r="K127" s="108"/>
      <c r="L127" s="108"/>
      <c r="M127" s="108"/>
      <c r="N127" s="108"/>
      <c r="O127" s="108"/>
      <c r="P127" s="108"/>
      <c r="Q127" s="108"/>
      <c r="R127" s="108"/>
      <c r="S127" s="108"/>
      <c r="T127" s="108"/>
      <c r="V127" s="108"/>
      <c r="W127" s="108"/>
    </row>
    <row r="128" spans="1:23" x14ac:dyDescent="0.2">
      <c r="A128" s="108"/>
      <c r="B128" s="108"/>
      <c r="C128" s="108"/>
      <c r="D128" s="108"/>
      <c r="E128" s="108"/>
      <c r="F128" s="108"/>
      <c r="G128" s="108"/>
      <c r="H128" s="108"/>
      <c r="I128" s="108"/>
      <c r="J128" s="108"/>
      <c r="K128" s="108"/>
      <c r="L128" s="108"/>
      <c r="M128" s="108"/>
      <c r="N128" s="108"/>
      <c r="O128" s="108"/>
      <c r="P128" s="108"/>
      <c r="Q128" s="108"/>
      <c r="R128" s="108"/>
      <c r="S128" s="108"/>
      <c r="T128" s="108"/>
      <c r="V128" s="108"/>
      <c r="W128" s="108"/>
    </row>
    <row r="129" spans="1:23" x14ac:dyDescent="0.2">
      <c r="A129" s="108"/>
      <c r="B129" s="108"/>
      <c r="C129" s="108"/>
      <c r="D129" s="108"/>
      <c r="E129" s="108"/>
      <c r="F129" s="108"/>
      <c r="G129" s="108"/>
      <c r="H129" s="108"/>
      <c r="I129" s="108"/>
      <c r="J129" s="108"/>
      <c r="K129" s="108"/>
      <c r="L129" s="108"/>
      <c r="M129" s="108"/>
      <c r="N129" s="108"/>
      <c r="O129" s="108"/>
      <c r="P129" s="108"/>
      <c r="Q129" s="108"/>
      <c r="R129" s="108"/>
      <c r="S129" s="108"/>
      <c r="T129" s="108"/>
      <c r="V129" s="108"/>
      <c r="W129" s="108"/>
    </row>
    <row r="130" spans="1:23" x14ac:dyDescent="0.2">
      <c r="A130" s="108"/>
      <c r="B130" s="108"/>
      <c r="C130" s="108"/>
      <c r="D130" s="108"/>
      <c r="E130" s="108"/>
      <c r="F130" s="108"/>
      <c r="G130" s="108"/>
      <c r="H130" s="108"/>
      <c r="I130" s="108"/>
      <c r="J130" s="108"/>
      <c r="K130" s="108"/>
      <c r="L130" s="108"/>
      <c r="M130" s="108"/>
      <c r="N130" s="108"/>
      <c r="O130" s="108"/>
      <c r="P130" s="108"/>
      <c r="Q130" s="108"/>
      <c r="R130" s="108"/>
      <c r="S130" s="108"/>
      <c r="T130" s="108"/>
      <c r="V130" s="108"/>
      <c r="W130" s="108"/>
    </row>
    <row r="131" spans="1:23" x14ac:dyDescent="0.2">
      <c r="A131" s="108"/>
      <c r="B131" s="108"/>
      <c r="C131" s="108"/>
      <c r="D131" s="108"/>
      <c r="E131" s="108"/>
      <c r="F131" s="108"/>
      <c r="G131" s="108"/>
      <c r="H131" s="108"/>
      <c r="I131" s="108"/>
      <c r="J131" s="108"/>
      <c r="K131" s="108"/>
      <c r="L131" s="108"/>
      <c r="M131" s="108"/>
      <c r="N131" s="108"/>
      <c r="O131" s="108"/>
      <c r="P131" s="108"/>
      <c r="Q131" s="108"/>
      <c r="R131" s="108"/>
      <c r="S131" s="108"/>
      <c r="T131" s="108"/>
      <c r="V131" s="108"/>
      <c r="W131" s="108"/>
    </row>
    <row r="132" spans="1:23" x14ac:dyDescent="0.2">
      <c r="A132" s="108"/>
      <c r="B132" s="108"/>
      <c r="C132" s="108"/>
      <c r="D132" s="108"/>
      <c r="E132" s="108"/>
      <c r="F132" s="108"/>
      <c r="G132" s="108"/>
      <c r="H132" s="108"/>
      <c r="I132" s="108"/>
      <c r="J132" s="108"/>
      <c r="K132" s="108"/>
      <c r="L132" s="108"/>
      <c r="M132" s="108"/>
      <c r="N132" s="108"/>
      <c r="O132" s="108"/>
      <c r="P132" s="108"/>
      <c r="Q132" s="108"/>
      <c r="R132" s="108"/>
      <c r="S132" s="108"/>
      <c r="T132" s="108"/>
      <c r="V132" s="108"/>
      <c r="W132" s="108"/>
    </row>
    <row r="133" spans="1:23" x14ac:dyDescent="0.2">
      <c r="A133" s="108"/>
      <c r="B133" s="108"/>
      <c r="C133" s="108"/>
      <c r="D133" s="108"/>
      <c r="E133" s="108"/>
      <c r="F133" s="108"/>
      <c r="G133" s="108"/>
      <c r="H133" s="108"/>
      <c r="I133" s="108"/>
      <c r="J133" s="108"/>
      <c r="K133" s="108"/>
      <c r="L133" s="108"/>
      <c r="M133" s="108"/>
      <c r="N133" s="108"/>
      <c r="O133" s="108"/>
      <c r="P133" s="108"/>
      <c r="Q133" s="108"/>
      <c r="R133" s="108"/>
      <c r="S133" s="108"/>
      <c r="T133" s="108"/>
      <c r="V133" s="108"/>
      <c r="W133" s="108"/>
    </row>
    <row r="134" spans="1:23" x14ac:dyDescent="0.2">
      <c r="A134" s="108"/>
      <c r="B134" s="108"/>
      <c r="C134" s="108"/>
      <c r="D134" s="108"/>
      <c r="E134" s="108"/>
      <c r="F134" s="108"/>
      <c r="G134" s="108"/>
      <c r="H134" s="108"/>
      <c r="I134" s="108"/>
      <c r="J134" s="108"/>
      <c r="K134" s="108"/>
      <c r="L134" s="108"/>
      <c r="M134" s="108"/>
      <c r="N134" s="108"/>
      <c r="O134" s="108"/>
      <c r="P134" s="108"/>
      <c r="Q134" s="108"/>
      <c r="R134" s="108"/>
      <c r="S134" s="108"/>
      <c r="T134" s="108"/>
      <c r="V134" s="108"/>
      <c r="W134" s="108"/>
    </row>
    <row r="135" spans="1:23" x14ac:dyDescent="0.2">
      <c r="A135" s="108"/>
      <c r="B135" s="108"/>
      <c r="C135" s="108"/>
      <c r="D135" s="108"/>
      <c r="E135" s="108"/>
      <c r="F135" s="108"/>
      <c r="G135" s="108"/>
      <c r="H135" s="108"/>
      <c r="I135" s="108"/>
      <c r="J135" s="108"/>
      <c r="K135" s="108"/>
      <c r="L135" s="108"/>
      <c r="M135" s="108"/>
      <c r="N135" s="108"/>
      <c r="O135" s="108"/>
      <c r="P135" s="108"/>
      <c r="Q135" s="108"/>
      <c r="R135" s="108"/>
      <c r="S135" s="108"/>
      <c r="T135" s="108"/>
      <c r="V135" s="108"/>
      <c r="W135" s="108"/>
    </row>
    <row r="136" spans="1:23" x14ac:dyDescent="0.2">
      <c r="A136" s="108"/>
      <c r="B136" s="108"/>
      <c r="C136" s="108"/>
      <c r="D136" s="108"/>
      <c r="E136" s="108"/>
      <c r="F136" s="108"/>
      <c r="G136" s="108"/>
      <c r="H136" s="108"/>
      <c r="I136" s="108"/>
      <c r="J136" s="108"/>
      <c r="K136" s="108"/>
      <c r="L136" s="108"/>
      <c r="M136" s="108"/>
      <c r="N136" s="108"/>
      <c r="O136" s="108"/>
      <c r="P136" s="108"/>
      <c r="Q136" s="108"/>
      <c r="R136" s="108"/>
      <c r="S136" s="108"/>
      <c r="T136" s="108"/>
      <c r="V136" s="108"/>
      <c r="W136" s="108"/>
    </row>
    <row r="137" spans="1:23" x14ac:dyDescent="0.2">
      <c r="A137" s="108"/>
      <c r="B137" s="108"/>
      <c r="C137" s="108"/>
      <c r="D137" s="108"/>
      <c r="E137" s="108"/>
      <c r="F137" s="108"/>
      <c r="G137" s="108"/>
      <c r="H137" s="108"/>
      <c r="I137" s="108"/>
      <c r="J137" s="108"/>
      <c r="K137" s="108"/>
      <c r="L137" s="108"/>
      <c r="M137" s="108"/>
      <c r="N137" s="108"/>
      <c r="O137" s="108"/>
      <c r="P137" s="108"/>
      <c r="Q137" s="108"/>
      <c r="R137" s="108"/>
      <c r="S137" s="108"/>
      <c r="T137" s="108"/>
      <c r="V137" s="108"/>
      <c r="W137" s="108"/>
    </row>
    <row r="138" spans="1:23" x14ac:dyDescent="0.2">
      <c r="A138" s="108"/>
      <c r="B138" s="108"/>
      <c r="C138" s="108"/>
      <c r="D138" s="108"/>
      <c r="E138" s="108"/>
      <c r="F138" s="108"/>
      <c r="G138" s="108"/>
      <c r="H138" s="108"/>
      <c r="I138" s="108"/>
      <c r="J138" s="108"/>
      <c r="K138" s="108"/>
      <c r="L138" s="108"/>
      <c r="M138" s="108"/>
      <c r="N138" s="108"/>
      <c r="O138" s="108"/>
      <c r="P138" s="108"/>
      <c r="Q138" s="108"/>
      <c r="R138" s="108"/>
      <c r="S138" s="108"/>
      <c r="T138" s="108"/>
      <c r="V138" s="108"/>
      <c r="W138" s="108"/>
    </row>
    <row r="139" spans="1:23" x14ac:dyDescent="0.2">
      <c r="A139" s="108"/>
      <c r="B139" s="108"/>
      <c r="C139" s="108"/>
      <c r="D139" s="108"/>
      <c r="E139" s="108"/>
      <c r="F139" s="108"/>
      <c r="G139" s="108"/>
      <c r="H139" s="108"/>
      <c r="I139" s="108"/>
      <c r="J139" s="108"/>
      <c r="K139" s="108"/>
      <c r="L139" s="108"/>
      <c r="M139" s="108"/>
      <c r="N139" s="108"/>
      <c r="O139" s="108"/>
      <c r="P139" s="108"/>
      <c r="Q139" s="108"/>
      <c r="R139" s="108"/>
      <c r="S139" s="108"/>
      <c r="T139" s="108"/>
      <c r="V139" s="108"/>
      <c r="W139" s="108"/>
    </row>
    <row r="140" spans="1:23" x14ac:dyDescent="0.2">
      <c r="A140" s="108"/>
      <c r="B140" s="108"/>
      <c r="C140" s="108"/>
      <c r="D140" s="108"/>
      <c r="E140" s="108"/>
      <c r="F140" s="108"/>
      <c r="G140" s="108"/>
      <c r="H140" s="108"/>
      <c r="I140" s="108"/>
      <c r="J140" s="108"/>
      <c r="K140" s="108"/>
      <c r="L140" s="108"/>
      <c r="M140" s="108"/>
      <c r="N140" s="108"/>
      <c r="O140" s="108"/>
      <c r="P140" s="108"/>
      <c r="Q140" s="108"/>
      <c r="R140" s="108"/>
      <c r="S140" s="108"/>
      <c r="T140" s="108"/>
      <c r="V140" s="108"/>
      <c r="W140" s="108"/>
    </row>
    <row r="141" spans="1:23" x14ac:dyDescent="0.2">
      <c r="A141" s="108"/>
      <c r="B141" s="108"/>
      <c r="C141" s="108"/>
      <c r="D141" s="108"/>
      <c r="E141" s="108"/>
      <c r="F141" s="108"/>
      <c r="G141" s="108"/>
      <c r="H141" s="108"/>
      <c r="I141" s="108"/>
      <c r="J141" s="108"/>
      <c r="K141" s="108"/>
      <c r="L141" s="108"/>
      <c r="M141" s="108"/>
      <c r="N141" s="108"/>
      <c r="O141" s="108"/>
      <c r="P141" s="108"/>
      <c r="Q141" s="108"/>
      <c r="R141" s="108"/>
      <c r="S141" s="108"/>
      <c r="T141" s="108"/>
      <c r="V141" s="108"/>
      <c r="W141" s="108"/>
    </row>
    <row r="142" spans="1:23" x14ac:dyDescent="0.2">
      <c r="A142" s="108"/>
      <c r="B142" s="108"/>
      <c r="C142" s="108"/>
      <c r="D142" s="108"/>
      <c r="E142" s="108"/>
      <c r="F142" s="108"/>
      <c r="G142" s="108"/>
      <c r="H142" s="108"/>
      <c r="I142" s="108"/>
      <c r="J142" s="108"/>
      <c r="K142" s="108"/>
      <c r="L142" s="108"/>
      <c r="M142" s="108"/>
      <c r="N142" s="108"/>
      <c r="O142" s="108"/>
      <c r="P142" s="108"/>
      <c r="Q142" s="108"/>
      <c r="R142" s="108"/>
      <c r="S142" s="108"/>
      <c r="T142" s="108"/>
      <c r="V142" s="108"/>
      <c r="W142" s="108"/>
    </row>
    <row r="143" spans="1:23" x14ac:dyDescent="0.2">
      <c r="A143" s="108"/>
      <c r="B143" s="108"/>
      <c r="C143" s="108"/>
      <c r="D143" s="108"/>
      <c r="E143" s="108"/>
      <c r="F143" s="108"/>
      <c r="G143" s="108"/>
      <c r="H143" s="108"/>
      <c r="I143" s="108"/>
      <c r="J143" s="108"/>
      <c r="K143" s="108"/>
      <c r="L143" s="108"/>
      <c r="M143" s="108"/>
      <c r="N143" s="108"/>
      <c r="O143" s="108"/>
      <c r="P143" s="108"/>
      <c r="Q143" s="108"/>
      <c r="R143" s="108"/>
      <c r="S143" s="108"/>
      <c r="T143" s="108"/>
      <c r="V143" s="108"/>
      <c r="W143" s="108"/>
    </row>
    <row r="144" spans="1:23" x14ac:dyDescent="0.2">
      <c r="A144" s="108"/>
      <c r="B144" s="108"/>
      <c r="C144" s="108"/>
      <c r="D144" s="108"/>
      <c r="E144" s="108"/>
      <c r="F144" s="108"/>
      <c r="G144" s="108"/>
      <c r="H144" s="108"/>
      <c r="I144" s="108"/>
      <c r="J144" s="108"/>
      <c r="K144" s="108"/>
      <c r="L144" s="108"/>
      <c r="M144" s="108"/>
      <c r="N144" s="108"/>
      <c r="O144" s="108"/>
      <c r="P144" s="108"/>
      <c r="Q144" s="108"/>
      <c r="R144" s="108"/>
      <c r="S144" s="108"/>
      <c r="T144" s="108"/>
      <c r="V144" s="108"/>
      <c r="W144" s="108"/>
    </row>
    <row r="145" spans="1:23" x14ac:dyDescent="0.2">
      <c r="A145" s="108"/>
      <c r="B145" s="108"/>
      <c r="C145" s="108"/>
      <c r="D145" s="108"/>
      <c r="E145" s="108"/>
      <c r="F145" s="108"/>
      <c r="G145" s="108"/>
      <c r="H145" s="108"/>
      <c r="I145" s="108"/>
      <c r="J145" s="108"/>
      <c r="K145" s="108"/>
      <c r="L145" s="108"/>
      <c r="M145" s="108"/>
      <c r="N145" s="108"/>
      <c r="O145" s="108"/>
      <c r="P145" s="108"/>
      <c r="Q145" s="108"/>
      <c r="R145" s="108"/>
      <c r="S145" s="108"/>
      <c r="T145" s="108"/>
      <c r="V145" s="108"/>
      <c r="W145" s="108"/>
    </row>
    <row r="146" spans="1:23" x14ac:dyDescent="0.2">
      <c r="A146" s="108"/>
      <c r="B146" s="108"/>
      <c r="C146" s="108"/>
      <c r="D146" s="108"/>
      <c r="E146" s="108"/>
      <c r="F146" s="108"/>
      <c r="G146" s="108"/>
      <c r="H146" s="108"/>
      <c r="I146" s="108"/>
      <c r="J146" s="108"/>
      <c r="K146" s="108"/>
      <c r="L146" s="108"/>
      <c r="M146" s="108"/>
      <c r="N146" s="108"/>
      <c r="O146" s="108"/>
      <c r="P146" s="108"/>
      <c r="Q146" s="108"/>
      <c r="R146" s="108"/>
      <c r="S146" s="108"/>
      <c r="T146" s="108"/>
      <c r="V146" s="108"/>
      <c r="W146" s="108"/>
    </row>
    <row r="147" spans="1:23" x14ac:dyDescent="0.2">
      <c r="A147" s="108"/>
      <c r="B147" s="108"/>
      <c r="C147" s="108"/>
      <c r="D147" s="108"/>
      <c r="E147" s="108"/>
      <c r="F147" s="108"/>
      <c r="G147" s="108"/>
      <c r="H147" s="108"/>
      <c r="I147" s="108"/>
      <c r="J147" s="108"/>
      <c r="K147" s="108"/>
      <c r="L147" s="108"/>
      <c r="M147" s="108"/>
      <c r="N147" s="108"/>
      <c r="O147" s="108"/>
      <c r="P147" s="108"/>
      <c r="Q147" s="108"/>
      <c r="R147" s="108"/>
      <c r="S147" s="108"/>
      <c r="T147" s="108"/>
      <c r="V147" s="108"/>
      <c r="W147" s="108"/>
    </row>
    <row r="148" spans="1:23" x14ac:dyDescent="0.2">
      <c r="A148" s="108"/>
      <c r="B148" s="108"/>
      <c r="C148" s="108"/>
      <c r="D148" s="108"/>
      <c r="E148" s="108"/>
      <c r="F148" s="108"/>
      <c r="G148" s="108"/>
      <c r="H148" s="108"/>
      <c r="I148" s="108"/>
      <c r="J148" s="108"/>
      <c r="K148" s="108"/>
      <c r="L148" s="108"/>
      <c r="M148" s="108"/>
      <c r="N148" s="108"/>
      <c r="O148" s="108"/>
      <c r="P148" s="108"/>
      <c r="Q148" s="108"/>
      <c r="R148" s="108"/>
      <c r="S148" s="108"/>
      <c r="T148" s="108"/>
      <c r="V148" s="108"/>
      <c r="W148" s="108"/>
    </row>
    <row r="149" spans="1:23" x14ac:dyDescent="0.2">
      <c r="A149" s="108"/>
      <c r="B149" s="108"/>
      <c r="C149" s="108"/>
      <c r="D149" s="108"/>
      <c r="E149" s="108"/>
      <c r="F149" s="108"/>
      <c r="G149" s="108"/>
      <c r="H149" s="108"/>
      <c r="I149" s="108"/>
      <c r="J149" s="108"/>
      <c r="K149" s="108"/>
      <c r="L149" s="108"/>
      <c r="M149" s="108"/>
      <c r="N149" s="108"/>
      <c r="O149" s="108"/>
      <c r="P149" s="108"/>
      <c r="Q149" s="108"/>
      <c r="R149" s="108"/>
      <c r="S149" s="108"/>
      <c r="T149" s="108"/>
      <c r="V149" s="108"/>
      <c r="W149" s="108"/>
    </row>
    <row r="150" spans="1:23" x14ac:dyDescent="0.2">
      <c r="A150" s="108"/>
      <c r="B150" s="108"/>
      <c r="C150" s="108"/>
      <c r="D150" s="108"/>
      <c r="E150" s="108"/>
      <c r="F150" s="108"/>
      <c r="G150" s="108"/>
      <c r="H150" s="108"/>
      <c r="I150" s="108"/>
      <c r="J150" s="108"/>
      <c r="K150" s="108"/>
      <c r="L150" s="108"/>
      <c r="M150" s="108"/>
      <c r="N150" s="108"/>
      <c r="O150" s="108"/>
      <c r="P150" s="108"/>
      <c r="Q150" s="108"/>
      <c r="R150" s="108"/>
      <c r="S150" s="108"/>
      <c r="T150" s="108"/>
      <c r="V150" s="108"/>
      <c r="W150" s="108"/>
    </row>
    <row r="151" spans="1:23" x14ac:dyDescent="0.2">
      <c r="A151" s="108"/>
      <c r="B151" s="108"/>
      <c r="C151" s="108"/>
      <c r="D151" s="108"/>
      <c r="E151" s="108"/>
      <c r="F151" s="108"/>
      <c r="G151" s="108"/>
      <c r="H151" s="108"/>
      <c r="I151" s="108"/>
      <c r="J151" s="108"/>
      <c r="K151" s="108"/>
      <c r="L151" s="108"/>
      <c r="M151" s="108"/>
      <c r="N151" s="108"/>
      <c r="O151" s="108"/>
      <c r="P151" s="108"/>
      <c r="Q151" s="108"/>
      <c r="R151" s="108"/>
      <c r="S151" s="108"/>
      <c r="T151" s="108"/>
      <c r="V151" s="108"/>
      <c r="W151" s="108"/>
    </row>
    <row r="152" spans="1:23" x14ac:dyDescent="0.2">
      <c r="A152" s="108"/>
      <c r="B152" s="108"/>
      <c r="C152" s="108"/>
      <c r="D152" s="108"/>
      <c r="E152" s="108"/>
      <c r="F152" s="108"/>
      <c r="G152" s="108"/>
      <c r="H152" s="108"/>
      <c r="I152" s="108"/>
      <c r="J152" s="108"/>
      <c r="K152" s="108"/>
      <c r="L152" s="108"/>
      <c r="M152" s="108"/>
      <c r="N152" s="108"/>
      <c r="O152" s="108"/>
      <c r="P152" s="108"/>
      <c r="Q152" s="108"/>
      <c r="R152" s="108"/>
      <c r="S152" s="108"/>
      <c r="T152" s="108"/>
      <c r="V152" s="108"/>
      <c r="W152" s="108"/>
    </row>
    <row r="153" spans="1:23" x14ac:dyDescent="0.2">
      <c r="A153" s="108"/>
      <c r="B153" s="108"/>
      <c r="C153" s="108"/>
      <c r="D153" s="108"/>
      <c r="E153" s="108"/>
      <c r="F153" s="108"/>
      <c r="G153" s="108"/>
      <c r="H153" s="108"/>
      <c r="I153" s="108"/>
      <c r="J153" s="108"/>
      <c r="K153" s="108"/>
      <c r="L153" s="108"/>
      <c r="M153" s="108"/>
      <c r="N153" s="108"/>
      <c r="O153" s="108"/>
      <c r="P153" s="108"/>
      <c r="Q153" s="108"/>
      <c r="R153" s="108"/>
      <c r="S153" s="108"/>
      <c r="T153" s="108"/>
      <c r="V153" s="108"/>
      <c r="W153" s="108"/>
    </row>
    <row r="154" spans="1:23" x14ac:dyDescent="0.2">
      <c r="A154" s="108"/>
      <c r="B154" s="108"/>
      <c r="C154" s="108"/>
      <c r="D154" s="108"/>
      <c r="E154" s="108"/>
      <c r="F154" s="108"/>
      <c r="G154" s="108"/>
      <c r="H154" s="108"/>
      <c r="I154" s="108"/>
      <c r="J154" s="108"/>
      <c r="K154" s="108"/>
      <c r="L154" s="108"/>
      <c r="M154" s="108"/>
      <c r="N154" s="108"/>
      <c r="O154" s="108"/>
      <c r="P154" s="108"/>
      <c r="Q154" s="108"/>
      <c r="R154" s="108"/>
      <c r="S154" s="108"/>
      <c r="T154" s="108"/>
      <c r="V154" s="108"/>
      <c r="W154" s="108"/>
    </row>
    <row r="155" spans="1:23" x14ac:dyDescent="0.2">
      <c r="A155" s="108"/>
      <c r="B155" s="108"/>
      <c r="C155" s="108"/>
      <c r="D155" s="108"/>
      <c r="E155" s="108"/>
      <c r="F155" s="108"/>
      <c r="G155" s="108"/>
      <c r="H155" s="108"/>
      <c r="I155" s="108"/>
      <c r="J155" s="108"/>
      <c r="K155" s="108"/>
      <c r="L155" s="108"/>
      <c r="M155" s="108"/>
      <c r="N155" s="108"/>
      <c r="O155" s="108"/>
      <c r="P155" s="108"/>
      <c r="Q155" s="108"/>
      <c r="R155" s="108"/>
      <c r="S155" s="108"/>
      <c r="T155" s="108"/>
      <c r="V155" s="108"/>
      <c r="W155" s="108"/>
    </row>
    <row r="156" spans="1:23" x14ac:dyDescent="0.2">
      <c r="A156" s="108"/>
      <c r="B156" s="108"/>
      <c r="C156" s="108"/>
      <c r="D156" s="108"/>
      <c r="E156" s="108"/>
      <c r="F156" s="108"/>
      <c r="G156" s="108"/>
      <c r="H156" s="108"/>
      <c r="I156" s="108"/>
      <c r="J156" s="108"/>
      <c r="K156" s="108"/>
      <c r="L156" s="108"/>
      <c r="M156" s="108"/>
      <c r="N156" s="108"/>
      <c r="O156" s="108"/>
      <c r="P156" s="108"/>
      <c r="Q156" s="108"/>
      <c r="R156" s="108"/>
      <c r="S156" s="108"/>
      <c r="T156" s="108"/>
      <c r="V156" s="108"/>
      <c r="W156" s="108"/>
    </row>
    <row r="157" spans="1:23" x14ac:dyDescent="0.2">
      <c r="A157" s="108"/>
      <c r="B157" s="108"/>
      <c r="C157" s="108"/>
      <c r="D157" s="108"/>
      <c r="E157" s="108"/>
      <c r="F157" s="108"/>
      <c r="G157" s="108"/>
      <c r="H157" s="108"/>
      <c r="I157" s="108"/>
      <c r="J157" s="108"/>
      <c r="K157" s="108"/>
      <c r="L157" s="108"/>
      <c r="M157" s="108"/>
      <c r="N157" s="108"/>
      <c r="O157" s="108"/>
      <c r="P157" s="108"/>
      <c r="Q157" s="108"/>
      <c r="R157" s="108"/>
      <c r="S157" s="108"/>
      <c r="T157" s="108"/>
      <c r="V157" s="108"/>
      <c r="W157" s="108"/>
    </row>
    <row r="158" spans="1:23" x14ac:dyDescent="0.2">
      <c r="A158" s="108"/>
      <c r="B158" s="108"/>
      <c r="C158" s="108"/>
      <c r="D158" s="108"/>
      <c r="E158" s="108"/>
      <c r="F158" s="108"/>
      <c r="G158" s="108"/>
      <c r="H158" s="108"/>
      <c r="I158" s="108"/>
      <c r="J158" s="108"/>
      <c r="K158" s="108"/>
      <c r="L158" s="108"/>
      <c r="M158" s="108"/>
      <c r="N158" s="108"/>
      <c r="O158" s="108"/>
      <c r="P158" s="108"/>
      <c r="Q158" s="108"/>
      <c r="R158" s="108"/>
      <c r="S158" s="108"/>
      <c r="T158" s="108"/>
      <c r="V158" s="108"/>
      <c r="W158" s="108"/>
    </row>
    <row r="159" spans="1:23" x14ac:dyDescent="0.2">
      <c r="A159" s="108"/>
      <c r="B159" s="108"/>
      <c r="C159" s="108"/>
      <c r="D159" s="108"/>
      <c r="E159" s="108"/>
      <c r="F159" s="108"/>
      <c r="G159" s="108"/>
      <c r="H159" s="108"/>
      <c r="I159" s="108"/>
      <c r="J159" s="108"/>
      <c r="K159" s="108"/>
      <c r="L159" s="108"/>
      <c r="M159" s="108"/>
      <c r="N159" s="108"/>
      <c r="O159" s="108"/>
      <c r="P159" s="108"/>
      <c r="Q159" s="108"/>
      <c r="R159" s="108"/>
      <c r="S159" s="108"/>
      <c r="T159" s="108"/>
      <c r="V159" s="108"/>
      <c r="W159" s="108"/>
    </row>
    <row r="160" spans="1:23" x14ac:dyDescent="0.2">
      <c r="A160" s="108"/>
      <c r="B160" s="108"/>
      <c r="C160" s="108"/>
      <c r="D160" s="108"/>
      <c r="E160" s="108"/>
      <c r="F160" s="108"/>
      <c r="G160" s="108"/>
      <c r="H160" s="108"/>
      <c r="I160" s="108"/>
      <c r="J160" s="108"/>
      <c r="K160" s="108"/>
      <c r="L160" s="108"/>
      <c r="M160" s="108"/>
      <c r="N160" s="108"/>
      <c r="O160" s="108"/>
      <c r="P160" s="108"/>
      <c r="Q160" s="108"/>
      <c r="R160" s="108"/>
      <c r="S160" s="108"/>
      <c r="T160" s="108"/>
      <c r="V160" s="108"/>
      <c r="W160" s="108"/>
    </row>
    <row r="161" spans="1:23" x14ac:dyDescent="0.2">
      <c r="A161" s="108"/>
      <c r="B161" s="108"/>
      <c r="C161" s="108"/>
      <c r="D161" s="108"/>
      <c r="E161" s="108"/>
      <c r="F161" s="108"/>
      <c r="G161" s="108"/>
      <c r="H161" s="108"/>
      <c r="I161" s="108"/>
      <c r="J161" s="108"/>
      <c r="K161" s="108"/>
      <c r="L161" s="108"/>
      <c r="M161" s="108"/>
      <c r="N161" s="108"/>
      <c r="O161" s="108"/>
      <c r="P161" s="108"/>
      <c r="Q161" s="108"/>
      <c r="R161" s="108"/>
      <c r="S161" s="108"/>
      <c r="T161" s="108"/>
      <c r="V161" s="108"/>
      <c r="W161" s="108"/>
    </row>
    <row r="162" spans="1:23" x14ac:dyDescent="0.2">
      <c r="A162" s="108"/>
      <c r="B162" s="108"/>
      <c r="C162" s="108"/>
      <c r="D162" s="108"/>
      <c r="E162" s="108"/>
      <c r="F162" s="108"/>
      <c r="G162" s="108"/>
      <c r="H162" s="108"/>
      <c r="I162" s="108"/>
      <c r="J162" s="108"/>
      <c r="K162" s="108"/>
      <c r="L162" s="108"/>
      <c r="M162" s="108"/>
      <c r="N162" s="108"/>
      <c r="O162" s="108"/>
      <c r="P162" s="108"/>
      <c r="Q162" s="108"/>
      <c r="R162" s="108"/>
      <c r="S162" s="108"/>
      <c r="T162" s="108"/>
      <c r="V162" s="108"/>
      <c r="W162" s="108"/>
    </row>
    <row r="163" spans="1:23" x14ac:dyDescent="0.2">
      <c r="A163" s="108"/>
      <c r="B163" s="108"/>
      <c r="C163" s="108"/>
      <c r="D163" s="108"/>
      <c r="E163" s="108"/>
      <c r="F163" s="108"/>
      <c r="G163" s="108"/>
      <c r="H163" s="108"/>
      <c r="I163" s="108"/>
      <c r="J163" s="108"/>
      <c r="K163" s="108"/>
      <c r="L163" s="108"/>
      <c r="M163" s="108"/>
      <c r="N163" s="108"/>
      <c r="O163" s="108"/>
      <c r="P163" s="108"/>
      <c r="Q163" s="108"/>
      <c r="R163" s="108"/>
      <c r="S163" s="108"/>
      <c r="T163" s="108"/>
      <c r="V163" s="108"/>
      <c r="W163" s="108"/>
    </row>
    <row r="164" spans="1:23" x14ac:dyDescent="0.2">
      <c r="A164" s="108"/>
      <c r="B164" s="108"/>
      <c r="C164" s="108"/>
      <c r="D164" s="108"/>
      <c r="E164" s="108"/>
      <c r="F164" s="108"/>
      <c r="G164" s="108"/>
      <c r="H164" s="108"/>
      <c r="I164" s="108"/>
      <c r="J164" s="108"/>
      <c r="K164" s="108"/>
      <c r="L164" s="108"/>
      <c r="M164" s="108"/>
      <c r="N164" s="108"/>
      <c r="O164" s="108"/>
      <c r="P164" s="108"/>
      <c r="Q164" s="108"/>
      <c r="R164" s="108"/>
      <c r="S164" s="108"/>
      <c r="T164" s="108"/>
      <c r="V164" s="108"/>
      <c r="W164" s="108"/>
    </row>
    <row r="165" spans="1:23" x14ac:dyDescent="0.2">
      <c r="A165" s="108"/>
      <c r="B165" s="108"/>
      <c r="C165" s="108"/>
      <c r="D165" s="108"/>
      <c r="E165" s="108"/>
      <c r="F165" s="108"/>
      <c r="G165" s="108"/>
      <c r="H165" s="108"/>
      <c r="I165" s="108"/>
      <c r="J165" s="108"/>
      <c r="K165" s="108"/>
      <c r="L165" s="108"/>
      <c r="M165" s="108"/>
      <c r="N165" s="108"/>
      <c r="O165" s="108"/>
      <c r="P165" s="108"/>
      <c r="Q165" s="108"/>
      <c r="R165" s="108"/>
      <c r="S165" s="108"/>
      <c r="T165" s="108"/>
      <c r="V165" s="108"/>
      <c r="W165" s="108"/>
    </row>
    <row r="166" spans="1:23" x14ac:dyDescent="0.2">
      <c r="A166" s="108"/>
      <c r="B166" s="108"/>
      <c r="C166" s="108"/>
      <c r="D166" s="108"/>
      <c r="E166" s="108"/>
      <c r="F166" s="108"/>
      <c r="G166" s="108"/>
      <c r="H166" s="108"/>
      <c r="I166" s="108"/>
      <c r="J166" s="108"/>
      <c r="K166" s="108"/>
      <c r="L166" s="108"/>
      <c r="M166" s="108"/>
      <c r="N166" s="108"/>
      <c r="O166" s="108"/>
      <c r="P166" s="108"/>
      <c r="Q166" s="108"/>
      <c r="R166" s="108"/>
      <c r="S166" s="108"/>
      <c r="T166" s="108"/>
      <c r="V166" s="108"/>
      <c r="W166" s="108"/>
    </row>
    <row r="167" spans="1:23" x14ac:dyDescent="0.2">
      <c r="A167" s="108"/>
      <c r="B167" s="108"/>
      <c r="C167" s="108"/>
      <c r="D167" s="108"/>
      <c r="E167" s="108"/>
      <c r="F167" s="108"/>
      <c r="G167" s="108"/>
      <c r="H167" s="108"/>
      <c r="I167" s="108"/>
      <c r="J167" s="108"/>
      <c r="K167" s="108"/>
      <c r="L167" s="108"/>
      <c r="M167" s="108"/>
      <c r="N167" s="108"/>
      <c r="O167" s="108"/>
      <c r="P167" s="108"/>
      <c r="Q167" s="108"/>
      <c r="R167" s="108"/>
      <c r="S167" s="108"/>
      <c r="T167" s="108"/>
      <c r="V167" s="108"/>
      <c r="W167" s="108"/>
    </row>
    <row r="168" spans="1:23" x14ac:dyDescent="0.2">
      <c r="A168" s="108"/>
      <c r="B168" s="108"/>
      <c r="C168" s="108"/>
      <c r="D168" s="108"/>
      <c r="E168" s="108"/>
      <c r="F168" s="108"/>
      <c r="G168" s="108"/>
      <c r="H168" s="108"/>
      <c r="I168" s="108"/>
      <c r="J168" s="108"/>
      <c r="K168" s="108"/>
      <c r="L168" s="108"/>
      <c r="M168" s="108"/>
      <c r="N168" s="108"/>
      <c r="O168" s="108"/>
      <c r="P168" s="108"/>
      <c r="Q168" s="108"/>
      <c r="R168" s="108"/>
      <c r="S168" s="108"/>
      <c r="T168" s="108"/>
      <c r="V168" s="108"/>
      <c r="W168" s="108"/>
    </row>
    <row r="169" spans="1:23" x14ac:dyDescent="0.2">
      <c r="A169" s="108"/>
      <c r="B169" s="108"/>
      <c r="C169" s="108"/>
      <c r="D169" s="108"/>
      <c r="E169" s="108"/>
      <c r="F169" s="108"/>
      <c r="G169" s="108"/>
      <c r="H169" s="108"/>
      <c r="I169" s="108"/>
      <c r="J169" s="108"/>
      <c r="K169" s="108"/>
      <c r="L169" s="108"/>
      <c r="M169" s="108"/>
      <c r="N169" s="108"/>
      <c r="O169" s="108"/>
      <c r="P169" s="108"/>
      <c r="Q169" s="108"/>
      <c r="R169" s="108"/>
      <c r="S169" s="108"/>
      <c r="T169" s="108"/>
      <c r="V169" s="108"/>
      <c r="W169" s="108"/>
    </row>
    <row r="170" spans="1:23" x14ac:dyDescent="0.2">
      <c r="A170" s="108"/>
      <c r="B170" s="108"/>
      <c r="C170" s="108"/>
      <c r="D170" s="108"/>
      <c r="E170" s="108"/>
      <c r="F170" s="108"/>
      <c r="G170" s="108"/>
      <c r="H170" s="108"/>
      <c r="I170" s="108"/>
      <c r="J170" s="108"/>
      <c r="K170" s="108"/>
      <c r="L170" s="108"/>
      <c r="M170" s="108"/>
      <c r="N170" s="108"/>
      <c r="O170" s="108"/>
      <c r="P170" s="108"/>
      <c r="Q170" s="108"/>
      <c r="R170" s="108"/>
      <c r="S170" s="108"/>
      <c r="T170" s="108"/>
      <c r="V170" s="108"/>
      <c r="W170" s="108"/>
    </row>
    <row r="171" spans="1:23" x14ac:dyDescent="0.2">
      <c r="A171" s="108"/>
      <c r="B171" s="108"/>
      <c r="C171" s="108"/>
      <c r="D171" s="108"/>
      <c r="E171" s="108"/>
      <c r="F171" s="108"/>
      <c r="G171" s="108"/>
      <c r="H171" s="108"/>
      <c r="I171" s="108"/>
      <c r="J171" s="108"/>
      <c r="K171" s="108"/>
      <c r="L171" s="108"/>
      <c r="M171" s="108"/>
      <c r="N171" s="108"/>
      <c r="O171" s="108"/>
      <c r="P171" s="108"/>
      <c r="Q171" s="108"/>
      <c r="R171" s="108"/>
      <c r="S171" s="108"/>
      <c r="T171" s="108"/>
      <c r="V171" s="108"/>
      <c r="W171" s="108"/>
    </row>
    <row r="172" spans="1:23" x14ac:dyDescent="0.2">
      <c r="A172" s="108"/>
      <c r="B172" s="108"/>
      <c r="C172" s="108"/>
      <c r="D172" s="108"/>
      <c r="E172" s="108"/>
      <c r="F172" s="108"/>
      <c r="G172" s="108"/>
      <c r="H172" s="108"/>
      <c r="I172" s="108"/>
      <c r="J172" s="108"/>
      <c r="K172" s="108"/>
      <c r="L172" s="108"/>
      <c r="M172" s="108"/>
      <c r="N172" s="108"/>
      <c r="O172" s="108"/>
      <c r="P172" s="108"/>
      <c r="Q172" s="108"/>
      <c r="R172" s="108"/>
      <c r="S172" s="108"/>
      <c r="T172" s="108"/>
      <c r="V172" s="108"/>
      <c r="W172" s="108"/>
    </row>
    <row r="173" spans="1:23" x14ac:dyDescent="0.2">
      <c r="A173" s="108"/>
      <c r="B173" s="108"/>
      <c r="C173" s="108"/>
      <c r="D173" s="108"/>
      <c r="E173" s="108"/>
      <c r="F173" s="108"/>
      <c r="G173" s="108"/>
      <c r="H173" s="108"/>
      <c r="I173" s="108"/>
      <c r="J173" s="108"/>
      <c r="K173" s="108"/>
      <c r="L173" s="108"/>
      <c r="M173" s="108"/>
      <c r="N173" s="108"/>
      <c r="O173" s="108"/>
      <c r="P173" s="108"/>
      <c r="Q173" s="108"/>
      <c r="R173" s="108"/>
      <c r="S173" s="108"/>
      <c r="T173" s="108"/>
      <c r="V173" s="108"/>
      <c r="W173" s="108"/>
    </row>
    <row r="174" spans="1:23" x14ac:dyDescent="0.2">
      <c r="A174" s="108"/>
      <c r="B174" s="108"/>
      <c r="C174" s="108"/>
      <c r="D174" s="108"/>
      <c r="E174" s="108"/>
      <c r="F174" s="108"/>
      <c r="G174" s="108"/>
      <c r="H174" s="108"/>
      <c r="I174" s="108"/>
      <c r="J174" s="108"/>
      <c r="K174" s="108"/>
      <c r="L174" s="108"/>
      <c r="M174" s="108"/>
      <c r="N174" s="108"/>
      <c r="O174" s="108"/>
      <c r="P174" s="108"/>
      <c r="Q174" s="108"/>
      <c r="R174" s="108"/>
      <c r="S174" s="108"/>
      <c r="T174" s="108"/>
      <c r="V174" s="108"/>
      <c r="W174" s="108"/>
    </row>
    <row r="175" spans="1:23" x14ac:dyDescent="0.2">
      <c r="A175" s="108"/>
      <c r="B175" s="108"/>
      <c r="C175" s="108"/>
      <c r="D175" s="108"/>
      <c r="E175" s="108"/>
      <c r="F175" s="108"/>
      <c r="G175" s="108"/>
      <c r="H175" s="108"/>
      <c r="I175" s="108"/>
      <c r="J175" s="108"/>
      <c r="K175" s="108"/>
      <c r="L175" s="108"/>
      <c r="M175" s="108"/>
      <c r="N175" s="108"/>
      <c r="O175" s="108"/>
      <c r="P175" s="108"/>
      <c r="Q175" s="108"/>
      <c r="R175" s="108"/>
      <c r="S175" s="108"/>
      <c r="T175" s="108"/>
      <c r="V175" s="108"/>
      <c r="W175" s="108"/>
    </row>
    <row r="176" spans="1:23" x14ac:dyDescent="0.2">
      <c r="A176" s="108"/>
      <c r="B176" s="108"/>
      <c r="C176" s="108"/>
      <c r="D176" s="108"/>
      <c r="E176" s="108"/>
      <c r="F176" s="108"/>
      <c r="G176" s="108"/>
      <c r="H176" s="108"/>
      <c r="I176" s="108"/>
      <c r="J176" s="108"/>
      <c r="K176" s="108"/>
      <c r="L176" s="108"/>
      <c r="M176" s="108"/>
      <c r="N176" s="108"/>
      <c r="O176" s="108"/>
      <c r="P176" s="108"/>
      <c r="Q176" s="108"/>
      <c r="R176" s="108"/>
      <c r="S176" s="108"/>
      <c r="T176" s="108"/>
      <c r="V176" s="108"/>
      <c r="W176" s="108"/>
    </row>
    <row r="177" spans="1:23" x14ac:dyDescent="0.2">
      <c r="A177" s="108"/>
      <c r="B177" s="108"/>
      <c r="C177" s="108"/>
      <c r="D177" s="108"/>
      <c r="E177" s="108"/>
      <c r="F177" s="108"/>
      <c r="G177" s="108"/>
      <c r="H177" s="108"/>
      <c r="I177" s="108"/>
      <c r="J177" s="108"/>
      <c r="K177" s="108"/>
      <c r="L177" s="108"/>
      <c r="M177" s="108"/>
      <c r="N177" s="108"/>
      <c r="O177" s="108"/>
      <c r="P177" s="108"/>
      <c r="Q177" s="108"/>
      <c r="R177" s="108"/>
      <c r="S177" s="108"/>
      <c r="T177" s="108"/>
      <c r="V177" s="108"/>
      <c r="W177" s="108"/>
    </row>
    <row r="178" spans="1:23" x14ac:dyDescent="0.2">
      <c r="A178" s="108"/>
      <c r="B178" s="108"/>
      <c r="C178" s="108"/>
      <c r="D178" s="108"/>
      <c r="E178" s="108"/>
      <c r="F178" s="108"/>
      <c r="G178" s="108"/>
      <c r="H178" s="108"/>
      <c r="I178" s="108"/>
      <c r="J178" s="108"/>
      <c r="K178" s="108"/>
      <c r="L178" s="108"/>
      <c r="M178" s="108"/>
      <c r="N178" s="108"/>
      <c r="O178" s="108"/>
      <c r="P178" s="108"/>
      <c r="Q178" s="108"/>
      <c r="R178" s="108"/>
      <c r="S178" s="108"/>
      <c r="T178" s="108"/>
      <c r="V178" s="108"/>
      <c r="W178" s="108"/>
    </row>
    <row r="179" spans="1:23" x14ac:dyDescent="0.2">
      <c r="A179" s="108"/>
      <c r="B179" s="108"/>
      <c r="C179" s="108"/>
      <c r="D179" s="108"/>
      <c r="E179" s="108"/>
      <c r="F179" s="108"/>
      <c r="G179" s="108"/>
      <c r="H179" s="108"/>
      <c r="I179" s="108"/>
      <c r="J179" s="108"/>
      <c r="K179" s="108"/>
      <c r="L179" s="108"/>
      <c r="M179" s="108"/>
      <c r="N179" s="108"/>
      <c r="O179" s="108"/>
      <c r="P179" s="108"/>
      <c r="Q179" s="108"/>
      <c r="R179" s="108"/>
      <c r="S179" s="108"/>
      <c r="T179" s="108"/>
      <c r="V179" s="108"/>
      <c r="W179" s="108"/>
    </row>
    <row r="180" spans="1:23" x14ac:dyDescent="0.2">
      <c r="A180" s="108"/>
      <c r="B180" s="108"/>
      <c r="C180" s="108"/>
      <c r="D180" s="108"/>
      <c r="E180" s="108"/>
      <c r="F180" s="108"/>
      <c r="G180" s="108"/>
      <c r="H180" s="108"/>
      <c r="I180" s="108"/>
      <c r="J180" s="108"/>
      <c r="K180" s="108"/>
      <c r="L180" s="108"/>
      <c r="M180" s="108"/>
      <c r="N180" s="108"/>
      <c r="O180" s="108"/>
      <c r="P180" s="108"/>
      <c r="Q180" s="108"/>
      <c r="R180" s="108"/>
      <c r="S180" s="108"/>
      <c r="T180" s="108"/>
      <c r="V180" s="108"/>
      <c r="W180" s="108"/>
    </row>
    <row r="181" spans="1:23" x14ac:dyDescent="0.2">
      <c r="A181" s="108"/>
      <c r="B181" s="108"/>
      <c r="C181" s="108"/>
      <c r="D181" s="108"/>
      <c r="E181" s="108"/>
      <c r="F181" s="108"/>
      <c r="G181" s="108"/>
      <c r="H181" s="108"/>
      <c r="I181" s="108"/>
      <c r="J181" s="108"/>
      <c r="K181" s="108"/>
      <c r="L181" s="108"/>
      <c r="M181" s="108"/>
      <c r="N181" s="108"/>
      <c r="O181" s="108"/>
      <c r="P181" s="108"/>
      <c r="Q181" s="108"/>
      <c r="R181" s="108"/>
      <c r="S181" s="108"/>
      <c r="T181" s="108"/>
      <c r="V181" s="108"/>
      <c r="W181" s="108"/>
    </row>
    <row r="182" spans="1:23" x14ac:dyDescent="0.2">
      <c r="A182" s="108"/>
      <c r="B182" s="108"/>
      <c r="C182" s="108"/>
      <c r="D182" s="108"/>
      <c r="E182" s="108"/>
      <c r="F182" s="108"/>
      <c r="G182" s="108"/>
      <c r="H182" s="108"/>
      <c r="I182" s="108"/>
      <c r="J182" s="108"/>
      <c r="K182" s="108"/>
      <c r="L182" s="108"/>
      <c r="M182" s="108"/>
      <c r="N182" s="108"/>
      <c r="O182" s="108"/>
      <c r="P182" s="108"/>
      <c r="Q182" s="108"/>
      <c r="R182" s="108"/>
      <c r="S182" s="108"/>
      <c r="T182" s="108"/>
      <c r="V182" s="108"/>
      <c r="W182" s="108"/>
    </row>
    <row r="183" spans="1:23" x14ac:dyDescent="0.2">
      <c r="A183" s="108"/>
      <c r="B183" s="108"/>
      <c r="C183" s="108"/>
      <c r="D183" s="108"/>
      <c r="E183" s="108"/>
      <c r="F183" s="108"/>
      <c r="G183" s="108"/>
      <c r="H183" s="108"/>
      <c r="I183" s="108"/>
      <c r="J183" s="108"/>
      <c r="K183" s="108"/>
      <c r="L183" s="108"/>
      <c r="M183" s="108"/>
      <c r="N183" s="108"/>
      <c r="O183" s="108"/>
      <c r="P183" s="108"/>
      <c r="Q183" s="108"/>
      <c r="R183" s="108"/>
      <c r="S183" s="108"/>
      <c r="T183" s="108"/>
      <c r="V183" s="108"/>
      <c r="W183" s="108"/>
    </row>
    <row r="184" spans="1:23" x14ac:dyDescent="0.2">
      <c r="A184" s="108"/>
      <c r="B184" s="108"/>
      <c r="C184" s="108"/>
      <c r="D184" s="108"/>
      <c r="E184" s="108"/>
      <c r="F184" s="108"/>
      <c r="G184" s="108"/>
      <c r="H184" s="108"/>
      <c r="I184" s="108"/>
      <c r="J184" s="108"/>
      <c r="K184" s="108"/>
      <c r="L184" s="108"/>
      <c r="M184" s="108"/>
      <c r="N184" s="108"/>
      <c r="O184" s="108"/>
      <c r="P184" s="108"/>
      <c r="Q184" s="108"/>
      <c r="R184" s="108"/>
      <c r="S184" s="108"/>
      <c r="T184" s="108"/>
      <c r="V184" s="108"/>
      <c r="W184" s="108"/>
    </row>
    <row r="185" spans="1:23" x14ac:dyDescent="0.2">
      <c r="A185" s="108"/>
      <c r="B185" s="108"/>
      <c r="C185" s="108"/>
      <c r="D185" s="108"/>
      <c r="E185" s="108"/>
      <c r="F185" s="108"/>
      <c r="G185" s="108"/>
      <c r="H185" s="108"/>
      <c r="I185" s="108"/>
      <c r="J185" s="108"/>
      <c r="K185" s="108"/>
      <c r="L185" s="108"/>
      <c r="M185" s="108"/>
      <c r="N185" s="108"/>
      <c r="O185" s="108"/>
      <c r="P185" s="108"/>
      <c r="Q185" s="108"/>
      <c r="R185" s="108"/>
      <c r="S185" s="108"/>
      <c r="T185" s="108"/>
      <c r="V185" s="108"/>
      <c r="W185" s="108"/>
    </row>
    <row r="186" spans="1:23" x14ac:dyDescent="0.2">
      <c r="A186" s="108"/>
      <c r="B186" s="108"/>
      <c r="C186" s="108"/>
      <c r="D186" s="108"/>
      <c r="E186" s="108"/>
      <c r="F186" s="108"/>
      <c r="G186" s="108"/>
      <c r="H186" s="108"/>
      <c r="I186" s="108"/>
      <c r="J186" s="108"/>
      <c r="K186" s="108"/>
      <c r="L186" s="108"/>
      <c r="M186" s="108"/>
      <c r="N186" s="108"/>
      <c r="O186" s="108"/>
      <c r="P186" s="108"/>
      <c r="Q186" s="108"/>
      <c r="R186" s="108"/>
      <c r="S186" s="108"/>
      <c r="T186" s="108"/>
      <c r="V186" s="108"/>
      <c r="W186" s="108"/>
    </row>
    <row r="187" spans="1:23" x14ac:dyDescent="0.2">
      <c r="A187" s="108"/>
      <c r="B187" s="108"/>
      <c r="C187" s="108"/>
      <c r="D187" s="108"/>
      <c r="E187" s="108"/>
      <c r="F187" s="108"/>
      <c r="G187" s="108"/>
      <c r="H187" s="108"/>
      <c r="I187" s="108"/>
      <c r="J187" s="108"/>
      <c r="K187" s="108"/>
      <c r="L187" s="108"/>
      <c r="M187" s="108"/>
      <c r="N187" s="108"/>
      <c r="O187" s="108"/>
      <c r="P187" s="108"/>
      <c r="Q187" s="108"/>
      <c r="R187" s="108"/>
      <c r="S187" s="108"/>
      <c r="T187" s="108"/>
      <c r="V187" s="108"/>
      <c r="W187" s="108"/>
    </row>
    <row r="188" spans="1:23" x14ac:dyDescent="0.2">
      <c r="A188" s="108"/>
      <c r="B188" s="108"/>
      <c r="C188" s="108"/>
      <c r="D188" s="108"/>
      <c r="E188" s="108"/>
      <c r="F188" s="108"/>
      <c r="G188" s="108"/>
      <c r="H188" s="108"/>
      <c r="I188" s="108"/>
      <c r="J188" s="108"/>
      <c r="K188" s="108"/>
      <c r="L188" s="108"/>
      <c r="M188" s="108"/>
      <c r="N188" s="108"/>
      <c r="O188" s="108"/>
      <c r="P188" s="108"/>
      <c r="Q188" s="108"/>
      <c r="R188" s="108"/>
      <c r="S188" s="108"/>
      <c r="T188" s="108"/>
      <c r="V188" s="108"/>
      <c r="W188" s="108"/>
    </row>
    <row r="189" spans="1:23" x14ac:dyDescent="0.2">
      <c r="A189" s="108"/>
      <c r="B189" s="108"/>
      <c r="C189" s="108"/>
      <c r="D189" s="108"/>
      <c r="E189" s="108"/>
      <c r="F189" s="108"/>
      <c r="G189" s="108"/>
      <c r="H189" s="108"/>
      <c r="I189" s="108"/>
      <c r="J189" s="108"/>
      <c r="K189" s="108"/>
      <c r="L189" s="108"/>
      <c r="M189" s="108"/>
      <c r="N189" s="108"/>
      <c r="O189" s="108"/>
      <c r="P189" s="108"/>
      <c r="Q189" s="108"/>
      <c r="R189" s="108"/>
      <c r="S189" s="108"/>
      <c r="T189" s="108"/>
      <c r="V189" s="108"/>
      <c r="W189" s="108"/>
    </row>
    <row r="190" spans="1:23" x14ac:dyDescent="0.2">
      <c r="A190" s="108"/>
      <c r="B190" s="108"/>
      <c r="C190" s="108"/>
      <c r="D190" s="108"/>
      <c r="E190" s="108"/>
      <c r="F190" s="108"/>
      <c r="G190" s="108"/>
      <c r="H190" s="108"/>
      <c r="I190" s="108"/>
      <c r="J190" s="108"/>
      <c r="K190" s="108"/>
      <c r="L190" s="108"/>
      <c r="M190" s="108"/>
      <c r="N190" s="108"/>
      <c r="O190" s="108"/>
      <c r="P190" s="108"/>
      <c r="Q190" s="108"/>
      <c r="R190" s="108"/>
      <c r="S190" s="108"/>
      <c r="T190" s="108"/>
      <c r="V190" s="108"/>
      <c r="W190" s="108"/>
    </row>
    <row r="191" spans="1:23" x14ac:dyDescent="0.2">
      <c r="A191" s="108"/>
      <c r="B191" s="108"/>
      <c r="C191" s="108"/>
      <c r="D191" s="108"/>
      <c r="E191" s="108"/>
      <c r="F191" s="108"/>
      <c r="G191" s="108"/>
      <c r="H191" s="108"/>
      <c r="I191" s="108"/>
      <c r="J191" s="108"/>
      <c r="K191" s="108"/>
      <c r="L191" s="108"/>
      <c r="M191" s="108"/>
      <c r="N191" s="108"/>
      <c r="O191" s="108"/>
      <c r="P191" s="108"/>
      <c r="Q191" s="108"/>
      <c r="R191" s="108"/>
      <c r="S191" s="108"/>
      <c r="T191" s="108"/>
      <c r="V191" s="108"/>
      <c r="W191" s="108"/>
    </row>
    <row r="192" spans="1:23" x14ac:dyDescent="0.2">
      <c r="A192" s="108"/>
      <c r="B192" s="108"/>
      <c r="C192" s="108"/>
      <c r="D192" s="108"/>
      <c r="E192" s="108"/>
      <c r="F192" s="108"/>
      <c r="G192" s="108"/>
      <c r="H192" s="108"/>
      <c r="I192" s="108"/>
      <c r="J192" s="108"/>
      <c r="K192" s="108"/>
      <c r="L192" s="108"/>
      <c r="M192" s="108"/>
      <c r="N192" s="108"/>
      <c r="O192" s="108"/>
      <c r="P192" s="108"/>
      <c r="Q192" s="108"/>
      <c r="R192" s="108"/>
      <c r="S192" s="108"/>
      <c r="T192" s="108"/>
      <c r="V192" s="108"/>
      <c r="W192" s="108"/>
    </row>
    <row r="193" spans="1:23" x14ac:dyDescent="0.2">
      <c r="A193" s="108"/>
      <c r="B193" s="108"/>
      <c r="C193" s="108"/>
      <c r="D193" s="108"/>
      <c r="E193" s="108"/>
      <c r="F193" s="108"/>
      <c r="G193" s="108"/>
      <c r="H193" s="108"/>
      <c r="I193" s="108"/>
      <c r="J193" s="108"/>
      <c r="K193" s="108"/>
      <c r="L193" s="108"/>
      <c r="M193" s="108"/>
      <c r="N193" s="108"/>
      <c r="O193" s="108"/>
      <c r="P193" s="108"/>
      <c r="Q193" s="108"/>
      <c r="R193" s="108"/>
      <c r="S193" s="108"/>
      <c r="T193" s="108"/>
      <c r="V193" s="108"/>
      <c r="W193" s="108"/>
    </row>
    <row r="194" spans="1:23" x14ac:dyDescent="0.2">
      <c r="A194" s="108"/>
      <c r="B194" s="108"/>
      <c r="C194" s="108"/>
      <c r="D194" s="108"/>
      <c r="E194" s="108"/>
      <c r="F194" s="108"/>
      <c r="G194" s="108"/>
      <c r="H194" s="108"/>
      <c r="I194" s="108"/>
      <c r="J194" s="108"/>
      <c r="K194" s="108"/>
      <c r="L194" s="108"/>
      <c r="M194" s="108"/>
      <c r="N194" s="108"/>
      <c r="O194" s="108"/>
      <c r="P194" s="108"/>
      <c r="Q194" s="108"/>
      <c r="R194" s="108"/>
      <c r="S194" s="108"/>
      <c r="T194" s="108"/>
      <c r="V194" s="108"/>
      <c r="W194" s="108"/>
    </row>
    <row r="195" spans="1:23" x14ac:dyDescent="0.2">
      <c r="A195" s="108"/>
      <c r="B195" s="108"/>
      <c r="C195" s="108"/>
      <c r="D195" s="108"/>
      <c r="E195" s="108"/>
      <c r="F195" s="108"/>
      <c r="G195" s="108"/>
      <c r="H195" s="108"/>
      <c r="I195" s="108"/>
      <c r="J195" s="108"/>
      <c r="K195" s="108"/>
      <c r="L195" s="108"/>
      <c r="M195" s="108"/>
      <c r="N195" s="108"/>
      <c r="O195" s="108"/>
      <c r="P195" s="108"/>
      <c r="Q195" s="108"/>
      <c r="R195" s="108"/>
      <c r="S195" s="108"/>
      <c r="T195" s="108"/>
      <c r="V195" s="108"/>
      <c r="W195" s="108"/>
    </row>
    <row r="196" spans="1:23" x14ac:dyDescent="0.2">
      <c r="A196" s="108"/>
      <c r="B196" s="108"/>
      <c r="C196" s="108"/>
      <c r="D196" s="108"/>
      <c r="E196" s="108"/>
      <c r="F196" s="108"/>
      <c r="G196" s="108"/>
      <c r="H196" s="108"/>
      <c r="I196" s="108"/>
      <c r="J196" s="108"/>
      <c r="K196" s="108"/>
      <c r="L196" s="108"/>
      <c r="M196" s="108"/>
      <c r="N196" s="108"/>
      <c r="O196" s="108"/>
      <c r="P196" s="108"/>
      <c r="Q196" s="108"/>
      <c r="R196" s="108"/>
      <c r="S196" s="108"/>
      <c r="T196" s="108"/>
      <c r="V196" s="108"/>
      <c r="W196" s="108"/>
    </row>
    <row r="197" spans="1:23" x14ac:dyDescent="0.2">
      <c r="A197" s="108"/>
      <c r="B197" s="108"/>
      <c r="C197" s="108"/>
      <c r="D197" s="108"/>
      <c r="E197" s="108"/>
      <c r="F197" s="108"/>
      <c r="G197" s="108"/>
      <c r="H197" s="108"/>
      <c r="I197" s="108"/>
      <c r="J197" s="108"/>
      <c r="K197" s="108"/>
      <c r="L197" s="108"/>
      <c r="M197" s="108"/>
      <c r="N197" s="108"/>
      <c r="O197" s="108"/>
      <c r="P197" s="108"/>
      <c r="Q197" s="108"/>
      <c r="R197" s="108"/>
      <c r="S197" s="108"/>
      <c r="T197" s="108"/>
      <c r="V197" s="108"/>
      <c r="W197" s="108"/>
    </row>
    <row r="198" spans="1:23" x14ac:dyDescent="0.2">
      <c r="A198" s="108"/>
      <c r="B198" s="108"/>
      <c r="C198" s="108"/>
      <c r="D198" s="108"/>
      <c r="E198" s="108"/>
      <c r="F198" s="108"/>
      <c r="G198" s="108"/>
      <c r="H198" s="108"/>
      <c r="I198" s="108"/>
      <c r="J198" s="108"/>
      <c r="K198" s="108"/>
      <c r="L198" s="108"/>
      <c r="M198" s="108"/>
      <c r="N198" s="108"/>
      <c r="O198" s="108"/>
      <c r="P198" s="108"/>
      <c r="Q198" s="108"/>
      <c r="R198" s="108"/>
      <c r="S198" s="108"/>
      <c r="T198" s="108"/>
      <c r="V198" s="108"/>
      <c r="W198" s="108"/>
    </row>
    <row r="199" spans="1:23" x14ac:dyDescent="0.2">
      <c r="A199" s="108"/>
      <c r="B199" s="108"/>
      <c r="C199" s="108"/>
      <c r="D199" s="108"/>
      <c r="E199" s="108"/>
      <c r="F199" s="108"/>
      <c r="G199" s="108"/>
      <c r="H199" s="108"/>
      <c r="I199" s="108"/>
      <c r="J199" s="108"/>
      <c r="K199" s="108"/>
      <c r="L199" s="108"/>
      <c r="M199" s="108"/>
      <c r="N199" s="108"/>
      <c r="O199" s="108"/>
      <c r="P199" s="108"/>
      <c r="Q199" s="108"/>
      <c r="R199" s="108"/>
      <c r="S199" s="108"/>
      <c r="T199" s="108"/>
      <c r="V199" s="108"/>
      <c r="W199" s="108"/>
    </row>
    <row r="200" spans="1:23" x14ac:dyDescent="0.2">
      <c r="A200" s="108"/>
      <c r="B200" s="108"/>
      <c r="C200" s="108"/>
      <c r="D200" s="108"/>
      <c r="E200" s="108"/>
      <c r="F200" s="108"/>
      <c r="G200" s="108"/>
      <c r="H200" s="108"/>
      <c r="I200" s="108"/>
      <c r="J200" s="108"/>
      <c r="K200" s="108"/>
      <c r="L200" s="108"/>
      <c r="M200" s="108"/>
      <c r="N200" s="108"/>
      <c r="O200" s="108"/>
      <c r="P200" s="108"/>
      <c r="Q200" s="108"/>
      <c r="R200" s="108"/>
      <c r="S200" s="108"/>
      <c r="T200" s="108"/>
      <c r="V200" s="108"/>
      <c r="W200" s="108"/>
    </row>
    <row r="201" spans="1:23" x14ac:dyDescent="0.2">
      <c r="A201" s="108"/>
      <c r="B201" s="108"/>
      <c r="C201" s="108"/>
      <c r="D201" s="108"/>
      <c r="E201" s="108"/>
      <c r="F201" s="108"/>
      <c r="G201" s="108"/>
      <c r="H201" s="108"/>
      <c r="I201" s="108"/>
      <c r="J201" s="108"/>
      <c r="K201" s="108"/>
      <c r="L201" s="108"/>
      <c r="M201" s="108"/>
      <c r="N201" s="108"/>
      <c r="O201" s="108"/>
      <c r="P201" s="108"/>
      <c r="Q201" s="108"/>
      <c r="R201" s="108"/>
      <c r="S201" s="108"/>
      <c r="T201" s="108"/>
      <c r="V201" s="108"/>
      <c r="W201" s="108"/>
    </row>
    <row r="202" spans="1:23" x14ac:dyDescent="0.2">
      <c r="A202" s="108"/>
      <c r="B202" s="108"/>
      <c r="C202" s="108"/>
      <c r="D202" s="108"/>
      <c r="E202" s="108"/>
      <c r="F202" s="108"/>
      <c r="G202" s="108"/>
      <c r="H202" s="108"/>
      <c r="I202" s="108"/>
      <c r="J202" s="108"/>
      <c r="K202" s="108"/>
      <c r="L202" s="108"/>
      <c r="M202" s="108"/>
      <c r="N202" s="108"/>
      <c r="O202" s="108"/>
      <c r="P202" s="108"/>
      <c r="Q202" s="108"/>
      <c r="R202" s="108"/>
      <c r="S202" s="108"/>
      <c r="T202" s="108"/>
      <c r="V202" s="108"/>
      <c r="W202" s="108"/>
    </row>
    <row r="203" spans="1:23" x14ac:dyDescent="0.2">
      <c r="A203" s="108"/>
      <c r="B203" s="108"/>
      <c r="C203" s="108"/>
      <c r="D203" s="108"/>
      <c r="E203" s="108"/>
      <c r="F203" s="108"/>
      <c r="G203" s="108"/>
      <c r="H203" s="108"/>
      <c r="I203" s="108"/>
      <c r="J203" s="108"/>
      <c r="K203" s="108"/>
      <c r="L203" s="108"/>
      <c r="M203" s="108"/>
      <c r="N203" s="108"/>
      <c r="O203" s="108"/>
      <c r="P203" s="108"/>
      <c r="Q203" s="108"/>
      <c r="R203" s="108"/>
      <c r="S203" s="108"/>
      <c r="T203" s="108"/>
      <c r="V203" s="108"/>
      <c r="W203" s="108"/>
    </row>
    <row r="204" spans="1:23" x14ac:dyDescent="0.2">
      <c r="A204" s="108"/>
      <c r="B204" s="108"/>
      <c r="C204" s="108"/>
      <c r="D204" s="108"/>
      <c r="E204" s="108"/>
      <c r="F204" s="108"/>
      <c r="G204" s="108"/>
      <c r="H204" s="108"/>
      <c r="I204" s="108"/>
      <c r="J204" s="108"/>
      <c r="K204" s="108"/>
      <c r="L204" s="108"/>
      <c r="M204" s="108"/>
      <c r="N204" s="108"/>
      <c r="O204" s="108"/>
      <c r="P204" s="108"/>
      <c r="Q204" s="108"/>
      <c r="R204" s="108"/>
      <c r="S204" s="108"/>
      <c r="T204" s="108"/>
      <c r="V204" s="108"/>
      <c r="W204" s="108"/>
    </row>
    <row r="205" spans="1:23" x14ac:dyDescent="0.2">
      <c r="A205" s="108"/>
      <c r="B205" s="108"/>
      <c r="C205" s="108"/>
      <c r="D205" s="108"/>
      <c r="E205" s="108"/>
      <c r="F205" s="108"/>
      <c r="G205" s="108"/>
      <c r="H205" s="108"/>
      <c r="I205" s="108"/>
      <c r="J205" s="108"/>
      <c r="K205" s="108"/>
      <c r="L205" s="108"/>
      <c r="M205" s="108"/>
      <c r="N205" s="108"/>
      <c r="O205" s="108"/>
      <c r="P205" s="108"/>
      <c r="Q205" s="108"/>
      <c r="R205" s="108"/>
      <c r="S205" s="108"/>
      <c r="T205" s="108"/>
      <c r="V205" s="108"/>
      <c r="W205" s="108"/>
    </row>
    <row r="206" spans="1:23" x14ac:dyDescent="0.2">
      <c r="A206" s="108"/>
      <c r="B206" s="108"/>
      <c r="C206" s="108"/>
      <c r="D206" s="108"/>
      <c r="E206" s="108"/>
      <c r="F206" s="108"/>
      <c r="G206" s="108"/>
      <c r="H206" s="108"/>
      <c r="I206" s="108"/>
      <c r="J206" s="108"/>
      <c r="K206" s="108"/>
      <c r="L206" s="108"/>
      <c r="M206" s="108"/>
      <c r="N206" s="108"/>
      <c r="O206" s="108"/>
      <c r="P206" s="108"/>
      <c r="Q206" s="108"/>
      <c r="R206" s="108"/>
      <c r="S206" s="108"/>
      <c r="T206" s="108"/>
      <c r="V206" s="108"/>
      <c r="W206" s="108"/>
    </row>
    <row r="207" spans="1:23" x14ac:dyDescent="0.2">
      <c r="A207" s="108"/>
      <c r="B207" s="108"/>
      <c r="C207" s="108"/>
      <c r="D207" s="108"/>
      <c r="E207" s="108"/>
      <c r="F207" s="108"/>
      <c r="G207" s="108"/>
      <c r="H207" s="108"/>
      <c r="I207" s="108"/>
      <c r="J207" s="108"/>
      <c r="K207" s="108"/>
      <c r="L207" s="108"/>
      <c r="M207" s="108"/>
      <c r="N207" s="108"/>
      <c r="O207" s="108"/>
      <c r="P207" s="108"/>
      <c r="Q207" s="108"/>
      <c r="R207" s="108"/>
      <c r="S207" s="108"/>
      <c r="T207" s="108"/>
      <c r="V207" s="108"/>
      <c r="W207" s="108"/>
    </row>
    <row r="208" spans="1:23" x14ac:dyDescent="0.2">
      <c r="A208" s="108"/>
      <c r="B208" s="108"/>
      <c r="C208" s="108"/>
      <c r="D208" s="108"/>
      <c r="E208" s="108"/>
      <c r="F208" s="108"/>
      <c r="G208" s="108"/>
      <c r="H208" s="108"/>
      <c r="I208" s="108"/>
      <c r="J208" s="108"/>
      <c r="K208" s="108"/>
      <c r="L208" s="108"/>
      <c r="M208" s="108"/>
      <c r="N208" s="108"/>
      <c r="O208" s="108"/>
      <c r="P208" s="108"/>
      <c r="Q208" s="108"/>
      <c r="R208" s="108"/>
      <c r="S208" s="108"/>
      <c r="T208" s="108"/>
      <c r="V208" s="108"/>
      <c r="W208" s="108"/>
    </row>
    <row r="209" spans="1:23" x14ac:dyDescent="0.2">
      <c r="A209" s="108"/>
      <c r="B209" s="108"/>
      <c r="C209" s="108"/>
      <c r="D209" s="108"/>
      <c r="E209" s="108"/>
      <c r="F209" s="108"/>
      <c r="G209" s="108"/>
      <c r="H209" s="108"/>
      <c r="I209" s="108"/>
      <c r="J209" s="108"/>
      <c r="K209" s="108"/>
      <c r="L209" s="108"/>
      <c r="M209" s="108"/>
      <c r="N209" s="108"/>
      <c r="O209" s="108"/>
      <c r="P209" s="108"/>
      <c r="Q209" s="108"/>
      <c r="R209" s="108"/>
      <c r="S209" s="108"/>
      <c r="T209" s="108"/>
      <c r="V209" s="108"/>
      <c r="W209" s="108"/>
    </row>
    <row r="210" spans="1:23" x14ac:dyDescent="0.2">
      <c r="A210" s="108"/>
      <c r="B210" s="108"/>
      <c r="C210" s="108"/>
      <c r="D210" s="108"/>
      <c r="E210" s="108"/>
      <c r="F210" s="108"/>
      <c r="G210" s="108"/>
      <c r="H210" s="108"/>
      <c r="I210" s="108"/>
      <c r="J210" s="108"/>
      <c r="K210" s="108"/>
      <c r="L210" s="108"/>
      <c r="M210" s="108"/>
      <c r="N210" s="108"/>
      <c r="O210" s="108"/>
      <c r="P210" s="108"/>
      <c r="Q210" s="108"/>
      <c r="R210" s="108"/>
      <c r="S210" s="108"/>
      <c r="T210" s="108"/>
      <c r="V210" s="108"/>
      <c r="W210" s="108"/>
    </row>
    <row r="211" spans="1:23" x14ac:dyDescent="0.2">
      <c r="A211" s="108"/>
      <c r="B211" s="108"/>
      <c r="C211" s="108"/>
      <c r="D211" s="108"/>
      <c r="E211" s="108"/>
      <c r="F211" s="108"/>
      <c r="G211" s="108"/>
      <c r="H211" s="108"/>
      <c r="I211" s="108"/>
      <c r="J211" s="108"/>
      <c r="K211" s="108"/>
      <c r="L211" s="108"/>
      <c r="M211" s="108"/>
      <c r="N211" s="108"/>
      <c r="O211" s="108"/>
      <c r="P211" s="108"/>
      <c r="Q211" s="108"/>
      <c r="R211" s="108"/>
      <c r="S211" s="108"/>
      <c r="T211" s="108"/>
      <c r="V211" s="108"/>
      <c r="W211" s="108"/>
    </row>
    <row r="212" spans="1:23" x14ac:dyDescent="0.2">
      <c r="A212" s="108"/>
      <c r="B212" s="108"/>
      <c r="C212" s="108"/>
      <c r="D212" s="108"/>
      <c r="E212" s="108"/>
      <c r="F212" s="108"/>
      <c r="G212" s="108"/>
      <c r="H212" s="108"/>
      <c r="I212" s="108"/>
      <c r="J212" s="108"/>
      <c r="K212" s="108"/>
      <c r="L212" s="108"/>
      <c r="M212" s="108"/>
      <c r="N212" s="108"/>
      <c r="O212" s="108"/>
      <c r="P212" s="108"/>
      <c r="Q212" s="108"/>
      <c r="R212" s="108"/>
      <c r="S212" s="108"/>
      <c r="T212" s="108"/>
      <c r="V212" s="108"/>
      <c r="W212" s="108"/>
    </row>
    <row r="213" spans="1:23" x14ac:dyDescent="0.2">
      <c r="A213" s="108"/>
      <c r="B213" s="108"/>
      <c r="C213" s="108"/>
      <c r="D213" s="108"/>
      <c r="E213" s="108"/>
      <c r="F213" s="108"/>
      <c r="G213" s="108"/>
      <c r="H213" s="108"/>
      <c r="I213" s="108"/>
      <c r="J213" s="108"/>
      <c r="K213" s="108"/>
      <c r="L213" s="108"/>
      <c r="M213" s="108"/>
      <c r="N213" s="108"/>
      <c r="O213" s="108"/>
      <c r="P213" s="108"/>
      <c r="Q213" s="108"/>
      <c r="R213" s="108"/>
      <c r="S213" s="108"/>
      <c r="T213" s="108"/>
      <c r="V213" s="108"/>
      <c r="W213" s="108"/>
    </row>
  </sheetData>
  <sheetProtection algorithmName="SHA-512" hashValue="XamyYL4cJvdlx9Eu4XOvqP/apIlb2hLsyvuf5o3EOASlfJbQKbcJExs8LtWVLvQPoRMHMwwYVWwn0jB/BucIEQ==" saltValue="7bxF+R764wEBy21Dx2IImQ==" spinCount="100000" sheet="1" objects="1" scenarios="1"/>
  <mergeCells count="12">
    <mergeCell ref="B26:D26"/>
    <mergeCell ref="A69:A110"/>
    <mergeCell ref="H85:I85"/>
    <mergeCell ref="M85:N85"/>
    <mergeCell ref="K23:L23"/>
    <mergeCell ref="H23:I23"/>
    <mergeCell ref="B27:D27"/>
    <mergeCell ref="B7:C7"/>
    <mergeCell ref="D7:E7"/>
    <mergeCell ref="B8:C8"/>
    <mergeCell ref="B23:C23"/>
    <mergeCell ref="E23:F23"/>
  </mergeCells>
  <hyperlinks>
    <hyperlink ref="U6" location="HS!A70" tooltip=" " display="HS!A70" xr:uid="{6DE6AB31-AC33-4B1D-86E7-4F5BD24AC61F}"/>
    <hyperlink ref="H85" location="Menu!A1" tooltip=" " display="Menu!A1" xr:uid="{E1423948-DBAC-4649-94F7-26CE86BF9446}"/>
    <hyperlink ref="H85:I85" location="HS!A1" tooltip=" " display="HS!A1" xr:uid="{BEEA41EE-8899-4805-B037-9FB10F06B29F}"/>
    <hyperlink ref="B23:C23" location="HSw!A1" tooltip=" " display="HSw!A1" xr:uid="{2E1D0233-B086-4C91-B436-E024A3759C29}"/>
    <hyperlink ref="E23:F23" location="HSwa!A1" tooltip=" " display="HSwa!A1" xr:uid="{AC4541CB-77FA-423E-AF8F-3894DA871180}"/>
    <hyperlink ref="H23:I23" location="HSna!A1" tooltip=" " display="HSna!A1" xr:uid="{8FB94BFD-51FA-4572-BA58-8BE0FF5AC75C}"/>
    <hyperlink ref="K23:L23" location="HSt!A1" tooltip=" " display="HSt!A1" xr:uid="{C1BDFB44-36EA-49F0-B71D-7EF70BEF125D}"/>
    <hyperlink ref="U10" location="SumAVS!A1" tooltip=" " display="SumAVS!A1" xr:uid="{0244B88C-54FC-4A3C-AE9A-6734555B4F95}"/>
    <hyperlink ref="U11" location="OrdAVS!A1" tooltip=" " display="OrdAVS!A1" xr:uid="{13A43815-CA10-4AF9-9F5E-6D443D69DFF0}"/>
    <hyperlink ref="U8" location="AcsAVS!A1" tooltip=" " display="AcsAVS!A1" xr:uid="{1AF08797-73C8-40DA-BEBC-2C69F08399A7}"/>
    <hyperlink ref="U5" location="MenuAVS!A1" tooltip=" " display="MenuAVS!A1" xr:uid="{6DAE9EEC-F1C5-4BE4-B413-071523CB43CA}"/>
  </hyperlinks>
  <pageMargins left="0.7" right="0.7" top="0.78740157499999996" bottom="0.78740157499999996" header="0.3" footer="0.3"/>
  <pageSetup paperSize="9" orientation="portrait" horizontalDpi="4294967293"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150529" r:id="rId4" name="Drop Down 1">
              <controlPr defaultSize="0" autoLine="0" autoPict="0">
                <anchor moveWithCells="1">
                  <from>
                    <xdr:col>4</xdr:col>
                    <xdr:colOff>0</xdr:colOff>
                    <xdr:row>25</xdr:row>
                    <xdr:rowOff>0</xdr:rowOff>
                  </from>
                  <to>
                    <xdr:col>6</xdr:col>
                    <xdr:colOff>0</xdr:colOff>
                    <xdr:row>26</xdr:row>
                    <xdr:rowOff>9525</xdr:rowOff>
                  </to>
                </anchor>
              </controlPr>
            </control>
          </mc:Choice>
        </mc:AlternateContent>
        <mc:AlternateContent xmlns:mc="http://schemas.openxmlformats.org/markup-compatibility/2006">
          <mc:Choice Requires="x14">
            <control shapeId="150530" r:id="rId5" name="Drop Down 2">
              <controlPr defaultSize="0" autoLine="0" autoPict="0">
                <anchor moveWithCells="1">
                  <from>
                    <xdr:col>4</xdr:col>
                    <xdr:colOff>0</xdr:colOff>
                    <xdr:row>26</xdr:row>
                    <xdr:rowOff>0</xdr:rowOff>
                  </from>
                  <to>
                    <xdr:col>6</xdr:col>
                    <xdr:colOff>0</xdr:colOff>
                    <xdr:row>27</xdr:row>
                    <xdr:rowOff>0</xdr:rowOff>
                  </to>
                </anchor>
              </controlPr>
            </control>
          </mc:Choice>
        </mc:AlternateContent>
      </controls>
    </mc:Choice>
  </mc:AlternateConten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CC1C0-C085-4F38-9417-657585F7E593}">
  <sheetPr codeName="Sheet62">
    <tabColor rgb="FFFFFF00"/>
  </sheetPr>
  <dimension ref="A1:AF337"/>
  <sheetViews>
    <sheetView showGridLines="0" showRowColHeaders="0" workbookViewId="0"/>
  </sheetViews>
  <sheetFormatPr defaultColWidth="8.28515625" defaultRowHeight="12" x14ac:dyDescent="0.2"/>
  <cols>
    <col min="1" max="1" width="1.28515625" style="108" customWidth="1"/>
    <col min="2" max="9" width="9.28515625" style="108" customWidth="1"/>
    <col min="10" max="10" width="8.28515625" style="108" customWidth="1"/>
    <col min="11" max="12" width="11.42578125" style="108" customWidth="1"/>
    <col min="13" max="14" width="6.42578125" style="108" hidden="1" customWidth="1"/>
    <col min="15" max="15" width="7.7109375" style="108" hidden="1" customWidth="1"/>
    <col min="16" max="26" width="8.28515625" style="108" hidden="1" customWidth="1"/>
    <col min="27" max="27" width="6.42578125" style="108" customWidth="1"/>
    <col min="28" max="28" width="20.7109375" style="108" customWidth="1"/>
    <col min="29" max="29" width="6" style="108" customWidth="1"/>
    <col min="30" max="30" width="6.42578125" style="108" customWidth="1"/>
    <col min="31" max="16384" width="8.28515625" style="108"/>
  </cols>
  <sheetData>
    <row r="1" spans="1:32" ht="4.5" customHeight="1" x14ac:dyDescent="0.2"/>
    <row r="2" spans="1:32" ht="4.5" customHeight="1" thickBot="1" x14ac:dyDescent="0.25">
      <c r="B2" s="375"/>
      <c r="C2" s="375"/>
      <c r="D2" s="375"/>
      <c r="E2" s="375"/>
      <c r="F2" s="375"/>
      <c r="G2" s="375"/>
      <c r="H2" s="375"/>
      <c r="I2" s="375"/>
      <c r="J2" s="375"/>
      <c r="K2" s="375"/>
      <c r="L2" s="375"/>
    </row>
    <row r="3" spans="1:32" ht="19.5" customHeight="1" thickBot="1" x14ac:dyDescent="0.25">
      <c r="B3" s="968" t="str">
        <f>" "&amp;ListAVS!$B$160&amp;" AVENTOS"</f>
        <v xml:space="preserve"> Dodatki AVENTOS</v>
      </c>
      <c r="C3" s="375"/>
      <c r="D3" s="375"/>
      <c r="E3" s="375"/>
      <c r="F3" s="375"/>
      <c r="G3" s="375"/>
      <c r="H3" s="375"/>
      <c r="I3" s="375"/>
      <c r="J3" s="375"/>
      <c r="K3" s="375"/>
      <c r="L3" s="375"/>
      <c r="AB3" s="379" t="str">
        <f>ListAVS!$B$153</f>
        <v>Przejdź do</v>
      </c>
    </row>
    <row r="4" spans="1:32" ht="4.5" customHeight="1" x14ac:dyDescent="0.35">
      <c r="B4" s="376"/>
      <c r="C4" s="375"/>
      <c r="D4" s="375"/>
      <c r="E4" s="375"/>
      <c r="F4" s="375"/>
      <c r="G4" s="375"/>
      <c r="H4" s="375"/>
      <c r="I4" s="375"/>
      <c r="J4" s="375"/>
      <c r="K4" s="375"/>
      <c r="L4" s="375"/>
      <c r="AB4" s="670"/>
    </row>
    <row r="5" spans="1:32" ht="5.25" customHeight="1" x14ac:dyDescent="0.2">
      <c r="AB5" s="670"/>
    </row>
    <row r="6" spans="1:32" ht="15" customHeight="1" thickBot="1" x14ac:dyDescent="0.25">
      <c r="A6" s="980"/>
      <c r="B6" s="1245" t="str">
        <f>" "&amp;ListAVS!$B$253</f>
        <v xml:space="preserve"> Ogranicznik kąta otwarcia</v>
      </c>
      <c r="C6" s="1246"/>
      <c r="D6" s="1246"/>
      <c r="E6" s="1246"/>
      <c r="F6" s="1246"/>
      <c r="G6" s="1246"/>
      <c r="H6" s="1246"/>
      <c r="I6" s="1246"/>
      <c r="J6" s="1246"/>
      <c r="K6" s="1246"/>
      <c r="L6" s="1247"/>
      <c r="Z6" s="37"/>
      <c r="AB6" s="383" t="str">
        <f>" "&amp;ListAVS!$B$154</f>
        <v xml:space="preserve"> Wprowadzenie do planowania</v>
      </c>
    </row>
    <row r="7" spans="1:32" s="36" customFormat="1" ht="15" customHeight="1" x14ac:dyDescent="0.2">
      <c r="A7" s="980"/>
      <c r="B7" s="800"/>
      <c r="C7" s="837"/>
      <c r="D7" s="837"/>
      <c r="E7" s="837"/>
      <c r="F7" s="837"/>
      <c r="G7" s="837"/>
      <c r="H7" s="837"/>
      <c r="I7" s="837"/>
      <c r="J7" s="837"/>
      <c r="K7" s="837"/>
      <c r="L7" s="801"/>
      <c r="N7" s="108"/>
      <c r="Z7" s="37"/>
      <c r="AA7" s="108"/>
      <c r="AB7" s="575" t="str">
        <f>ListAVS!$B$155</f>
        <v>Pomoc</v>
      </c>
      <c r="AC7" s="108"/>
      <c r="AD7" s="108"/>
      <c r="AE7" s="37"/>
      <c r="AF7" s="118"/>
    </row>
    <row r="8" spans="1:32" s="36" customFormat="1" ht="15" customHeight="1" x14ac:dyDescent="0.2">
      <c r="A8" s="980"/>
      <c r="B8" s="802"/>
      <c r="C8" s="670"/>
      <c r="D8" s="670"/>
      <c r="E8" s="670"/>
      <c r="F8" s="670"/>
      <c r="G8" s="670"/>
      <c r="H8" s="670"/>
      <c r="I8" s="670"/>
      <c r="J8" s="670"/>
      <c r="K8" s="670"/>
      <c r="L8" s="803"/>
      <c r="Z8" s="37"/>
      <c r="AA8" s="108"/>
      <c r="AB8" s="671"/>
      <c r="AC8" s="108"/>
      <c r="AD8" s="108"/>
      <c r="AE8" s="37"/>
      <c r="AF8" s="118"/>
    </row>
    <row r="9" spans="1:32" s="36" customFormat="1" ht="15" customHeight="1" thickBot="1" x14ac:dyDescent="0.25">
      <c r="A9" s="980"/>
      <c r="B9" s="802"/>
      <c r="C9" s="670"/>
      <c r="D9" s="670"/>
      <c r="E9" s="670"/>
      <c r="F9" s="670"/>
      <c r="G9" s="670"/>
      <c r="H9" s="670"/>
      <c r="I9" s="670"/>
      <c r="J9" s="670"/>
      <c r="K9" s="670"/>
      <c r="L9" s="803"/>
      <c r="Z9" s="149"/>
      <c r="AA9" s="108"/>
      <c r="AB9" s="383" t="str">
        <f>" "&amp;ListAVS!$B$157</f>
        <v xml:space="preserve"> Rodzaje korpusów</v>
      </c>
      <c r="AC9" s="108"/>
      <c r="AD9" s="108"/>
      <c r="AE9" s="37"/>
      <c r="AF9" s="118"/>
    </row>
    <row r="10" spans="1:32" s="36" customFormat="1" ht="15" customHeight="1" thickBot="1" x14ac:dyDescent="0.25">
      <c r="A10" s="980"/>
      <c r="B10" s="802"/>
      <c r="C10" s="670"/>
      <c r="D10" s="670"/>
      <c r="E10" s="670"/>
      <c r="F10" s="670"/>
      <c r="G10" s="670"/>
      <c r="H10" s="670"/>
      <c r="I10" s="670"/>
      <c r="J10" s="670"/>
      <c r="K10" s="670"/>
      <c r="L10" s="803"/>
      <c r="O10" s="37"/>
      <c r="P10" s="37"/>
      <c r="Q10" s="37"/>
      <c r="R10" s="37"/>
      <c r="S10" s="37"/>
      <c r="T10" s="37"/>
      <c r="U10" s="37"/>
      <c r="V10" s="37"/>
      <c r="W10" s="37"/>
      <c r="X10" s="37"/>
      <c r="Y10" s="37"/>
      <c r="Z10" s="170"/>
      <c r="AA10" s="108"/>
      <c r="AB10" s="383" t="str">
        <f>" "&amp;ListAVS!$B$158</f>
        <v xml:space="preserve"> Zamówienie</v>
      </c>
      <c r="AC10" s="108"/>
      <c r="AD10" s="108"/>
      <c r="AE10" s="170"/>
      <c r="AF10" s="344"/>
    </row>
    <row r="11" spans="1:32" ht="15" customHeight="1" x14ac:dyDescent="0.2">
      <c r="A11" s="980"/>
      <c r="B11" s="838"/>
      <c r="C11" s="839"/>
      <c r="D11" s="670"/>
      <c r="E11" s="841" t="s">
        <v>145</v>
      </c>
      <c r="F11" s="841"/>
      <c r="G11" s="841"/>
      <c r="H11" s="841"/>
      <c r="I11" s="841"/>
      <c r="J11" s="840"/>
      <c r="K11" s="840" t="s">
        <v>146</v>
      </c>
      <c r="L11" s="824"/>
      <c r="N11" s="36"/>
      <c r="O11" s="37"/>
      <c r="P11" s="37"/>
      <c r="Q11" s="37"/>
      <c r="R11" s="37"/>
      <c r="S11" s="37"/>
      <c r="T11" s="37"/>
      <c r="U11" s="37"/>
      <c r="V11" s="37"/>
      <c r="W11" s="37"/>
      <c r="X11" s="37"/>
      <c r="Y11" s="37"/>
      <c r="Z11" s="170"/>
      <c r="AB11" s="891"/>
      <c r="AE11" s="170"/>
      <c r="AF11" s="344"/>
    </row>
    <row r="12" spans="1:32" ht="15" customHeight="1" x14ac:dyDescent="0.2">
      <c r="A12" s="980"/>
      <c r="B12" s="1248" t="str">
        <f>" "&amp;ListAVS!$B$52</f>
        <v xml:space="preserve"> Nazwa</v>
      </c>
      <c r="C12" s="1249"/>
      <c r="D12" s="1249"/>
      <c r="E12" s="1249"/>
      <c r="F12" s="1250"/>
      <c r="G12" s="1248" t="s">
        <v>147</v>
      </c>
      <c r="H12" s="1250"/>
      <c r="I12" s="1252" t="str">
        <f>ListAVS!$B$54</f>
        <v>Kolor</v>
      </c>
      <c r="J12" s="1253" t="str">
        <f>ListAVS!$B$55</f>
        <v>Ilość</v>
      </c>
      <c r="K12" s="1253" t="str">
        <f>ListAVS!$B$58</f>
        <v>Cena za sztukę</v>
      </c>
      <c r="L12" s="1253" t="str">
        <f>ListAVS!$B$59</f>
        <v>W sumie</v>
      </c>
      <c r="O12" s="320"/>
      <c r="P12" s="37"/>
      <c r="Q12" s="37"/>
      <c r="R12" s="37"/>
      <c r="S12" s="37"/>
      <c r="T12" s="37"/>
      <c r="U12" s="37"/>
      <c r="V12" s="37"/>
      <c r="W12" s="37"/>
      <c r="X12" s="37"/>
      <c r="Y12" s="37"/>
      <c r="Z12" s="170"/>
      <c r="AB12" s="891"/>
      <c r="AE12" s="170"/>
      <c r="AF12" s="344"/>
    </row>
    <row r="13" spans="1:32" ht="15" customHeight="1" x14ac:dyDescent="0.2">
      <c r="A13" s="980"/>
      <c r="B13" s="1028"/>
      <c r="C13" s="1251"/>
      <c r="D13" s="1251"/>
      <c r="E13" s="1251"/>
      <c r="F13" s="1029"/>
      <c r="G13" s="1028"/>
      <c r="H13" s="1029"/>
      <c r="I13" s="1252"/>
      <c r="J13" s="1253"/>
      <c r="K13" s="1253"/>
      <c r="L13" s="1253"/>
      <c r="O13" s="571"/>
      <c r="P13" s="571"/>
      <c r="Q13" s="571"/>
      <c r="R13" s="571"/>
      <c r="S13" s="37"/>
      <c r="T13" s="571"/>
      <c r="U13" s="571"/>
      <c r="V13" s="572"/>
      <c r="W13" s="572"/>
      <c r="X13" s="573"/>
      <c r="Y13" s="572"/>
      <c r="Z13" s="170"/>
      <c r="AB13" s="891"/>
      <c r="AE13" s="170"/>
      <c r="AF13" s="344"/>
    </row>
    <row r="14" spans="1:32" ht="18" customHeight="1" x14ac:dyDescent="0.2">
      <c r="A14" s="980"/>
      <c r="B14" s="1242" t="s">
        <v>4</v>
      </c>
      <c r="C14" s="1242"/>
      <c r="D14" s="1242"/>
      <c r="E14" s="1242"/>
      <c r="F14" s="1242"/>
      <c r="G14" s="1242"/>
      <c r="H14" s="1242"/>
      <c r="I14" s="1242"/>
      <c r="J14" s="1242"/>
      <c r="K14" s="1242"/>
      <c r="L14" s="1242"/>
      <c r="Z14" s="170"/>
      <c r="AE14" s="170"/>
      <c r="AF14" s="118"/>
    </row>
    <row r="15" spans="1:32" ht="16.149999999999999" customHeight="1" x14ac:dyDescent="0.2">
      <c r="A15" s="980"/>
      <c r="B15" s="843" t="str">
        <f>CenAVS!A104</f>
        <v xml:space="preserve">ogranicznik na 75° do HK-S      </v>
      </c>
      <c r="C15" s="844"/>
      <c r="D15" s="844"/>
      <c r="E15" s="844"/>
      <c r="F15" s="845"/>
      <c r="G15" s="843" t="str">
        <f>CenAVS!B104</f>
        <v>20K7A11</v>
      </c>
      <c r="H15" s="845"/>
      <c r="I15" s="829" t="str">
        <f>CenAVS!C104</f>
        <v>TGR</v>
      </c>
      <c r="J15" s="435"/>
      <c r="K15" s="831">
        <f>CenAVS!F104</f>
        <v>1.7642599999999999</v>
      </c>
      <c r="L15" s="831">
        <f>J15*K15</f>
        <v>0</v>
      </c>
      <c r="O15" s="164" t="str">
        <f>B15</f>
        <v xml:space="preserve">ogranicznik na 75° do HK-S      </v>
      </c>
      <c r="P15" s="157"/>
      <c r="Q15" s="157"/>
      <c r="R15" s="157"/>
      <c r="S15" s="158"/>
      <c r="T15" s="157" t="str">
        <f>G15</f>
        <v>20K7A11</v>
      </c>
      <c r="U15" s="158"/>
      <c r="V15" s="165" t="str">
        <f t="shared" ref="V15:X16" si="0">I15</f>
        <v>TGR</v>
      </c>
      <c r="W15" s="223">
        <f t="shared" si="0"/>
        <v>0</v>
      </c>
      <c r="X15" s="166">
        <f t="shared" si="0"/>
        <v>1.7642599999999999</v>
      </c>
      <c r="Y15" s="167">
        <f>W15*X15</f>
        <v>0</v>
      </c>
      <c r="Z15" s="170"/>
      <c r="AE15" s="170"/>
      <c r="AF15" s="118"/>
    </row>
    <row r="16" spans="1:32" ht="16.149999999999999" customHeight="1" x14ac:dyDescent="0.2">
      <c r="A16" s="980"/>
      <c r="B16" s="843" t="str">
        <f>CenAVS!A105</f>
        <v xml:space="preserve">ogranicznik na 100° do HK-S      </v>
      </c>
      <c r="C16" s="844"/>
      <c r="D16" s="844"/>
      <c r="E16" s="844"/>
      <c r="F16" s="845"/>
      <c r="G16" s="843" t="str">
        <f>CenAVS!B105</f>
        <v>20K7A41</v>
      </c>
      <c r="H16" s="845"/>
      <c r="I16" s="829" t="str">
        <f>CenAVS!C105</f>
        <v>TGR</v>
      </c>
      <c r="J16" s="435"/>
      <c r="K16" s="831">
        <f>CenAVS!F105</f>
        <v>1.7642599999999999</v>
      </c>
      <c r="L16" s="831">
        <f>J16*K16</f>
        <v>0</v>
      </c>
      <c r="O16" s="164" t="str">
        <f>B16</f>
        <v xml:space="preserve">ogranicznik na 100° do HK-S      </v>
      </c>
      <c r="P16" s="157"/>
      <c r="Q16" s="157"/>
      <c r="R16" s="157"/>
      <c r="S16" s="158"/>
      <c r="T16" s="157" t="str">
        <f>G16</f>
        <v>20K7A41</v>
      </c>
      <c r="U16" s="158"/>
      <c r="V16" s="165" t="str">
        <f t="shared" si="0"/>
        <v>TGR</v>
      </c>
      <c r="W16" s="223">
        <f t="shared" si="0"/>
        <v>0</v>
      </c>
      <c r="X16" s="166">
        <f t="shared" si="0"/>
        <v>1.7642599999999999</v>
      </c>
      <c r="Y16" s="167">
        <f>W16*X16</f>
        <v>0</v>
      </c>
      <c r="Z16" s="118"/>
      <c r="AE16" s="170"/>
      <c r="AF16" s="118"/>
    </row>
    <row r="17" spans="1:32" ht="18" customHeight="1" x14ac:dyDescent="0.2">
      <c r="A17" s="980"/>
      <c r="B17" s="1242" t="s">
        <v>5</v>
      </c>
      <c r="C17" s="1242"/>
      <c r="D17" s="1242"/>
      <c r="E17" s="1242"/>
      <c r="F17" s="1242"/>
      <c r="G17" s="1242"/>
      <c r="H17" s="1242"/>
      <c r="I17" s="1242"/>
      <c r="J17" s="1242"/>
      <c r="K17" s="1242"/>
      <c r="L17" s="1242"/>
      <c r="Z17" s="118"/>
      <c r="AE17" s="170"/>
      <c r="AF17" s="118"/>
    </row>
    <row r="18" spans="1:32" ht="16.149999999999999" customHeight="1" x14ac:dyDescent="0.2">
      <c r="A18" s="980"/>
      <c r="B18" s="843" t="str">
        <f>CenAVS!A155</f>
        <v xml:space="preserve">ogranicznik na 86° do 71B3xxx      </v>
      </c>
      <c r="C18" s="844"/>
      <c r="D18" s="844"/>
      <c r="E18" s="844"/>
      <c r="F18" s="845"/>
      <c r="G18" s="843" t="str">
        <f>CenAVS!B155</f>
        <v> 70T3553</v>
      </c>
      <c r="H18" s="845"/>
      <c r="I18" s="829" t="str">
        <f>CenAVS!C155</f>
        <v>S</v>
      </c>
      <c r="J18" s="435"/>
      <c r="K18" s="831">
        <f>CenAVS!F155</f>
        <v>1.5719799999999997</v>
      </c>
      <c r="L18" s="831">
        <f>J18*K18</f>
        <v>0</v>
      </c>
      <c r="O18" s="164" t="str">
        <f>B18</f>
        <v xml:space="preserve">ogranicznik na 86° do 71B3xxx      </v>
      </c>
      <c r="P18" s="157"/>
      <c r="Q18" s="157"/>
      <c r="R18" s="157"/>
      <c r="S18" s="158"/>
      <c r="T18" s="157" t="str">
        <f>G18</f>
        <v> 70T3553</v>
      </c>
      <c r="U18" s="158"/>
      <c r="V18" s="165" t="str">
        <f>I18</f>
        <v>S</v>
      </c>
      <c r="W18" s="223">
        <f>J18</f>
        <v>0</v>
      </c>
      <c r="X18" s="166">
        <f>K18</f>
        <v>1.5719799999999997</v>
      </c>
      <c r="Y18" s="167">
        <f>W18*X18</f>
        <v>0</v>
      </c>
      <c r="Z18" s="118"/>
      <c r="AE18" s="170"/>
      <c r="AF18" s="118"/>
    </row>
    <row r="19" spans="1:32" ht="15" customHeight="1" x14ac:dyDescent="0.2">
      <c r="A19" s="980"/>
      <c r="B19" s="1243" t="str">
        <f>"* "&amp;ListAVS!$B$417&amp;". "&amp;ListAVS!$B$418&amp;"!"</f>
        <v>* Ogranicznik tylko do zawisów CLIP top BLUMOTION I CLIP top 110°. Nie nadaje się do wąskich ramek aluminiowych!</v>
      </c>
      <c r="C19" s="1243"/>
      <c r="D19" s="1243"/>
      <c r="E19" s="1243"/>
      <c r="F19" s="1243"/>
      <c r="G19" s="1243"/>
      <c r="H19" s="1243"/>
      <c r="I19" s="1243"/>
      <c r="J19" s="1243"/>
      <c r="K19" s="1243"/>
      <c r="L19" s="1243"/>
      <c r="O19" s="164">
        <f>B20</f>
        <v>0</v>
      </c>
      <c r="P19" s="157"/>
      <c r="Q19" s="157"/>
      <c r="R19" s="157"/>
      <c r="S19" s="158"/>
      <c r="T19" s="157">
        <f>G20</f>
        <v>0</v>
      </c>
      <c r="U19" s="158"/>
      <c r="V19" s="165">
        <f>I20</f>
        <v>0</v>
      </c>
      <c r="W19" s="223">
        <f>J20</f>
        <v>0</v>
      </c>
      <c r="X19" s="166">
        <f>K20</f>
        <v>0</v>
      </c>
      <c r="Y19" s="167">
        <f>W19*X19</f>
        <v>0</v>
      </c>
      <c r="Z19" s="118"/>
      <c r="AE19" s="170"/>
      <c r="AF19" s="118"/>
    </row>
    <row r="20" spans="1:32" ht="15" customHeight="1" x14ac:dyDescent="0.2">
      <c r="A20" s="980"/>
      <c r="B20" s="1244"/>
      <c r="C20" s="1244"/>
      <c r="D20" s="1244"/>
      <c r="E20" s="1244"/>
      <c r="F20" s="1244"/>
      <c r="G20" s="1244"/>
      <c r="H20" s="1244"/>
      <c r="I20" s="1244"/>
      <c r="J20" s="1244"/>
      <c r="K20" s="1244"/>
      <c r="L20" s="1244"/>
      <c r="Z20" s="118"/>
      <c r="AE20" s="170"/>
      <c r="AF20" s="118"/>
    </row>
    <row r="21" spans="1:32" ht="5.65" customHeight="1" x14ac:dyDescent="0.2">
      <c r="A21" s="980"/>
      <c r="B21" s="670"/>
      <c r="C21" s="670"/>
      <c r="D21" s="670"/>
      <c r="E21" s="670"/>
      <c r="F21" s="670"/>
      <c r="G21" s="670"/>
      <c r="H21" s="670"/>
      <c r="I21" s="670"/>
      <c r="J21" s="670"/>
      <c r="K21" s="670"/>
      <c r="L21" s="670"/>
      <c r="Z21" s="118"/>
      <c r="AE21" s="170"/>
      <c r="AF21" s="118"/>
    </row>
    <row r="22" spans="1:32" ht="16.5" customHeight="1" x14ac:dyDescent="0.2">
      <c r="A22" s="980"/>
      <c r="B22" s="1245" t="str">
        <f>" "&amp;ListAVS!$B$386</f>
        <v xml:space="preserve"> Inne akcesoria</v>
      </c>
      <c r="C22" s="1246"/>
      <c r="D22" s="1246"/>
      <c r="E22" s="1246"/>
      <c r="F22" s="1246"/>
      <c r="G22" s="1246"/>
      <c r="H22" s="1246"/>
      <c r="I22" s="1246"/>
      <c r="J22" s="1246"/>
      <c r="K22" s="1246"/>
      <c r="L22" s="1247"/>
      <c r="Z22" s="118"/>
      <c r="AE22" s="170"/>
      <c r="AF22" s="118"/>
    </row>
    <row r="23" spans="1:32" ht="70.5" customHeight="1" x14ac:dyDescent="0.2">
      <c r="A23" s="980"/>
      <c r="B23" s="846"/>
      <c r="C23" s="847"/>
      <c r="D23" s="670"/>
      <c r="E23" s="848" t="s">
        <v>148</v>
      </c>
      <c r="F23" s="847"/>
      <c r="G23" s="830"/>
      <c r="H23" s="848" t="s">
        <v>149</v>
      </c>
      <c r="I23" s="847"/>
      <c r="K23" s="632"/>
      <c r="L23" s="631"/>
      <c r="Z23" s="118"/>
      <c r="AE23" s="170"/>
      <c r="AF23" s="118"/>
    </row>
    <row r="24" spans="1:32" ht="27" customHeight="1" thickBot="1" x14ac:dyDescent="0.25">
      <c r="A24" s="980"/>
      <c r="B24" s="1239" t="str">
        <f>" "&amp;ListAVS!$B$52</f>
        <v xml:space="preserve"> Nazwa</v>
      </c>
      <c r="C24" s="1240"/>
      <c r="D24" s="1240"/>
      <c r="E24" s="1240"/>
      <c r="F24" s="1241"/>
      <c r="G24" s="1239" t="s">
        <v>147</v>
      </c>
      <c r="H24" s="1241"/>
      <c r="I24" s="849" t="str">
        <f>ListAVS!$B$54</f>
        <v>Kolor</v>
      </c>
      <c r="J24" s="850" t="str">
        <f>ListAVS!$B$55</f>
        <v>Ilość</v>
      </c>
      <c r="K24" s="850" t="str">
        <f>ListAVS!$B$58</f>
        <v>Cena za sztukę</v>
      </c>
      <c r="L24" s="850" t="str">
        <f>ListAVS!$B$59</f>
        <v>W sumie</v>
      </c>
      <c r="Z24" s="118"/>
      <c r="AE24" s="170"/>
      <c r="AF24" s="118"/>
    </row>
    <row r="25" spans="1:32" ht="16.149999999999999" customHeight="1" thickTop="1" x14ac:dyDescent="0.2">
      <c r="A25" s="980"/>
      <c r="B25" s="843" t="str">
        <f>E23&amp;" - "&amp;CenAVS!A123</f>
        <v xml:space="preserve">a - specjalne wkręty 3.53x9.5mm do szerokich ramek     </v>
      </c>
      <c r="C25" s="844"/>
      <c r="D25" s="844"/>
      <c r="E25" s="844"/>
      <c r="F25" s="845"/>
      <c r="G25" s="843" t="str">
        <f>CenAVS!B123</f>
        <v>660.0950</v>
      </c>
      <c r="H25" s="845"/>
      <c r="I25" s="829" t="str">
        <f>CenAVS!C123</f>
        <v>NI</v>
      </c>
      <c r="J25" s="435"/>
      <c r="K25" s="831">
        <f>CenAVS!F123</f>
        <v>0.18570999999999999</v>
      </c>
      <c r="L25" s="831">
        <f>J25*K25</f>
        <v>0</v>
      </c>
      <c r="O25" s="164" t="str">
        <f>B25</f>
        <v xml:space="preserve">a - specjalne wkręty 3.53x9.5mm do szerokich ramek     </v>
      </c>
      <c r="P25" s="157"/>
      <c r="Q25" s="157"/>
      <c r="R25" s="157"/>
      <c r="S25" s="158"/>
      <c r="T25" s="157" t="str">
        <f>G25</f>
        <v>660.0950</v>
      </c>
      <c r="U25" s="158"/>
      <c r="V25" s="165" t="str">
        <f t="shared" ref="V25:X25" si="1">I25</f>
        <v>NI</v>
      </c>
      <c r="W25" s="223">
        <f t="shared" si="1"/>
        <v>0</v>
      </c>
      <c r="X25" s="166">
        <f t="shared" si="1"/>
        <v>0.18570999999999999</v>
      </c>
      <c r="Y25" s="167">
        <f>W25*X25</f>
        <v>0</v>
      </c>
      <c r="Z25" s="118"/>
      <c r="AE25" s="170"/>
      <c r="AF25" s="118"/>
    </row>
    <row r="26" spans="1:32" ht="16.149999999999999" customHeight="1" x14ac:dyDescent="0.2">
      <c r="A26" s="980"/>
      <c r="B26" s="843" t="str">
        <f>H23&amp;" - "&amp;CenAVS!A158</f>
        <v xml:space="preserve">b - kołek Expando T        </v>
      </c>
      <c r="C26" s="844"/>
      <c r="D26" s="844"/>
      <c r="E26" s="844"/>
      <c r="F26" s="845"/>
      <c r="G26" s="843" t="str">
        <f>CenAVS!B158</f>
        <v>70T4532T</v>
      </c>
      <c r="H26" s="845"/>
      <c r="I26" s="829" t="str">
        <f>CenAVS!C158</f>
        <v>DGR</v>
      </c>
      <c r="J26" s="435"/>
      <c r="K26" s="831">
        <f>CenAVS!F158</f>
        <v>6.9475599999999993</v>
      </c>
      <c r="L26" s="831">
        <f>J26*K26</f>
        <v>0</v>
      </c>
      <c r="O26" s="164" t="str">
        <f>B26</f>
        <v xml:space="preserve">b - kołek Expando T        </v>
      </c>
      <c r="P26" s="157"/>
      <c r="Q26" s="157"/>
      <c r="R26" s="157"/>
      <c r="S26" s="158"/>
      <c r="T26" s="157" t="str">
        <f>G26</f>
        <v>70T4532T</v>
      </c>
      <c r="U26" s="158"/>
      <c r="V26" s="165" t="str">
        <f>I26</f>
        <v>DGR</v>
      </c>
      <c r="W26" s="223">
        <f>J26</f>
        <v>0</v>
      </c>
      <c r="X26" s="166">
        <f>K26</f>
        <v>6.9475599999999993</v>
      </c>
      <c r="Y26" s="167">
        <f>W26*X26</f>
        <v>0</v>
      </c>
      <c r="Z26" s="118"/>
      <c r="AE26" s="170"/>
      <c r="AF26" s="118"/>
    </row>
    <row r="27" spans="1:32" ht="30.6" customHeight="1" x14ac:dyDescent="0.2">
      <c r="B27" s="670"/>
      <c r="C27" s="670"/>
      <c r="D27" s="670"/>
      <c r="E27" s="670"/>
      <c r="F27" s="670"/>
      <c r="G27" s="670"/>
      <c r="H27" s="670"/>
      <c r="I27" s="670"/>
      <c r="J27" s="670"/>
      <c r="K27" s="670"/>
      <c r="L27" s="670"/>
      <c r="Z27" s="118"/>
      <c r="AE27" s="170"/>
      <c r="AF27" s="118"/>
    </row>
    <row r="28" spans="1:32" ht="15" customHeight="1" x14ac:dyDescent="0.2">
      <c r="A28" s="980"/>
      <c r="B28" s="1236" t="str">
        <f>" "&amp;ListAVS!$B$160&amp;" AVENTOS HKi"</f>
        <v xml:space="preserve"> Dodatki AVENTOS HKi</v>
      </c>
      <c r="C28" s="1237" t="str">
        <f>" "&amp;ListAVS!$B$160&amp;" AVENTOS"</f>
        <v xml:space="preserve"> Dodatki AVENTOS</v>
      </c>
      <c r="D28" s="1237" t="str">
        <f>" "&amp;ListAVS!$B$160&amp;" AVENTOS"</f>
        <v xml:space="preserve"> Dodatki AVENTOS</v>
      </c>
      <c r="E28" s="1237" t="str">
        <f>" "&amp;ListAVS!$B$160&amp;" AVENTOS"</f>
        <v xml:space="preserve"> Dodatki AVENTOS</v>
      </c>
      <c r="F28" s="1237" t="str">
        <f>" "&amp;ListAVS!$B$160&amp;" AVENTOS"</f>
        <v xml:space="preserve"> Dodatki AVENTOS</v>
      </c>
      <c r="G28" s="1237" t="str">
        <f>" "&amp;ListAVS!$B$160&amp;" AVENTOS"</f>
        <v xml:space="preserve"> Dodatki AVENTOS</v>
      </c>
      <c r="H28" s="1237" t="str">
        <f>" "&amp;ListAVS!$B$160&amp;" AVENTOS"</f>
        <v xml:space="preserve"> Dodatki AVENTOS</v>
      </c>
      <c r="I28" s="1237" t="str">
        <f>" "&amp;ListAVS!$B$160&amp;" AVENTOS"</f>
        <v xml:space="preserve"> Dodatki AVENTOS</v>
      </c>
      <c r="J28" s="1237" t="str">
        <f>" "&amp;ListAVS!$B$160&amp;" AVENTOS"</f>
        <v xml:space="preserve"> Dodatki AVENTOS</v>
      </c>
      <c r="K28" s="1237" t="str">
        <f>" "&amp;ListAVS!$B$160&amp;" AVENTOS"</f>
        <v xml:space="preserve"> Dodatki AVENTOS</v>
      </c>
      <c r="L28" s="1238" t="str">
        <f>" "&amp;ListAVS!$B$160&amp;" AVENTOS"</f>
        <v xml:space="preserve"> Dodatki AVENTOS</v>
      </c>
      <c r="Z28" s="118"/>
      <c r="AE28" s="170"/>
      <c r="AF28" s="118"/>
    </row>
    <row r="29" spans="1:32" ht="86.1" customHeight="1" x14ac:dyDescent="0.2">
      <c r="A29" s="980"/>
      <c r="B29" s="846"/>
      <c r="C29" s="830" t="s">
        <v>157</v>
      </c>
      <c r="D29" s="830"/>
      <c r="E29" s="830"/>
      <c r="F29" s="830"/>
      <c r="G29" s="830" t="s">
        <v>158</v>
      </c>
      <c r="H29" s="842"/>
      <c r="I29" s="830"/>
      <c r="J29" s="830"/>
      <c r="K29" s="842"/>
      <c r="L29" s="853"/>
      <c r="Z29" s="118"/>
      <c r="AE29" s="170"/>
      <c r="AF29" s="118"/>
    </row>
    <row r="30" spans="1:32" ht="26.25" thickBot="1" x14ac:dyDescent="0.25">
      <c r="A30" s="980"/>
      <c r="B30" s="1239" t="str">
        <f>" "&amp;ListAVS!$B$52</f>
        <v xml:space="preserve"> Nazwa</v>
      </c>
      <c r="C30" s="1240"/>
      <c r="D30" s="1240"/>
      <c r="E30" s="1240"/>
      <c r="F30" s="1241"/>
      <c r="G30" s="1239" t="s">
        <v>147</v>
      </c>
      <c r="H30" s="1241"/>
      <c r="I30" s="849" t="str">
        <f>ListAVS!$B$54</f>
        <v>Kolor</v>
      </c>
      <c r="J30" s="850" t="str">
        <f>ListAVS!$B$55</f>
        <v>Ilość</v>
      </c>
      <c r="K30" s="850" t="str">
        <f>ListAVS!$B$58</f>
        <v>Cena za sztukę</v>
      </c>
      <c r="L30" s="850" t="str">
        <f>ListAVS!$B$59</f>
        <v>W sumie</v>
      </c>
      <c r="Z30" s="118"/>
      <c r="AE30" s="170"/>
      <c r="AF30" s="118"/>
    </row>
    <row r="31" spans="1:32" ht="16.149999999999999" customHeight="1" thickTop="1" x14ac:dyDescent="0.2">
      <c r="A31" s="980"/>
      <c r="B31" s="804" t="str">
        <f>$C$29&amp;" - "&amp;CenAVS!A144</f>
        <v xml:space="preserve">d - Zestaw wstępnie wyfrezowanych półfabrykatów HKi      </v>
      </c>
      <c r="C31" s="815"/>
      <c r="D31" s="815"/>
      <c r="E31" s="815"/>
      <c r="F31" s="805"/>
      <c r="G31" s="804" t="str">
        <f>CenAVS!B144</f>
        <v>24K7100</v>
      </c>
      <c r="H31" s="805"/>
      <c r="I31" s="851" t="str">
        <f>CenAVS!C144</f>
        <v>NA</v>
      </c>
      <c r="J31" s="574"/>
      <c r="K31" s="852">
        <f>CenAVS!F144</f>
        <v>314.61586999999997</v>
      </c>
      <c r="L31" s="852">
        <f t="shared" ref="L31:L32" si="2">J31*K31</f>
        <v>0</v>
      </c>
      <c r="O31" s="164" t="str">
        <f t="shared" ref="O31:O32" si="3">B31</f>
        <v xml:space="preserve">d - Zestaw wstępnie wyfrezowanych półfabrykatów HKi      </v>
      </c>
      <c r="P31" s="157"/>
      <c r="Q31" s="157"/>
      <c r="R31" s="157"/>
      <c r="S31" s="158"/>
      <c r="T31" s="157" t="str">
        <f t="shared" ref="T31:T32" si="4">G31</f>
        <v>24K7100</v>
      </c>
      <c r="U31" s="158"/>
      <c r="V31" s="165" t="str">
        <f t="shared" ref="V31:V32" si="5">I31</f>
        <v>NA</v>
      </c>
      <c r="W31" s="223">
        <f t="shared" ref="W31:W32" si="6">J31</f>
        <v>0</v>
      </c>
      <c r="X31" s="166">
        <f t="shared" ref="X31:X32" si="7">K31</f>
        <v>314.61586999999997</v>
      </c>
      <c r="Y31" s="167">
        <f t="shared" ref="Y31:Y32" si="8">W31*X31</f>
        <v>0</v>
      </c>
      <c r="Z31" s="118"/>
      <c r="AE31" s="170"/>
      <c r="AF31" s="118"/>
    </row>
    <row r="32" spans="1:32" ht="16.149999999999999" customHeight="1" x14ac:dyDescent="0.2">
      <c r="A32" s="980"/>
      <c r="B32" s="804" t="str">
        <f>$G$29&amp;" - "&amp;CenAVS!A145</f>
        <v xml:space="preserve">e - Podkładka do Aventos HKi       </v>
      </c>
      <c r="C32" s="844"/>
      <c r="D32" s="844"/>
      <c r="E32" s="844"/>
      <c r="F32" s="845"/>
      <c r="G32" s="804" t="str">
        <f>CenAVS!B145</f>
        <v>M45.1010</v>
      </c>
      <c r="H32" s="805"/>
      <c r="I32" s="851" t="str">
        <f>CenAVS!C145</f>
        <v>NA</v>
      </c>
      <c r="J32" s="574"/>
      <c r="K32" s="852">
        <f>CenAVS!F145</f>
        <v>94.213800000000006</v>
      </c>
      <c r="L32" s="831">
        <f t="shared" si="2"/>
        <v>0</v>
      </c>
      <c r="O32" s="164" t="str">
        <f t="shared" si="3"/>
        <v xml:space="preserve">e - Podkładka do Aventos HKi       </v>
      </c>
      <c r="P32" s="157"/>
      <c r="Q32" s="157"/>
      <c r="R32" s="157"/>
      <c r="S32" s="158"/>
      <c r="T32" s="157" t="str">
        <f t="shared" si="4"/>
        <v>M45.1010</v>
      </c>
      <c r="U32" s="158"/>
      <c r="V32" s="165" t="str">
        <f t="shared" si="5"/>
        <v>NA</v>
      </c>
      <c r="W32" s="223">
        <f t="shared" si="6"/>
        <v>0</v>
      </c>
      <c r="X32" s="166">
        <f t="shared" si="7"/>
        <v>94.213800000000006</v>
      </c>
      <c r="Y32" s="167">
        <f t="shared" si="8"/>
        <v>0</v>
      </c>
      <c r="Z32" s="118"/>
      <c r="AE32" s="170"/>
      <c r="AF32" s="118"/>
    </row>
    <row r="33" spans="1:32" ht="31.15" customHeight="1" x14ac:dyDescent="0.2">
      <c r="B33" s="670"/>
      <c r="C33" s="670"/>
      <c r="D33" s="670"/>
      <c r="E33" s="670"/>
      <c r="F33" s="670"/>
      <c r="G33" s="670"/>
      <c r="H33" s="670"/>
      <c r="I33" s="670"/>
      <c r="J33" s="670"/>
      <c r="K33" s="670"/>
      <c r="L33" s="854"/>
    </row>
    <row r="34" spans="1:32" ht="15" customHeight="1" x14ac:dyDescent="0.2">
      <c r="A34" s="980"/>
      <c r="B34" s="1236" t="s">
        <v>151</v>
      </c>
      <c r="C34" s="1237"/>
      <c r="D34" s="1237"/>
      <c r="E34" s="1237"/>
      <c r="F34" s="1237"/>
      <c r="G34" s="1237"/>
      <c r="H34" s="1237"/>
      <c r="I34" s="1237"/>
      <c r="J34" s="1237"/>
      <c r="K34" s="1237"/>
      <c r="L34" s="1238"/>
      <c r="Z34" s="118"/>
      <c r="AE34" s="170"/>
      <c r="AF34" s="118"/>
    </row>
    <row r="35" spans="1:32" ht="86.1" customHeight="1" x14ac:dyDescent="0.2">
      <c r="A35" s="980"/>
      <c r="B35" s="846"/>
      <c r="C35" s="830" t="s">
        <v>152</v>
      </c>
      <c r="D35" s="830"/>
      <c r="E35" s="830"/>
      <c r="F35" s="830" t="s">
        <v>153</v>
      </c>
      <c r="G35" s="830"/>
      <c r="H35" s="842"/>
      <c r="I35" s="830" t="s">
        <v>154</v>
      </c>
      <c r="J35" s="830"/>
      <c r="K35" s="842"/>
      <c r="L35" s="853" t="s">
        <v>155</v>
      </c>
      <c r="Z35" s="118"/>
      <c r="AE35" s="170"/>
      <c r="AF35" s="118"/>
    </row>
    <row r="36" spans="1:32" ht="26.25" thickBot="1" x14ac:dyDescent="0.25">
      <c r="A36" s="980"/>
      <c r="B36" s="1239" t="str">
        <f>" "&amp;ListAVS!$B$52</f>
        <v xml:space="preserve"> Nazwa</v>
      </c>
      <c r="C36" s="1240"/>
      <c r="D36" s="1240"/>
      <c r="E36" s="1240"/>
      <c r="F36" s="1241"/>
      <c r="G36" s="1239" t="s">
        <v>147</v>
      </c>
      <c r="H36" s="1241"/>
      <c r="I36" s="849" t="str">
        <f>ListAVS!$B$54</f>
        <v>Kolor</v>
      </c>
      <c r="J36" s="850" t="str">
        <f>ListAVS!$B$55</f>
        <v>Ilość</v>
      </c>
      <c r="K36" s="850" t="str">
        <f>ListAVS!$B$58</f>
        <v>Cena za sztukę</v>
      </c>
      <c r="L36" s="850" t="str">
        <f>ListAVS!$B$59</f>
        <v>W sumie</v>
      </c>
      <c r="Z36" s="118"/>
      <c r="AE36" s="170"/>
      <c r="AF36" s="118"/>
    </row>
    <row r="37" spans="1:32" ht="16.149999999999999" customHeight="1" thickTop="1" x14ac:dyDescent="0.2">
      <c r="A37" s="980"/>
      <c r="B37" s="804" t="str">
        <f>$C$35&amp;" - "&amp;CenAVS!A185</f>
        <v xml:space="preserve">k - Tip-on do zawiasu 50mm PG, szary     </v>
      </c>
      <c r="C37" s="815"/>
      <c r="D37" s="815"/>
      <c r="E37" s="815"/>
      <c r="F37" s="805"/>
      <c r="G37" s="804" t="str">
        <f>CenAVS!B185</f>
        <v>956.1004</v>
      </c>
      <c r="H37" s="805"/>
      <c r="I37" s="851" t="str">
        <f>CenAVS!C185</f>
        <v>R7036</v>
      </c>
      <c r="J37" s="574"/>
      <c r="K37" s="852">
        <f>CenAVS!F185</f>
        <v>12.830769999999999</v>
      </c>
      <c r="L37" s="852">
        <f t="shared" ref="L37:L47" si="9">J37*K37</f>
        <v>0</v>
      </c>
      <c r="O37" s="164" t="str">
        <f t="shared" ref="O37:O49" si="10">B37</f>
        <v xml:space="preserve">k - Tip-on do zawiasu 50mm PG, szary     </v>
      </c>
      <c r="P37" s="157"/>
      <c r="Q37" s="157"/>
      <c r="R37" s="157"/>
      <c r="S37" s="158"/>
      <c r="T37" s="157" t="str">
        <f t="shared" ref="T37:T49" si="11">G37</f>
        <v>956.1004</v>
      </c>
      <c r="U37" s="158"/>
      <c r="V37" s="165" t="str">
        <f t="shared" ref="V37:V49" si="12">I37</f>
        <v>R7036</v>
      </c>
      <c r="W37" s="223">
        <f t="shared" ref="W37:W49" si="13">J37</f>
        <v>0</v>
      </c>
      <c r="X37" s="166">
        <f t="shared" ref="X37:X49" si="14">K37</f>
        <v>12.830769999999999</v>
      </c>
      <c r="Y37" s="167">
        <f t="shared" ref="Y37:Y49" si="15">W37*X37</f>
        <v>0</v>
      </c>
      <c r="Z37" s="118"/>
      <c r="AE37" s="170"/>
      <c r="AF37" s="118"/>
    </row>
    <row r="38" spans="1:32" ht="16.149999999999999" customHeight="1" x14ac:dyDescent="0.2">
      <c r="A38" s="980"/>
      <c r="B38" s="843" t="str">
        <f>$C$35&amp;" - "&amp;CenAVS!A186</f>
        <v xml:space="preserve">k - Tip-on do zawiasu 50mm SW, biały     </v>
      </c>
      <c r="C38" s="844"/>
      <c r="D38" s="844"/>
      <c r="E38" s="844"/>
      <c r="F38" s="845"/>
      <c r="G38" s="843" t="str">
        <f>CenAVS!B186</f>
        <v>956.1004</v>
      </c>
      <c r="H38" s="845"/>
      <c r="I38" s="829" t="str">
        <f>CenAVS!C186</f>
        <v>SW</v>
      </c>
      <c r="J38" s="435"/>
      <c r="K38" s="831">
        <f>CenAVS!F186</f>
        <v>12.830769999999999</v>
      </c>
      <c r="L38" s="831">
        <f t="shared" si="9"/>
        <v>0</v>
      </c>
      <c r="O38" s="164" t="str">
        <f t="shared" si="10"/>
        <v xml:space="preserve">k - Tip-on do zawiasu 50mm SW, biały     </v>
      </c>
      <c r="P38" s="157"/>
      <c r="Q38" s="157"/>
      <c r="R38" s="157"/>
      <c r="S38" s="158"/>
      <c r="T38" s="157" t="str">
        <f t="shared" si="11"/>
        <v>956.1004</v>
      </c>
      <c r="U38" s="158"/>
      <c r="V38" s="165" t="str">
        <f t="shared" si="12"/>
        <v>SW</v>
      </c>
      <c r="W38" s="223">
        <f t="shared" si="13"/>
        <v>0</v>
      </c>
      <c r="X38" s="166">
        <f t="shared" si="14"/>
        <v>12.830769999999999</v>
      </c>
      <c r="Y38" s="167">
        <f t="shared" si="15"/>
        <v>0</v>
      </c>
      <c r="Z38" s="118"/>
      <c r="AE38" s="170"/>
      <c r="AF38" s="118"/>
    </row>
    <row r="39" spans="1:32" ht="16.149999999999999" customHeight="1" x14ac:dyDescent="0.2">
      <c r="A39" s="980"/>
      <c r="B39" s="843" t="str">
        <f>$C$35&amp;" - "&amp;CenAVS!A187</f>
        <v xml:space="preserve">k - Tip-on do zawiasu krótki 50mm z magnesem,komplet, karbon czarny CS </v>
      </c>
      <c r="C39" s="844"/>
      <c r="D39" s="844"/>
      <c r="E39" s="844"/>
      <c r="F39" s="845"/>
      <c r="G39" s="843" t="str">
        <f>CenAVS!B187</f>
        <v>956.1004</v>
      </c>
      <c r="H39" s="845"/>
      <c r="I39" s="829" t="str">
        <f>CenAVS!C187</f>
        <v>CS</v>
      </c>
      <c r="J39" s="435"/>
      <c r="K39" s="831">
        <f>CenAVS!F187</f>
        <v>12.830769999999999</v>
      </c>
      <c r="L39" s="831">
        <f>J39*K39</f>
        <v>0</v>
      </c>
      <c r="O39" s="164" t="str">
        <f t="shared" si="10"/>
        <v xml:space="preserve">k - Tip-on do zawiasu krótki 50mm z magnesem,komplet, karbon czarny CS </v>
      </c>
      <c r="P39" s="157"/>
      <c r="Q39" s="157"/>
      <c r="R39" s="157"/>
      <c r="S39" s="158"/>
      <c r="T39" s="157" t="str">
        <f t="shared" si="11"/>
        <v>956.1004</v>
      </c>
      <c r="U39" s="158"/>
      <c r="V39" s="165" t="str">
        <f t="shared" si="12"/>
        <v>CS</v>
      </c>
      <c r="W39" s="223">
        <f t="shared" si="13"/>
        <v>0</v>
      </c>
      <c r="X39" s="166">
        <f t="shared" si="14"/>
        <v>12.830769999999999</v>
      </c>
      <c r="Y39" s="167">
        <f t="shared" si="15"/>
        <v>0</v>
      </c>
      <c r="Z39" s="37"/>
      <c r="AE39" s="170"/>
      <c r="AF39" s="118"/>
    </row>
    <row r="40" spans="1:32" ht="16.149999999999999" customHeight="1" x14ac:dyDescent="0.2">
      <c r="A40" s="980"/>
      <c r="B40" s="843" t="str">
        <f>$F$35&amp;" - "&amp;CenAVS!A188</f>
        <v xml:space="preserve">l - Tip-on do zawiasu 76mm, PG, szary     </v>
      </c>
      <c r="C40" s="844"/>
      <c r="D40" s="844"/>
      <c r="E40" s="844"/>
      <c r="F40" s="845"/>
      <c r="G40" s="843" t="str">
        <f>CenAVS!B188</f>
        <v>956A1004</v>
      </c>
      <c r="H40" s="845"/>
      <c r="I40" s="829" t="str">
        <f>CenAVS!C188</f>
        <v>R7036</v>
      </c>
      <c r="J40" s="435"/>
      <c r="K40" s="831">
        <f>CenAVS!F188</f>
        <v>16.100000000000001</v>
      </c>
      <c r="L40" s="831">
        <f t="shared" si="9"/>
        <v>0</v>
      </c>
      <c r="O40" s="164" t="str">
        <f t="shared" si="10"/>
        <v xml:space="preserve">l - Tip-on do zawiasu 76mm, PG, szary     </v>
      </c>
      <c r="P40" s="157"/>
      <c r="Q40" s="157"/>
      <c r="R40" s="157"/>
      <c r="S40" s="158"/>
      <c r="T40" s="157" t="str">
        <f t="shared" si="11"/>
        <v>956A1004</v>
      </c>
      <c r="U40" s="158"/>
      <c r="V40" s="165" t="str">
        <f t="shared" si="12"/>
        <v>R7036</v>
      </c>
      <c r="W40" s="223">
        <f t="shared" si="13"/>
        <v>0</v>
      </c>
      <c r="X40" s="166">
        <f t="shared" si="14"/>
        <v>16.100000000000001</v>
      </c>
      <c r="Y40" s="167">
        <f t="shared" si="15"/>
        <v>0</v>
      </c>
      <c r="Z40" s="37"/>
      <c r="AE40" s="37"/>
      <c r="AF40" s="118"/>
    </row>
    <row r="41" spans="1:32" ht="16.149999999999999" customHeight="1" x14ac:dyDescent="0.2">
      <c r="A41" s="980"/>
      <c r="B41" s="843" t="str">
        <f>$F$35&amp;" - "&amp;CenAVS!A189</f>
        <v xml:space="preserve">l - Tip-on do zawiasu 76mm, SW, biały     </v>
      </c>
      <c r="C41" s="844"/>
      <c r="D41" s="844"/>
      <c r="E41" s="844"/>
      <c r="F41" s="845"/>
      <c r="G41" s="843" t="str">
        <f>CenAVS!B189</f>
        <v>956A1004</v>
      </c>
      <c r="H41" s="845"/>
      <c r="I41" s="829" t="str">
        <f>CenAVS!C189</f>
        <v>WA</v>
      </c>
      <c r="J41" s="435"/>
      <c r="K41" s="831">
        <f>CenAVS!F189</f>
        <v>16.100000000000001</v>
      </c>
      <c r="L41" s="831">
        <f t="shared" si="9"/>
        <v>0</v>
      </c>
      <c r="O41" s="164" t="str">
        <f t="shared" si="10"/>
        <v xml:space="preserve">l - Tip-on do zawiasu 76mm, SW, biały     </v>
      </c>
      <c r="P41" s="157"/>
      <c r="Q41" s="157"/>
      <c r="R41" s="157"/>
      <c r="S41" s="158"/>
      <c r="T41" s="157" t="str">
        <f t="shared" si="11"/>
        <v>956A1004</v>
      </c>
      <c r="U41" s="158"/>
      <c r="V41" s="165" t="str">
        <f t="shared" si="12"/>
        <v>WA</v>
      </c>
      <c r="W41" s="223">
        <f t="shared" si="13"/>
        <v>0</v>
      </c>
      <c r="X41" s="166">
        <f t="shared" si="14"/>
        <v>16.100000000000001</v>
      </c>
      <c r="Y41" s="167">
        <f t="shared" si="15"/>
        <v>0</v>
      </c>
      <c r="Z41" s="37"/>
      <c r="AE41" s="37"/>
      <c r="AF41" s="37"/>
    </row>
    <row r="42" spans="1:32" ht="16.149999999999999" customHeight="1" x14ac:dyDescent="0.2">
      <c r="A42" s="980"/>
      <c r="B42" s="843" t="str">
        <f>$F$35&amp;" - "&amp;CenAVS!A190</f>
        <v>l - Tip-on do zawiasu długi 76mm z magnesem, komplet, karbon czarny CS</v>
      </c>
      <c r="C42" s="844"/>
      <c r="D42" s="844"/>
      <c r="E42" s="844"/>
      <c r="F42" s="845"/>
      <c r="G42" s="843" t="str">
        <f>CenAVS!B190</f>
        <v>956A1004</v>
      </c>
      <c r="H42" s="845"/>
      <c r="I42" s="829" t="str">
        <f>CenAVS!C190</f>
        <v>CS</v>
      </c>
      <c r="J42" s="435"/>
      <c r="K42" s="831">
        <f>CenAVS!F190</f>
        <v>16.100000000000001</v>
      </c>
      <c r="L42" s="831">
        <f>J42*K42</f>
        <v>0</v>
      </c>
      <c r="O42" s="164" t="str">
        <f t="shared" si="10"/>
        <v>l - Tip-on do zawiasu długi 76mm z magnesem, komplet, karbon czarny CS</v>
      </c>
      <c r="P42" s="157"/>
      <c r="Q42" s="157"/>
      <c r="R42" s="157"/>
      <c r="S42" s="158"/>
      <c r="T42" s="157" t="str">
        <f t="shared" si="11"/>
        <v>956A1004</v>
      </c>
      <c r="U42" s="158"/>
      <c r="V42" s="165" t="str">
        <f t="shared" si="12"/>
        <v>CS</v>
      </c>
      <c r="W42" s="223">
        <f t="shared" si="13"/>
        <v>0</v>
      </c>
      <c r="X42" s="166">
        <f t="shared" si="14"/>
        <v>16.100000000000001</v>
      </c>
      <c r="Y42" s="167">
        <f t="shared" si="15"/>
        <v>0</v>
      </c>
      <c r="Z42" s="37"/>
      <c r="AE42" s="37"/>
      <c r="AF42" s="118"/>
    </row>
    <row r="43" spans="1:32" ht="16.149999999999999" customHeight="1" x14ac:dyDescent="0.2">
      <c r="A43" s="980"/>
      <c r="B43" s="843" t="str">
        <f>$I$35&amp;" - "&amp;CenAVS!A191</f>
        <v xml:space="preserve">m - Tip-on adapter prosty 50mm, szary      </v>
      </c>
      <c r="C43" s="844"/>
      <c r="D43" s="844"/>
      <c r="E43" s="844"/>
      <c r="F43" s="845"/>
      <c r="G43" s="843" t="str">
        <f>CenAVS!B191</f>
        <v>956.1201</v>
      </c>
      <c r="H43" s="845"/>
      <c r="I43" s="829" t="str">
        <f>CenAVS!C191</f>
        <v>R7036</v>
      </c>
      <c r="J43" s="435"/>
      <c r="K43" s="831">
        <f>CenAVS!F191</f>
        <v>2.8605800000000001</v>
      </c>
      <c r="L43" s="831">
        <f t="shared" si="9"/>
        <v>0</v>
      </c>
      <c r="O43" s="164" t="str">
        <f t="shared" si="10"/>
        <v xml:space="preserve">m - Tip-on adapter prosty 50mm, szary      </v>
      </c>
      <c r="P43" s="157"/>
      <c r="Q43" s="157"/>
      <c r="R43" s="157"/>
      <c r="S43" s="158"/>
      <c r="T43" s="157" t="str">
        <f t="shared" si="11"/>
        <v>956.1201</v>
      </c>
      <c r="U43" s="158"/>
      <c r="V43" s="165" t="str">
        <f t="shared" si="12"/>
        <v>R7036</v>
      </c>
      <c r="W43" s="223">
        <f t="shared" si="13"/>
        <v>0</v>
      </c>
      <c r="X43" s="166">
        <f t="shared" si="14"/>
        <v>2.8605800000000001</v>
      </c>
      <c r="Y43" s="167">
        <f t="shared" si="15"/>
        <v>0</v>
      </c>
      <c r="Z43" s="37"/>
      <c r="AE43" s="37"/>
      <c r="AF43" s="118"/>
    </row>
    <row r="44" spans="1:32" ht="16.149999999999999" customHeight="1" x14ac:dyDescent="0.2">
      <c r="A44" s="980"/>
      <c r="B44" s="843" t="str">
        <f>$I$35&amp;" - "&amp;CenAVS!A192</f>
        <v xml:space="preserve">m - Tip-on adapter prosty, 50mm, biały      </v>
      </c>
      <c r="C44" s="844"/>
      <c r="D44" s="844"/>
      <c r="E44" s="844"/>
      <c r="F44" s="845"/>
      <c r="G44" s="843" t="str">
        <f>CenAVS!B192</f>
        <v>956.1201</v>
      </c>
      <c r="H44" s="845"/>
      <c r="I44" s="829" t="str">
        <f>CenAVS!C192</f>
        <v>SW</v>
      </c>
      <c r="J44" s="435"/>
      <c r="K44" s="831">
        <f>CenAVS!F192</f>
        <v>2.8605800000000001</v>
      </c>
      <c r="L44" s="831">
        <f t="shared" si="9"/>
        <v>0</v>
      </c>
      <c r="O44" s="164" t="str">
        <f t="shared" si="10"/>
        <v xml:space="preserve">m - Tip-on adapter prosty, 50mm, biały      </v>
      </c>
      <c r="P44" s="157"/>
      <c r="Q44" s="157"/>
      <c r="R44" s="157"/>
      <c r="S44" s="158"/>
      <c r="T44" s="157" t="str">
        <f t="shared" si="11"/>
        <v>956.1201</v>
      </c>
      <c r="U44" s="158"/>
      <c r="V44" s="165" t="str">
        <f t="shared" si="12"/>
        <v>SW</v>
      </c>
      <c r="W44" s="223">
        <f t="shared" si="13"/>
        <v>0</v>
      </c>
      <c r="X44" s="166">
        <f t="shared" si="14"/>
        <v>2.8605800000000001</v>
      </c>
      <c r="Y44" s="167">
        <f t="shared" si="15"/>
        <v>0</v>
      </c>
    </row>
    <row r="45" spans="1:32" ht="16.149999999999999" customHeight="1" x14ac:dyDescent="0.2">
      <c r="A45" s="980"/>
      <c r="B45" s="843" t="str">
        <f>$I$35&amp;" - "&amp;CenAVS!A193</f>
        <v xml:space="preserve">m - adapter prosty do Tip-on krótki, wkręt, karbon czarny CS  </v>
      </c>
      <c r="C45" s="844"/>
      <c r="D45" s="844"/>
      <c r="E45" s="844"/>
      <c r="F45" s="845"/>
      <c r="G45" s="843" t="str">
        <f>CenAVS!B193</f>
        <v>956.1201</v>
      </c>
      <c r="H45" s="845"/>
      <c r="I45" s="829" t="str">
        <f>CenAVS!C193</f>
        <v>CS</v>
      </c>
      <c r="J45" s="435"/>
      <c r="K45" s="831">
        <f>CenAVS!F193</f>
        <v>3.1715599999999999</v>
      </c>
      <c r="L45" s="831">
        <f>J45*K45</f>
        <v>0</v>
      </c>
      <c r="O45" s="164" t="str">
        <f t="shared" si="10"/>
        <v xml:space="preserve">m - adapter prosty do Tip-on krótki, wkręt, karbon czarny CS  </v>
      </c>
      <c r="P45" s="157"/>
      <c r="Q45" s="157"/>
      <c r="R45" s="157"/>
      <c r="S45" s="158"/>
      <c r="T45" s="157" t="str">
        <f t="shared" si="11"/>
        <v>956.1201</v>
      </c>
      <c r="U45" s="158"/>
      <c r="V45" s="165" t="str">
        <f t="shared" si="12"/>
        <v>CS</v>
      </c>
      <c r="W45" s="223">
        <f t="shared" si="13"/>
        <v>0</v>
      </c>
      <c r="X45" s="166">
        <f t="shared" si="14"/>
        <v>3.1715599999999999</v>
      </c>
      <c r="Y45" s="167">
        <f t="shared" si="15"/>
        <v>0</v>
      </c>
    </row>
    <row r="46" spans="1:32" ht="16.149999999999999" customHeight="1" x14ac:dyDescent="0.2">
      <c r="A46" s="980"/>
      <c r="B46" s="843" t="str">
        <f>$L$35&amp;" - "&amp;CenAVS!A194</f>
        <v xml:space="preserve">n - Tip-on adapter prosty, 76mm, szary      </v>
      </c>
      <c r="C46" s="844"/>
      <c r="D46" s="844"/>
      <c r="E46" s="844"/>
      <c r="F46" s="845"/>
      <c r="G46" s="843" t="str">
        <f>CenAVS!B194</f>
        <v>956A1201</v>
      </c>
      <c r="H46" s="845"/>
      <c r="I46" s="829" t="str">
        <f>CenAVS!C194</f>
        <v>R7036</v>
      </c>
      <c r="J46" s="435"/>
      <c r="K46" s="831">
        <f>CenAVS!F194</f>
        <v>2.8605800000000001</v>
      </c>
      <c r="L46" s="831">
        <f t="shared" si="9"/>
        <v>0</v>
      </c>
      <c r="O46" s="164" t="str">
        <f t="shared" si="10"/>
        <v xml:space="preserve">n - Tip-on adapter prosty, 76mm, szary      </v>
      </c>
      <c r="P46" s="157"/>
      <c r="Q46" s="157"/>
      <c r="R46" s="157"/>
      <c r="S46" s="158"/>
      <c r="T46" s="157" t="str">
        <f t="shared" si="11"/>
        <v>956A1201</v>
      </c>
      <c r="U46" s="158"/>
      <c r="V46" s="165" t="str">
        <f t="shared" si="12"/>
        <v>R7036</v>
      </c>
      <c r="W46" s="223">
        <f t="shared" si="13"/>
        <v>0</v>
      </c>
      <c r="X46" s="166">
        <f t="shared" si="14"/>
        <v>2.8605800000000001</v>
      </c>
      <c r="Y46" s="167">
        <f t="shared" si="15"/>
        <v>0</v>
      </c>
    </row>
    <row r="47" spans="1:32" ht="16.149999999999999" customHeight="1" x14ac:dyDescent="0.2">
      <c r="A47" s="980"/>
      <c r="B47" s="843" t="str">
        <f>$L$35&amp;" - "&amp;CenAVS!A195</f>
        <v xml:space="preserve">n - Tip-on adapter prosty, 76mm, biały      </v>
      </c>
      <c r="C47" s="844"/>
      <c r="D47" s="844"/>
      <c r="E47" s="844"/>
      <c r="F47" s="845"/>
      <c r="G47" s="843" t="str">
        <f>CenAVS!B195</f>
        <v>956A1201</v>
      </c>
      <c r="H47" s="845"/>
      <c r="I47" s="829" t="str">
        <f>CenAVS!C195</f>
        <v>WA</v>
      </c>
      <c r="J47" s="435"/>
      <c r="K47" s="831">
        <f>CenAVS!F195</f>
        <v>2.8605800000000001</v>
      </c>
      <c r="L47" s="831">
        <f t="shared" si="9"/>
        <v>0</v>
      </c>
      <c r="O47" s="164" t="str">
        <f t="shared" si="10"/>
        <v xml:space="preserve">n - Tip-on adapter prosty, 76mm, biały      </v>
      </c>
      <c r="P47" s="157"/>
      <c r="Q47" s="157"/>
      <c r="R47" s="157"/>
      <c r="S47" s="158"/>
      <c r="T47" s="157" t="str">
        <f t="shared" si="11"/>
        <v>956A1201</v>
      </c>
      <c r="U47" s="158"/>
      <c r="V47" s="165" t="str">
        <f t="shared" si="12"/>
        <v>WA</v>
      </c>
      <c r="W47" s="223">
        <f t="shared" si="13"/>
        <v>0</v>
      </c>
      <c r="X47" s="166">
        <f t="shared" si="14"/>
        <v>2.8605800000000001</v>
      </c>
      <c r="Y47" s="167">
        <f t="shared" si="15"/>
        <v>0</v>
      </c>
    </row>
    <row r="48" spans="1:32" ht="16.149999999999999" customHeight="1" x14ac:dyDescent="0.2">
      <c r="A48" s="980"/>
      <c r="B48" s="843" t="str">
        <f>$L$35&amp;" - "&amp;CenAVS!A196</f>
        <v xml:space="preserve">n - adapter prosty do Tip-on długi, wkręt, karbon czarny CS  </v>
      </c>
      <c r="C48" s="844"/>
      <c r="D48" s="844"/>
      <c r="E48" s="844"/>
      <c r="F48" s="845"/>
      <c r="G48" s="843" t="str">
        <f>CenAVS!B196</f>
        <v>956A1201</v>
      </c>
      <c r="H48" s="845"/>
      <c r="I48" s="829" t="str">
        <f>CenAVS!C196</f>
        <v>CS</v>
      </c>
      <c r="J48" s="435"/>
      <c r="K48" s="831">
        <f>CenAVS!F196</f>
        <v>3.1715599999999999</v>
      </c>
      <c r="L48" s="831">
        <f>J48*K48</f>
        <v>0</v>
      </c>
      <c r="O48" s="164" t="str">
        <f t="shared" si="10"/>
        <v xml:space="preserve">n - adapter prosty do Tip-on długi, wkręt, karbon czarny CS  </v>
      </c>
      <c r="P48" s="157"/>
      <c r="Q48" s="157"/>
      <c r="R48" s="157"/>
      <c r="S48" s="158"/>
      <c r="T48" s="157" t="str">
        <f t="shared" si="11"/>
        <v>956A1201</v>
      </c>
      <c r="U48" s="158"/>
      <c r="V48" s="165" t="str">
        <f t="shared" si="12"/>
        <v>CS</v>
      </c>
      <c r="W48" s="223">
        <f t="shared" si="13"/>
        <v>0</v>
      </c>
      <c r="X48" s="166">
        <f t="shared" si="14"/>
        <v>3.1715599999999999</v>
      </c>
      <c r="Y48" s="167">
        <f t="shared" si="15"/>
        <v>0</v>
      </c>
    </row>
    <row r="49" spans="1:25" ht="16.149999999999999" customHeight="1" x14ac:dyDescent="0.2">
      <c r="A49" s="980"/>
      <c r="B49" s="843" t="str">
        <f>$L$35&amp;" - "&amp;CenAVS!A197</f>
        <v xml:space="preserve">n - Tip-on adapter krzyżakowy, 76mm, szary      </v>
      </c>
      <c r="C49" s="844"/>
      <c r="D49" s="844"/>
      <c r="E49" s="844"/>
      <c r="F49" s="845"/>
      <c r="G49" s="843" t="str">
        <f>CenAVS!B197</f>
        <v>956A1501</v>
      </c>
      <c r="H49" s="845"/>
      <c r="I49" s="829" t="str">
        <f>CenAVS!C197</f>
        <v>R7036</v>
      </c>
      <c r="J49" s="435"/>
      <c r="K49" s="831">
        <f>CenAVS!F197</f>
        <v>2.0432700000000001</v>
      </c>
      <c r="L49" s="831">
        <f>J49*K49</f>
        <v>0</v>
      </c>
      <c r="O49" s="164" t="str">
        <f t="shared" si="10"/>
        <v xml:space="preserve">n - Tip-on adapter krzyżakowy, 76mm, szary      </v>
      </c>
      <c r="P49" s="157"/>
      <c r="Q49" s="157"/>
      <c r="R49" s="157"/>
      <c r="S49" s="158"/>
      <c r="T49" s="157" t="str">
        <f t="shared" si="11"/>
        <v>956A1501</v>
      </c>
      <c r="U49" s="158"/>
      <c r="V49" s="165" t="str">
        <f t="shared" si="12"/>
        <v>R7036</v>
      </c>
      <c r="W49" s="223">
        <f t="shared" si="13"/>
        <v>0</v>
      </c>
      <c r="X49" s="166">
        <f t="shared" si="14"/>
        <v>2.0432700000000001</v>
      </c>
      <c r="Y49" s="167">
        <f t="shared" si="15"/>
        <v>0</v>
      </c>
    </row>
    <row r="50" spans="1:25" ht="31.15" customHeight="1" x14ac:dyDescent="0.2">
      <c r="B50" s="670"/>
      <c r="C50" s="670"/>
      <c r="D50" s="670"/>
      <c r="E50" s="670"/>
      <c r="F50" s="670"/>
      <c r="G50" s="670"/>
      <c r="H50" s="670"/>
      <c r="I50" s="670"/>
      <c r="J50" s="670"/>
      <c r="K50" s="670"/>
      <c r="L50" s="854"/>
    </row>
    <row r="51" spans="1:25" ht="16.5" customHeight="1" x14ac:dyDescent="0.2">
      <c r="A51" s="980"/>
      <c r="B51" s="1236" t="s">
        <v>156</v>
      </c>
      <c r="C51" s="1237"/>
      <c r="D51" s="1237"/>
      <c r="E51" s="1237"/>
      <c r="F51" s="1237"/>
      <c r="G51" s="1237"/>
      <c r="H51" s="1237"/>
      <c r="I51" s="1237"/>
      <c r="J51" s="1237"/>
      <c r="K51" s="1237"/>
      <c r="L51" s="1238"/>
    </row>
    <row r="52" spans="1:25" ht="79.5" customHeight="1" x14ac:dyDescent="0.2">
      <c r="A52" s="980"/>
      <c r="B52" s="846"/>
      <c r="C52" s="848" t="s">
        <v>148</v>
      </c>
      <c r="D52" s="830"/>
      <c r="E52" s="830" t="s">
        <v>149</v>
      </c>
      <c r="F52" s="830"/>
      <c r="G52" s="830" t="s">
        <v>150</v>
      </c>
      <c r="H52" s="830"/>
      <c r="I52" s="848" t="s">
        <v>157</v>
      </c>
      <c r="J52" s="830"/>
      <c r="K52" s="842" t="s">
        <v>158</v>
      </c>
      <c r="L52" s="853" t="s">
        <v>159</v>
      </c>
    </row>
    <row r="53" spans="1:25" ht="27" customHeight="1" thickBot="1" x14ac:dyDescent="0.25">
      <c r="A53" s="980"/>
      <c r="B53" s="1239" t="str">
        <f>" "&amp;ListAVS!$B$52</f>
        <v xml:space="preserve"> Nazwa</v>
      </c>
      <c r="C53" s="1240"/>
      <c r="D53" s="1240"/>
      <c r="E53" s="1240"/>
      <c r="F53" s="1241"/>
      <c r="G53" s="1239" t="s">
        <v>147</v>
      </c>
      <c r="H53" s="1241"/>
      <c r="I53" s="849" t="str">
        <f>ListAVS!$B$54</f>
        <v>Kolor</v>
      </c>
      <c r="J53" s="850" t="str">
        <f>ListAVS!$B$55</f>
        <v>Ilość</v>
      </c>
      <c r="K53" s="850" t="str">
        <f>ListAVS!$B$58</f>
        <v>Cena za sztukę</v>
      </c>
      <c r="L53" s="850" t="str">
        <f>ListAVS!$B$59</f>
        <v>W sumie</v>
      </c>
    </row>
    <row r="54" spans="1:25" ht="16.149999999999999" customHeight="1" thickTop="1" x14ac:dyDescent="0.2">
      <c r="A54" s="980"/>
      <c r="B54" s="804" t="str">
        <f>$C52&amp;" - "&amp;CenAVS!A179</f>
        <v xml:space="preserve">a - uchwyt zasilacza Servodrive do ścianki tylnej     </v>
      </c>
      <c r="C54" s="815"/>
      <c r="D54" s="815"/>
      <c r="E54" s="815"/>
      <c r="F54" s="805"/>
      <c r="G54" s="855" t="str">
        <f>CenAVS!B179</f>
        <v>Z10NG120</v>
      </c>
      <c r="H54" s="805"/>
      <c r="I54" s="852" t="str">
        <f>CenAVS!C179</f>
        <v>WGR</v>
      </c>
      <c r="J54" s="574"/>
      <c r="K54" s="852">
        <f>CenAVS!F179</f>
        <v>12.687549999999998</v>
      </c>
      <c r="L54" s="852">
        <f>J54*K54</f>
        <v>0</v>
      </c>
      <c r="O54" s="164" t="str">
        <f t="shared" ref="O54:O62" si="16">B54</f>
        <v xml:space="preserve">a - uchwyt zasilacza Servodrive do ścianki tylnej     </v>
      </c>
      <c r="P54" s="157"/>
      <c r="Q54" s="157"/>
      <c r="R54" s="157"/>
      <c r="S54" s="158"/>
      <c r="T54" s="157" t="str">
        <f t="shared" ref="T54:T62" si="17">G54</f>
        <v>Z10NG120</v>
      </c>
      <c r="U54" s="158"/>
      <c r="V54" s="165" t="str">
        <f t="shared" ref="V54:V62" si="18">I54</f>
        <v>WGR</v>
      </c>
      <c r="W54" s="223">
        <f t="shared" ref="W54:W62" si="19">J54</f>
        <v>0</v>
      </c>
      <c r="X54" s="166">
        <f t="shared" ref="X54:X62" si="20">K54</f>
        <v>12.687549999999998</v>
      </c>
      <c r="Y54" s="167">
        <f t="shared" ref="Y54:Y59" si="21">W54*X54</f>
        <v>0</v>
      </c>
    </row>
    <row r="55" spans="1:25" ht="16.149999999999999" customHeight="1" x14ac:dyDescent="0.2">
      <c r="A55" s="980"/>
      <c r="B55" s="843" t="str">
        <f>$E52&amp;" - "&amp;CenAVS!A176</f>
        <v xml:space="preserve">b - kabel 8m Servodrive        </v>
      </c>
      <c r="C55" s="844"/>
      <c r="D55" s="844"/>
      <c r="E55" s="844"/>
      <c r="F55" s="845"/>
      <c r="G55" s="856" t="str">
        <f>CenAVS!B176</f>
        <v>Z10K800AE</v>
      </c>
      <c r="H55" s="845"/>
      <c r="I55" s="831" t="str">
        <f>CenAVS!C176</f>
        <v>S</v>
      </c>
      <c r="J55" s="435"/>
      <c r="K55" s="831">
        <f>CenAVS!F176</f>
        <v>94.233509999999981</v>
      </c>
      <c r="L55" s="831">
        <f t="shared" ref="L55:L60" si="22">J55*K55</f>
        <v>0</v>
      </c>
      <c r="O55" s="164" t="str">
        <f t="shared" si="16"/>
        <v xml:space="preserve">b - kabel 8m Servodrive        </v>
      </c>
      <c r="P55" s="157"/>
      <c r="Q55" s="157"/>
      <c r="R55" s="157"/>
      <c r="S55" s="158"/>
      <c r="T55" s="157" t="str">
        <f t="shared" si="17"/>
        <v>Z10K800AE</v>
      </c>
      <c r="U55" s="158"/>
      <c r="V55" s="165" t="str">
        <f t="shared" si="18"/>
        <v>S</v>
      </c>
      <c r="W55" s="223">
        <f t="shared" si="19"/>
        <v>0</v>
      </c>
      <c r="X55" s="166">
        <f t="shared" si="20"/>
        <v>94.233509999999981</v>
      </c>
      <c r="Y55" s="167">
        <f t="shared" si="21"/>
        <v>0</v>
      </c>
    </row>
    <row r="56" spans="1:25" ht="16.149999999999999" customHeight="1" x14ac:dyDescent="0.2">
      <c r="A56" s="980"/>
      <c r="B56" s="843" t="str">
        <f>$G52&amp;" - "&amp;CenAVS!A180</f>
        <v xml:space="preserve">c - Złącze pionowe i 2x końcówka ochronna przewodu Servodrive   </v>
      </c>
      <c r="C56" s="844"/>
      <c r="D56" s="844"/>
      <c r="E56" s="844"/>
      <c r="F56" s="845"/>
      <c r="G56" s="856" t="str">
        <f>CenAVS!B180</f>
        <v>Z10V100E.01</v>
      </c>
      <c r="H56" s="535"/>
      <c r="I56" s="831" t="str">
        <f>CenAVS!C180</f>
        <v>S</v>
      </c>
      <c r="J56" s="435"/>
      <c r="K56" s="831">
        <f>CenAVS!F180</f>
        <v>22.446619999999999</v>
      </c>
      <c r="L56" s="831">
        <f t="shared" si="22"/>
        <v>0</v>
      </c>
      <c r="O56" s="164" t="str">
        <f t="shared" si="16"/>
        <v xml:space="preserve">c - Złącze pionowe i 2x końcówka ochronna przewodu Servodrive   </v>
      </c>
      <c r="P56" s="157"/>
      <c r="Q56" s="157"/>
      <c r="R56" s="157"/>
      <c r="S56" s="158"/>
      <c r="T56" s="157" t="str">
        <f t="shared" si="17"/>
        <v>Z10V100E.01</v>
      </c>
      <c r="U56" s="158"/>
      <c r="V56" s="165" t="str">
        <f t="shared" si="18"/>
        <v>S</v>
      </c>
      <c r="W56" s="223">
        <f t="shared" si="19"/>
        <v>0</v>
      </c>
      <c r="X56" s="166">
        <f t="shared" si="20"/>
        <v>22.446619999999999</v>
      </c>
      <c r="Y56" s="167">
        <f t="shared" si="21"/>
        <v>0</v>
      </c>
    </row>
    <row r="57" spans="1:25" ht="16.149999999999999" customHeight="1" x14ac:dyDescent="0.2">
      <c r="A57" s="980"/>
      <c r="B57" s="843" t="str">
        <f>$I52&amp;" - "&amp;CenAVS!A175</f>
        <v xml:space="preserve">d - uchwyt kabla do Servodrive       </v>
      </c>
      <c r="C57" s="844"/>
      <c r="D57" s="844"/>
      <c r="E57" s="844"/>
      <c r="F57" s="845"/>
      <c r="G57" s="856" t="str">
        <f>CenAVS!B175</f>
        <v>Z10K0009</v>
      </c>
      <c r="H57" s="535"/>
      <c r="I57" s="831" t="str">
        <f>CenAVS!C175</f>
        <v>NA</v>
      </c>
      <c r="J57" s="435"/>
      <c r="K57" s="831">
        <f>CenAVS!F175</f>
        <v>2.7142900000000001</v>
      </c>
      <c r="L57" s="831">
        <f t="shared" si="22"/>
        <v>0</v>
      </c>
      <c r="O57" s="164" t="str">
        <f t="shared" si="16"/>
        <v xml:space="preserve">d - uchwyt kabla do Servodrive       </v>
      </c>
      <c r="P57" s="157"/>
      <c r="Q57" s="157"/>
      <c r="R57" s="157"/>
      <c r="S57" s="158"/>
      <c r="T57" s="157" t="str">
        <f t="shared" si="17"/>
        <v>Z10K0009</v>
      </c>
      <c r="U57" s="158"/>
      <c r="V57" s="165" t="str">
        <f t="shared" si="18"/>
        <v>NA</v>
      </c>
      <c r="W57" s="223">
        <f t="shared" si="19"/>
        <v>0</v>
      </c>
      <c r="X57" s="166">
        <f t="shared" si="20"/>
        <v>2.7142900000000001</v>
      </c>
      <c r="Y57" s="167">
        <f t="shared" si="21"/>
        <v>0</v>
      </c>
    </row>
    <row r="58" spans="1:25" ht="16.149999999999999" customHeight="1" x14ac:dyDescent="0.2">
      <c r="A58" s="980"/>
      <c r="B58" s="843" t="str">
        <f>$K52&amp;" - "&amp;CenAVS!A173</f>
        <v xml:space="preserve">e - odbojnik dystansowy 5mm        </v>
      </c>
      <c r="C58" s="844"/>
      <c r="D58" s="844"/>
      <c r="E58" s="844"/>
      <c r="F58" s="845"/>
      <c r="G58" s="856" t="str">
        <f>CenAVS!B173</f>
        <v>993.0530</v>
      </c>
      <c r="H58" s="535"/>
      <c r="I58" s="831" t="str">
        <f>CenAVS!C173</f>
        <v>R737</v>
      </c>
      <c r="J58" s="435"/>
      <c r="K58" s="831">
        <f>CenAVS!F173</f>
        <v>2.4790800000000002</v>
      </c>
      <c r="L58" s="831">
        <f t="shared" si="22"/>
        <v>0</v>
      </c>
      <c r="O58" s="164" t="str">
        <f t="shared" si="16"/>
        <v xml:space="preserve">e - odbojnik dystansowy 5mm        </v>
      </c>
      <c r="P58" s="157"/>
      <c r="Q58" s="157"/>
      <c r="R58" s="157"/>
      <c r="S58" s="158"/>
      <c r="T58" s="157" t="str">
        <f t="shared" si="17"/>
        <v>993.0530</v>
      </c>
      <c r="U58" s="158"/>
      <c r="V58" s="165" t="str">
        <f t="shared" si="18"/>
        <v>R737</v>
      </c>
      <c r="W58" s="223">
        <f t="shared" si="19"/>
        <v>0</v>
      </c>
      <c r="X58" s="166">
        <f t="shared" si="20"/>
        <v>2.4790800000000002</v>
      </c>
      <c r="Y58" s="167">
        <f t="shared" si="21"/>
        <v>0</v>
      </c>
    </row>
    <row r="59" spans="1:25" ht="16.149999999999999" customHeight="1" x14ac:dyDescent="0.2">
      <c r="A59" s="980"/>
      <c r="B59" s="843" t="str">
        <f>$K52&amp;" - "&amp;CenAVS!A174</f>
        <v xml:space="preserve">e - odbojnik dystansowy 8mm        </v>
      </c>
      <c r="C59" s="844"/>
      <c r="D59" s="844"/>
      <c r="E59" s="844"/>
      <c r="F59" s="845"/>
      <c r="G59" s="856" t="str">
        <f>CenAVS!B174</f>
        <v>993.0830.01</v>
      </c>
      <c r="H59" s="535"/>
      <c r="I59" s="831" t="str">
        <f>CenAVS!C174</f>
        <v>R737</v>
      </c>
      <c r="J59" s="435"/>
      <c r="K59" s="831">
        <f>CenAVS!F174</f>
        <v>2.2267899999999998</v>
      </c>
      <c r="L59" s="831">
        <f t="shared" si="22"/>
        <v>0</v>
      </c>
      <c r="O59" s="164" t="str">
        <f t="shared" si="16"/>
        <v xml:space="preserve">e - odbojnik dystansowy 8mm        </v>
      </c>
      <c r="P59" s="157"/>
      <c r="Q59" s="157"/>
      <c r="R59" s="157"/>
      <c r="S59" s="158"/>
      <c r="T59" s="157" t="str">
        <f t="shared" si="17"/>
        <v>993.0830.01</v>
      </c>
      <c r="U59" s="158"/>
      <c r="V59" s="165" t="str">
        <f t="shared" si="18"/>
        <v>R737</v>
      </c>
      <c r="W59" s="223">
        <f t="shared" si="19"/>
        <v>0</v>
      </c>
      <c r="X59" s="166">
        <f t="shared" si="20"/>
        <v>2.2267899999999998</v>
      </c>
      <c r="Y59" s="167">
        <f t="shared" si="21"/>
        <v>0</v>
      </c>
    </row>
    <row r="60" spans="1:25" ht="16.149999999999999" customHeight="1" x14ac:dyDescent="0.2">
      <c r="A60" s="980"/>
      <c r="B60" s="843" t="str">
        <f>$L52&amp;" - "&amp;CenAVS!A181</f>
        <v xml:space="preserve">f - Schalt V20 HGR, włącznik Aventos Servo-drive, nowy typ, jasnoszary  </v>
      </c>
      <c r="C60" s="844"/>
      <c r="D60" s="844"/>
      <c r="E60" s="844"/>
      <c r="F60" s="845"/>
      <c r="G60" s="856" t="str">
        <f>CenAVS!B181</f>
        <v>23P5020</v>
      </c>
      <c r="H60" s="535"/>
      <c r="I60" s="831" t="str">
        <f>CenAVS!C181</f>
        <v>HGR</v>
      </c>
      <c r="J60" s="435"/>
      <c r="K60" s="831">
        <f>CenAVS!F181</f>
        <v>105.02671000000001</v>
      </c>
      <c r="L60" s="831">
        <f t="shared" si="22"/>
        <v>0</v>
      </c>
      <c r="O60" s="164" t="str">
        <f t="shared" si="16"/>
        <v xml:space="preserve">f - Schalt V20 HGR, włącznik Aventos Servo-drive, nowy typ, jasnoszary  </v>
      </c>
      <c r="P60" s="157"/>
      <c r="Q60" s="157"/>
      <c r="R60" s="157"/>
      <c r="S60" s="158"/>
      <c r="T60" s="157" t="str">
        <f t="shared" si="17"/>
        <v>23P5020</v>
      </c>
      <c r="U60" s="158"/>
      <c r="V60" s="165" t="str">
        <f t="shared" si="18"/>
        <v>HGR</v>
      </c>
      <c r="W60" s="223">
        <f t="shared" si="19"/>
        <v>0</v>
      </c>
      <c r="X60" s="166">
        <f t="shared" si="20"/>
        <v>105.02671000000001</v>
      </c>
      <c r="Y60" s="167">
        <f>W60*X60</f>
        <v>0</v>
      </c>
    </row>
    <row r="61" spans="1:25" ht="16.149999999999999" customHeight="1" x14ac:dyDescent="0.2">
      <c r="A61" s="980"/>
      <c r="B61" s="843" t="str">
        <f>$L52&amp;" - "&amp;CenAVS!A182</f>
        <v xml:space="preserve">f - Schalt V20 SW, włącznik Aventos Servo-drive, nowy typ, biały  </v>
      </c>
      <c r="C61" s="844"/>
      <c r="D61" s="844"/>
      <c r="E61" s="844"/>
      <c r="F61" s="845"/>
      <c r="G61" s="856" t="str">
        <f>CenAVS!B182</f>
        <v>23P5020</v>
      </c>
      <c r="H61" s="535"/>
      <c r="I61" s="831" t="str">
        <f>CenAVS!C182</f>
        <v>SW</v>
      </c>
      <c r="J61" s="435"/>
      <c r="K61" s="831">
        <f>CenAVS!F182</f>
        <v>109.22888</v>
      </c>
      <c r="L61" s="831">
        <f>J61*K61</f>
        <v>0</v>
      </c>
      <c r="O61" s="164" t="str">
        <f t="shared" si="16"/>
        <v xml:space="preserve">f - Schalt V20 SW, włącznik Aventos Servo-drive, nowy typ, biały  </v>
      </c>
      <c r="P61" s="157"/>
      <c r="Q61" s="157"/>
      <c r="R61" s="157"/>
      <c r="S61" s="158"/>
      <c r="T61" s="157" t="str">
        <f t="shared" si="17"/>
        <v>23P5020</v>
      </c>
      <c r="U61" s="158"/>
      <c r="V61" s="165" t="str">
        <f t="shared" si="18"/>
        <v>SW</v>
      </c>
      <c r="W61" s="223">
        <f t="shared" si="19"/>
        <v>0</v>
      </c>
      <c r="X61" s="166">
        <f t="shared" si="20"/>
        <v>109.22888</v>
      </c>
      <c r="Y61" s="167">
        <f>W61*X61</f>
        <v>0</v>
      </c>
    </row>
    <row r="62" spans="1:25" ht="16.149999999999999" customHeight="1" x14ac:dyDescent="0.2">
      <c r="A62" s="980"/>
      <c r="B62" s="843" t="str">
        <f>$L52&amp;" - "&amp;CenAVS!A183</f>
        <v xml:space="preserve">f - Schalt V20 TGR, włącznik Aventos Servo-drive, nowy typ, ciemoszary  </v>
      </c>
      <c r="C62" s="844"/>
      <c r="D62" s="844"/>
      <c r="E62" s="844"/>
      <c r="F62" s="845"/>
      <c r="G62" s="856" t="str">
        <f>CenAVS!B183</f>
        <v>23P5020</v>
      </c>
      <c r="H62" s="535"/>
      <c r="I62" s="831" t="str">
        <f>CenAVS!C183</f>
        <v>TGR</v>
      </c>
      <c r="J62" s="435"/>
      <c r="K62" s="831">
        <f>CenAVS!F183</f>
        <v>109.22888</v>
      </c>
      <c r="L62" s="831">
        <f>J62*K62</f>
        <v>0</v>
      </c>
      <c r="O62" s="164" t="str">
        <f t="shared" si="16"/>
        <v xml:space="preserve">f - Schalt V20 TGR, włącznik Aventos Servo-drive, nowy typ, ciemoszary  </v>
      </c>
      <c r="P62" s="157"/>
      <c r="Q62" s="157"/>
      <c r="R62" s="157"/>
      <c r="S62" s="158"/>
      <c r="T62" s="157" t="str">
        <f t="shared" si="17"/>
        <v>23P5020</v>
      </c>
      <c r="U62" s="158"/>
      <c r="V62" s="165" t="str">
        <f t="shared" si="18"/>
        <v>TGR</v>
      </c>
      <c r="W62" s="223">
        <f t="shared" si="19"/>
        <v>0</v>
      </c>
      <c r="X62" s="166">
        <f t="shared" si="20"/>
        <v>109.22888</v>
      </c>
      <c r="Y62" s="167">
        <f>W62*X62</f>
        <v>0</v>
      </c>
    </row>
    <row r="63" spans="1:25" ht="79.5" customHeight="1" x14ac:dyDescent="0.2">
      <c r="A63" s="980"/>
      <c r="B63" s="966"/>
      <c r="C63" s="967"/>
      <c r="E63" s="967" t="s">
        <v>792</v>
      </c>
      <c r="H63" s="967" t="s">
        <v>793</v>
      </c>
      <c r="I63" s="967"/>
      <c r="J63" s="967"/>
      <c r="K63" s="967"/>
      <c r="L63" s="535"/>
      <c r="O63" s="164"/>
      <c r="P63" s="157"/>
      <c r="Q63" s="157"/>
      <c r="R63" s="157"/>
      <c r="S63" s="158"/>
      <c r="T63" s="157"/>
      <c r="U63" s="158"/>
      <c r="V63" s="165"/>
      <c r="W63" s="165"/>
      <c r="X63" s="166"/>
      <c r="Y63" s="167"/>
    </row>
    <row r="64" spans="1:25" ht="27" customHeight="1" thickBot="1" x14ac:dyDescent="0.25">
      <c r="A64" s="980"/>
      <c r="B64" s="1239" t="str">
        <f>" "&amp;ListAVS!$B$52</f>
        <v xml:space="preserve"> Nazwa</v>
      </c>
      <c r="C64" s="1240"/>
      <c r="D64" s="1240"/>
      <c r="E64" s="1240"/>
      <c r="F64" s="1241"/>
      <c r="G64" s="1239" t="s">
        <v>147</v>
      </c>
      <c r="H64" s="1241"/>
      <c r="I64" s="849" t="str">
        <f>ListAVS!$B$54</f>
        <v>Kolor</v>
      </c>
      <c r="J64" s="850" t="str">
        <f>ListAVS!$B$55</f>
        <v>Ilość</v>
      </c>
      <c r="K64" s="850" t="str">
        <f>ListAVS!$B$58</f>
        <v>Cena za sztukę</v>
      </c>
      <c r="L64" s="850" t="str">
        <f>ListAVS!$B$59</f>
        <v>W sumie</v>
      </c>
    </row>
    <row r="65" spans="1:25" ht="16.149999999999999" customHeight="1" thickTop="1" x14ac:dyDescent="0.2">
      <c r="A65" s="980"/>
      <c r="B65" s="804" t="str">
        <f>$E63&amp;" - "&amp;CenAVS!A178</f>
        <v>g - transformator Servodrive 24V / 72W</v>
      </c>
      <c r="C65" s="815"/>
      <c r="D65" s="815"/>
      <c r="E65" s="815"/>
      <c r="F65" s="805"/>
      <c r="G65" s="855" t="str">
        <f>CenAVS!B178</f>
        <v xml:space="preserve">Z10NE04EE </v>
      </c>
      <c r="H65" s="805"/>
      <c r="I65" s="852" t="str">
        <f>CenAVS!C178</f>
        <v>S</v>
      </c>
      <c r="J65" s="574"/>
      <c r="K65" s="852">
        <f>CenAVS!F178</f>
        <v>384.03829000000007</v>
      </c>
      <c r="L65" s="852">
        <f>J65*K65</f>
        <v>0</v>
      </c>
      <c r="O65" s="164" t="str">
        <f t="shared" ref="O65:O66" si="23">B65</f>
        <v>g - transformator Servodrive 24V / 72W</v>
      </c>
      <c r="P65" s="157"/>
      <c r="Q65" s="157"/>
      <c r="R65" s="157"/>
      <c r="S65" s="158"/>
      <c r="T65" s="157" t="str">
        <f t="shared" ref="T65:T66" si="24">G65</f>
        <v xml:space="preserve">Z10NE04EE </v>
      </c>
      <c r="U65" s="158"/>
      <c r="V65" s="165" t="str">
        <f t="shared" ref="V65:V66" si="25">I65</f>
        <v>S</v>
      </c>
      <c r="W65" s="223">
        <f t="shared" ref="W65:W66" si="26">J65</f>
        <v>0</v>
      </c>
      <c r="X65" s="166">
        <f t="shared" ref="X65:X66" si="27">K65</f>
        <v>384.03829000000007</v>
      </c>
      <c r="Y65" s="167">
        <f t="shared" ref="Y65:Y66" si="28">W65*X65</f>
        <v>0</v>
      </c>
    </row>
    <row r="66" spans="1:25" ht="16.149999999999999" customHeight="1" x14ac:dyDescent="0.2">
      <c r="A66" s="980"/>
      <c r="B66" s="843" t="str">
        <f>$H63&amp;" - "&amp;CenAVS!A177</f>
        <v xml:space="preserve">h - kabel zasilający 2m Servodrive       </v>
      </c>
      <c r="C66" s="844"/>
      <c r="D66" s="844"/>
      <c r="E66" s="844"/>
      <c r="F66" s="845"/>
      <c r="G66" s="856" t="str">
        <f>CenAVS!B177</f>
        <v xml:space="preserve">Z10M200E </v>
      </c>
      <c r="H66" s="845"/>
      <c r="I66" s="831" t="str">
        <f>CenAVS!C177</f>
        <v>S</v>
      </c>
      <c r="J66" s="435"/>
      <c r="K66" s="831">
        <f>CenAVS!F177</f>
        <v>22.853960000000001</v>
      </c>
      <c r="L66" s="831">
        <f t="shared" ref="L66" si="29">J66*K66</f>
        <v>0</v>
      </c>
      <c r="O66" s="164" t="str">
        <f t="shared" si="23"/>
        <v xml:space="preserve">h - kabel zasilający 2m Servodrive       </v>
      </c>
      <c r="P66" s="157"/>
      <c r="Q66" s="157"/>
      <c r="R66" s="157"/>
      <c r="S66" s="158"/>
      <c r="T66" s="157" t="str">
        <f t="shared" si="24"/>
        <v xml:space="preserve">Z10M200E </v>
      </c>
      <c r="U66" s="158"/>
      <c r="V66" s="165" t="str">
        <f t="shared" si="25"/>
        <v>S</v>
      </c>
      <c r="W66" s="223">
        <f t="shared" si="26"/>
        <v>0</v>
      </c>
      <c r="X66" s="166">
        <f t="shared" si="27"/>
        <v>22.853960000000001</v>
      </c>
      <c r="Y66" s="167">
        <f t="shared" si="28"/>
        <v>0</v>
      </c>
    </row>
    <row r="67" spans="1:25" ht="15.4" customHeight="1" x14ac:dyDescent="0.2">
      <c r="A67" s="980"/>
      <c r="O67" s="37"/>
      <c r="P67" s="37"/>
      <c r="Q67" s="37"/>
      <c r="R67" s="37"/>
      <c r="S67" s="37"/>
      <c r="T67" s="37"/>
      <c r="U67" s="37"/>
      <c r="V67" s="37"/>
      <c r="W67" s="37"/>
      <c r="X67" s="37"/>
      <c r="Y67" s="37"/>
    </row>
    <row r="68" spans="1:25" ht="15.4" customHeight="1" x14ac:dyDescent="0.2">
      <c r="A68" s="980"/>
      <c r="O68" s="37"/>
      <c r="P68" s="37"/>
      <c r="Q68" s="37"/>
      <c r="R68" s="37"/>
      <c r="S68" s="37"/>
      <c r="T68" s="37"/>
      <c r="U68" s="37"/>
      <c r="V68" s="37"/>
      <c r="W68" s="37"/>
      <c r="X68" s="144" t="str">
        <f>ListAVS!$B$61&amp;" "</f>
        <v xml:space="preserve">Cena całkowita bez VAT </v>
      </c>
      <c r="Y68" s="171">
        <f>SUM(Y14:Y63)</f>
        <v>0</v>
      </c>
    </row>
    <row r="69" spans="1:25" x14ac:dyDescent="0.2">
      <c r="A69" s="980"/>
      <c r="O69" s="37"/>
      <c r="P69" s="37"/>
      <c r="Q69" s="37"/>
      <c r="R69" s="37"/>
      <c r="S69" s="37"/>
      <c r="T69" s="37"/>
      <c r="U69" s="37"/>
      <c r="V69" s="37"/>
      <c r="W69" s="37"/>
      <c r="X69" s="37"/>
      <c r="Y69" s="37"/>
    </row>
    <row r="70" spans="1:25" x14ac:dyDescent="0.2">
      <c r="A70" s="980"/>
      <c r="O70" s="37"/>
      <c r="P70" s="37"/>
      <c r="Q70" s="37"/>
      <c r="R70" s="37"/>
      <c r="S70" s="37"/>
      <c r="T70" s="37"/>
      <c r="U70" s="37"/>
      <c r="V70" s="37"/>
      <c r="W70" s="37"/>
      <c r="X70" s="37"/>
      <c r="Y70" s="224" t="str">
        <f>ListAVS!$B$168</f>
        <v>Z powrotem</v>
      </c>
    </row>
    <row r="71" spans="1:25" x14ac:dyDescent="0.2">
      <c r="A71" s="980"/>
    </row>
    <row r="72" spans="1:25" x14ac:dyDescent="0.2">
      <c r="A72" s="980"/>
    </row>
    <row r="73" spans="1:25" x14ac:dyDescent="0.2">
      <c r="A73" s="980"/>
    </row>
    <row r="74" spans="1:25" x14ac:dyDescent="0.2">
      <c r="A74" s="980"/>
    </row>
    <row r="75" spans="1:25" x14ac:dyDescent="0.2">
      <c r="A75" s="980"/>
    </row>
    <row r="76" spans="1:25" x14ac:dyDescent="0.2">
      <c r="A76" s="980"/>
    </row>
    <row r="77" spans="1:25" x14ac:dyDescent="0.2">
      <c r="A77" s="980"/>
    </row>
    <row r="78" spans="1:25" x14ac:dyDescent="0.2">
      <c r="A78" s="980"/>
    </row>
    <row r="109" spans="28:28" x14ac:dyDescent="0.2">
      <c r="AB109" s="37"/>
    </row>
    <row r="110" spans="28:28" x14ac:dyDescent="0.2">
      <c r="AB110" s="37"/>
    </row>
    <row r="111" spans="28:28" x14ac:dyDescent="0.2">
      <c r="AB111" s="37"/>
    </row>
    <row r="112" spans="28:28" x14ac:dyDescent="0.2">
      <c r="AB112" s="39"/>
    </row>
    <row r="113" spans="28:28" x14ac:dyDescent="0.2">
      <c r="AB113" s="170"/>
    </row>
    <row r="114" spans="28:28" x14ac:dyDescent="0.2">
      <c r="AB114" s="170"/>
    </row>
    <row r="115" spans="28:28" x14ac:dyDescent="0.2">
      <c r="AB115" s="170"/>
    </row>
    <row r="116" spans="28:28" x14ac:dyDescent="0.2">
      <c r="AB116" s="170"/>
    </row>
    <row r="117" spans="28:28" x14ac:dyDescent="0.2">
      <c r="AB117" s="170"/>
    </row>
    <row r="118" spans="28:28" x14ac:dyDescent="0.2">
      <c r="AB118" s="170"/>
    </row>
    <row r="119" spans="28:28" x14ac:dyDescent="0.2">
      <c r="AB119" s="170"/>
    </row>
    <row r="120" spans="28:28" x14ac:dyDescent="0.2">
      <c r="AB120" s="170"/>
    </row>
    <row r="121" spans="28:28" x14ac:dyDescent="0.2">
      <c r="AB121" s="170"/>
    </row>
    <row r="122" spans="28:28" x14ac:dyDescent="0.2">
      <c r="AB122" s="170"/>
    </row>
    <row r="123" spans="28:28" x14ac:dyDescent="0.2">
      <c r="AB123" s="170"/>
    </row>
    <row r="124" spans="28:28" x14ac:dyDescent="0.2">
      <c r="AB124" s="170"/>
    </row>
    <row r="125" spans="28:28" x14ac:dyDescent="0.2">
      <c r="AB125" s="170"/>
    </row>
    <row r="126" spans="28:28" x14ac:dyDescent="0.2">
      <c r="AB126" s="170"/>
    </row>
    <row r="127" spans="28:28" x14ac:dyDescent="0.2">
      <c r="AB127" s="170"/>
    </row>
    <row r="128" spans="28:28" x14ac:dyDescent="0.2">
      <c r="AB128" s="170"/>
    </row>
    <row r="129" spans="1:30" x14ac:dyDescent="0.2">
      <c r="A129" s="1045"/>
      <c r="O129" s="37"/>
      <c r="P129" s="37"/>
      <c r="Q129" s="37"/>
      <c r="R129" s="37"/>
      <c r="S129" s="37"/>
      <c r="W129" s="137"/>
      <c r="X129" s="137"/>
      <c r="Y129" s="137"/>
      <c r="Z129" s="137"/>
      <c r="AB129" s="170"/>
    </row>
    <row r="130" spans="1:30" x14ac:dyDescent="0.2">
      <c r="A130" s="1045"/>
      <c r="O130" s="37"/>
      <c r="P130" s="37"/>
      <c r="Q130" s="37"/>
      <c r="R130" s="37"/>
      <c r="S130" s="37"/>
      <c r="W130" s="137"/>
      <c r="X130" s="137"/>
      <c r="Y130" s="137"/>
      <c r="Z130" s="137"/>
      <c r="AB130" s="170"/>
      <c r="AC130" s="118"/>
      <c r="AD130" s="37"/>
    </row>
    <row r="131" spans="1:30" ht="13.5" customHeight="1" x14ac:dyDescent="0.2">
      <c r="A131" s="1045"/>
      <c r="O131" s="37"/>
      <c r="P131" s="37"/>
      <c r="Q131" s="37"/>
      <c r="R131" s="37"/>
      <c r="S131" s="37"/>
      <c r="W131" s="137"/>
      <c r="X131" s="137"/>
      <c r="Y131" s="137"/>
      <c r="Z131" s="137"/>
      <c r="AB131" s="170"/>
      <c r="AC131" s="118"/>
      <c r="AD131" s="37"/>
    </row>
    <row r="132" spans="1:30" ht="24" customHeight="1" x14ac:dyDescent="0.2">
      <c r="A132" s="1045"/>
      <c r="P132" s="149"/>
      <c r="Q132" s="149"/>
      <c r="R132" s="149"/>
      <c r="S132" s="149"/>
      <c r="W132" s="137"/>
      <c r="X132" s="137"/>
      <c r="Y132" s="137"/>
      <c r="Z132" s="137"/>
      <c r="AB132" s="170"/>
      <c r="AC132" s="118"/>
      <c r="AD132" s="37"/>
    </row>
    <row r="133" spans="1:30" x14ac:dyDescent="0.2">
      <c r="A133" s="1045"/>
      <c r="P133" s="170"/>
      <c r="Q133" s="170"/>
      <c r="R133" s="170"/>
      <c r="S133" s="170"/>
      <c r="W133" s="137"/>
      <c r="X133" s="137"/>
      <c r="Y133" s="137"/>
      <c r="Z133" s="137"/>
      <c r="AB133" s="170"/>
      <c r="AC133" s="118"/>
      <c r="AD133" s="170"/>
    </row>
    <row r="134" spans="1:30" x14ac:dyDescent="0.2">
      <c r="A134" s="1045"/>
      <c r="P134" s="170"/>
      <c r="Q134" s="170"/>
      <c r="R134" s="170"/>
      <c r="S134" s="170"/>
      <c r="W134" s="137"/>
      <c r="X134" s="137"/>
      <c r="Y134" s="137"/>
      <c r="Z134" s="137"/>
      <c r="AB134" s="170"/>
      <c r="AC134" s="118"/>
      <c r="AD134" s="170"/>
    </row>
    <row r="135" spans="1:30" x14ac:dyDescent="0.2">
      <c r="A135" s="1045"/>
      <c r="P135" s="170"/>
      <c r="Q135" s="170"/>
      <c r="R135" s="170"/>
      <c r="S135" s="170"/>
      <c r="W135" s="137"/>
      <c r="X135" s="137"/>
      <c r="Y135" s="137"/>
      <c r="Z135" s="137"/>
      <c r="AB135" s="170"/>
      <c r="AC135" s="118"/>
      <c r="AD135" s="170"/>
    </row>
    <row r="136" spans="1:30" x14ac:dyDescent="0.2">
      <c r="A136" s="1045"/>
      <c r="P136" s="170"/>
      <c r="Q136" s="170"/>
      <c r="R136" s="170"/>
      <c r="S136" s="170"/>
      <c r="W136" s="137"/>
      <c r="X136" s="137"/>
      <c r="Y136" s="137"/>
      <c r="Z136" s="137"/>
      <c r="AB136" s="170"/>
      <c r="AC136" s="118"/>
      <c r="AD136" s="170"/>
    </row>
    <row r="137" spans="1:30" x14ac:dyDescent="0.2">
      <c r="A137" s="1045"/>
      <c r="P137" s="170"/>
      <c r="Q137" s="170"/>
      <c r="R137" s="170"/>
      <c r="S137" s="170"/>
      <c r="W137" s="137"/>
      <c r="X137" s="137"/>
      <c r="Y137" s="137"/>
      <c r="Z137" s="137"/>
      <c r="AB137" s="170"/>
      <c r="AC137" s="118"/>
      <c r="AD137" s="170"/>
    </row>
    <row r="138" spans="1:30" x14ac:dyDescent="0.2">
      <c r="A138" s="1045"/>
      <c r="P138" s="170"/>
      <c r="Q138" s="170"/>
      <c r="R138" s="170"/>
      <c r="S138" s="170"/>
      <c r="W138" s="137"/>
      <c r="X138" s="137"/>
      <c r="Y138" s="137"/>
      <c r="Z138" s="137"/>
      <c r="AB138" s="170"/>
      <c r="AC138" s="118"/>
      <c r="AD138" s="170"/>
    </row>
    <row r="139" spans="1:30" s="137" customFormat="1" x14ac:dyDescent="0.2">
      <c r="A139" s="1045"/>
      <c r="P139" s="170"/>
      <c r="Q139" s="170"/>
      <c r="R139" s="170"/>
      <c r="S139" s="170"/>
      <c r="T139" s="108"/>
      <c r="U139" s="108"/>
      <c r="V139" s="108"/>
      <c r="AB139" s="170"/>
      <c r="AC139" s="118"/>
      <c r="AD139" s="170"/>
    </row>
    <row r="140" spans="1:30" s="137" customFormat="1" x14ac:dyDescent="0.2">
      <c r="A140" s="1045"/>
      <c r="O140" s="170"/>
      <c r="P140" s="170"/>
      <c r="Q140" s="170"/>
      <c r="R140" s="170"/>
      <c r="S140" s="170"/>
      <c r="T140" s="108"/>
      <c r="U140" s="108"/>
      <c r="V140" s="108"/>
      <c r="AB140" s="170"/>
      <c r="AC140" s="118"/>
      <c r="AD140" s="170"/>
    </row>
    <row r="141" spans="1:30" s="137" customFormat="1" x14ac:dyDescent="0.2">
      <c r="A141" s="1045"/>
      <c r="O141" s="170"/>
      <c r="P141" s="170"/>
      <c r="Q141" s="170"/>
      <c r="R141" s="170"/>
      <c r="S141" s="170"/>
      <c r="T141" s="108"/>
      <c r="U141" s="108"/>
      <c r="V141" s="108"/>
      <c r="AB141" s="170"/>
      <c r="AC141" s="118"/>
      <c r="AD141" s="170"/>
    </row>
    <row r="142" spans="1:30" s="37" customFormat="1" x14ac:dyDescent="0.2">
      <c r="A142" s="1045"/>
      <c r="O142" s="170"/>
      <c r="P142" s="170"/>
      <c r="Q142" s="170"/>
      <c r="R142" s="170"/>
      <c r="S142" s="170"/>
      <c r="T142" s="108"/>
      <c r="U142" s="108"/>
      <c r="V142" s="108"/>
      <c r="AC142" s="118"/>
      <c r="AD142" s="170"/>
    </row>
    <row r="143" spans="1:30" s="37" customFormat="1" x14ac:dyDescent="0.2">
      <c r="A143" s="1045"/>
      <c r="O143" s="170"/>
      <c r="P143" s="170"/>
      <c r="Q143" s="170"/>
      <c r="R143" s="170"/>
      <c r="S143" s="170"/>
      <c r="T143" s="108"/>
      <c r="U143" s="108"/>
      <c r="V143" s="108"/>
      <c r="AC143" s="118"/>
      <c r="AD143" s="170"/>
    </row>
    <row r="144" spans="1:30" s="37" customFormat="1" x14ac:dyDescent="0.2">
      <c r="A144" s="1045"/>
      <c r="O144" s="170"/>
      <c r="P144" s="170"/>
      <c r="Q144" s="170"/>
      <c r="R144" s="170"/>
      <c r="S144" s="170"/>
      <c r="T144" s="108"/>
      <c r="U144" s="108"/>
      <c r="V144" s="108"/>
      <c r="AC144" s="118"/>
      <c r="AD144" s="170"/>
    </row>
    <row r="145" spans="1:30" s="37" customFormat="1" x14ac:dyDescent="0.2">
      <c r="A145" s="1045"/>
      <c r="O145" s="170"/>
      <c r="P145" s="170"/>
      <c r="Q145" s="170"/>
      <c r="R145" s="170"/>
      <c r="S145" s="170"/>
      <c r="T145" s="108"/>
      <c r="U145" s="108"/>
      <c r="V145" s="108"/>
      <c r="AC145" s="118"/>
      <c r="AD145" s="170"/>
    </row>
    <row r="146" spans="1:30" s="37" customFormat="1" x14ac:dyDescent="0.2">
      <c r="A146" s="1045"/>
      <c r="O146" s="170"/>
      <c r="P146" s="170"/>
      <c r="Q146" s="170"/>
      <c r="R146" s="170"/>
      <c r="S146" s="170"/>
      <c r="T146" s="108"/>
      <c r="U146" s="108"/>
      <c r="V146" s="108"/>
      <c r="AC146" s="118"/>
      <c r="AD146" s="170"/>
    </row>
    <row r="147" spans="1:30" s="37" customFormat="1" x14ac:dyDescent="0.2">
      <c r="A147" s="1045"/>
      <c r="O147" s="170"/>
      <c r="P147" s="170"/>
      <c r="Q147" s="170"/>
      <c r="R147" s="170"/>
      <c r="S147" s="170"/>
      <c r="T147" s="108"/>
      <c r="U147" s="108"/>
      <c r="V147" s="108"/>
      <c r="AC147" s="118"/>
      <c r="AD147" s="170"/>
    </row>
    <row r="148" spans="1:30" s="37" customFormat="1" x14ac:dyDescent="0.2">
      <c r="A148" s="1045"/>
      <c r="O148" s="170"/>
      <c r="P148" s="170"/>
      <c r="Q148" s="170"/>
      <c r="R148" s="170"/>
      <c r="S148" s="170"/>
      <c r="T148" s="108"/>
      <c r="U148" s="108"/>
      <c r="V148" s="108"/>
      <c r="AC148" s="118"/>
      <c r="AD148" s="170"/>
    </row>
    <row r="149" spans="1:30" s="37" customFormat="1" x14ac:dyDescent="0.2">
      <c r="A149" s="1045"/>
      <c r="O149" s="170"/>
      <c r="P149" s="170"/>
      <c r="Q149" s="170"/>
      <c r="R149" s="170"/>
      <c r="S149" s="170"/>
      <c r="T149" s="108"/>
      <c r="U149" s="108"/>
      <c r="V149" s="108"/>
      <c r="AC149" s="118"/>
      <c r="AD149" s="170"/>
    </row>
    <row r="150" spans="1:30" s="37" customFormat="1" x14ac:dyDescent="0.2">
      <c r="A150" s="1045"/>
      <c r="O150" s="170"/>
      <c r="P150" s="170"/>
      <c r="Q150" s="170"/>
      <c r="R150" s="170"/>
      <c r="S150" s="170"/>
      <c r="T150" s="108"/>
      <c r="U150" s="108"/>
      <c r="V150" s="108"/>
      <c r="AC150" s="118"/>
      <c r="AD150" s="170"/>
    </row>
    <row r="151" spans="1:30" s="37" customFormat="1" x14ac:dyDescent="0.2">
      <c r="A151" s="1045"/>
      <c r="O151" s="170"/>
      <c r="P151" s="170"/>
      <c r="Q151" s="170"/>
      <c r="R151" s="170"/>
      <c r="S151" s="170"/>
      <c r="T151" s="108"/>
      <c r="U151" s="108"/>
      <c r="V151" s="108"/>
      <c r="AC151" s="118"/>
      <c r="AD151" s="170"/>
    </row>
    <row r="152" spans="1:30" s="37" customFormat="1" x14ac:dyDescent="0.2">
      <c r="A152" s="1045"/>
      <c r="O152" s="170"/>
      <c r="P152" s="170"/>
      <c r="Q152" s="170"/>
      <c r="R152" s="170"/>
      <c r="S152" s="170"/>
      <c r="T152" s="108"/>
      <c r="U152" s="108"/>
      <c r="V152" s="108"/>
      <c r="AC152" s="118"/>
      <c r="AD152" s="170"/>
    </row>
    <row r="153" spans="1:30" s="37" customFormat="1" x14ac:dyDescent="0.2">
      <c r="A153" s="1045"/>
      <c r="O153" s="170"/>
      <c r="P153" s="170"/>
      <c r="Q153" s="170"/>
      <c r="R153" s="170"/>
      <c r="S153" s="170"/>
      <c r="T153" s="108"/>
      <c r="U153" s="108"/>
      <c r="V153" s="108"/>
      <c r="AC153" s="118"/>
      <c r="AD153" s="170"/>
    </row>
    <row r="154" spans="1:30" s="37" customFormat="1" x14ac:dyDescent="0.2">
      <c r="A154" s="1045"/>
      <c r="O154" s="170"/>
      <c r="P154" s="170"/>
      <c r="Q154" s="170"/>
      <c r="R154" s="170"/>
      <c r="S154" s="170"/>
      <c r="T154" s="108"/>
      <c r="U154" s="108"/>
      <c r="V154" s="108"/>
      <c r="AC154" s="118"/>
      <c r="AD154" s="170"/>
    </row>
    <row r="155" spans="1:30" s="37" customFormat="1" x14ac:dyDescent="0.2">
      <c r="A155" s="1045"/>
      <c r="O155" s="170"/>
      <c r="P155" s="170"/>
      <c r="Q155" s="170"/>
      <c r="R155" s="170"/>
      <c r="S155" s="170"/>
      <c r="T155" s="108"/>
      <c r="U155" s="108"/>
      <c r="V155" s="108"/>
      <c r="AC155" s="118"/>
      <c r="AD155" s="170"/>
    </row>
    <row r="156" spans="1:30" s="37" customFormat="1" x14ac:dyDescent="0.2">
      <c r="A156" s="1045"/>
      <c r="O156" s="170"/>
      <c r="P156" s="170"/>
      <c r="Q156" s="170"/>
      <c r="R156" s="170"/>
      <c r="S156" s="170"/>
      <c r="T156" s="108"/>
      <c r="U156" s="108"/>
      <c r="V156" s="108"/>
      <c r="AC156" s="118"/>
      <c r="AD156" s="170"/>
    </row>
    <row r="157" spans="1:30" s="37" customFormat="1" x14ac:dyDescent="0.2">
      <c r="A157" s="1045"/>
      <c r="O157" s="170"/>
      <c r="P157" s="170"/>
      <c r="Q157" s="170"/>
      <c r="R157" s="170"/>
      <c r="S157" s="170"/>
      <c r="T157" s="108"/>
      <c r="U157" s="108"/>
      <c r="V157" s="108"/>
      <c r="AC157" s="118"/>
      <c r="AD157" s="170"/>
    </row>
    <row r="158" spans="1:30" s="37" customFormat="1" x14ac:dyDescent="0.2">
      <c r="A158" s="1045"/>
      <c r="O158" s="170"/>
      <c r="P158" s="170"/>
      <c r="Q158" s="170"/>
      <c r="R158" s="170"/>
      <c r="S158" s="170"/>
      <c r="T158" s="108"/>
      <c r="U158" s="108"/>
      <c r="V158" s="108"/>
      <c r="AC158" s="118"/>
      <c r="AD158" s="170"/>
    </row>
    <row r="159" spans="1:30" s="37" customFormat="1" x14ac:dyDescent="0.2">
      <c r="A159" s="1045"/>
      <c r="O159" s="170"/>
      <c r="P159" s="170"/>
      <c r="Q159" s="170"/>
      <c r="R159" s="170"/>
      <c r="S159" s="170"/>
      <c r="T159" s="108"/>
      <c r="U159" s="108"/>
      <c r="V159" s="108"/>
      <c r="AC159" s="118"/>
      <c r="AD159" s="170"/>
    </row>
    <row r="160" spans="1:30" s="37" customFormat="1" x14ac:dyDescent="0.2">
      <c r="A160" s="1045"/>
      <c r="O160" s="170"/>
      <c r="P160" s="170"/>
      <c r="Q160" s="170"/>
      <c r="R160" s="170"/>
      <c r="S160" s="170"/>
      <c r="T160" s="108"/>
      <c r="U160" s="108"/>
      <c r="V160" s="108"/>
      <c r="AC160" s="118"/>
      <c r="AD160" s="170"/>
    </row>
    <row r="161" spans="1:30" s="37" customFormat="1" x14ac:dyDescent="0.2">
      <c r="A161" s="1045"/>
      <c r="O161" s="170"/>
      <c r="P161" s="170"/>
      <c r="Q161" s="170"/>
      <c r="R161" s="170"/>
      <c r="S161" s="170"/>
      <c r="T161" s="108"/>
      <c r="U161" s="108"/>
      <c r="V161" s="108"/>
      <c r="AC161" s="118"/>
      <c r="AD161" s="170"/>
    </row>
    <row r="162" spans="1:30" s="37" customFormat="1" x14ac:dyDescent="0.2">
      <c r="A162" s="1045"/>
      <c r="O162" s="170"/>
      <c r="P162" s="170"/>
      <c r="Q162" s="170"/>
      <c r="R162" s="170"/>
      <c r="S162" s="170"/>
      <c r="T162" s="108"/>
      <c r="U162" s="108"/>
      <c r="V162" s="108"/>
      <c r="AC162" s="118"/>
      <c r="AD162" s="170"/>
    </row>
    <row r="163" spans="1:30" s="37" customFormat="1" x14ac:dyDescent="0.2">
      <c r="A163" s="1045"/>
      <c r="O163" s="170"/>
      <c r="P163" s="170"/>
      <c r="Q163" s="170"/>
      <c r="R163" s="170"/>
      <c r="S163" s="170"/>
      <c r="T163" s="108"/>
      <c r="U163" s="108"/>
      <c r="V163" s="108"/>
      <c r="AC163" s="118"/>
      <c r="AD163" s="170"/>
    </row>
    <row r="164" spans="1:30" s="37" customFormat="1" x14ac:dyDescent="0.2">
      <c r="A164" s="1045"/>
      <c r="O164" s="170"/>
      <c r="P164" s="170"/>
      <c r="Q164" s="170"/>
      <c r="R164" s="170"/>
      <c r="S164" s="170"/>
      <c r="T164" s="108"/>
      <c r="U164" s="108"/>
      <c r="V164" s="108"/>
      <c r="AC164" s="118"/>
      <c r="AD164" s="170"/>
    </row>
    <row r="165" spans="1:30" s="37" customFormat="1" x14ac:dyDescent="0.2">
      <c r="A165" s="1045"/>
      <c r="O165" s="170"/>
      <c r="P165" s="170"/>
      <c r="Q165" s="170"/>
      <c r="R165" s="170"/>
      <c r="S165" s="170"/>
      <c r="T165" s="108"/>
      <c r="U165" s="108"/>
      <c r="V165" s="108"/>
      <c r="AC165" s="118"/>
      <c r="AD165" s="170"/>
    </row>
    <row r="166" spans="1:30" s="37" customFormat="1" x14ac:dyDescent="0.2">
      <c r="A166" s="1045"/>
      <c r="O166" s="170"/>
      <c r="P166" s="170"/>
      <c r="Q166" s="170"/>
      <c r="R166" s="170"/>
      <c r="S166" s="170"/>
      <c r="T166" s="108"/>
      <c r="U166" s="108"/>
      <c r="V166" s="108"/>
      <c r="AC166" s="118"/>
      <c r="AD166" s="170"/>
    </row>
    <row r="167" spans="1:30" s="37" customFormat="1" x14ac:dyDescent="0.2">
      <c r="A167" s="1045"/>
      <c r="O167" s="170"/>
      <c r="P167" s="170"/>
      <c r="Q167" s="170"/>
      <c r="R167" s="170"/>
      <c r="S167" s="170"/>
      <c r="T167" s="108"/>
      <c r="U167" s="108"/>
      <c r="V167" s="108"/>
      <c r="AC167" s="118"/>
      <c r="AD167" s="170"/>
    </row>
    <row r="168" spans="1:30" s="37" customFormat="1" x14ac:dyDescent="0.2">
      <c r="A168" s="1045"/>
      <c r="O168" s="170"/>
      <c r="P168" s="170"/>
      <c r="Q168" s="170"/>
      <c r="R168" s="170"/>
      <c r="S168" s="170"/>
      <c r="T168" s="108"/>
      <c r="U168" s="108"/>
      <c r="V168" s="108"/>
      <c r="AB168" s="108"/>
      <c r="AC168" s="118"/>
      <c r="AD168" s="170"/>
    </row>
    <row r="169" spans="1:30" s="37" customFormat="1" x14ac:dyDescent="0.2">
      <c r="A169" s="1045"/>
      <c r="T169" s="108"/>
      <c r="U169" s="108"/>
      <c r="V169" s="108"/>
      <c r="AB169" s="108"/>
      <c r="AC169" s="118"/>
      <c r="AD169" s="170"/>
    </row>
    <row r="170" spans="1:30" s="37" customFormat="1" x14ac:dyDescent="0.2">
      <c r="A170" s="1045"/>
      <c r="T170" s="108"/>
      <c r="U170" s="108"/>
      <c r="V170" s="108"/>
      <c r="AB170" s="108"/>
      <c r="AC170" s="118"/>
    </row>
    <row r="171" spans="1:30" s="37" customFormat="1" x14ac:dyDescent="0.2">
      <c r="A171" s="1045"/>
      <c r="T171" s="108"/>
      <c r="U171" s="108"/>
      <c r="V171" s="108"/>
      <c r="X171" s="137"/>
      <c r="Y171" s="137"/>
      <c r="Z171" s="137"/>
      <c r="AB171" s="108"/>
    </row>
    <row r="172" spans="1:30" s="37" customFormat="1" ht="13.5" customHeight="1" x14ac:dyDescent="0.2">
      <c r="A172" s="1045"/>
      <c r="T172" s="108"/>
      <c r="U172" s="108"/>
      <c r="V172" s="108"/>
      <c r="W172" s="137"/>
      <c r="X172" s="137"/>
      <c r="Y172" s="137"/>
      <c r="Z172" s="137"/>
      <c r="AB172" s="108"/>
      <c r="AC172" s="118"/>
    </row>
    <row r="173" spans="1:30" s="37" customFormat="1" x14ac:dyDescent="0.2">
      <c r="A173" s="1045"/>
      <c r="T173" s="108"/>
      <c r="U173" s="108"/>
      <c r="V173" s="108"/>
      <c r="W173" s="137"/>
      <c r="X173" s="137"/>
      <c r="Y173" s="137"/>
      <c r="Z173" s="137"/>
      <c r="AB173" s="108"/>
      <c r="AC173" s="118"/>
    </row>
    <row r="174" spans="1:30" s="37" customFormat="1" x14ac:dyDescent="0.2">
      <c r="A174" s="1045"/>
      <c r="T174" s="108"/>
      <c r="U174" s="108"/>
      <c r="V174" s="108"/>
      <c r="W174" s="137"/>
      <c r="X174" s="137"/>
      <c r="Y174" s="137"/>
      <c r="Z174" s="137"/>
      <c r="AA174" s="118"/>
      <c r="AB174" s="108"/>
      <c r="AC174" s="118"/>
    </row>
    <row r="175" spans="1:30" s="37" customFormat="1" x14ac:dyDescent="0.2">
      <c r="A175" s="1045"/>
      <c r="T175" s="108"/>
      <c r="U175" s="108"/>
      <c r="V175" s="108"/>
      <c r="W175" s="137"/>
      <c r="X175" s="137"/>
      <c r="Y175" s="137"/>
      <c r="Z175" s="137"/>
      <c r="AA175" s="118"/>
      <c r="AB175" s="108"/>
      <c r="AC175" s="118"/>
    </row>
    <row r="176" spans="1:30" s="37" customFormat="1" x14ac:dyDescent="0.2">
      <c r="A176" s="1045"/>
      <c r="T176" s="108"/>
      <c r="U176" s="108"/>
      <c r="V176" s="108"/>
      <c r="W176" s="137"/>
      <c r="X176" s="137"/>
      <c r="Y176" s="137"/>
      <c r="Z176" s="137"/>
      <c r="AA176" s="118"/>
      <c r="AB176" s="108"/>
      <c r="AC176" s="118"/>
    </row>
    <row r="177" spans="1:30" s="37" customFormat="1" x14ac:dyDescent="0.2">
      <c r="A177" s="1045"/>
      <c r="T177" s="108"/>
      <c r="U177" s="108"/>
      <c r="V177" s="108"/>
      <c r="W177" s="137"/>
      <c r="X177" s="137"/>
      <c r="Y177" s="137"/>
      <c r="Z177" s="137"/>
      <c r="AA177" s="118"/>
      <c r="AB177" s="108"/>
      <c r="AC177" s="118"/>
    </row>
    <row r="178" spans="1:30" s="37" customFormat="1" x14ac:dyDescent="0.2">
      <c r="A178" s="1045"/>
      <c r="T178" s="108"/>
      <c r="U178" s="108"/>
      <c r="V178" s="108"/>
      <c r="W178" s="137"/>
      <c r="X178" s="137"/>
      <c r="Y178" s="137"/>
      <c r="Z178" s="137"/>
      <c r="AA178" s="118"/>
      <c r="AB178" s="108"/>
      <c r="AC178" s="118"/>
    </row>
    <row r="179" spans="1:30" s="37" customFormat="1" x14ac:dyDescent="0.2">
      <c r="A179" s="1045"/>
      <c r="T179" s="108"/>
      <c r="U179" s="108"/>
      <c r="V179" s="108"/>
      <c r="W179" s="137"/>
      <c r="X179" s="137"/>
      <c r="Y179" s="137"/>
      <c r="Z179" s="137"/>
      <c r="AA179" s="118"/>
      <c r="AB179" s="108"/>
      <c r="AC179" s="118"/>
    </row>
    <row r="180" spans="1:30" s="37" customFormat="1" x14ac:dyDescent="0.2">
      <c r="A180" s="1045"/>
      <c r="T180" s="108"/>
      <c r="U180" s="108"/>
      <c r="V180" s="108"/>
      <c r="W180" s="137"/>
      <c r="X180" s="137"/>
      <c r="Y180" s="137"/>
      <c r="Z180" s="137"/>
      <c r="AA180" s="118"/>
      <c r="AB180" s="108"/>
      <c r="AC180" s="118"/>
    </row>
    <row r="181" spans="1:30" s="37" customFormat="1" x14ac:dyDescent="0.2">
      <c r="A181" s="1045"/>
      <c r="T181" s="108"/>
      <c r="U181" s="108"/>
      <c r="V181" s="108"/>
      <c r="W181" s="137"/>
      <c r="X181" s="137"/>
      <c r="Y181" s="137"/>
      <c r="Z181" s="137"/>
      <c r="AA181" s="118"/>
      <c r="AB181" s="108"/>
      <c r="AC181" s="118"/>
    </row>
    <row r="182" spans="1:30" s="37" customFormat="1" x14ac:dyDescent="0.2">
      <c r="A182" s="1045"/>
      <c r="T182" s="108"/>
      <c r="U182" s="108"/>
      <c r="V182" s="108"/>
      <c r="W182" s="137"/>
      <c r="X182" s="137"/>
      <c r="Y182" s="137"/>
      <c r="Z182" s="137"/>
      <c r="AA182" s="118"/>
      <c r="AB182" s="108"/>
      <c r="AC182" s="118"/>
    </row>
    <row r="183" spans="1:30" s="37" customFormat="1" x14ac:dyDescent="0.2">
      <c r="A183" s="1045"/>
      <c r="T183" s="108"/>
      <c r="U183" s="108"/>
      <c r="V183" s="108"/>
      <c r="W183" s="137"/>
      <c r="X183" s="137"/>
      <c r="Y183" s="137"/>
      <c r="Z183" s="137"/>
      <c r="AA183" s="118"/>
      <c r="AB183" s="108"/>
      <c r="AC183" s="118"/>
    </row>
    <row r="184" spans="1:30" s="37" customFormat="1" x14ac:dyDescent="0.2">
      <c r="A184" s="1045"/>
      <c r="T184" s="108"/>
      <c r="U184" s="108"/>
      <c r="V184" s="108"/>
      <c r="W184" s="137"/>
      <c r="X184" s="137"/>
      <c r="Y184" s="137"/>
      <c r="Z184" s="137"/>
      <c r="AA184" s="118"/>
      <c r="AB184" s="108"/>
      <c r="AC184" s="118"/>
    </row>
    <row r="185" spans="1:30" s="37" customFormat="1" x14ac:dyDescent="0.2">
      <c r="A185" s="1045"/>
      <c r="T185" s="108"/>
      <c r="U185" s="108"/>
      <c r="V185" s="108"/>
      <c r="W185" s="137"/>
      <c r="X185" s="137"/>
      <c r="Y185" s="137"/>
      <c r="Z185" s="137"/>
      <c r="AA185" s="118"/>
      <c r="AB185" s="108"/>
      <c r="AC185" s="118"/>
    </row>
    <row r="186" spans="1:30" x14ac:dyDescent="0.2">
      <c r="N186" s="37"/>
      <c r="AA186" s="118"/>
      <c r="AC186" s="118"/>
      <c r="AD186" s="37"/>
    </row>
    <row r="298" spans="1:30" x14ac:dyDescent="0.2">
      <c r="A298" s="980"/>
    </row>
    <row r="299" spans="1:30" s="36" customFormat="1" ht="15.75" x14ac:dyDescent="0.25">
      <c r="A299" s="980"/>
      <c r="B299" s="114" t="str">
        <f>"      "&amp;ListAVS!$B$160</f>
        <v xml:space="preserve">      Dodatki</v>
      </c>
      <c r="C299" s="225"/>
      <c r="D299" s="115"/>
      <c r="E299" s="115"/>
      <c r="F299" s="115"/>
      <c r="G299" s="115"/>
      <c r="H299" s="115"/>
      <c r="I299" s="115"/>
      <c r="J299" s="115"/>
      <c r="K299" s="115"/>
      <c r="L299" s="115"/>
      <c r="N299" s="108"/>
      <c r="AA299" s="108"/>
      <c r="AB299" s="108"/>
      <c r="AC299" s="108"/>
      <c r="AD299" s="108"/>
    </row>
    <row r="300" spans="1:30" x14ac:dyDescent="0.2">
      <c r="A300" s="980"/>
      <c r="N300" s="36"/>
      <c r="AA300" s="36"/>
      <c r="AC300" s="36"/>
      <c r="AD300" s="36"/>
    </row>
    <row r="301" spans="1:30" ht="12.75" x14ac:dyDescent="0.2">
      <c r="A301" s="980"/>
      <c r="B301" s="670" t="str">
        <f>ListAVS!$B$359</f>
        <v>Pozycje SERVO-DRIVE a - d zapisują się do zamówienia z poszczególnych korpusów.</v>
      </c>
      <c r="C301" s="670"/>
      <c r="D301" s="670"/>
      <c r="E301" s="670"/>
      <c r="F301" s="670"/>
      <c r="G301" s="670"/>
      <c r="H301" s="670"/>
      <c r="I301" s="670"/>
      <c r="J301" s="670"/>
      <c r="K301" s="670"/>
      <c r="L301" s="670"/>
    </row>
    <row r="302" spans="1:30" ht="12.75" x14ac:dyDescent="0.2">
      <c r="A302" s="980"/>
      <c r="B302" s="670" t="str">
        <f>ListAVS!$B$360</f>
        <v>Tutaj służy jedynie do dodatkowego zamówienia poszczególnych pozycji</v>
      </c>
      <c r="C302" s="670"/>
      <c r="D302" s="670"/>
      <c r="E302" s="670"/>
      <c r="F302" s="670"/>
      <c r="G302" s="670"/>
      <c r="H302" s="670"/>
      <c r="I302" s="670"/>
      <c r="J302" s="670"/>
      <c r="K302" s="670"/>
      <c r="L302" s="670"/>
    </row>
    <row r="303" spans="1:30" ht="12.75" x14ac:dyDescent="0.2">
      <c r="A303" s="980"/>
      <c r="B303" s="670"/>
      <c r="C303" s="670"/>
      <c r="D303" s="670"/>
      <c r="E303" s="670"/>
      <c r="F303" s="670"/>
      <c r="G303" s="670"/>
      <c r="H303" s="670"/>
      <c r="I303" s="670"/>
      <c r="J303" s="670"/>
      <c r="K303" s="670"/>
      <c r="L303" s="670"/>
    </row>
    <row r="304" spans="1:30" ht="12.75" x14ac:dyDescent="0.2">
      <c r="A304" s="980"/>
      <c r="B304" s="670"/>
      <c r="C304" s="670"/>
      <c r="D304" s="670"/>
      <c r="E304" s="670"/>
      <c r="F304" s="670"/>
      <c r="G304" s="670"/>
      <c r="H304" s="670"/>
      <c r="I304" s="670"/>
      <c r="J304" s="670"/>
      <c r="K304" s="670"/>
      <c r="L304" s="670"/>
    </row>
    <row r="305" spans="1:12" ht="12.75" x14ac:dyDescent="0.2">
      <c r="A305" s="980"/>
      <c r="B305" s="670"/>
      <c r="C305" s="670"/>
      <c r="D305" s="670"/>
      <c r="E305" s="670"/>
      <c r="F305" s="670"/>
      <c r="G305" s="670"/>
      <c r="H305" s="670"/>
      <c r="I305" s="670"/>
      <c r="J305" s="670"/>
      <c r="K305" s="670"/>
      <c r="L305" s="670"/>
    </row>
    <row r="306" spans="1:12" ht="12.75" x14ac:dyDescent="0.2">
      <c r="A306" s="980"/>
      <c r="B306" s="670"/>
      <c r="C306" s="670"/>
      <c r="D306" s="670"/>
      <c r="E306" s="670"/>
      <c r="F306" s="670"/>
      <c r="G306" s="670"/>
      <c r="H306" s="670"/>
      <c r="I306" s="670"/>
      <c r="J306" s="670"/>
      <c r="K306" s="670"/>
      <c r="L306" s="670"/>
    </row>
    <row r="307" spans="1:12" ht="12.75" x14ac:dyDescent="0.2">
      <c r="A307" s="980"/>
      <c r="B307" s="670"/>
      <c r="C307" s="670"/>
      <c r="D307" s="670"/>
      <c r="E307" s="670"/>
      <c r="F307" s="670"/>
      <c r="G307" s="670"/>
      <c r="H307" s="670"/>
      <c r="I307" s="670"/>
      <c r="J307" s="670"/>
      <c r="K307" s="670"/>
      <c r="L307" s="670"/>
    </row>
    <row r="308" spans="1:12" ht="12.75" x14ac:dyDescent="0.2">
      <c r="A308" s="980"/>
      <c r="B308" s="670"/>
      <c r="C308" s="670"/>
      <c r="D308" s="670"/>
      <c r="E308" s="670"/>
      <c r="F308" s="670"/>
      <c r="G308" s="670"/>
      <c r="H308" s="670"/>
      <c r="I308" s="670"/>
      <c r="J308" s="670"/>
      <c r="K308" s="558" t="str">
        <f>ListAVS!$B$168</f>
        <v>Z powrotem</v>
      </c>
      <c r="L308" s="670"/>
    </row>
    <row r="309" spans="1:12" ht="12.75" x14ac:dyDescent="0.2">
      <c r="A309" s="980"/>
      <c r="B309" s="670"/>
      <c r="C309" s="670"/>
      <c r="D309" s="670"/>
      <c r="E309" s="670"/>
      <c r="F309" s="670"/>
      <c r="G309" s="670"/>
      <c r="H309" s="670"/>
      <c r="I309" s="670"/>
      <c r="J309" s="670"/>
      <c r="K309" s="670"/>
      <c r="L309" s="670"/>
    </row>
    <row r="310" spans="1:12" x14ac:dyDescent="0.2">
      <c r="A310" s="980"/>
    </row>
    <row r="311" spans="1:12" x14ac:dyDescent="0.2">
      <c r="A311" s="980"/>
    </row>
    <row r="312" spans="1:12" x14ac:dyDescent="0.2">
      <c r="A312" s="980"/>
    </row>
    <row r="313" spans="1:12" x14ac:dyDescent="0.2">
      <c r="A313" s="980"/>
    </row>
    <row r="314" spans="1:12" x14ac:dyDescent="0.2">
      <c r="A314" s="980"/>
    </row>
    <row r="315" spans="1:12" x14ac:dyDescent="0.2">
      <c r="A315" s="980"/>
    </row>
    <row r="316" spans="1:12" x14ac:dyDescent="0.2">
      <c r="A316" s="980"/>
    </row>
    <row r="317" spans="1:12" x14ac:dyDescent="0.2">
      <c r="A317" s="980"/>
    </row>
    <row r="318" spans="1:12" x14ac:dyDescent="0.2">
      <c r="A318" s="980"/>
    </row>
    <row r="319" spans="1:12" x14ac:dyDescent="0.2">
      <c r="A319" s="980"/>
    </row>
    <row r="320" spans="1:12" x14ac:dyDescent="0.2">
      <c r="A320" s="980"/>
    </row>
    <row r="321" spans="1:1" x14ac:dyDescent="0.2">
      <c r="A321" s="980"/>
    </row>
    <row r="322" spans="1:1" x14ac:dyDescent="0.2">
      <c r="A322" s="980"/>
    </row>
    <row r="323" spans="1:1" x14ac:dyDescent="0.2">
      <c r="A323" s="980"/>
    </row>
    <row r="324" spans="1:1" x14ac:dyDescent="0.2">
      <c r="A324" s="980"/>
    </row>
    <row r="325" spans="1:1" x14ac:dyDescent="0.2">
      <c r="A325" s="980"/>
    </row>
    <row r="326" spans="1:1" x14ac:dyDescent="0.2">
      <c r="A326" s="980"/>
    </row>
    <row r="327" spans="1:1" x14ac:dyDescent="0.2">
      <c r="A327" s="980"/>
    </row>
    <row r="328" spans="1:1" x14ac:dyDescent="0.2">
      <c r="A328" s="980"/>
    </row>
    <row r="329" spans="1:1" x14ac:dyDescent="0.2">
      <c r="A329" s="980"/>
    </row>
    <row r="330" spans="1:1" x14ac:dyDescent="0.2">
      <c r="A330" s="980"/>
    </row>
    <row r="331" spans="1:1" x14ac:dyDescent="0.2">
      <c r="A331" s="980"/>
    </row>
    <row r="332" spans="1:1" x14ac:dyDescent="0.2">
      <c r="A332" s="980"/>
    </row>
    <row r="333" spans="1:1" x14ac:dyDescent="0.2">
      <c r="A333" s="980"/>
    </row>
    <row r="334" spans="1:1" x14ac:dyDescent="0.2">
      <c r="A334" s="980"/>
    </row>
    <row r="335" spans="1:1" x14ac:dyDescent="0.2">
      <c r="A335" s="980"/>
    </row>
    <row r="336" spans="1:1" x14ac:dyDescent="0.2">
      <c r="A336" s="980"/>
    </row>
    <row r="337" spans="1:1" x14ac:dyDescent="0.2">
      <c r="A337" s="980"/>
    </row>
  </sheetData>
  <sheetProtection algorithmName="SHA-512" hashValue="21hXutrnVLIK8PBnC/txtAfk2awnA8BYBLSUHcodFUKi/E46iyGTDyxXFh1t4bBNBGEB3koNOAEUmhr8s9HllQ==" saltValue="WBi+BqjzWLsBQZRC/cC9Nw==" spinCount="100000" sheet="1" objects="1" scenarios="1"/>
  <mergeCells count="30">
    <mergeCell ref="A34:A49"/>
    <mergeCell ref="B6:L6"/>
    <mergeCell ref="B12:F13"/>
    <mergeCell ref="G12:H13"/>
    <mergeCell ref="I12:I13"/>
    <mergeCell ref="B24:F24"/>
    <mergeCell ref="G24:H24"/>
    <mergeCell ref="J12:J13"/>
    <mergeCell ref="B36:F36"/>
    <mergeCell ref="K12:K13"/>
    <mergeCell ref="L12:L13"/>
    <mergeCell ref="B14:L14"/>
    <mergeCell ref="G36:H36"/>
    <mergeCell ref="B34:L34"/>
    <mergeCell ref="A28:A32"/>
    <mergeCell ref="A6:A26"/>
    <mergeCell ref="A129:A185"/>
    <mergeCell ref="A298:A337"/>
    <mergeCell ref="A51:A78"/>
    <mergeCell ref="B51:L51"/>
    <mergeCell ref="B53:F53"/>
    <mergeCell ref="G53:H53"/>
    <mergeCell ref="B64:F64"/>
    <mergeCell ref="G64:H64"/>
    <mergeCell ref="B28:L28"/>
    <mergeCell ref="B30:F30"/>
    <mergeCell ref="G30:H30"/>
    <mergeCell ref="B17:L17"/>
    <mergeCell ref="B19:L20"/>
    <mergeCell ref="B22:L22"/>
  </mergeCells>
  <hyperlinks>
    <hyperlink ref="Y70" location="Acs!A1" tooltip=" " display="Acs!A1" xr:uid="{41FC98BF-E082-45A0-885D-11BA9DE37F36}"/>
    <hyperlink ref="AB6" location="MenuAVS!A1" tooltip=" " display="MenuAVS!A1" xr:uid="{B5060355-424F-49ED-8D90-EBEB545FBC0D}"/>
    <hyperlink ref="AB9" location="SumAVS!A1" tooltip=" " display="SumAVS!A1" xr:uid="{B4452745-299A-4482-A406-74C5935961F3}"/>
    <hyperlink ref="AB10" location="OrdAVS!A1" tooltip=" " display="OrdAVS!A1" xr:uid="{E504262D-A455-4BA4-9A37-9B9765E1D318}"/>
    <hyperlink ref="AB7" location="AcsAVS!A300" tooltip=" " display="AcsAVS!A300" xr:uid="{704A2429-0715-4DE8-8CB1-7A7511FCA76A}"/>
    <hyperlink ref="K308" location="AcsAVS!A1" tooltip=" " display="AcsAVS!A1" xr:uid="{D4B07A09-25C7-4706-B098-BBECD5FC444E}"/>
  </hyperlinks>
  <pageMargins left="0.7" right="0.7" top="0.78740157499999996" bottom="0.78740157499999996" header="0.3" footer="0.3"/>
  <pageSetup paperSize="9" orientation="portrait" horizontalDpi="4294967293" verticalDpi="1200"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9E22A-799A-4B39-A4E4-CE6B756E6258}">
  <sheetPr codeName="Sheet63">
    <tabColor theme="9"/>
  </sheetPr>
  <dimension ref="A1:AL341"/>
  <sheetViews>
    <sheetView showGridLines="0" showRowColHeaders="0" showZeros="0" workbookViewId="0">
      <selection activeCell="AI6" sqref="AI6"/>
    </sheetView>
  </sheetViews>
  <sheetFormatPr defaultColWidth="8.7109375" defaultRowHeight="12" x14ac:dyDescent="0.2"/>
  <cols>
    <col min="1" max="1" width="1.28515625" style="36" customWidth="1"/>
    <col min="2" max="2" width="2.28515625" style="36" customWidth="1"/>
    <col min="3" max="4" width="6.7109375" style="36" customWidth="1"/>
    <col min="5" max="6" width="2.7109375" style="36" customWidth="1"/>
    <col min="7" max="7" width="2.5703125" style="36" customWidth="1"/>
    <col min="8" max="8" width="2.7109375" style="36" customWidth="1"/>
    <col min="9" max="10" width="6.42578125" style="36" customWidth="1"/>
    <col min="11" max="12" width="3.5703125" style="36" customWidth="1"/>
    <col min="13" max="14" width="1.28515625" style="36" customWidth="1"/>
    <col min="15" max="15" width="2.7109375" style="36" customWidth="1"/>
    <col min="16" max="17" width="6.42578125" style="36" customWidth="1"/>
    <col min="18" max="19" width="3.5703125" style="36" customWidth="1"/>
    <col min="20" max="21" width="1.28515625" style="36" customWidth="1"/>
    <col min="22" max="22" width="2.7109375" style="36" customWidth="1"/>
    <col min="23" max="24" width="6.42578125" style="36" customWidth="1"/>
    <col min="25" max="26" width="3.5703125" style="36" customWidth="1"/>
    <col min="27" max="28" width="1.28515625" style="36" customWidth="1"/>
    <col min="29" max="29" width="2.7109375" style="36" customWidth="1"/>
    <col min="30" max="31" width="6.42578125" style="36" customWidth="1"/>
    <col min="32" max="33" width="3.5703125" style="36" customWidth="1"/>
    <col min="34" max="34" width="8.7109375" style="36"/>
    <col min="35" max="35" width="20.7109375" style="36" customWidth="1"/>
    <col min="36" max="39" width="0" style="36" hidden="1" customWidth="1"/>
    <col min="40" max="16384" width="8.7109375" style="36"/>
  </cols>
  <sheetData>
    <row r="1" spans="1:36" ht="4.5" customHeight="1" x14ac:dyDescent="0.2">
      <c r="A1" s="670"/>
      <c r="B1" s="670"/>
      <c r="C1" s="670"/>
      <c r="D1" s="670"/>
      <c r="E1" s="670"/>
      <c r="F1" s="670"/>
      <c r="G1" s="670"/>
      <c r="H1" s="670"/>
      <c r="I1" s="670"/>
      <c r="J1" s="670"/>
      <c r="K1" s="670"/>
      <c r="L1" s="670"/>
      <c r="M1" s="670"/>
      <c r="N1" s="670"/>
      <c r="O1" s="670"/>
      <c r="P1" s="670"/>
      <c r="Q1" s="670"/>
      <c r="R1" s="670"/>
      <c r="S1" s="670"/>
      <c r="T1" s="670"/>
      <c r="U1" s="670"/>
      <c r="V1" s="670"/>
      <c r="W1" s="670"/>
      <c r="X1" s="670"/>
      <c r="Y1" s="670"/>
      <c r="Z1" s="670"/>
      <c r="AA1" s="670"/>
      <c r="AB1" s="670"/>
      <c r="AC1" s="670"/>
      <c r="AD1" s="670"/>
      <c r="AE1" s="670"/>
      <c r="AF1" s="670"/>
      <c r="AG1" s="670"/>
      <c r="AH1" s="670"/>
      <c r="AI1" s="670"/>
      <c r="AJ1" s="108"/>
    </row>
    <row r="2" spans="1:36" ht="4.5" customHeight="1" thickBot="1" x14ac:dyDescent="0.25">
      <c r="A2" s="670"/>
      <c r="B2" s="857"/>
      <c r="C2" s="857"/>
      <c r="D2" s="857"/>
      <c r="E2" s="857"/>
      <c r="F2" s="857"/>
      <c r="G2" s="857"/>
      <c r="H2" s="857"/>
      <c r="I2" s="857"/>
      <c r="J2" s="857"/>
      <c r="K2" s="857"/>
      <c r="L2" s="857"/>
      <c r="M2" s="857"/>
      <c r="N2" s="857"/>
      <c r="O2" s="857"/>
      <c r="P2" s="857"/>
      <c r="Q2" s="857"/>
      <c r="R2" s="857"/>
      <c r="S2" s="857"/>
      <c r="T2" s="857"/>
      <c r="U2" s="857"/>
      <c r="V2" s="857"/>
      <c r="W2" s="857"/>
      <c r="X2" s="857"/>
      <c r="Y2" s="857"/>
      <c r="Z2" s="857"/>
      <c r="AA2" s="857"/>
      <c r="AB2" s="857"/>
      <c r="AC2" s="857"/>
      <c r="AD2" s="857"/>
      <c r="AE2" s="857"/>
      <c r="AF2" s="857"/>
      <c r="AG2" s="857"/>
      <c r="AH2" s="670"/>
      <c r="AI2" s="670"/>
      <c r="AJ2" s="108"/>
    </row>
    <row r="3" spans="1:36" ht="19.5" customHeight="1" thickBot="1" x14ac:dyDescent="0.25">
      <c r="A3" s="670"/>
      <c r="B3" s="377" t="str">
        <f>" "&amp;ListAVS!$B$157</f>
        <v xml:space="preserve"> Rodzaje korpusów</v>
      </c>
      <c r="C3" s="378"/>
      <c r="D3" s="378"/>
      <c r="E3" s="378"/>
      <c r="F3" s="378"/>
      <c r="G3" s="378"/>
      <c r="H3" s="378"/>
      <c r="I3" s="378"/>
      <c r="J3" s="857"/>
      <c r="K3" s="857"/>
      <c r="L3" s="857"/>
      <c r="M3" s="857"/>
      <c r="N3" s="857"/>
      <c r="O3" s="857"/>
      <c r="P3" s="857"/>
      <c r="Q3" s="857"/>
      <c r="R3" s="857"/>
      <c r="S3" s="857"/>
      <c r="T3" s="857"/>
      <c r="U3" s="857"/>
      <c r="V3" s="857"/>
      <c r="W3" s="857"/>
      <c r="X3" s="857"/>
      <c r="Y3" s="857"/>
      <c r="Z3" s="857"/>
      <c r="AA3" s="857"/>
      <c r="AB3" s="857"/>
      <c r="AC3" s="857"/>
      <c r="AD3" s="857"/>
      <c r="AE3" s="857"/>
      <c r="AF3" s="857"/>
      <c r="AG3" s="857"/>
      <c r="AH3" s="670"/>
      <c r="AI3" s="379" t="str">
        <f>ListAVS!$B$153</f>
        <v>Przejdź do</v>
      </c>
      <c r="AJ3" s="108"/>
    </row>
    <row r="4" spans="1:36" ht="4.5" customHeight="1" x14ac:dyDescent="0.2">
      <c r="A4" s="670"/>
      <c r="B4" s="380"/>
      <c r="C4" s="380"/>
      <c r="D4" s="380"/>
      <c r="E4" s="380"/>
      <c r="F4" s="380"/>
      <c r="G4" s="380"/>
      <c r="H4" s="380"/>
      <c r="I4" s="380"/>
      <c r="J4" s="857"/>
      <c r="K4" s="857"/>
      <c r="L4" s="857"/>
      <c r="M4" s="857"/>
      <c r="N4" s="857"/>
      <c r="O4" s="857"/>
      <c r="P4" s="857"/>
      <c r="Q4" s="857"/>
      <c r="R4" s="857"/>
      <c r="S4" s="857"/>
      <c r="T4" s="857"/>
      <c r="U4" s="857"/>
      <c r="V4" s="857"/>
      <c r="W4" s="857"/>
      <c r="X4" s="857"/>
      <c r="Y4" s="857"/>
      <c r="Z4" s="857"/>
      <c r="AA4" s="857"/>
      <c r="AB4" s="857"/>
      <c r="AC4" s="857"/>
      <c r="AD4" s="857"/>
      <c r="AE4" s="857"/>
      <c r="AF4" s="857"/>
      <c r="AG4" s="857"/>
      <c r="AH4" s="670"/>
      <c r="AI4" s="671"/>
      <c r="AJ4" s="108"/>
    </row>
    <row r="5" spans="1:36" ht="5.25" customHeight="1" x14ac:dyDescent="0.2">
      <c r="A5" s="670"/>
      <c r="B5" s="670"/>
      <c r="C5" s="670"/>
      <c r="D5" s="670"/>
      <c r="E5" s="670"/>
      <c r="F5" s="670"/>
      <c r="G5" s="670"/>
      <c r="H5" s="670"/>
      <c r="I5" s="670"/>
      <c r="J5" s="670"/>
      <c r="K5" s="670"/>
      <c r="L5" s="670"/>
      <c r="M5" s="670"/>
      <c r="N5" s="670"/>
      <c r="O5" s="670"/>
      <c r="P5" s="670"/>
      <c r="Q5" s="670"/>
      <c r="R5" s="670"/>
      <c r="S5" s="670"/>
      <c r="T5" s="670"/>
      <c r="U5" s="670"/>
      <c r="V5" s="670"/>
      <c r="W5" s="670"/>
      <c r="X5" s="670"/>
      <c r="Y5" s="670"/>
      <c r="Z5" s="670"/>
      <c r="AA5" s="670"/>
      <c r="AB5" s="670"/>
      <c r="AC5" s="670"/>
      <c r="AD5" s="670"/>
      <c r="AE5" s="670"/>
      <c r="AF5" s="670"/>
      <c r="AG5" s="670"/>
      <c r="AH5" s="670"/>
      <c r="AI5" s="671"/>
      <c r="AJ5" s="108"/>
    </row>
    <row r="6" spans="1:36" ht="16.149999999999999" customHeight="1" thickBot="1" x14ac:dyDescent="0.25">
      <c r="A6" s="670"/>
      <c r="B6" s="1257" t="s">
        <v>667</v>
      </c>
      <c r="C6" s="1257"/>
      <c r="D6" s="1257"/>
      <c r="E6" s="1257"/>
      <c r="F6" s="1257"/>
      <c r="G6" s="381"/>
      <c r="H6" s="1258" t="str">
        <f>ListAVS!$B$17</f>
        <v>Front drewniany</v>
      </c>
      <c r="I6" s="1259"/>
      <c r="J6" s="1259"/>
      <c r="K6" s="1259"/>
      <c r="L6" s="1260"/>
      <c r="M6" s="381"/>
      <c r="N6" s="381"/>
      <c r="O6" s="1258" t="str">
        <f>ListAVS!$B$19</f>
        <v>Szerokie ramki aluminiowe</v>
      </c>
      <c r="P6" s="1259"/>
      <c r="Q6" s="1259"/>
      <c r="R6" s="1259"/>
      <c r="S6" s="1260"/>
      <c r="T6" s="381"/>
      <c r="U6" s="381"/>
      <c r="V6" s="1258" t="str">
        <f>ListAVS!$B$21</f>
        <v>Wąskie ramki aluminiowe</v>
      </c>
      <c r="W6" s="1259"/>
      <c r="X6" s="1259"/>
      <c r="Y6" s="1259"/>
      <c r="Z6" s="1260"/>
      <c r="AA6" s="381"/>
      <c r="AB6" s="381"/>
      <c r="AC6" s="382"/>
      <c r="AD6" s="382"/>
      <c r="AE6" s="382"/>
      <c r="AF6" s="382"/>
      <c r="AG6" s="382"/>
      <c r="AH6" s="670"/>
      <c r="AI6" s="383" t="str">
        <f>" "&amp;ListAVS!$B$154</f>
        <v xml:space="preserve"> Wprowadzenie do planowania</v>
      </c>
      <c r="AJ6" s="108"/>
    </row>
    <row r="7" spans="1:36" ht="16.149999999999999" customHeight="1" x14ac:dyDescent="0.2">
      <c r="A7" s="670"/>
      <c r="B7" s="1257"/>
      <c r="C7" s="1257"/>
      <c r="D7" s="1257"/>
      <c r="E7" s="1257"/>
      <c r="F7" s="1257"/>
      <c r="G7" s="381"/>
      <c r="H7" s="384" t="s">
        <v>29</v>
      </c>
      <c r="I7" s="384">
        <f>HFw!$H$10</f>
        <v>0</v>
      </c>
      <c r="J7" s="384">
        <f>HFw!$H$11</f>
        <v>0</v>
      </c>
      <c r="K7" s="385">
        <f>IF(L7&gt;0,IF(HFw!$S$9=2,"SD",0),0)</f>
        <v>0</v>
      </c>
      <c r="L7" s="385">
        <f>HFw!$M$17</f>
        <v>0</v>
      </c>
      <c r="M7" s="381"/>
      <c r="N7" s="381"/>
      <c r="O7" s="384" t="s">
        <v>29</v>
      </c>
      <c r="P7" s="384">
        <f>HFwa!$H$10</f>
        <v>0</v>
      </c>
      <c r="Q7" s="384">
        <f>HFwa!$H$11</f>
        <v>0</v>
      </c>
      <c r="R7" s="385">
        <f>IF(S7&gt;0,IF(HFwa!$S$9=2,"SD",0),0)</f>
        <v>0</v>
      </c>
      <c r="S7" s="385">
        <f>HFwa!$M$17</f>
        <v>0</v>
      </c>
      <c r="T7" s="381"/>
      <c r="U7" s="381"/>
      <c r="V7" s="384" t="s">
        <v>29</v>
      </c>
      <c r="W7" s="384">
        <f>HFna!$H$10</f>
        <v>0</v>
      </c>
      <c r="X7" s="384">
        <f>HFna!$H$11</f>
        <v>0</v>
      </c>
      <c r="Y7" s="385">
        <f>IF(Z7&gt;0,IF(HFna!$S$9=2,"SD",0),0)</f>
        <v>0</v>
      </c>
      <c r="Z7" s="385">
        <f>HFna!$M$17</f>
        <v>0</v>
      </c>
      <c r="AA7" s="381"/>
      <c r="AB7" s="381"/>
      <c r="AC7" s="386"/>
      <c r="AD7" s="386"/>
      <c r="AE7" s="386"/>
      <c r="AF7" s="387"/>
      <c r="AG7" s="387"/>
      <c r="AH7" s="670"/>
      <c r="AI7" s="575" t="str">
        <f>" "&amp;ListAVS!$B$155</f>
        <v xml:space="preserve"> Pomoc</v>
      </c>
      <c r="AJ7" s="299"/>
    </row>
    <row r="8" spans="1:36" ht="16.149999999999999" customHeight="1" thickBot="1" x14ac:dyDescent="0.25">
      <c r="A8" s="670"/>
      <c r="B8" s="1257"/>
      <c r="C8" s="1257"/>
      <c r="D8" s="1257"/>
      <c r="E8" s="1257"/>
      <c r="F8" s="1257"/>
      <c r="G8" s="381"/>
      <c r="H8" s="384" t="s">
        <v>31</v>
      </c>
      <c r="I8" s="384">
        <f>HFw!$H$21</f>
        <v>0</v>
      </c>
      <c r="J8" s="384">
        <f>HFw!$H$22</f>
        <v>0</v>
      </c>
      <c r="K8" s="385">
        <f>IF(L8&gt;0,IF(HFw!$S$20=2,"SD",0),0)</f>
        <v>0</v>
      </c>
      <c r="L8" s="385">
        <f>HFw!$M$28</f>
        <v>0</v>
      </c>
      <c r="M8" s="381"/>
      <c r="N8" s="381"/>
      <c r="O8" s="384" t="s">
        <v>31</v>
      </c>
      <c r="P8" s="384">
        <f>HFwa!$H$21</f>
        <v>0</v>
      </c>
      <c r="Q8" s="384">
        <f>HFwa!$H$22</f>
        <v>0</v>
      </c>
      <c r="R8" s="385">
        <f>IF(S8&gt;0,IF(HFwa!$S$20=2,"SD",0),0)</f>
        <v>0</v>
      </c>
      <c r="S8" s="385">
        <f>HFwa!$M$28</f>
        <v>0</v>
      </c>
      <c r="T8" s="381"/>
      <c r="U8" s="381"/>
      <c r="V8" s="384" t="s">
        <v>31</v>
      </c>
      <c r="W8" s="384">
        <f>HFna!$H$21</f>
        <v>0</v>
      </c>
      <c r="X8" s="384">
        <f>HFna!$H$22</f>
        <v>0</v>
      </c>
      <c r="Y8" s="385">
        <f>IF(Z8&gt;0,IF(HFna!$S$20=2,"SD",0),0)</f>
        <v>0</v>
      </c>
      <c r="Z8" s="385">
        <f>HFna!$M$28</f>
        <v>0</v>
      </c>
      <c r="AA8" s="381"/>
      <c r="AB8" s="381"/>
      <c r="AC8" s="386"/>
      <c r="AD8" s="386"/>
      <c r="AE8" s="386"/>
      <c r="AF8" s="387"/>
      <c r="AG8" s="387"/>
      <c r="AH8" s="670"/>
      <c r="AI8" s="556"/>
      <c r="AJ8" s="108"/>
    </row>
    <row r="9" spans="1:36" ht="6" customHeight="1" thickBot="1" x14ac:dyDescent="0.25">
      <c r="A9" s="670"/>
      <c r="B9" s="381"/>
      <c r="C9" s="381"/>
      <c r="D9" s="381"/>
      <c r="E9" s="381"/>
      <c r="F9" s="381"/>
      <c r="G9" s="381"/>
      <c r="H9" s="381"/>
      <c r="I9" s="381"/>
      <c r="J9" s="381"/>
      <c r="K9" s="381"/>
      <c r="L9" s="381"/>
      <c r="M9" s="381"/>
      <c r="N9" s="381"/>
      <c r="O9" s="381"/>
      <c r="P9" s="381"/>
      <c r="Q9" s="381"/>
      <c r="R9" s="381"/>
      <c r="S9" s="381"/>
      <c r="T9" s="381"/>
      <c r="U9" s="381"/>
      <c r="V9" s="381"/>
      <c r="W9" s="381"/>
      <c r="X9" s="381"/>
      <c r="Y9" s="381"/>
      <c r="Z9" s="381"/>
      <c r="AA9" s="381"/>
      <c r="AB9" s="381"/>
      <c r="AC9" s="381"/>
      <c r="AD9" s="381"/>
      <c r="AE9" s="381"/>
      <c r="AF9" s="381"/>
      <c r="AG9" s="381"/>
      <c r="AH9" s="670"/>
      <c r="AI9" s="556"/>
      <c r="AJ9" s="108"/>
    </row>
    <row r="10" spans="1:36" ht="16.149999999999999" customHeight="1" x14ac:dyDescent="0.2">
      <c r="A10" s="670"/>
      <c r="B10" s="825"/>
      <c r="C10" s="825"/>
      <c r="D10" s="825"/>
      <c r="E10" s="825"/>
      <c r="F10" s="825"/>
      <c r="G10" s="388"/>
      <c r="H10" s="1254" t="str">
        <f>ListAVS!$B$17</f>
        <v>Front drewniany</v>
      </c>
      <c r="I10" s="1255"/>
      <c r="J10" s="1255"/>
      <c r="K10" s="1255"/>
      <c r="L10" s="1256"/>
      <c r="M10" s="389"/>
      <c r="N10" s="389"/>
      <c r="O10" s="1254" t="str">
        <f>ListAVS!$B$20</f>
        <v>Szeroka ramka aluminiowa</v>
      </c>
      <c r="P10" s="1255"/>
      <c r="Q10" s="1255"/>
      <c r="R10" s="1255"/>
      <c r="S10" s="1256"/>
      <c r="T10" s="389"/>
      <c r="U10" s="389"/>
      <c r="V10" s="1254" t="str">
        <f>ListAVS!$B$17</f>
        <v>Front drewniany</v>
      </c>
      <c r="W10" s="1255"/>
      <c r="X10" s="1255"/>
      <c r="Y10" s="1255"/>
      <c r="Z10" s="1256"/>
      <c r="AA10" s="389"/>
      <c r="AB10" s="389"/>
      <c r="AC10" s="1254" t="str">
        <f>ListAVS!$B$22</f>
        <v>Wąska ramka aluminiowa</v>
      </c>
      <c r="AD10" s="1255"/>
      <c r="AE10" s="1255"/>
      <c r="AF10" s="1255"/>
      <c r="AG10" s="1256"/>
      <c r="AH10" s="670"/>
      <c r="AI10" s="671"/>
      <c r="AJ10" s="108"/>
    </row>
    <row r="11" spans="1:36" ht="16.149999999999999" customHeight="1" x14ac:dyDescent="0.2">
      <c r="A11" s="670"/>
      <c r="B11" s="825"/>
      <c r="C11" s="825"/>
      <c r="D11" s="825"/>
      <c r="E11" s="825"/>
      <c r="F11" s="825"/>
      <c r="G11" s="388"/>
      <c r="H11" s="1261" t="str">
        <f>ListAVS!$B$20</f>
        <v>Szeroka ramka aluminiowa</v>
      </c>
      <c r="I11" s="1262"/>
      <c r="J11" s="1262"/>
      <c r="K11" s="1262"/>
      <c r="L11" s="1263"/>
      <c r="M11" s="389"/>
      <c r="N11" s="389"/>
      <c r="O11" s="1261" t="str">
        <f>ListAVS!$B$17</f>
        <v>Front drewniany</v>
      </c>
      <c r="P11" s="1262"/>
      <c r="Q11" s="1262"/>
      <c r="R11" s="1262"/>
      <c r="S11" s="1263"/>
      <c r="T11" s="389"/>
      <c r="U11" s="389"/>
      <c r="V11" s="1261" t="str">
        <f>ListAVS!$B$22</f>
        <v>Wąska ramka aluminiowa</v>
      </c>
      <c r="W11" s="1262"/>
      <c r="X11" s="1262"/>
      <c r="Y11" s="1262"/>
      <c r="Z11" s="1263"/>
      <c r="AA11" s="389"/>
      <c r="AB11" s="389"/>
      <c r="AC11" s="1261" t="str">
        <f>ListAVS!$B$17</f>
        <v>Front drewniany</v>
      </c>
      <c r="AD11" s="1262"/>
      <c r="AE11" s="1262"/>
      <c r="AF11" s="1262"/>
      <c r="AG11" s="1263"/>
      <c r="AH11" s="670"/>
      <c r="AI11" s="544" t="str">
        <f>" "&amp;ListAVS!$B$160</f>
        <v xml:space="preserve"> Dodatki</v>
      </c>
      <c r="AJ11" s="108"/>
    </row>
    <row r="12" spans="1:36" ht="16.149999999999999" customHeight="1" x14ac:dyDescent="0.2">
      <c r="A12" s="670"/>
      <c r="B12" s="825"/>
      <c r="C12" s="825"/>
      <c r="D12" s="825"/>
      <c r="E12" s="825"/>
      <c r="F12" s="825"/>
      <c r="G12" s="381"/>
      <c r="H12" s="384" t="s">
        <v>29</v>
      </c>
      <c r="I12" s="384">
        <f>HFw_wa!$H$10</f>
        <v>0</v>
      </c>
      <c r="J12" s="384">
        <f>HFw_wa!$H$11</f>
        <v>0</v>
      </c>
      <c r="K12" s="385">
        <f>IF(L12&gt;0,IF(HFw_wa!$S$9=2,"SD",0),0)</f>
        <v>0</v>
      </c>
      <c r="L12" s="385">
        <f>HFw_wa!$M$17</f>
        <v>0</v>
      </c>
      <c r="M12" s="381"/>
      <c r="N12" s="381"/>
      <c r="O12" s="384" t="s">
        <v>29</v>
      </c>
      <c r="P12" s="384">
        <f>HFwa_w!$H$10</f>
        <v>0</v>
      </c>
      <c r="Q12" s="384">
        <f>HFwa_w!$H$11</f>
        <v>0</v>
      </c>
      <c r="R12" s="385">
        <f>IF(S12&gt;0,IF(HFwa_w!$S$9=2,"SD",0),0)</f>
        <v>0</v>
      </c>
      <c r="S12" s="385">
        <f>HFwa_w!$M$17</f>
        <v>0</v>
      </c>
      <c r="T12" s="381"/>
      <c r="U12" s="381"/>
      <c r="V12" s="384" t="s">
        <v>29</v>
      </c>
      <c r="W12" s="384">
        <f>HFw_na!$H$10</f>
        <v>0</v>
      </c>
      <c r="X12" s="384">
        <f>HFw_na!$H$11</f>
        <v>0</v>
      </c>
      <c r="Y12" s="385">
        <f>IF(Z12&gt;0,IF(HFw_na!$S$9=2,"SD",0),0)</f>
        <v>0</v>
      </c>
      <c r="Z12" s="385">
        <f>HFw_na!$M$17</f>
        <v>0</v>
      </c>
      <c r="AA12" s="381"/>
      <c r="AB12" s="381"/>
      <c r="AC12" s="384" t="s">
        <v>29</v>
      </c>
      <c r="AD12" s="384">
        <f>HFna_w!$H$10</f>
        <v>0</v>
      </c>
      <c r="AE12" s="384">
        <f>HFna_w!$H$11</f>
        <v>0</v>
      </c>
      <c r="AF12" s="385">
        <f>IF(AG12&gt;0,IF(HFna_w!$S$9=2,"SD",0),0)</f>
        <v>0</v>
      </c>
      <c r="AG12" s="385">
        <f>HFna_w!$M$17</f>
        <v>0</v>
      </c>
      <c r="AH12" s="670"/>
      <c r="AJ12" s="108"/>
    </row>
    <row r="13" spans="1:36" ht="16.149999999999999" customHeight="1" thickBot="1" x14ac:dyDescent="0.25">
      <c r="A13" s="670"/>
      <c r="B13" s="825"/>
      <c r="C13" s="825"/>
      <c r="D13" s="825"/>
      <c r="E13" s="825"/>
      <c r="F13" s="825"/>
      <c r="G13" s="381"/>
      <c r="H13" s="384" t="s">
        <v>31</v>
      </c>
      <c r="I13" s="384">
        <f>HFw_wa!$H$21</f>
        <v>0</v>
      </c>
      <c r="J13" s="384">
        <f>HFw_wa!$H$22</f>
        <v>0</v>
      </c>
      <c r="K13" s="385">
        <f>IF(L13&gt;0,IF(HFw_wa!$S$20=2,"SD",0),0)</f>
        <v>0</v>
      </c>
      <c r="L13" s="385">
        <f>HFw_wa!$M$28</f>
        <v>0</v>
      </c>
      <c r="M13" s="381"/>
      <c r="N13" s="381"/>
      <c r="O13" s="384" t="s">
        <v>31</v>
      </c>
      <c r="P13" s="384">
        <f>HFwa_w!$H$21</f>
        <v>0</v>
      </c>
      <c r="Q13" s="384">
        <f>HFwa_w!$H$22</f>
        <v>0</v>
      </c>
      <c r="R13" s="385">
        <f>IF(S13&gt;0,IF(HFwa_w!$S$20=2,"SD",0),0)</f>
        <v>0</v>
      </c>
      <c r="S13" s="385">
        <f>HFwa_w!$M$28</f>
        <v>0</v>
      </c>
      <c r="T13" s="381"/>
      <c r="U13" s="381"/>
      <c r="V13" s="384" t="s">
        <v>31</v>
      </c>
      <c r="W13" s="384">
        <f>HFw_na!$H$21</f>
        <v>0</v>
      </c>
      <c r="X13" s="384">
        <f>HFw_na!$H$22</f>
        <v>0</v>
      </c>
      <c r="Y13" s="385">
        <f>IF(Z13&gt;0,IF(HFw_na!$S$20=2,"SD",0),0)</f>
        <v>0</v>
      </c>
      <c r="Z13" s="385">
        <f>HFw_na!$M$28</f>
        <v>0</v>
      </c>
      <c r="AA13" s="381"/>
      <c r="AB13" s="381"/>
      <c r="AC13" s="384" t="s">
        <v>31</v>
      </c>
      <c r="AD13" s="384">
        <f>HFna_w!$H$21</f>
        <v>0</v>
      </c>
      <c r="AE13" s="384">
        <f>HFna_w!$H$22</f>
        <v>0</v>
      </c>
      <c r="AF13" s="385">
        <f>IF(AG13&gt;0,IF(HFna_w!$S$20=2,"SD",0),0)</f>
        <v>0</v>
      </c>
      <c r="AG13" s="385">
        <f>HFna_w!$M$28</f>
        <v>0</v>
      </c>
      <c r="AH13" s="670"/>
      <c r="AI13" s="383" t="str">
        <f>" "&amp;ListAVS!$B$158</f>
        <v xml:space="preserve"> Zamówienie</v>
      </c>
      <c r="AJ13" s="108"/>
    </row>
    <row r="14" spans="1:36" ht="6.75" customHeight="1" thickBot="1" x14ac:dyDescent="0.25">
      <c r="A14" s="670"/>
      <c r="B14" s="390"/>
      <c r="C14" s="390"/>
      <c r="D14" s="390"/>
      <c r="E14" s="390"/>
      <c r="F14" s="390"/>
      <c r="G14" s="390"/>
      <c r="H14" s="390"/>
      <c r="I14" s="390"/>
      <c r="J14" s="390"/>
      <c r="K14" s="390"/>
      <c r="L14" s="390"/>
      <c r="M14" s="390"/>
      <c r="N14" s="390"/>
      <c r="O14" s="390"/>
      <c r="P14" s="390"/>
      <c r="Q14" s="390"/>
      <c r="R14" s="390"/>
      <c r="S14" s="390"/>
      <c r="T14" s="390"/>
      <c r="U14" s="390"/>
      <c r="V14" s="391"/>
      <c r="W14" s="391"/>
      <c r="X14" s="391"/>
      <c r="Y14" s="391"/>
      <c r="Z14" s="391"/>
      <c r="AA14" s="390"/>
      <c r="AB14" s="390"/>
      <c r="AC14" s="391"/>
      <c r="AD14" s="391"/>
      <c r="AE14" s="391"/>
      <c r="AF14" s="391"/>
      <c r="AG14" s="391"/>
      <c r="AH14" s="670"/>
      <c r="AJ14" s="108"/>
    </row>
    <row r="15" spans="1:36" ht="6.75" customHeight="1" x14ac:dyDescent="0.2">
      <c r="A15" s="670"/>
      <c r="B15" s="381"/>
      <c r="C15" s="381"/>
      <c r="D15" s="381"/>
      <c r="E15" s="381"/>
      <c r="F15" s="381"/>
      <c r="G15" s="381"/>
      <c r="H15" s="381"/>
      <c r="I15" s="381"/>
      <c r="J15" s="381"/>
      <c r="K15" s="381"/>
      <c r="L15" s="381"/>
      <c r="M15" s="392"/>
      <c r="N15" s="381"/>
      <c r="O15" s="381"/>
      <c r="P15" s="381"/>
      <c r="Q15" s="381"/>
      <c r="R15" s="381"/>
      <c r="S15" s="381"/>
      <c r="T15" s="381"/>
      <c r="U15" s="381"/>
      <c r="V15" s="381"/>
      <c r="W15" s="381"/>
      <c r="X15" s="381"/>
      <c r="Y15" s="381"/>
      <c r="Z15" s="381"/>
      <c r="AA15" s="381"/>
      <c r="AB15" s="381"/>
      <c r="AC15" s="381"/>
      <c r="AD15" s="381"/>
      <c r="AE15" s="381"/>
      <c r="AF15" s="381"/>
      <c r="AG15" s="381"/>
      <c r="AH15" s="670"/>
      <c r="AI15" s="670"/>
      <c r="AJ15" s="108"/>
    </row>
    <row r="16" spans="1:36" ht="16.149999999999999" customHeight="1" x14ac:dyDescent="0.2">
      <c r="A16" s="670"/>
      <c r="B16" s="1257" t="s">
        <v>668</v>
      </c>
      <c r="C16" s="1257"/>
      <c r="D16" s="1257"/>
      <c r="E16" s="1257"/>
      <c r="F16" s="1257"/>
      <c r="G16" s="381"/>
      <c r="H16" s="1258" t="str">
        <f>ListAVS!$B$17</f>
        <v>Front drewniany</v>
      </c>
      <c r="I16" s="1259"/>
      <c r="J16" s="1259"/>
      <c r="K16" s="1259"/>
      <c r="L16" s="1260"/>
      <c r="M16" s="381"/>
      <c r="N16" s="381"/>
      <c r="O16" s="1258" t="str">
        <f>ListAVS!$B$20</f>
        <v>Szeroka ramka aluminiowa</v>
      </c>
      <c r="P16" s="1259"/>
      <c r="Q16" s="1259"/>
      <c r="R16" s="1259"/>
      <c r="S16" s="1260"/>
      <c r="T16" s="381"/>
      <c r="U16" s="381"/>
      <c r="V16" s="1258" t="str">
        <f>ListAVS!$B$22</f>
        <v>Wąska ramka aluminiowa</v>
      </c>
      <c r="W16" s="1259"/>
      <c r="X16" s="1259"/>
      <c r="Y16" s="1259"/>
      <c r="Z16" s="1260"/>
      <c r="AA16" s="381"/>
      <c r="AB16" s="381"/>
      <c r="AC16" s="1258" t="str">
        <f>ListAVS!$B$23</f>
        <v>Cienkie materiały</v>
      </c>
      <c r="AD16" s="1259"/>
      <c r="AE16" s="1259"/>
      <c r="AF16" s="1259"/>
      <c r="AG16" s="1260"/>
      <c r="AH16" s="670"/>
      <c r="AI16" s="670"/>
      <c r="AJ16" s="108"/>
    </row>
    <row r="17" spans="1:36" ht="16.149999999999999" customHeight="1" x14ac:dyDescent="0.2">
      <c r="A17" s="670"/>
      <c r="B17" s="1257"/>
      <c r="C17" s="1257"/>
      <c r="D17" s="1257"/>
      <c r="E17" s="1257"/>
      <c r="F17" s="1257"/>
      <c r="G17" s="381"/>
      <c r="H17" s="384" t="s">
        <v>29</v>
      </c>
      <c r="I17" s="384">
        <f>HSw!$H$10</f>
        <v>0</v>
      </c>
      <c r="J17" s="384">
        <f>HSw!$H$11</f>
        <v>0</v>
      </c>
      <c r="K17" s="385">
        <f>IF(L17&gt;0,IF(HSw!$Q$16=2,"SD",0),0)</f>
        <v>0</v>
      </c>
      <c r="L17" s="385">
        <f>HSw!$M$17</f>
        <v>0</v>
      </c>
      <c r="M17" s="381"/>
      <c r="N17" s="381"/>
      <c r="O17" s="384" t="s">
        <v>29</v>
      </c>
      <c r="P17" s="384">
        <f>HSwa!$H$10</f>
        <v>0</v>
      </c>
      <c r="Q17" s="384">
        <f>HSwa!$H$11</f>
        <v>0</v>
      </c>
      <c r="R17" s="385">
        <f>IF(S17&gt;0,IF(HSwa!$Q$16=2,"SD",0),0)</f>
        <v>0</v>
      </c>
      <c r="S17" s="385">
        <f>HSwa!$M$17</f>
        <v>0</v>
      </c>
      <c r="T17" s="381"/>
      <c r="U17" s="381"/>
      <c r="V17" s="384" t="s">
        <v>29</v>
      </c>
      <c r="W17" s="384">
        <f>HSna!$H$10</f>
        <v>0</v>
      </c>
      <c r="X17" s="384">
        <f>HSna!$H$11</f>
        <v>0</v>
      </c>
      <c r="Y17" s="385">
        <f>IF(Z17&gt;0,IF(HSna!$Q$16=2,"SD",0),0)</f>
        <v>0</v>
      </c>
      <c r="Z17" s="385">
        <f>HSna!$M$17</f>
        <v>0</v>
      </c>
      <c r="AA17" s="381"/>
      <c r="AB17" s="381"/>
      <c r="AC17" s="384" t="s">
        <v>29</v>
      </c>
      <c r="AD17" s="384">
        <f>HSt!$H$10</f>
        <v>0</v>
      </c>
      <c r="AE17" s="384">
        <f>HSt!$H$11</f>
        <v>0</v>
      </c>
      <c r="AF17" s="385">
        <f>IF(AG17&gt;0,IF(HSt!$Q$16=2,"SD",0),0)</f>
        <v>0</v>
      </c>
      <c r="AG17" s="385">
        <f>HSt!$M$17</f>
        <v>0</v>
      </c>
      <c r="AH17" s="670"/>
      <c r="AI17" s="670"/>
      <c r="AJ17" s="108"/>
    </row>
    <row r="18" spans="1:36" ht="16.149999999999999" customHeight="1" x14ac:dyDescent="0.2">
      <c r="A18" s="670"/>
      <c r="B18" s="1257"/>
      <c r="C18" s="1257"/>
      <c r="D18" s="1257"/>
      <c r="E18" s="1257"/>
      <c r="F18" s="1257"/>
      <c r="G18" s="381"/>
      <c r="H18" s="384" t="s">
        <v>31</v>
      </c>
      <c r="I18" s="384">
        <f>HSw!$H$21</f>
        <v>0</v>
      </c>
      <c r="J18" s="384">
        <f>HSw!$H$22</f>
        <v>0</v>
      </c>
      <c r="K18" s="385">
        <f>IF(L18&gt;0,IF(HSw!$Q$27=2,"SD",0),0)</f>
        <v>0</v>
      </c>
      <c r="L18" s="385">
        <f>HSw!$M$28</f>
        <v>0</v>
      </c>
      <c r="M18" s="381"/>
      <c r="N18" s="381"/>
      <c r="O18" s="384" t="s">
        <v>31</v>
      </c>
      <c r="P18" s="384">
        <f>HSwa!$H$21</f>
        <v>0</v>
      </c>
      <c r="Q18" s="384">
        <f>HSwa!$H$22</f>
        <v>0</v>
      </c>
      <c r="R18" s="385">
        <f>IF(S18&gt;0,IF(HSwa!$Q$27=2,"SD",0),0)</f>
        <v>0</v>
      </c>
      <c r="S18" s="385">
        <f>HSwa!$M$28</f>
        <v>0</v>
      </c>
      <c r="T18" s="381"/>
      <c r="U18" s="381"/>
      <c r="V18" s="384" t="s">
        <v>31</v>
      </c>
      <c r="W18" s="384">
        <f>HSna!$H$21</f>
        <v>0</v>
      </c>
      <c r="X18" s="384">
        <f>HSna!$H$22</f>
        <v>0</v>
      </c>
      <c r="Y18" s="385">
        <f>IF(Z18&gt;0,IF(HSna!$Q$16=2,"SD",0),0)</f>
        <v>0</v>
      </c>
      <c r="Z18" s="385">
        <f>HSna!$M$28</f>
        <v>0</v>
      </c>
      <c r="AA18" s="381"/>
      <c r="AB18" s="381"/>
      <c r="AC18" s="384" t="s">
        <v>31</v>
      </c>
      <c r="AD18" s="384">
        <f>HSt!$H$21</f>
        <v>0</v>
      </c>
      <c r="AE18" s="384">
        <f>HSt!$H$21</f>
        <v>0</v>
      </c>
      <c r="AF18" s="385">
        <f>IF(AG18&gt;0,IF(HSt!$Q$27=2,"SD",0),0)</f>
        <v>0</v>
      </c>
      <c r="AG18" s="385">
        <f>HSt!$M$28</f>
        <v>0</v>
      </c>
      <c r="AH18" s="670"/>
      <c r="AI18" s="670"/>
      <c r="AJ18" s="108"/>
    </row>
    <row r="19" spans="1:36" ht="6.75" customHeight="1" thickBot="1" x14ac:dyDescent="0.25">
      <c r="A19" s="670"/>
      <c r="B19" s="390"/>
      <c r="C19" s="390"/>
      <c r="D19" s="390"/>
      <c r="E19" s="390"/>
      <c r="F19" s="390"/>
      <c r="G19" s="390"/>
      <c r="H19" s="390"/>
      <c r="I19" s="390"/>
      <c r="J19" s="390"/>
      <c r="K19" s="390"/>
      <c r="L19" s="390"/>
      <c r="M19" s="390"/>
      <c r="N19" s="390"/>
      <c r="O19" s="390"/>
      <c r="P19" s="390"/>
      <c r="Q19" s="390"/>
      <c r="R19" s="390"/>
      <c r="S19" s="390"/>
      <c r="T19" s="390"/>
      <c r="U19" s="390"/>
      <c r="V19" s="391"/>
      <c r="W19" s="391"/>
      <c r="X19" s="391"/>
      <c r="Y19" s="391"/>
      <c r="Z19" s="391"/>
      <c r="AA19" s="390"/>
      <c r="AB19" s="390"/>
      <c r="AC19" s="391"/>
      <c r="AD19" s="391"/>
      <c r="AE19" s="391"/>
      <c r="AF19" s="391"/>
      <c r="AG19" s="391"/>
      <c r="AH19" s="670"/>
      <c r="AI19" s="670"/>
      <c r="AJ19" s="108"/>
    </row>
    <row r="20" spans="1:36" ht="6.75" customHeight="1" x14ac:dyDescent="0.2">
      <c r="A20" s="670"/>
      <c r="B20" s="381"/>
      <c r="C20" s="381"/>
      <c r="D20" s="381"/>
      <c r="E20" s="381"/>
      <c r="F20" s="381"/>
      <c r="G20" s="381"/>
      <c r="H20" s="381"/>
      <c r="I20" s="381"/>
      <c r="J20" s="381"/>
      <c r="K20" s="381"/>
      <c r="L20" s="381"/>
      <c r="M20" s="381"/>
      <c r="N20" s="381"/>
      <c r="O20" s="381"/>
      <c r="P20" s="381"/>
      <c r="Q20" s="381"/>
      <c r="R20" s="381"/>
      <c r="S20" s="381"/>
      <c r="T20" s="381"/>
      <c r="U20" s="381"/>
      <c r="V20" s="381"/>
      <c r="W20" s="381"/>
      <c r="X20" s="381"/>
      <c r="Y20" s="381"/>
      <c r="Z20" s="381"/>
      <c r="AA20" s="381"/>
      <c r="AB20" s="381"/>
      <c r="AC20" s="381"/>
      <c r="AD20" s="381"/>
      <c r="AE20" s="381"/>
      <c r="AF20" s="381"/>
      <c r="AG20" s="381"/>
      <c r="AH20" s="670"/>
      <c r="AI20" s="670"/>
      <c r="AJ20" s="108"/>
    </row>
    <row r="21" spans="1:36" ht="16.149999999999999" customHeight="1" x14ac:dyDescent="0.2">
      <c r="A21" s="670"/>
      <c r="B21" s="1257" t="s">
        <v>669</v>
      </c>
      <c r="C21" s="1257"/>
      <c r="D21" s="1257"/>
      <c r="E21" s="1257"/>
      <c r="F21" s="1257"/>
      <c r="G21" s="381"/>
      <c r="H21" s="1258" t="str">
        <f>ListAVS!$B$17</f>
        <v>Front drewniany</v>
      </c>
      <c r="I21" s="1259"/>
      <c r="J21" s="1259"/>
      <c r="K21" s="1259"/>
      <c r="L21" s="1260"/>
      <c r="M21" s="381"/>
      <c r="N21" s="381"/>
      <c r="O21" s="1258" t="str">
        <f>ListAVS!$B$20</f>
        <v>Szeroka ramka aluminiowa</v>
      </c>
      <c r="P21" s="1259"/>
      <c r="Q21" s="1259"/>
      <c r="R21" s="1259"/>
      <c r="S21" s="1260"/>
      <c r="T21" s="381"/>
      <c r="U21" s="381"/>
      <c r="V21" s="1258" t="str">
        <f>ListAVS!$B$22</f>
        <v>Wąska ramka aluminiowa</v>
      </c>
      <c r="W21" s="1259"/>
      <c r="X21" s="1259"/>
      <c r="Y21" s="1259"/>
      <c r="Z21" s="1260"/>
      <c r="AA21" s="381"/>
      <c r="AB21" s="381"/>
      <c r="AC21" s="1258" t="str">
        <f>ListAVS!$B$23</f>
        <v>Cienkie materiały</v>
      </c>
      <c r="AD21" s="1259"/>
      <c r="AE21" s="1259"/>
      <c r="AF21" s="1259"/>
      <c r="AG21" s="1260"/>
      <c r="AH21" s="670"/>
      <c r="AI21" s="670"/>
      <c r="AJ21" s="108"/>
    </row>
    <row r="22" spans="1:36" ht="16.149999999999999" customHeight="1" x14ac:dyDescent="0.2">
      <c r="A22" s="670"/>
      <c r="B22" s="1257"/>
      <c r="C22" s="1257"/>
      <c r="D22" s="1257"/>
      <c r="E22" s="1257"/>
      <c r="F22" s="1257"/>
      <c r="G22" s="381"/>
      <c r="H22" s="384" t="s">
        <v>29</v>
      </c>
      <c r="I22" s="384">
        <f>HLw!$H$10</f>
        <v>0</v>
      </c>
      <c r="J22" s="384">
        <f>HLw!$H$11</f>
        <v>0</v>
      </c>
      <c r="K22" s="385">
        <f>IF(L22&gt;0,IF(HLw!$Q$14=2,"SD",0),0)</f>
        <v>0</v>
      </c>
      <c r="L22" s="385">
        <f>HLw!$M$15</f>
        <v>0</v>
      </c>
      <c r="M22" s="381"/>
      <c r="N22" s="381"/>
      <c r="O22" s="384" t="s">
        <v>29</v>
      </c>
      <c r="P22" s="384">
        <f>HLwa!$H$10</f>
        <v>0</v>
      </c>
      <c r="Q22" s="384">
        <f>HLwa!$H$11</f>
        <v>0</v>
      </c>
      <c r="R22" s="385">
        <f>IF(S22&gt;0,IF(HLwa!$Q$14=2,"SD",0),0)</f>
        <v>0</v>
      </c>
      <c r="S22" s="385">
        <f>HLwa!$M$15</f>
        <v>0</v>
      </c>
      <c r="T22" s="381"/>
      <c r="U22" s="381"/>
      <c r="V22" s="384" t="s">
        <v>29</v>
      </c>
      <c r="W22" s="384">
        <f>HLna!$H$10</f>
        <v>0</v>
      </c>
      <c r="X22" s="384">
        <f>HLna!$H$11</f>
        <v>0</v>
      </c>
      <c r="Y22" s="385">
        <f>IF(Z22&gt;0,IF(HLna!$Q$14=2,"SD",0),0)</f>
        <v>0</v>
      </c>
      <c r="Z22" s="385">
        <f>HLna!$M$15</f>
        <v>0</v>
      </c>
      <c r="AA22" s="381"/>
      <c r="AB22" s="381"/>
      <c r="AC22" s="384" t="s">
        <v>29</v>
      </c>
      <c r="AD22" s="384">
        <f>HLt!$H$10</f>
        <v>0</v>
      </c>
      <c r="AE22" s="384">
        <f>HLt!$H$11</f>
        <v>0</v>
      </c>
      <c r="AF22" s="385">
        <f>IF(AG22&gt;0,IF(HLt!$R$14=2,"SD",0),0)</f>
        <v>0</v>
      </c>
      <c r="AG22" s="385">
        <f>HLt!$M$15</f>
        <v>0</v>
      </c>
      <c r="AH22" s="670"/>
      <c r="AI22" s="670"/>
      <c r="AJ22" s="108"/>
    </row>
    <row r="23" spans="1:36" ht="16.149999999999999" customHeight="1" x14ac:dyDescent="0.2">
      <c r="A23" s="670"/>
      <c r="B23" s="1257"/>
      <c r="C23" s="1257"/>
      <c r="D23" s="1257"/>
      <c r="E23" s="1257"/>
      <c r="F23" s="1257"/>
      <c r="G23" s="381"/>
      <c r="H23" s="384" t="s">
        <v>31</v>
      </c>
      <c r="I23" s="384">
        <f>HLw!$H$21</f>
        <v>0</v>
      </c>
      <c r="J23" s="384">
        <f>HLw!$H$22</f>
        <v>0</v>
      </c>
      <c r="K23" s="385">
        <f>IF(L23&gt;0,IF(HLw!$Q$25=2,"SD",0),0)</f>
        <v>0</v>
      </c>
      <c r="L23" s="385">
        <f>HLw!$M$26</f>
        <v>0</v>
      </c>
      <c r="M23" s="381"/>
      <c r="N23" s="381"/>
      <c r="O23" s="384" t="s">
        <v>31</v>
      </c>
      <c r="P23" s="384">
        <f>HLwa!$H$21</f>
        <v>0</v>
      </c>
      <c r="Q23" s="384">
        <f>HLwa!$H$22</f>
        <v>0</v>
      </c>
      <c r="R23" s="385">
        <f>IF(S23&gt;0,IF(HLwa!$Q$24=2,"SD",0),0)</f>
        <v>0</v>
      </c>
      <c r="S23" s="385">
        <f>HLwa!$M$25</f>
        <v>0</v>
      </c>
      <c r="T23" s="381"/>
      <c r="U23" s="381"/>
      <c r="V23" s="384" t="s">
        <v>31</v>
      </c>
      <c r="W23" s="384">
        <f>HLna!$H$21</f>
        <v>0</v>
      </c>
      <c r="X23" s="384">
        <f>HLna!$H$22</f>
        <v>0</v>
      </c>
      <c r="Y23" s="385">
        <f>IF(Z23&gt;0,IF(HLna!$Q$24=2,"SD",0),0)</f>
        <v>0</v>
      </c>
      <c r="Z23" s="385">
        <f>HLna!$M$25</f>
        <v>0</v>
      </c>
      <c r="AA23" s="381"/>
      <c r="AB23" s="381"/>
      <c r="AC23" s="384" t="s">
        <v>31</v>
      </c>
      <c r="AD23" s="384">
        <f>HLt!$H$21</f>
        <v>0</v>
      </c>
      <c r="AE23" s="384">
        <f>HLt!$H$22</f>
        <v>0</v>
      </c>
      <c r="AF23" s="385">
        <f>IF(AG23&gt;0,IF(HLt!$R$24=2,"SD",0),0)</f>
        <v>0</v>
      </c>
      <c r="AG23" s="385">
        <f>HLt!$M$25</f>
        <v>0</v>
      </c>
      <c r="AH23" s="670"/>
      <c r="AI23" s="670"/>
      <c r="AJ23" s="108"/>
    </row>
    <row r="24" spans="1:36" ht="6.75" customHeight="1" thickBot="1" x14ac:dyDescent="0.25">
      <c r="A24" s="670"/>
      <c r="B24" s="390"/>
      <c r="C24" s="390"/>
      <c r="D24" s="390"/>
      <c r="E24" s="390"/>
      <c r="F24" s="390"/>
      <c r="G24" s="390"/>
      <c r="H24" s="390"/>
      <c r="I24" s="390"/>
      <c r="J24" s="390"/>
      <c r="K24" s="390"/>
      <c r="L24" s="390"/>
      <c r="M24" s="390"/>
      <c r="N24" s="390"/>
      <c r="O24" s="390"/>
      <c r="P24" s="390"/>
      <c r="Q24" s="390"/>
      <c r="R24" s="390"/>
      <c r="S24" s="390"/>
      <c r="T24" s="390"/>
      <c r="U24" s="390"/>
      <c r="V24" s="391"/>
      <c r="W24" s="391"/>
      <c r="X24" s="391"/>
      <c r="Y24" s="391"/>
      <c r="Z24" s="391"/>
      <c r="AA24" s="390"/>
      <c r="AB24" s="390"/>
      <c r="AC24" s="391"/>
      <c r="AD24" s="391"/>
      <c r="AE24" s="391"/>
      <c r="AF24" s="391"/>
      <c r="AG24" s="391"/>
      <c r="AH24" s="670"/>
      <c r="AI24" s="670"/>
      <c r="AJ24" s="108"/>
    </row>
    <row r="25" spans="1:36" ht="6.75" customHeight="1" x14ac:dyDescent="0.2">
      <c r="A25" s="670"/>
      <c r="B25" s="381"/>
      <c r="C25" s="381"/>
      <c r="D25" s="381"/>
      <c r="E25" s="381"/>
      <c r="F25" s="381"/>
      <c r="G25" s="381"/>
      <c r="H25" s="381"/>
      <c r="I25" s="381"/>
      <c r="J25" s="381"/>
      <c r="K25" s="381"/>
      <c r="L25" s="381"/>
      <c r="M25" s="381"/>
      <c r="N25" s="381"/>
      <c r="O25" s="381"/>
      <c r="P25" s="381"/>
      <c r="Q25" s="381"/>
      <c r="R25" s="381"/>
      <c r="S25" s="381"/>
      <c r="T25" s="381"/>
      <c r="U25" s="381"/>
      <c r="V25" s="381"/>
      <c r="W25" s="381"/>
      <c r="X25" s="381"/>
      <c r="Y25" s="381"/>
      <c r="Z25" s="381"/>
      <c r="AA25" s="381"/>
      <c r="AB25" s="381"/>
      <c r="AC25" s="381"/>
      <c r="AD25" s="381"/>
      <c r="AE25" s="381"/>
      <c r="AF25" s="381"/>
      <c r="AG25" s="381"/>
      <c r="AH25" s="670"/>
      <c r="AI25" s="670"/>
      <c r="AJ25" s="108"/>
    </row>
    <row r="26" spans="1:36" ht="16.149999999999999" customHeight="1" x14ac:dyDescent="0.2">
      <c r="A26" s="670"/>
      <c r="B26" s="1257" t="s">
        <v>3</v>
      </c>
      <c r="C26" s="1257"/>
      <c r="D26" s="1257"/>
      <c r="E26" s="1257"/>
      <c r="F26" s="1257"/>
      <c r="G26" s="381"/>
      <c r="H26" s="1258" t="str">
        <f>ListAVS!$B$17</f>
        <v>Front drewniany</v>
      </c>
      <c r="I26" s="1259"/>
      <c r="J26" s="1259"/>
      <c r="K26" s="1259"/>
      <c r="L26" s="1260"/>
      <c r="M26" s="381"/>
      <c r="N26" s="381"/>
      <c r="O26" s="1258" t="str">
        <f>ListAVS!$B$20</f>
        <v>Szeroka ramka aluminiowa</v>
      </c>
      <c r="P26" s="1259"/>
      <c r="Q26" s="1259"/>
      <c r="R26" s="1259"/>
      <c r="S26" s="1260"/>
      <c r="T26" s="381"/>
      <c r="U26" s="381"/>
      <c r="V26" s="1258" t="str">
        <f>ListAVS!$B$22</f>
        <v>Wąska ramka aluminiowa</v>
      </c>
      <c r="W26" s="1259"/>
      <c r="X26" s="1259"/>
      <c r="Y26" s="1259"/>
      <c r="Z26" s="1260"/>
      <c r="AA26" s="381"/>
      <c r="AB26" s="381"/>
      <c r="AC26" s="1258" t="str">
        <f>ListAVS!$B$23</f>
        <v>Cienkie materiały</v>
      </c>
      <c r="AD26" s="1259"/>
      <c r="AE26" s="1259"/>
      <c r="AF26" s="1259"/>
      <c r="AG26" s="1260"/>
      <c r="AH26" s="670"/>
      <c r="AI26" s="670"/>
      <c r="AJ26" s="108"/>
    </row>
    <row r="27" spans="1:36" ht="16.149999999999999" customHeight="1" x14ac:dyDescent="0.2">
      <c r="A27" s="670"/>
      <c r="B27" s="1257"/>
      <c r="C27" s="1257"/>
      <c r="D27" s="1257"/>
      <c r="E27" s="1257"/>
      <c r="F27" s="1257"/>
      <c r="G27" s="381"/>
      <c r="H27" s="384" t="s">
        <v>29</v>
      </c>
      <c r="I27" s="384">
        <f>HKw!$H$10</f>
        <v>0</v>
      </c>
      <c r="J27" s="384">
        <f>HKw!$H$11</f>
        <v>0</v>
      </c>
      <c r="K27" s="385">
        <f>IF(L27&gt;0,IF(HKw!$U$16=1,0,IF(HKw!$U$16=2,"SD",IF(HKw!$U$16=3,"T",0))),0)</f>
        <v>0</v>
      </c>
      <c r="L27" s="385">
        <f>HKw!$M$17</f>
        <v>0</v>
      </c>
      <c r="M27" s="381"/>
      <c r="N27" s="381"/>
      <c r="O27" s="384" t="s">
        <v>29</v>
      </c>
      <c r="P27" s="384">
        <f>HKwa!$H$10</f>
        <v>0</v>
      </c>
      <c r="Q27" s="384">
        <f>HKwa!$H$11</f>
        <v>0</v>
      </c>
      <c r="R27" s="385">
        <f>IF(S27&gt;0,IF(HKwa!$U$16=1,0,IF(HKwa!$U$16=2,"SD",IF(HKwa!$U$16=3,"T",0))),0)</f>
        <v>0</v>
      </c>
      <c r="S27" s="385">
        <f>HKwa!$M$17</f>
        <v>0</v>
      </c>
      <c r="T27" s="381"/>
      <c r="U27" s="381"/>
      <c r="V27" s="384" t="s">
        <v>29</v>
      </c>
      <c r="W27" s="384">
        <f>HKna!$H$10</f>
        <v>0</v>
      </c>
      <c r="X27" s="384">
        <f>HKna!$H$11</f>
        <v>0</v>
      </c>
      <c r="Y27" s="385">
        <f>IF(Z27&gt;0,IF(HKna!$U$16=1,0,IF(HKna!$U$16=2,"SD",IF(HKna!$U$16=3,"T",0))),0)</f>
        <v>0</v>
      </c>
      <c r="Z27" s="385">
        <f>HKna!$M$17</f>
        <v>0</v>
      </c>
      <c r="AA27" s="381"/>
      <c r="AB27" s="381"/>
      <c r="AC27" s="384" t="s">
        <v>29</v>
      </c>
      <c r="AD27" s="384">
        <f>HKt!$H$10</f>
        <v>0</v>
      </c>
      <c r="AE27" s="384">
        <f>HKt!$H$11</f>
        <v>0</v>
      </c>
      <c r="AF27" s="385">
        <f>IF(AG27&gt;0,IF(HKt!$U$16=1,0,IF(HKt!$U$16=2,"SD",IF(HKt!$U$16=3,"T",0))),0)</f>
        <v>0</v>
      </c>
      <c r="AG27" s="385">
        <f>HKt!$M$17</f>
        <v>0</v>
      </c>
      <c r="AH27" s="670"/>
      <c r="AI27" s="670"/>
      <c r="AJ27" s="108"/>
    </row>
    <row r="28" spans="1:36" ht="16.149999999999999" customHeight="1" x14ac:dyDescent="0.2">
      <c r="A28" s="670"/>
      <c r="B28" s="1257"/>
      <c r="C28" s="1257"/>
      <c r="D28" s="1257"/>
      <c r="E28" s="1257"/>
      <c r="F28" s="1257"/>
      <c r="G28" s="381"/>
      <c r="H28" s="384" t="s">
        <v>31</v>
      </c>
      <c r="I28" s="384">
        <f>HKw!$H$21</f>
        <v>0</v>
      </c>
      <c r="J28" s="384">
        <f>HKw!$H$22</f>
        <v>0</v>
      </c>
      <c r="K28" s="385">
        <f>IF(L28&gt;0,IF(HKw!$U$27=1,0,IF(HKw!$U$27=2,"SD",IF(HKw!$U$16=3,"T",0))),0)</f>
        <v>0</v>
      </c>
      <c r="L28" s="385">
        <f>HKw!$M$28</f>
        <v>0</v>
      </c>
      <c r="M28" s="381"/>
      <c r="N28" s="381"/>
      <c r="O28" s="384" t="s">
        <v>31</v>
      </c>
      <c r="P28" s="384">
        <f>HKwa!$H$21</f>
        <v>0</v>
      </c>
      <c r="Q28" s="384">
        <f>HKwa!$H$22</f>
        <v>0</v>
      </c>
      <c r="R28" s="385">
        <f>IF(S28&gt;0,IF(HKwa!$U$27=1,0,IF(HKwa!$U$27=2,"SD",IF(HKwa!$U$27=3,"T",0))),0)</f>
        <v>0</v>
      </c>
      <c r="S28" s="385">
        <f>HKwa!$M$28</f>
        <v>0</v>
      </c>
      <c r="T28" s="381"/>
      <c r="U28" s="381"/>
      <c r="V28" s="384" t="s">
        <v>31</v>
      </c>
      <c r="W28" s="384">
        <f>HKna!$H$21</f>
        <v>0</v>
      </c>
      <c r="X28" s="384">
        <f>HKna!$H$22</f>
        <v>0</v>
      </c>
      <c r="Y28" s="385">
        <f>IF(Z28&gt;0,IF(HKna!$U$27=1,0,IF(HKna!$U$27=2,"SD",IF(HKna!$U$27=3,"T",0))),0)</f>
        <v>0</v>
      </c>
      <c r="Z28" s="385">
        <f>HKna!$M$28</f>
        <v>0</v>
      </c>
      <c r="AA28" s="381"/>
      <c r="AB28" s="381"/>
      <c r="AC28" s="384" t="s">
        <v>31</v>
      </c>
      <c r="AD28" s="384">
        <f>HKt!$H$21</f>
        <v>0</v>
      </c>
      <c r="AE28" s="384">
        <f>HKt!$H$22</f>
        <v>0</v>
      </c>
      <c r="AF28" s="385">
        <f>IF(AG28&gt;0,IF(HKt!$U$27=1,0,IF(HKt!$U$27=2,"SD",IF(HKt!$U$27=3,"T",0))),0)</f>
        <v>0</v>
      </c>
      <c r="AG28" s="385">
        <f>HKt!$M$28</f>
        <v>0</v>
      </c>
      <c r="AH28" s="670"/>
      <c r="AI28" s="670"/>
      <c r="AJ28" s="108"/>
    </row>
    <row r="29" spans="1:36" ht="6.75" customHeight="1" thickBot="1" x14ac:dyDescent="0.25">
      <c r="A29" s="670"/>
      <c r="B29" s="390"/>
      <c r="C29" s="390"/>
      <c r="D29" s="390"/>
      <c r="E29" s="390"/>
      <c r="F29" s="390"/>
      <c r="G29" s="390"/>
      <c r="H29" s="390"/>
      <c r="I29" s="390"/>
      <c r="J29" s="390"/>
      <c r="K29" s="390"/>
      <c r="L29" s="390"/>
      <c r="M29" s="390"/>
      <c r="N29" s="390"/>
      <c r="O29" s="390"/>
      <c r="P29" s="390"/>
      <c r="Q29" s="390"/>
      <c r="R29" s="390"/>
      <c r="S29" s="390"/>
      <c r="T29" s="390"/>
      <c r="U29" s="390"/>
      <c r="V29" s="391"/>
      <c r="W29" s="391"/>
      <c r="X29" s="391"/>
      <c r="Y29" s="391"/>
      <c r="Z29" s="391"/>
      <c r="AA29" s="390"/>
      <c r="AB29" s="390"/>
      <c r="AC29" s="391"/>
      <c r="AD29" s="391"/>
      <c r="AE29" s="391"/>
      <c r="AF29" s="391"/>
      <c r="AG29" s="391"/>
      <c r="AH29" s="670"/>
      <c r="AI29" s="670"/>
      <c r="AJ29" s="108"/>
    </row>
    <row r="30" spans="1:36" ht="6.75" customHeight="1" x14ac:dyDescent="0.2">
      <c r="A30" s="670"/>
      <c r="B30" s="381"/>
      <c r="C30" s="381"/>
      <c r="D30" s="381"/>
      <c r="E30" s="381"/>
      <c r="F30" s="381"/>
      <c r="G30" s="381"/>
      <c r="H30" s="381"/>
      <c r="I30" s="381"/>
      <c r="J30" s="381"/>
      <c r="K30" s="381"/>
      <c r="L30" s="381"/>
      <c r="M30" s="381"/>
      <c r="N30" s="381"/>
      <c r="O30" s="381"/>
      <c r="P30" s="381"/>
      <c r="Q30" s="381"/>
      <c r="R30" s="381"/>
      <c r="S30" s="381"/>
      <c r="T30" s="381"/>
      <c r="U30" s="381"/>
      <c r="V30" s="381"/>
      <c r="W30" s="381"/>
      <c r="X30" s="381"/>
      <c r="Y30" s="381"/>
      <c r="Z30" s="381"/>
      <c r="AA30" s="381"/>
      <c r="AB30" s="381"/>
      <c r="AC30" s="381"/>
      <c r="AD30" s="381"/>
      <c r="AE30" s="381"/>
      <c r="AF30" s="381"/>
      <c r="AG30" s="381"/>
      <c r="AH30" s="670"/>
      <c r="AI30" s="670"/>
      <c r="AJ30" s="108"/>
    </row>
    <row r="31" spans="1:36" ht="16.149999999999999" customHeight="1" x14ac:dyDescent="0.2">
      <c r="A31" s="670"/>
      <c r="B31" s="1257" t="s">
        <v>4</v>
      </c>
      <c r="C31" s="1257"/>
      <c r="D31" s="1257"/>
      <c r="E31" s="1257"/>
      <c r="F31" s="1257"/>
      <c r="G31" s="381"/>
      <c r="H31" s="1258" t="str">
        <f>ListAVS!$B$17</f>
        <v>Front drewniany</v>
      </c>
      <c r="I31" s="1259"/>
      <c r="J31" s="1259"/>
      <c r="K31" s="1259"/>
      <c r="L31" s="1260"/>
      <c r="M31" s="381"/>
      <c r="N31" s="381"/>
      <c r="O31" s="1258" t="str">
        <f>ListAVS!$B$20</f>
        <v>Szeroka ramka aluminiowa</v>
      </c>
      <c r="P31" s="1259"/>
      <c r="Q31" s="1259"/>
      <c r="R31" s="1259"/>
      <c r="S31" s="1260"/>
      <c r="T31" s="381"/>
      <c r="U31" s="381"/>
      <c r="V31" s="1258" t="str">
        <f>ListAVS!$B$22</f>
        <v>Wąska ramka aluminiowa</v>
      </c>
      <c r="W31" s="1259"/>
      <c r="X31" s="1259"/>
      <c r="Y31" s="1259"/>
      <c r="Z31" s="1260"/>
      <c r="AA31" s="381"/>
      <c r="AB31" s="381"/>
      <c r="AC31" s="1258" t="str">
        <f>ListAVS!$B$23</f>
        <v>Cienkie materiały</v>
      </c>
      <c r="AD31" s="1259"/>
      <c r="AE31" s="1259"/>
      <c r="AF31" s="1259"/>
      <c r="AG31" s="1260"/>
      <c r="AH31" s="670"/>
      <c r="AI31" s="670"/>
      <c r="AJ31" s="108"/>
    </row>
    <row r="32" spans="1:36" ht="16.149999999999999" customHeight="1" x14ac:dyDescent="0.2">
      <c r="A32" s="670"/>
      <c r="B32" s="1257"/>
      <c r="C32" s="1257"/>
      <c r="D32" s="1257"/>
      <c r="E32" s="1257"/>
      <c r="F32" s="1257"/>
      <c r="G32" s="381"/>
      <c r="H32" s="384" t="s">
        <v>29</v>
      </c>
      <c r="I32" s="384">
        <f>HKSw!$H$10</f>
        <v>0</v>
      </c>
      <c r="J32" s="384">
        <f>HKSw!$H$11</f>
        <v>0</v>
      </c>
      <c r="K32" s="385">
        <f>IF(L32&gt;0, IF(HKSw!$U$16=2, "T", 0),0)</f>
        <v>0</v>
      </c>
      <c r="L32" s="385">
        <f>HKSw!$M$17</f>
        <v>0</v>
      </c>
      <c r="M32" s="381"/>
      <c r="N32" s="381"/>
      <c r="O32" s="384" t="s">
        <v>29</v>
      </c>
      <c r="P32" s="384">
        <f>HKSwa!$H$10</f>
        <v>0</v>
      </c>
      <c r="Q32" s="384">
        <f>HKSwa!$H$11</f>
        <v>0</v>
      </c>
      <c r="R32" s="385">
        <f>IF(S32&gt;0, IF(HKSwa!$U$16=2, "T", 0),0)</f>
        <v>0</v>
      </c>
      <c r="S32" s="385">
        <f>HKSwa!$M$17</f>
        <v>0</v>
      </c>
      <c r="T32" s="381"/>
      <c r="U32" s="381"/>
      <c r="V32" s="384" t="s">
        <v>29</v>
      </c>
      <c r="W32" s="384">
        <f>HKSna!$H$10</f>
        <v>0</v>
      </c>
      <c r="X32" s="384">
        <f>HKSna!$H$11</f>
        <v>0</v>
      </c>
      <c r="Y32" s="385">
        <f>IF(Z32&gt;0, IF(HKSna!$U$16=2, "T", 0),0)</f>
        <v>0</v>
      </c>
      <c r="Z32" s="385">
        <f>HKSna!$M$17</f>
        <v>0</v>
      </c>
      <c r="AA32" s="381"/>
      <c r="AB32" s="381"/>
      <c r="AC32" s="384" t="s">
        <v>29</v>
      </c>
      <c r="AD32" s="384">
        <f>HKSt!$H$10</f>
        <v>0</v>
      </c>
      <c r="AE32" s="384">
        <f>HKSt!$H$11</f>
        <v>0</v>
      </c>
      <c r="AF32" s="385">
        <f>IF(AG32&gt;0, IF(HKSt!$U$16=2, "T", 0),0)</f>
        <v>0</v>
      </c>
      <c r="AG32" s="385">
        <f>HKSt!$M$17</f>
        <v>0</v>
      </c>
      <c r="AH32" s="670"/>
      <c r="AI32" s="670"/>
      <c r="AJ32" s="108"/>
    </row>
    <row r="33" spans="1:38" ht="16.149999999999999" customHeight="1" x14ac:dyDescent="0.2">
      <c r="A33" s="670"/>
      <c r="B33" s="1257"/>
      <c r="C33" s="1257"/>
      <c r="D33" s="1257"/>
      <c r="E33" s="1257"/>
      <c r="F33" s="1257"/>
      <c r="G33" s="381"/>
      <c r="H33" s="384" t="s">
        <v>31</v>
      </c>
      <c r="I33" s="384">
        <f>HKSw!$H$21</f>
        <v>0</v>
      </c>
      <c r="J33" s="384">
        <f>HKSw!$H$22</f>
        <v>0</v>
      </c>
      <c r="K33" s="385">
        <f>IF(L33&gt;0, IF(HKSw!$U$27=2, "T", 0),0)</f>
        <v>0</v>
      </c>
      <c r="L33" s="385">
        <f>HKSw!$M$28</f>
        <v>0</v>
      </c>
      <c r="M33" s="381"/>
      <c r="N33" s="381"/>
      <c r="O33" s="384" t="s">
        <v>31</v>
      </c>
      <c r="P33" s="384">
        <f>HKSwa!$H$21</f>
        <v>0</v>
      </c>
      <c r="Q33" s="384">
        <f>HKSwa!$H$22</f>
        <v>0</v>
      </c>
      <c r="R33" s="385">
        <f>IF(S33&gt;0, IF(HKSwa!$U$27=2, "T", 0),0)</f>
        <v>0</v>
      </c>
      <c r="S33" s="385">
        <f>HKSwa!$M$28</f>
        <v>0</v>
      </c>
      <c r="T33" s="381"/>
      <c r="U33" s="381"/>
      <c r="V33" s="384" t="s">
        <v>31</v>
      </c>
      <c r="W33" s="384">
        <f>HKSna!$H$21</f>
        <v>0</v>
      </c>
      <c r="X33" s="384">
        <f>HKSna!$H$22</f>
        <v>0</v>
      </c>
      <c r="Y33" s="385">
        <f>IF(Z33&gt;0, IF(HKSna!$U$27=2, "T", 0),0)</f>
        <v>0</v>
      </c>
      <c r="Z33" s="385">
        <f>HKSna!$M$28</f>
        <v>0</v>
      </c>
      <c r="AA33" s="381"/>
      <c r="AB33" s="381"/>
      <c r="AC33" s="384" t="s">
        <v>31</v>
      </c>
      <c r="AD33" s="384">
        <f>HKSt!$H$21</f>
        <v>0</v>
      </c>
      <c r="AE33" s="384">
        <f>HKSt!$H$22</f>
        <v>0</v>
      </c>
      <c r="AF33" s="385">
        <f>IF(AG33&gt;0, IF(HKSt!$U$27=2, "T", 0),0)</f>
        <v>0</v>
      </c>
      <c r="AG33" s="385">
        <f>HKSt!$M$28</f>
        <v>0</v>
      </c>
      <c r="AH33" s="670"/>
      <c r="AI33" s="670"/>
      <c r="AJ33" s="108"/>
    </row>
    <row r="34" spans="1:38" ht="6.75" customHeight="1" thickBot="1" x14ac:dyDescent="0.25">
      <c r="A34" s="670"/>
      <c r="B34" s="390"/>
      <c r="C34" s="390"/>
      <c r="D34" s="390"/>
      <c r="E34" s="390"/>
      <c r="F34" s="390"/>
      <c r="G34" s="390"/>
      <c r="H34" s="390"/>
      <c r="I34" s="390"/>
      <c r="J34" s="390"/>
      <c r="K34" s="390"/>
      <c r="L34" s="390"/>
      <c r="M34" s="390"/>
      <c r="N34" s="390"/>
      <c r="O34" s="390"/>
      <c r="P34" s="390"/>
      <c r="Q34" s="390"/>
      <c r="R34" s="390"/>
      <c r="S34" s="390"/>
      <c r="T34" s="390"/>
      <c r="U34" s="390"/>
      <c r="V34" s="391"/>
      <c r="W34" s="391"/>
      <c r="X34" s="391"/>
      <c r="Y34" s="391"/>
      <c r="Z34" s="391"/>
      <c r="AA34" s="390"/>
      <c r="AB34" s="390"/>
      <c r="AC34" s="391"/>
      <c r="AD34" s="391"/>
      <c r="AE34" s="391"/>
      <c r="AF34" s="391"/>
      <c r="AG34" s="391"/>
      <c r="AH34" s="670"/>
      <c r="AI34" s="670"/>
      <c r="AJ34" s="108"/>
    </row>
    <row r="35" spans="1:38" ht="6.75" customHeight="1" x14ac:dyDescent="0.2">
      <c r="A35" s="670"/>
      <c r="B35" s="381"/>
      <c r="C35" s="381"/>
      <c r="D35" s="381"/>
      <c r="E35" s="381"/>
      <c r="F35" s="381"/>
      <c r="G35" s="381"/>
      <c r="H35" s="381"/>
      <c r="I35" s="381"/>
      <c r="J35" s="381"/>
      <c r="K35" s="381"/>
      <c r="L35" s="381"/>
      <c r="M35" s="381"/>
      <c r="N35" s="381"/>
      <c r="O35" s="381"/>
      <c r="P35" s="381"/>
      <c r="Q35" s="381"/>
      <c r="R35" s="381"/>
      <c r="S35" s="381"/>
      <c r="T35" s="381"/>
      <c r="U35" s="381"/>
      <c r="V35" s="381"/>
      <c r="W35" s="381"/>
      <c r="X35" s="381"/>
      <c r="Y35" s="381"/>
      <c r="Z35" s="381"/>
      <c r="AA35" s="381"/>
      <c r="AB35" s="381"/>
      <c r="AC35" s="381"/>
      <c r="AD35" s="381"/>
      <c r="AE35" s="381"/>
      <c r="AF35" s="381"/>
      <c r="AG35" s="381"/>
      <c r="AH35" s="670"/>
      <c r="AI35" s="670"/>
      <c r="AJ35" s="108"/>
    </row>
    <row r="36" spans="1:38" ht="16.149999999999999" customHeight="1" x14ac:dyDescent="0.2">
      <c r="A36" s="670"/>
      <c r="B36" s="1257" t="s">
        <v>5</v>
      </c>
      <c r="C36" s="1257"/>
      <c r="D36" s="1257"/>
      <c r="E36" s="1257"/>
      <c r="F36" s="1257"/>
      <c r="G36" s="381"/>
      <c r="H36" s="1258" t="str">
        <f>ListAVS!$B$17</f>
        <v>Front drewniany</v>
      </c>
      <c r="I36" s="1259"/>
      <c r="J36" s="1259"/>
      <c r="K36" s="1259"/>
      <c r="L36" s="1260"/>
      <c r="M36" s="381"/>
      <c r="N36" s="381"/>
      <c r="O36" s="1258" t="str">
        <f>ListAVS!$B$20</f>
        <v>Szeroka ramka aluminiowa</v>
      </c>
      <c r="P36" s="1259"/>
      <c r="Q36" s="1259"/>
      <c r="R36" s="1259"/>
      <c r="S36" s="1260"/>
      <c r="T36" s="381"/>
      <c r="U36" s="381"/>
      <c r="V36" s="1258" t="str">
        <f>ListAVS!$B$22</f>
        <v>Wąska ramka aluminiowa</v>
      </c>
      <c r="W36" s="1259"/>
      <c r="X36" s="1259"/>
      <c r="Y36" s="1259"/>
      <c r="Z36" s="1260"/>
      <c r="AA36" s="381"/>
      <c r="AB36" s="381"/>
      <c r="AC36" s="1258" t="str">
        <f>ListAVS!$B$23</f>
        <v>Cienkie materiały</v>
      </c>
      <c r="AD36" s="1259"/>
      <c r="AE36" s="1259"/>
      <c r="AF36" s="1259"/>
      <c r="AG36" s="1260"/>
      <c r="AH36" s="670"/>
      <c r="AI36" s="670"/>
      <c r="AJ36" s="108"/>
    </row>
    <row r="37" spans="1:38" ht="16.149999999999999" customHeight="1" x14ac:dyDescent="0.2">
      <c r="A37" s="670"/>
      <c r="B37" s="1257"/>
      <c r="C37" s="1257"/>
      <c r="D37" s="1257"/>
      <c r="E37" s="1257"/>
      <c r="F37" s="1257"/>
      <c r="G37" s="381"/>
      <c r="H37" s="384" t="s">
        <v>29</v>
      </c>
      <c r="I37" s="384">
        <f>HKXSw!$I$10</f>
        <v>0</v>
      </c>
      <c r="J37" s="384">
        <f>HKXSw!$I$11</f>
        <v>0</v>
      </c>
      <c r="K37" s="385">
        <f>IF(L37&gt;0,IF(HKXSw!$U$16=1,0,IF(HKXSw!$U$16=2,"T",0)),0)</f>
        <v>0</v>
      </c>
      <c r="L37" s="385">
        <f>HKXSw!$M$17</f>
        <v>0</v>
      </c>
      <c r="M37" s="381"/>
      <c r="N37" s="381"/>
      <c r="O37" s="384" t="s">
        <v>29</v>
      </c>
      <c r="P37" s="384">
        <f>HKXSwa!$I$10</f>
        <v>0</v>
      </c>
      <c r="Q37" s="384">
        <f>HKXSwa!$I$11</f>
        <v>0</v>
      </c>
      <c r="R37" s="385">
        <f>IF(S37&gt;0,IF(HKXSwa!$U$16=1,0,IF(HKXSwa!$U$16=2,"T",0)),0)</f>
        <v>0</v>
      </c>
      <c r="S37" s="385">
        <f>HKXSwa!$M$17</f>
        <v>0</v>
      </c>
      <c r="T37" s="381"/>
      <c r="U37" s="381"/>
      <c r="V37" s="384" t="s">
        <v>29</v>
      </c>
      <c r="W37" s="384">
        <f>HKXSna!$I$10</f>
        <v>0</v>
      </c>
      <c r="X37" s="384">
        <f>HKXSna!$I$11</f>
        <v>0</v>
      </c>
      <c r="Y37" s="385">
        <f>IF(Z37&gt;0,IF(HKXSna!$U$16=1,0,IF(HKXSna!$U$16=2,"T",0)),0)</f>
        <v>0</v>
      </c>
      <c r="Z37" s="385">
        <f>HKXSna!$M$17</f>
        <v>0</v>
      </c>
      <c r="AA37" s="381"/>
      <c r="AB37" s="381"/>
      <c r="AC37" s="384" t="s">
        <v>29</v>
      </c>
      <c r="AD37" s="384">
        <f>HKXSt!$I$10</f>
        <v>0</v>
      </c>
      <c r="AE37" s="384">
        <f>HKXSt!$I$11</f>
        <v>0</v>
      </c>
      <c r="AF37" s="385">
        <f>IF(AG37&gt;0,IF(HKXSt!$U$16=1,0,IF(HKXSt!$U$16=2,"T",0)),0)</f>
        <v>0</v>
      </c>
      <c r="AG37" s="385">
        <f>HKXSt!$M$17</f>
        <v>0</v>
      </c>
      <c r="AH37" s="670"/>
      <c r="AJ37" s="108"/>
    </row>
    <row r="38" spans="1:38" ht="16.149999999999999" customHeight="1" x14ac:dyDescent="0.2">
      <c r="A38" s="670"/>
      <c r="B38" s="1257"/>
      <c r="C38" s="1257"/>
      <c r="D38" s="1257"/>
      <c r="E38" s="1257"/>
      <c r="F38" s="1257"/>
      <c r="G38" s="381"/>
      <c r="H38" s="384" t="s">
        <v>31</v>
      </c>
      <c r="I38" s="384">
        <f>HKXSw!$I$21</f>
        <v>0</v>
      </c>
      <c r="J38" s="384">
        <f>HKXSw!$I$22</f>
        <v>0</v>
      </c>
      <c r="K38" s="385">
        <f>IF(L38&gt;0,IF(HKXSw!$U$27=1,0,IF(HKXSw!$U$27=2,"T",0)),0)</f>
        <v>0</v>
      </c>
      <c r="L38" s="385">
        <f>HKXSw!$M$28</f>
        <v>0</v>
      </c>
      <c r="M38" s="381"/>
      <c r="N38" s="381"/>
      <c r="O38" s="384" t="s">
        <v>31</v>
      </c>
      <c r="P38" s="384">
        <f>HKXSwa!$I$21</f>
        <v>0</v>
      </c>
      <c r="Q38" s="384">
        <f>HKXSwa!$I$22</f>
        <v>0</v>
      </c>
      <c r="R38" s="385">
        <f>IF(S38&gt;0,IF(HKXSwa!$U$27=1,0,IF(HKXSwa!$U$27=2,"T",0)),0)</f>
        <v>0</v>
      </c>
      <c r="S38" s="385">
        <f>HKXSwa!$M$28</f>
        <v>0</v>
      </c>
      <c r="T38" s="381"/>
      <c r="U38" s="381"/>
      <c r="V38" s="384" t="s">
        <v>31</v>
      </c>
      <c r="W38" s="384">
        <f>HKXSna!$I$21</f>
        <v>0</v>
      </c>
      <c r="X38" s="384">
        <f>HKXSna!$I$22</f>
        <v>0</v>
      </c>
      <c r="Y38" s="385">
        <f>IF(Z38&gt;0,IF(HKXSna!$U$27=1,0,IF(HKXSna!$U$27=2,"T",0)),0)</f>
        <v>0</v>
      </c>
      <c r="Z38" s="385">
        <f>HKXSna!$M$28</f>
        <v>0</v>
      </c>
      <c r="AA38" s="381"/>
      <c r="AB38" s="381"/>
      <c r="AC38" s="384" t="s">
        <v>31</v>
      </c>
      <c r="AD38" s="384">
        <f>HKXSt!$I$21</f>
        <v>0</v>
      </c>
      <c r="AE38" s="384">
        <f>HKXSt!$I$22</f>
        <v>0</v>
      </c>
      <c r="AF38" s="385">
        <f>IF(AG38&gt;0,IF(HKXSt!$U$27=1,0,IF(HKXSt!$U$27=2,"T",0)),0)</f>
        <v>0</v>
      </c>
      <c r="AG38" s="385">
        <f>HKXSt!$M$28</f>
        <v>0</v>
      </c>
      <c r="AH38" s="670"/>
      <c r="AI38" s="670"/>
      <c r="AJ38" s="108"/>
    </row>
    <row r="39" spans="1:38" ht="6.75" customHeight="1" thickBot="1" x14ac:dyDescent="0.25">
      <c r="A39" s="670"/>
      <c r="B39" s="390"/>
      <c r="C39" s="390"/>
      <c r="D39" s="390"/>
      <c r="E39" s="390"/>
      <c r="F39" s="390"/>
      <c r="G39" s="390"/>
      <c r="H39" s="390"/>
      <c r="I39" s="390"/>
      <c r="J39" s="390"/>
      <c r="K39" s="390"/>
      <c r="L39" s="390"/>
      <c r="M39" s="390"/>
      <c r="N39" s="390"/>
      <c r="O39" s="390"/>
      <c r="P39" s="390"/>
      <c r="Q39" s="390"/>
      <c r="R39" s="390"/>
      <c r="S39" s="390"/>
      <c r="T39" s="390"/>
      <c r="U39" s="390"/>
      <c r="V39" s="391"/>
      <c r="W39" s="391"/>
      <c r="X39" s="391"/>
      <c r="Y39" s="391"/>
      <c r="Z39" s="391"/>
      <c r="AA39" s="390"/>
      <c r="AB39" s="390"/>
      <c r="AC39" s="391"/>
      <c r="AD39" s="391"/>
      <c r="AE39" s="391"/>
      <c r="AF39" s="391"/>
      <c r="AG39" s="391"/>
      <c r="AH39" s="670"/>
      <c r="AI39" s="670"/>
      <c r="AJ39" s="108"/>
    </row>
    <row r="40" spans="1:38" ht="6.75" customHeight="1" x14ac:dyDescent="0.2">
      <c r="A40" s="670"/>
      <c r="B40" s="381"/>
      <c r="C40" s="381"/>
      <c r="D40" s="381"/>
      <c r="E40" s="381"/>
      <c r="F40" s="381"/>
      <c r="G40" s="381"/>
      <c r="H40" s="381"/>
      <c r="I40" s="381"/>
      <c r="J40" s="381"/>
      <c r="K40" s="381"/>
      <c r="L40" s="381"/>
      <c r="M40" s="381"/>
      <c r="N40" s="381"/>
      <c r="O40" s="381"/>
      <c r="P40" s="381"/>
      <c r="Q40" s="381"/>
      <c r="R40" s="381"/>
      <c r="S40" s="381"/>
      <c r="T40" s="381"/>
      <c r="U40" s="381"/>
      <c r="V40" s="381"/>
      <c r="W40" s="381"/>
      <c r="X40" s="381"/>
      <c r="Y40" s="381"/>
      <c r="Z40" s="381"/>
      <c r="AA40" s="381"/>
      <c r="AB40" s="381"/>
      <c r="AC40" s="381"/>
      <c r="AD40" s="381"/>
      <c r="AE40" s="381"/>
      <c r="AF40" s="381"/>
      <c r="AG40" s="381"/>
      <c r="AH40" s="670"/>
      <c r="AI40" s="670"/>
      <c r="AJ40" s="108"/>
    </row>
    <row r="41" spans="1:38" ht="16.149999999999999" customHeight="1" x14ac:dyDescent="0.2">
      <c r="A41" s="670"/>
      <c r="B41" s="1257" t="s">
        <v>638</v>
      </c>
      <c r="C41" s="1257"/>
      <c r="D41" s="1257"/>
      <c r="E41" s="1257"/>
      <c r="F41" s="1257"/>
      <c r="G41" s="381"/>
      <c r="H41" s="1258" t="str">
        <f>ListAVS!$B$17</f>
        <v>Front drewniany</v>
      </c>
      <c r="I41" s="1259"/>
      <c r="J41" s="1259"/>
      <c r="K41" s="1259"/>
      <c r="L41" s="1260"/>
      <c r="M41" s="381"/>
      <c r="N41" s="381"/>
      <c r="O41" s="1258" t="str">
        <f>ListAVS!$B$20</f>
        <v>Szeroka ramka aluminiowa</v>
      </c>
      <c r="P41" s="1259"/>
      <c r="Q41" s="1259"/>
      <c r="R41" s="1259"/>
      <c r="S41" s="1260"/>
      <c r="T41" s="381"/>
      <c r="U41" s="381"/>
      <c r="V41" s="1258" t="str">
        <f>ListAVS!$B$22</f>
        <v>Wąska ramka aluminiowa</v>
      </c>
      <c r="W41" s="1259"/>
      <c r="X41" s="1259"/>
      <c r="Y41" s="1259"/>
      <c r="Z41" s="1260"/>
      <c r="AA41" s="381"/>
      <c r="AB41" s="381"/>
      <c r="AC41" s="382"/>
      <c r="AD41" s="382"/>
      <c r="AE41" s="382"/>
      <c r="AF41" s="382"/>
      <c r="AG41" s="382"/>
      <c r="AH41" s="670"/>
      <c r="AI41" s="670"/>
      <c r="AJ41" s="108"/>
    </row>
    <row r="42" spans="1:38" ht="16.149999999999999" customHeight="1" x14ac:dyDescent="0.2">
      <c r="A42" s="670"/>
      <c r="B42" s="1257"/>
      <c r="C42" s="1257"/>
      <c r="D42" s="1257"/>
      <c r="E42" s="1257"/>
      <c r="F42" s="1257"/>
      <c r="G42" s="381"/>
      <c r="H42" s="384" t="s">
        <v>29</v>
      </c>
      <c r="I42" s="384">
        <f>HKiw!$H$10</f>
        <v>0</v>
      </c>
      <c r="J42" s="384">
        <f>HKiw!$H$11</f>
        <v>0</v>
      </c>
      <c r="K42" s="385">
        <f>IF(L42&gt;0,IF(HKiw!$U$16=1,0,IF(HKiw!$U$16=2,"T",0)),0)</f>
        <v>0</v>
      </c>
      <c r="L42" s="888">
        <f>HKiw!$M$17</f>
        <v>0</v>
      </c>
      <c r="M42" s="381"/>
      <c r="N42" s="381"/>
      <c r="O42" s="384" t="s">
        <v>29</v>
      </c>
      <c r="P42" s="384">
        <f>HKiwa!$H$10</f>
        <v>0</v>
      </c>
      <c r="Q42" s="384">
        <f>HKiwa!$H$11</f>
        <v>0</v>
      </c>
      <c r="R42" s="385">
        <f>IF(S42&gt;0,IF(HKiwa!$U$16=1,0,IF(HKiwa!$U$16=2,"T",0)),0)</f>
        <v>0</v>
      </c>
      <c r="S42" s="385">
        <f>HKiwa!$M$17</f>
        <v>0</v>
      </c>
      <c r="T42" s="381"/>
      <c r="U42" s="381"/>
      <c r="V42" s="384" t="s">
        <v>29</v>
      </c>
      <c r="W42" s="384">
        <f>HKina!$H$10</f>
        <v>0</v>
      </c>
      <c r="X42" s="384">
        <f>HKina!$H$11</f>
        <v>0</v>
      </c>
      <c r="Y42" s="385">
        <f>IF(Z42&gt;0,IF(HKina!$U$16=1,0,IF(HKina!$U$16=2,"T",0)),0)</f>
        <v>0</v>
      </c>
      <c r="Z42" s="385">
        <f>HKina!$M$17</f>
        <v>0</v>
      </c>
      <c r="AA42" s="381"/>
      <c r="AB42" s="381"/>
      <c r="AC42" s="386"/>
      <c r="AD42" s="386"/>
      <c r="AE42" s="386"/>
      <c r="AF42" s="387"/>
      <c r="AG42" s="387"/>
      <c r="AH42" s="670"/>
      <c r="AI42" s="670"/>
      <c r="AJ42" s="108"/>
    </row>
    <row r="43" spans="1:38" ht="16.149999999999999" customHeight="1" x14ac:dyDescent="0.2">
      <c r="A43" s="670"/>
      <c r="B43" s="1257"/>
      <c r="C43" s="1257"/>
      <c r="D43" s="1257"/>
      <c r="E43" s="1257"/>
      <c r="F43" s="1257"/>
      <c r="G43" s="381"/>
      <c r="H43" s="384" t="s">
        <v>31</v>
      </c>
      <c r="I43" s="384">
        <f>HKiw!$H$21</f>
        <v>0</v>
      </c>
      <c r="J43" s="384">
        <f>HKiw!$H$22</f>
        <v>0</v>
      </c>
      <c r="K43" s="385">
        <f>IF(L43&gt;0,IF(HKiw!$U$27=1,0,IF(HKiw!$U$27=2,"T",0)),0)</f>
        <v>0</v>
      </c>
      <c r="L43" s="888">
        <f>HKiw!$M$28</f>
        <v>0</v>
      </c>
      <c r="M43" s="381"/>
      <c r="N43" s="381"/>
      <c r="O43" s="384" t="s">
        <v>31</v>
      </c>
      <c r="P43" s="384">
        <f>HKiwa!$H$21</f>
        <v>0</v>
      </c>
      <c r="Q43" s="384">
        <f>HKiwa!$H$22</f>
        <v>0</v>
      </c>
      <c r="R43" s="385">
        <f>IF(S43&gt;0,IF(HKiwa!$U$27=1,0,IF(HKiwa!$U$27=2,"T",0)),0)</f>
        <v>0</v>
      </c>
      <c r="S43" s="385">
        <f>HKiwa!$M$28</f>
        <v>0</v>
      </c>
      <c r="T43" s="381"/>
      <c r="U43" s="381"/>
      <c r="V43" s="384" t="s">
        <v>31</v>
      </c>
      <c r="W43" s="384">
        <f>HKina!$H$21</f>
        <v>0</v>
      </c>
      <c r="X43" s="384">
        <f>HKina!$H$22</f>
        <v>0</v>
      </c>
      <c r="Y43" s="385">
        <f>IF(Z43&gt;0,IF(HKina!$U$27=1,0,IF(HKina!$U$27=2,"T",0)),0)</f>
        <v>0</v>
      </c>
      <c r="Z43" s="385">
        <f>HKina!$M$28</f>
        <v>0</v>
      </c>
      <c r="AA43" s="381"/>
      <c r="AB43" s="381"/>
      <c r="AC43" s="386"/>
      <c r="AD43" s="386"/>
      <c r="AE43" s="386"/>
      <c r="AF43" s="387"/>
      <c r="AG43" s="387"/>
      <c r="AH43" s="670"/>
      <c r="AI43" s="670"/>
      <c r="AJ43" s="108"/>
    </row>
    <row r="44" spans="1:38" ht="6.75" customHeight="1" thickBot="1" x14ac:dyDescent="0.25">
      <c r="A44" s="670"/>
      <c r="B44" s="390"/>
      <c r="C44" s="390"/>
      <c r="D44" s="390"/>
      <c r="E44" s="390"/>
      <c r="F44" s="390"/>
      <c r="G44" s="390"/>
      <c r="H44" s="390"/>
      <c r="I44" s="390"/>
      <c r="J44" s="390"/>
      <c r="K44" s="390"/>
      <c r="L44" s="390"/>
      <c r="M44" s="390"/>
      <c r="N44" s="390"/>
      <c r="O44" s="390"/>
      <c r="P44" s="390"/>
      <c r="Q44" s="390"/>
      <c r="R44" s="390"/>
      <c r="S44" s="390"/>
      <c r="T44" s="390"/>
      <c r="U44" s="390"/>
      <c r="V44" s="391"/>
      <c r="W44" s="391"/>
      <c r="X44" s="391"/>
      <c r="Y44" s="391"/>
      <c r="Z44" s="391"/>
      <c r="AA44" s="390"/>
      <c r="AB44" s="390"/>
      <c r="AC44" s="391"/>
      <c r="AD44" s="391"/>
      <c r="AE44" s="391"/>
      <c r="AF44" s="391"/>
      <c r="AG44" s="391"/>
      <c r="AH44" s="670"/>
      <c r="AI44" s="670"/>
      <c r="AJ44" s="108"/>
    </row>
    <row r="45" spans="1:38" ht="12.75" x14ac:dyDescent="0.2">
      <c r="A45" s="670"/>
      <c r="B45" s="381"/>
      <c r="C45" s="381"/>
      <c r="D45" s="381"/>
      <c r="E45" s="381"/>
      <c r="F45" s="381"/>
      <c r="G45" s="381"/>
      <c r="H45" s="381"/>
      <c r="I45" s="381"/>
      <c r="J45" s="381"/>
      <c r="K45" s="381"/>
      <c r="L45" s="381"/>
      <c r="M45" s="381"/>
      <c r="N45" s="381"/>
      <c r="O45" s="381"/>
      <c r="P45" s="381"/>
      <c r="Q45" s="381"/>
      <c r="R45" s="381"/>
      <c r="S45" s="381"/>
      <c r="T45" s="381"/>
      <c r="U45" s="381"/>
      <c r="V45" s="381"/>
      <c r="W45" s="381"/>
      <c r="X45" s="381"/>
      <c r="Y45" s="381"/>
      <c r="Z45" s="381"/>
      <c r="AA45" s="381"/>
      <c r="AB45" s="381"/>
      <c r="AC45" s="381"/>
      <c r="AD45" s="381"/>
      <c r="AE45" s="381"/>
      <c r="AF45" s="381"/>
      <c r="AG45" s="381"/>
      <c r="AH45" s="670"/>
      <c r="AI45" s="670"/>
      <c r="AJ45" s="108"/>
    </row>
    <row r="46" spans="1:38" ht="15.75" customHeight="1" x14ac:dyDescent="0.2">
      <c r="A46" s="670"/>
      <c r="B46" s="1264" t="str">
        <f>" "&amp;ListAVS!$B$160</f>
        <v xml:space="preserve"> Dodatki</v>
      </c>
      <c r="C46" s="1264"/>
      <c r="D46" s="1264"/>
      <c r="E46" s="1264"/>
      <c r="F46" s="1264"/>
      <c r="G46" s="381"/>
      <c r="H46" s="1265" t="s">
        <v>107</v>
      </c>
      <c r="I46" s="1266"/>
      <c r="J46" s="1267"/>
      <c r="K46" s="1268">
        <f>SUM(AcsAVS!J37:J47)</f>
        <v>0</v>
      </c>
      <c r="L46" s="1269"/>
      <c r="M46" s="381"/>
      <c r="N46" s="381"/>
      <c r="O46" s="1265" t="s">
        <v>59</v>
      </c>
      <c r="P46" s="1266"/>
      <c r="Q46" s="1267"/>
      <c r="R46" s="1268">
        <f>SUM(AcsAVS!J54:J62, AcsAVS!J65:J66)</f>
        <v>0</v>
      </c>
      <c r="S46" s="1269"/>
      <c r="T46" s="381"/>
      <c r="U46" s="381"/>
      <c r="V46" s="1265" t="str">
        <f>ListAVS!B31</f>
        <v>Inne</v>
      </c>
      <c r="W46" s="1266"/>
      <c r="X46" s="1267"/>
      <c r="Y46" s="1272">
        <f>SUM(,AcsAVS!J15:J16,AcsAVS!J18,AcsAVS!J25:J26, AcsAVS!J31:J32)</f>
        <v>0</v>
      </c>
      <c r="Z46" s="1273"/>
      <c r="AA46" s="381"/>
      <c r="AB46" s="381"/>
      <c r="AC46" s="1265"/>
      <c r="AD46" s="1266"/>
      <c r="AE46" s="1267"/>
      <c r="AF46" s="1270"/>
      <c r="AG46" s="1271"/>
      <c r="AH46" s="670"/>
      <c r="AI46" s="670"/>
      <c r="AJ46" s="108"/>
      <c r="AL46" s="858">
        <f>SUM(HFw!G7, HFwa!G7, HFw_wa!G7, HFwa_w!G7, HFna!G7, HFw_na!G7, HFna_w!G7, HSw!G7, HSwa!G7, HSna!G7, HSt!G7, HLw!G7, HLwa!G7, HLna!G7, HLt!G7, HKw!G7, HKwa!G7, HKna!G7, HKt!G7, HKSw!G7, HKSwa!G7, HKSna!G7, HKSt!G7, HKXSw!H7, HKXSwa!H7, HKXSna!H7, HKXSt!H7, AcsAVS!Y68)</f>
        <v>0</v>
      </c>
    </row>
    <row r="47" spans="1:38" ht="16.149999999999999" customHeight="1" x14ac:dyDescent="0.2">
      <c r="A47" s="670"/>
      <c r="B47" s="381"/>
      <c r="C47" s="381"/>
      <c r="D47" s="381"/>
      <c r="E47" s="381"/>
      <c r="F47" s="381"/>
      <c r="G47" s="381"/>
      <c r="H47" s="381"/>
      <c r="I47" s="381"/>
      <c r="J47" s="381"/>
      <c r="K47" s="381"/>
      <c r="L47" s="381"/>
      <c r="M47" s="381"/>
      <c r="N47" s="381"/>
      <c r="O47" s="381"/>
      <c r="P47" s="381"/>
      <c r="Q47" s="381"/>
      <c r="R47" s="381"/>
      <c r="S47" s="381"/>
      <c r="T47" s="381"/>
      <c r="U47" s="381"/>
      <c r="V47" s="381"/>
      <c r="W47" s="381"/>
      <c r="X47" s="381"/>
      <c r="Y47" s="381"/>
      <c r="Z47" s="381"/>
      <c r="AA47" s="381"/>
      <c r="AB47" s="381"/>
      <c r="AC47" s="381"/>
      <c r="AD47" s="381"/>
      <c r="AE47" s="381"/>
      <c r="AF47" s="381"/>
      <c r="AG47" s="381"/>
      <c r="AH47" s="670"/>
      <c r="AI47" s="670"/>
      <c r="AJ47" s="108"/>
    </row>
    <row r="48" spans="1:38" ht="16.149999999999999" customHeight="1" x14ac:dyDescent="0.2">
      <c r="A48" s="670"/>
      <c r="B48" s="381"/>
      <c r="C48" s="381"/>
      <c r="D48" s="381"/>
      <c r="E48" s="381"/>
      <c r="F48" s="381"/>
      <c r="G48" s="381"/>
      <c r="H48" s="381"/>
      <c r="I48" s="381"/>
      <c r="J48" s="381"/>
      <c r="K48" s="381"/>
      <c r="L48" s="381"/>
      <c r="M48" s="381"/>
      <c r="N48" s="381"/>
      <c r="O48" s="381"/>
      <c r="P48" s="381"/>
      <c r="Q48" s="381"/>
      <c r="R48" s="381"/>
      <c r="S48" s="381"/>
      <c r="T48" s="381"/>
      <c r="U48" s="381"/>
      <c r="V48" s="381"/>
      <c r="W48" s="381"/>
      <c r="X48" s="381"/>
      <c r="Y48" s="381"/>
      <c r="Z48" s="381"/>
      <c r="AA48" s="381"/>
      <c r="AB48" s="381"/>
      <c r="AC48" s="381"/>
      <c r="AD48" s="381"/>
      <c r="AE48" s="381"/>
      <c r="AF48" s="381"/>
      <c r="AG48" s="381"/>
      <c r="AH48" s="670"/>
      <c r="AI48" s="670"/>
      <c r="AJ48" s="108"/>
    </row>
    <row r="49" spans="1:36" ht="16.149999999999999" customHeight="1" x14ac:dyDescent="0.2">
      <c r="A49" s="670"/>
      <c r="B49" s="381"/>
      <c r="C49" s="381"/>
      <c r="D49" s="381"/>
      <c r="E49" s="816"/>
      <c r="F49" s="816" t="str">
        <f>ListAVS!$B$291&amp;":"</f>
        <v>Legenda:</v>
      </c>
      <c r="G49" s="381"/>
      <c r="H49" s="393">
        <v>1</v>
      </c>
      <c r="I49" s="393">
        <v>2</v>
      </c>
      <c r="J49" s="393">
        <v>3</v>
      </c>
      <c r="K49" s="393">
        <v>4</v>
      </c>
      <c r="L49" s="393">
        <v>5</v>
      </c>
      <c r="M49" s="381"/>
      <c r="N49" s="381"/>
      <c r="O49" s="381"/>
      <c r="P49" s="381"/>
      <c r="Q49" s="381"/>
      <c r="R49" s="381"/>
      <c r="S49" s="381"/>
      <c r="T49" s="381"/>
      <c r="U49" s="381"/>
      <c r="V49" s="381"/>
      <c r="W49" s="381"/>
      <c r="X49" s="381"/>
      <c r="Y49" s="381"/>
      <c r="Z49" s="381"/>
      <c r="AA49" s="381"/>
      <c r="AB49" s="381"/>
      <c r="AC49" s="381"/>
      <c r="AD49" s="381"/>
      <c r="AE49" s="381"/>
      <c r="AF49" s="381"/>
      <c r="AG49" s="381"/>
      <c r="AH49" s="670"/>
      <c r="AI49" s="670"/>
      <c r="AJ49" s="108"/>
    </row>
    <row r="50" spans="1:36" ht="16.149999999999999" customHeight="1" x14ac:dyDescent="0.2">
      <c r="A50" s="670"/>
      <c r="B50" s="670"/>
      <c r="C50" s="670"/>
      <c r="D50" s="670"/>
      <c r="E50" s="670"/>
      <c r="F50" s="670"/>
      <c r="G50" s="670"/>
      <c r="H50" s="384" t="s">
        <v>29</v>
      </c>
      <c r="I50" s="384">
        <v>900</v>
      </c>
      <c r="J50" s="384">
        <v>600</v>
      </c>
      <c r="K50" s="385" t="s">
        <v>779</v>
      </c>
      <c r="L50" s="385">
        <v>1</v>
      </c>
      <c r="M50" s="670"/>
      <c r="N50" s="670"/>
      <c r="O50" s="670"/>
      <c r="P50" s="670"/>
      <c r="Q50" s="670"/>
      <c r="R50" s="670"/>
      <c r="S50" s="670"/>
      <c r="T50" s="670"/>
      <c r="U50" s="670"/>
      <c r="V50" s="670"/>
      <c r="W50" s="670"/>
      <c r="X50" s="670"/>
      <c r="Y50" s="670"/>
      <c r="Z50" s="670"/>
      <c r="AA50" s="670"/>
      <c r="AB50" s="670"/>
      <c r="AC50" s="670"/>
      <c r="AD50" s="670"/>
      <c r="AE50" s="670"/>
      <c r="AF50" s="670"/>
      <c r="AG50" s="670"/>
      <c r="AH50" s="670"/>
      <c r="AI50" s="670"/>
      <c r="AJ50" s="108"/>
    </row>
    <row r="51" spans="1:36" ht="5.25" customHeight="1" x14ac:dyDescent="0.2">
      <c r="A51" s="670"/>
      <c r="B51" s="670"/>
      <c r="C51" s="670"/>
      <c r="D51" s="670"/>
      <c r="E51" s="670"/>
      <c r="F51" s="670"/>
      <c r="G51" s="670"/>
      <c r="H51" s="670"/>
      <c r="I51" s="670"/>
      <c r="J51" s="670"/>
      <c r="K51" s="670"/>
      <c r="L51" s="670"/>
      <c r="M51" s="670"/>
      <c r="N51" s="670"/>
      <c r="O51" s="670"/>
      <c r="P51" s="670"/>
      <c r="Q51" s="670"/>
      <c r="R51" s="670"/>
      <c r="S51" s="670"/>
      <c r="T51" s="670"/>
      <c r="U51" s="670"/>
      <c r="V51" s="670"/>
      <c r="W51" s="670"/>
      <c r="X51" s="670"/>
      <c r="Y51" s="670"/>
      <c r="Z51" s="670"/>
      <c r="AA51" s="670"/>
      <c r="AB51" s="670"/>
      <c r="AC51" s="670"/>
      <c r="AD51" s="670"/>
      <c r="AE51" s="670"/>
      <c r="AF51" s="670"/>
      <c r="AG51" s="670"/>
      <c r="AH51" s="670"/>
      <c r="AI51" s="108"/>
      <c r="AJ51" s="108"/>
    </row>
    <row r="52" spans="1:36" ht="16.149999999999999" customHeight="1" x14ac:dyDescent="0.2">
      <c r="A52" s="670"/>
      <c r="B52" s="670"/>
      <c r="C52" s="670"/>
      <c r="D52" s="670"/>
      <c r="E52" s="394"/>
      <c r="F52" s="394">
        <v>1</v>
      </c>
      <c r="G52" s="394"/>
      <c r="H52" s="255" t="str">
        <f>ListAVS!$B$64&amp;" A / B"</f>
        <v>Korpus A / B</v>
      </c>
      <c r="I52" s="670"/>
      <c r="J52" s="670"/>
      <c r="K52" s="670"/>
      <c r="L52" s="670"/>
      <c r="M52" s="670"/>
      <c r="N52" s="670"/>
      <c r="O52" s="670"/>
      <c r="P52" s="670"/>
      <c r="Q52" s="670"/>
      <c r="R52" s="670"/>
      <c r="S52" s="670"/>
      <c r="T52" s="670"/>
      <c r="U52" s="670"/>
      <c r="V52" s="670"/>
      <c r="W52" s="670"/>
      <c r="X52" s="670"/>
      <c r="Y52" s="670"/>
      <c r="Z52" s="670"/>
      <c r="AA52" s="670"/>
      <c r="AB52" s="670"/>
      <c r="AC52" s="670"/>
      <c r="AD52" s="670"/>
      <c r="AE52" s="670"/>
      <c r="AF52" s="670"/>
      <c r="AG52" s="670"/>
      <c r="AH52" s="670"/>
      <c r="AI52" s="108"/>
      <c r="AJ52" s="108"/>
    </row>
    <row r="53" spans="1:36" ht="16.149999999999999" customHeight="1" x14ac:dyDescent="0.2">
      <c r="A53" s="670"/>
      <c r="B53" s="670"/>
      <c r="C53" s="670"/>
      <c r="D53" s="670"/>
      <c r="E53" s="394"/>
      <c r="F53" s="394">
        <v>2</v>
      </c>
      <c r="G53" s="670"/>
      <c r="H53" s="670" t="str">
        <f>ListAVS!$B$74&amp;" [mm]"</f>
        <v>Szerokość korpusu [mm]</v>
      </c>
      <c r="I53" s="670"/>
      <c r="J53" s="670"/>
      <c r="K53" s="670"/>
      <c r="L53" s="670"/>
      <c r="M53" s="670"/>
      <c r="N53" s="670"/>
      <c r="O53" s="670"/>
      <c r="P53" s="670"/>
      <c r="Q53" s="670"/>
      <c r="R53" s="670"/>
      <c r="S53" s="670"/>
      <c r="T53" s="670"/>
      <c r="U53" s="670"/>
      <c r="V53" s="670"/>
      <c r="W53" s="670"/>
      <c r="X53" s="670"/>
      <c r="Y53" s="670"/>
      <c r="Z53" s="670"/>
      <c r="AA53" s="670"/>
      <c r="AB53" s="670"/>
      <c r="AC53" s="670"/>
      <c r="AD53" s="670"/>
      <c r="AE53" s="670"/>
      <c r="AF53" s="670"/>
      <c r="AG53" s="670"/>
      <c r="AH53" s="670"/>
      <c r="AI53" s="108"/>
      <c r="AJ53" s="108"/>
    </row>
    <row r="54" spans="1:36" ht="16.149999999999999" customHeight="1" x14ac:dyDescent="0.2">
      <c r="A54" s="670"/>
      <c r="B54" s="670"/>
      <c r="C54" s="670"/>
      <c r="D54" s="670"/>
      <c r="E54" s="394"/>
      <c r="F54" s="394">
        <v>3</v>
      </c>
      <c r="G54" s="670"/>
      <c r="H54" s="670" t="str">
        <f>ListAVS!$B$75&amp;" [mm]"</f>
        <v>Wysokość korpusu [mm]</v>
      </c>
      <c r="I54" s="670"/>
      <c r="J54" s="670"/>
      <c r="K54" s="670"/>
      <c r="L54" s="670"/>
      <c r="M54" s="670"/>
      <c r="N54" s="670"/>
      <c r="O54" s="670"/>
      <c r="P54" s="670"/>
      <c r="Q54" s="670"/>
      <c r="R54" s="670"/>
      <c r="S54" s="670"/>
      <c r="T54" s="670"/>
      <c r="U54" s="670"/>
      <c r="V54" s="670"/>
      <c r="W54" s="670"/>
      <c r="X54" s="670"/>
      <c r="Y54" s="670"/>
      <c r="Z54" s="670"/>
      <c r="AA54" s="670"/>
      <c r="AB54" s="670"/>
      <c r="AC54" s="670"/>
      <c r="AD54" s="670"/>
      <c r="AE54" s="670"/>
      <c r="AF54" s="670"/>
      <c r="AG54" s="670"/>
      <c r="AH54" s="670"/>
      <c r="AJ54" s="108"/>
    </row>
    <row r="55" spans="1:36" ht="16.149999999999999" customHeight="1" x14ac:dyDescent="0.2">
      <c r="A55" s="670"/>
      <c r="B55" s="670"/>
      <c r="C55" s="670"/>
      <c r="D55" s="670"/>
      <c r="E55" s="394"/>
      <c r="F55" s="394">
        <v>4</v>
      </c>
      <c r="G55" s="670"/>
      <c r="H55" s="670" t="str">
        <f>ListAVS!$B$222&amp;": [   ] = Standard     SD = SERVO-DRIVE     T = TIP-ON"</f>
        <v>Wykonanie : [   ] = Standard     SD = SERVO-DRIVE     T = TIP-ON</v>
      </c>
      <c r="I55" s="670"/>
      <c r="J55" s="670"/>
      <c r="K55" s="670"/>
      <c r="L55" s="670"/>
      <c r="M55" s="670"/>
      <c r="N55" s="670"/>
      <c r="O55" s="670"/>
      <c r="P55" s="670"/>
      <c r="Q55" s="670"/>
      <c r="R55" s="670"/>
      <c r="S55" s="670"/>
      <c r="T55" s="670"/>
      <c r="U55" s="670"/>
      <c r="V55" s="670"/>
      <c r="W55" s="670"/>
      <c r="X55" s="670"/>
      <c r="Y55" s="670"/>
      <c r="Z55" s="670"/>
      <c r="AA55" s="670"/>
      <c r="AB55" s="670"/>
      <c r="AC55" s="670"/>
      <c r="AD55" s="670"/>
      <c r="AE55" s="670"/>
      <c r="AF55" s="670"/>
      <c r="AG55" s="670"/>
      <c r="AH55" s="670"/>
      <c r="AJ55" s="108"/>
    </row>
    <row r="56" spans="1:36" ht="16.149999999999999" customHeight="1" x14ac:dyDescent="0.2">
      <c r="A56" s="670"/>
      <c r="B56" s="670"/>
      <c r="C56" s="670"/>
      <c r="D56" s="670"/>
      <c r="E56" s="394"/>
      <c r="F56" s="394">
        <v>5</v>
      </c>
      <c r="G56" s="670"/>
      <c r="H56" s="670" t="str">
        <f>ListAVS!$B$55</f>
        <v>Ilość</v>
      </c>
      <c r="I56" s="670"/>
      <c r="J56" s="670"/>
      <c r="K56" s="670"/>
      <c r="L56" s="670"/>
      <c r="M56" s="670"/>
      <c r="N56" s="670"/>
      <c r="O56" s="670"/>
      <c r="P56" s="670"/>
      <c r="Q56" s="670"/>
      <c r="R56" s="670"/>
      <c r="S56" s="670"/>
      <c r="T56" s="670"/>
      <c r="U56" s="670"/>
      <c r="V56" s="670"/>
      <c r="W56" s="670"/>
      <c r="X56" s="670"/>
      <c r="Y56" s="670"/>
      <c r="Z56" s="670"/>
      <c r="AA56" s="670"/>
      <c r="AB56" s="670"/>
      <c r="AC56" s="670"/>
      <c r="AD56" s="670"/>
      <c r="AE56" s="670"/>
      <c r="AF56" s="670"/>
      <c r="AG56" s="670"/>
      <c r="AH56" s="670"/>
      <c r="AJ56" s="108"/>
    </row>
    <row r="57" spans="1:36" ht="12.75" x14ac:dyDescent="0.2">
      <c r="A57" s="670"/>
      <c r="B57" s="670"/>
      <c r="C57" s="670"/>
      <c r="D57" s="670"/>
      <c r="E57" s="670"/>
      <c r="F57" s="670"/>
      <c r="G57" s="670"/>
      <c r="H57" s="670"/>
      <c r="I57" s="670"/>
      <c r="J57" s="670"/>
      <c r="K57" s="670"/>
      <c r="L57" s="670"/>
      <c r="M57" s="670"/>
      <c r="N57" s="670"/>
      <c r="O57" s="670"/>
      <c r="P57" s="670"/>
      <c r="Q57" s="670"/>
      <c r="R57" s="670"/>
      <c r="S57" s="670"/>
      <c r="T57" s="670"/>
      <c r="U57" s="670"/>
      <c r="V57" s="670"/>
      <c r="W57" s="670"/>
      <c r="X57" s="670"/>
      <c r="Y57" s="670"/>
      <c r="Z57" s="670"/>
      <c r="AA57" s="670"/>
      <c r="AB57" s="670"/>
      <c r="AC57" s="670"/>
      <c r="AD57" s="670"/>
      <c r="AE57" s="670"/>
      <c r="AF57" s="670"/>
      <c r="AG57" s="670"/>
      <c r="AH57" s="670"/>
      <c r="AJ57" s="108"/>
    </row>
    <row r="58" spans="1:36" ht="12.75" x14ac:dyDescent="0.2">
      <c r="A58" s="670"/>
      <c r="B58" s="670"/>
      <c r="C58" s="670"/>
      <c r="D58" s="670"/>
      <c r="E58" s="670"/>
      <c r="F58" s="670"/>
      <c r="G58" s="670"/>
      <c r="H58" s="670"/>
      <c r="I58" s="670"/>
      <c r="J58" s="670"/>
      <c r="K58" s="670"/>
      <c r="L58" s="670"/>
      <c r="M58" s="670"/>
      <c r="N58" s="670"/>
      <c r="O58" s="670"/>
      <c r="P58" s="670"/>
      <c r="Q58" s="670"/>
      <c r="R58" s="670"/>
      <c r="S58" s="670"/>
      <c r="T58" s="670"/>
      <c r="U58" s="670"/>
      <c r="V58" s="670"/>
      <c r="W58" s="670"/>
      <c r="X58" s="670"/>
      <c r="Y58" s="670"/>
      <c r="Z58" s="670"/>
      <c r="AA58" s="670"/>
      <c r="AB58" s="670"/>
      <c r="AC58" s="670"/>
      <c r="AD58" s="670"/>
      <c r="AE58" s="670"/>
      <c r="AF58" s="670"/>
      <c r="AG58" s="670"/>
      <c r="AH58" s="670"/>
      <c r="AJ58" s="108"/>
    </row>
    <row r="59" spans="1:36" ht="12.75" x14ac:dyDescent="0.2">
      <c r="A59" s="670"/>
      <c r="B59" s="670"/>
      <c r="C59" s="670"/>
      <c r="D59" s="670"/>
      <c r="E59" s="670"/>
      <c r="F59" s="670"/>
      <c r="G59" s="670"/>
      <c r="H59" s="670"/>
      <c r="I59" s="670"/>
      <c r="J59" s="670"/>
      <c r="K59" s="670"/>
      <c r="L59" s="670"/>
      <c r="M59" s="670"/>
      <c r="N59" s="670"/>
      <c r="O59" s="670"/>
      <c r="P59" s="670"/>
      <c r="Q59" s="670"/>
      <c r="R59" s="670"/>
      <c r="S59" s="670"/>
      <c r="T59" s="670"/>
      <c r="U59" s="670"/>
      <c r="V59" s="670"/>
      <c r="W59" s="670"/>
      <c r="X59" s="670"/>
      <c r="Y59" s="670"/>
      <c r="Z59" s="670"/>
      <c r="AA59" s="670"/>
      <c r="AB59" s="670"/>
      <c r="AC59" s="670"/>
      <c r="AD59" s="670"/>
      <c r="AE59" s="670"/>
      <c r="AF59" s="670"/>
      <c r="AG59" s="670"/>
      <c r="AH59" s="670"/>
      <c r="AJ59" s="108"/>
    </row>
    <row r="60" spans="1:36" x14ac:dyDescent="0.2">
      <c r="A60" s="108"/>
      <c r="B60" s="108"/>
      <c r="C60" s="108"/>
      <c r="D60" s="108"/>
      <c r="E60" s="108"/>
      <c r="F60" s="108"/>
      <c r="G60" s="108"/>
      <c r="H60" s="108"/>
      <c r="I60" s="108"/>
      <c r="J60" s="108"/>
      <c r="K60" s="108"/>
      <c r="L60" s="108"/>
      <c r="M60" s="108"/>
      <c r="N60" s="108"/>
      <c r="O60" s="108"/>
      <c r="P60" s="108"/>
      <c r="Q60" s="108"/>
      <c r="R60" s="108"/>
      <c r="S60" s="108"/>
      <c r="T60" s="108"/>
      <c r="U60" s="108"/>
      <c r="V60" s="108"/>
      <c r="W60" s="108"/>
      <c r="X60" s="108"/>
      <c r="Y60" s="108"/>
      <c r="Z60" s="108"/>
      <c r="AA60" s="108"/>
      <c r="AB60" s="108"/>
      <c r="AC60" s="108"/>
      <c r="AD60" s="108"/>
      <c r="AE60" s="108"/>
      <c r="AF60" s="108"/>
      <c r="AG60" s="108"/>
      <c r="AH60" s="108"/>
      <c r="AJ60" s="108"/>
    </row>
    <row r="61" spans="1:36" x14ac:dyDescent="0.2">
      <c r="A61" s="108"/>
      <c r="B61" s="108"/>
      <c r="C61" s="108"/>
      <c r="D61" s="108"/>
      <c r="E61" s="108"/>
      <c r="F61" s="108"/>
      <c r="G61" s="108"/>
      <c r="H61" s="108"/>
      <c r="I61" s="108"/>
      <c r="J61" s="108"/>
      <c r="K61" s="108"/>
      <c r="L61" s="108"/>
      <c r="M61" s="108"/>
      <c r="N61" s="108"/>
      <c r="O61" s="108"/>
      <c r="P61" s="108"/>
      <c r="Q61" s="108"/>
      <c r="R61" s="108"/>
      <c r="S61" s="108"/>
      <c r="T61" s="108"/>
      <c r="U61" s="108"/>
      <c r="V61" s="108"/>
      <c r="W61" s="108"/>
      <c r="X61" s="108"/>
      <c r="Y61" s="108"/>
      <c r="Z61" s="108"/>
      <c r="AA61" s="108"/>
      <c r="AB61" s="108"/>
      <c r="AC61" s="108"/>
      <c r="AD61" s="108"/>
      <c r="AE61" s="108"/>
      <c r="AF61" s="108"/>
      <c r="AG61" s="108"/>
      <c r="AH61" s="108"/>
      <c r="AJ61" s="108"/>
    </row>
    <row r="62" spans="1:36" x14ac:dyDescent="0.2">
      <c r="A62" s="108"/>
      <c r="B62" s="108"/>
      <c r="C62" s="108"/>
      <c r="D62" s="108"/>
      <c r="E62" s="108"/>
      <c r="F62" s="108"/>
      <c r="G62" s="108"/>
      <c r="H62" s="108"/>
      <c r="I62" s="108"/>
      <c r="J62" s="108"/>
      <c r="K62" s="108"/>
      <c r="L62" s="108"/>
      <c r="M62" s="108"/>
      <c r="N62" s="108"/>
      <c r="O62" s="108"/>
      <c r="P62" s="108"/>
      <c r="Q62" s="108"/>
      <c r="R62" s="108"/>
      <c r="S62" s="108"/>
      <c r="T62" s="108"/>
      <c r="U62" s="108"/>
      <c r="V62" s="108"/>
      <c r="W62" s="108"/>
      <c r="X62" s="108"/>
      <c r="Y62" s="108"/>
      <c r="Z62" s="108"/>
      <c r="AA62" s="108"/>
      <c r="AB62" s="108"/>
      <c r="AC62" s="108"/>
      <c r="AD62" s="108"/>
      <c r="AE62" s="108"/>
      <c r="AF62" s="108"/>
      <c r="AG62" s="108"/>
      <c r="AH62" s="108"/>
      <c r="AJ62" s="108"/>
    </row>
    <row r="303" spans="1:29" ht="15.75" x14ac:dyDescent="0.25">
      <c r="A303" s="996"/>
      <c r="C303" s="114" t="str">
        <f>"      "&amp;ListAVS!$B$157</f>
        <v xml:space="preserve">      Rodzaje korpusów</v>
      </c>
      <c r="D303" s="115"/>
      <c r="E303" s="115"/>
      <c r="F303" s="115"/>
      <c r="G303" s="115"/>
      <c r="H303" s="115"/>
      <c r="I303" s="115"/>
      <c r="J303" s="115"/>
      <c r="K303" s="115"/>
      <c r="L303" s="115"/>
      <c r="M303" s="115"/>
      <c r="N303" s="115"/>
      <c r="O303" s="115"/>
      <c r="P303" s="115"/>
      <c r="Q303" s="115"/>
      <c r="R303" s="115"/>
      <c r="S303" s="115"/>
      <c r="T303" s="115"/>
      <c r="U303" s="115"/>
      <c r="V303" s="115"/>
      <c r="AA303" s="115"/>
      <c r="AB303" s="115"/>
      <c r="AC303" s="115"/>
    </row>
    <row r="304" spans="1:29" x14ac:dyDescent="0.2">
      <c r="A304" s="996"/>
    </row>
    <row r="305" spans="1:22" ht="12.75" x14ac:dyDescent="0.2">
      <c r="A305" s="996"/>
      <c r="B305" s="825"/>
      <c r="C305" s="825" t="str">
        <f>ListAVS!$B$363</f>
        <v>Podgląd pokazuje wymiary korpusów, wybór SERVO-DRIVE i liczbę sztuk.</v>
      </c>
      <c r="D305" s="825"/>
      <c r="E305" s="825"/>
      <c r="F305" s="825"/>
      <c r="G305" s="825"/>
      <c r="H305" s="825"/>
      <c r="I305" s="825"/>
      <c r="J305" s="825"/>
      <c r="K305" s="825"/>
      <c r="L305" s="825"/>
      <c r="M305" s="825"/>
      <c r="N305" s="825"/>
      <c r="O305" s="825"/>
      <c r="P305" s="825"/>
      <c r="Q305" s="825"/>
      <c r="R305" s="825"/>
      <c r="S305" s="825"/>
      <c r="T305" s="825"/>
      <c r="U305" s="825"/>
      <c r="V305" s="825"/>
    </row>
    <row r="306" spans="1:22" ht="12.75" x14ac:dyDescent="0.2">
      <c r="A306" s="996"/>
      <c r="B306" s="825"/>
      <c r="C306" s="825" t="str">
        <f>ListAVS!$B$364</f>
        <v>Jeżeli przy korpusie pojawią się tylko wymiary, może to oznaczać, że:</v>
      </c>
      <c r="D306" s="825"/>
      <c r="E306" s="825"/>
      <c r="F306" s="825"/>
      <c r="G306" s="825"/>
      <c r="H306" s="825"/>
      <c r="I306" s="825"/>
      <c r="J306" s="825"/>
      <c r="K306" s="825"/>
      <c r="L306" s="825"/>
      <c r="M306" s="825"/>
      <c r="N306" s="825"/>
      <c r="O306" s="825"/>
      <c r="P306" s="825"/>
      <c r="Q306" s="825"/>
      <c r="R306" s="825"/>
      <c r="S306" s="825"/>
      <c r="T306" s="825"/>
      <c r="U306" s="825"/>
      <c r="V306" s="825"/>
    </row>
    <row r="307" spans="1:22" ht="12.75" x14ac:dyDescent="0.2">
      <c r="A307" s="996"/>
      <c r="B307" s="825"/>
      <c r="C307" s="825" t="str">
        <f>" - "&amp;ListAVS!$B$365</f>
        <v xml:space="preserve"> - nie jest podana ilość sztuk</v>
      </c>
      <c r="D307" s="825"/>
      <c r="E307" s="825"/>
      <c r="F307" s="825"/>
      <c r="G307" s="825"/>
      <c r="H307" s="825"/>
      <c r="I307" s="825"/>
      <c r="J307" s="825"/>
      <c r="K307" s="825"/>
      <c r="L307" s="825"/>
      <c r="M307" s="825"/>
      <c r="N307" s="825"/>
      <c r="O307" s="825"/>
      <c r="P307" s="825"/>
      <c r="Q307" s="825"/>
      <c r="R307" s="825"/>
      <c r="S307" s="825"/>
      <c r="T307" s="825"/>
      <c r="U307" s="825"/>
      <c r="V307" s="825"/>
    </row>
    <row r="308" spans="1:22" ht="12.75" x14ac:dyDescent="0.2">
      <c r="A308" s="996"/>
      <c r="B308" s="825"/>
      <c r="C308" s="825" t="str">
        <f>" - "&amp;ListAVS!$B$366</f>
        <v xml:space="preserve"> - nie są podane wszystkie obowiązkowe parametry</v>
      </c>
      <c r="D308" s="825"/>
      <c r="E308" s="825"/>
      <c r="F308" s="825"/>
      <c r="G308" s="825"/>
      <c r="H308" s="825"/>
      <c r="I308" s="825"/>
      <c r="J308" s="825"/>
      <c r="K308" s="825"/>
      <c r="L308" s="825"/>
      <c r="M308" s="825"/>
      <c r="N308" s="825"/>
      <c r="O308" s="825"/>
      <c r="P308" s="825"/>
      <c r="Q308" s="825"/>
      <c r="R308" s="825"/>
      <c r="S308" s="825"/>
      <c r="T308" s="825"/>
      <c r="U308" s="825"/>
      <c r="V308" s="825"/>
    </row>
    <row r="309" spans="1:22" ht="12.75" x14ac:dyDescent="0.2">
      <c r="A309" s="996"/>
      <c r="B309" s="825"/>
      <c r="C309" s="825" t="str">
        <f>" - "&amp;ListAVS!$B$367</f>
        <v xml:space="preserve"> - przekroczone są wartości obowiązkowych parametrów (np. wysokość maksymalna)</v>
      </c>
      <c r="D309" s="825"/>
      <c r="E309" s="825"/>
      <c r="F309" s="825"/>
      <c r="G309" s="825"/>
      <c r="H309" s="825"/>
      <c r="I309" s="825"/>
      <c r="J309" s="825"/>
      <c r="K309" s="825"/>
      <c r="L309" s="825"/>
      <c r="M309" s="825"/>
      <c r="N309" s="825"/>
      <c r="O309" s="825"/>
      <c r="P309" s="825"/>
      <c r="Q309" s="825"/>
      <c r="R309" s="825"/>
      <c r="S309" s="825"/>
      <c r="T309" s="825"/>
      <c r="U309" s="825"/>
      <c r="V309" s="825"/>
    </row>
    <row r="310" spans="1:22" ht="12.75" x14ac:dyDescent="0.2">
      <c r="A310" s="996"/>
      <c r="B310" s="825"/>
      <c r="C310" s="825" t="str">
        <f>ListAVS!$B$368</f>
        <v>W takim przypadku korpus nie zapisze się w zamówieniu.</v>
      </c>
      <c r="D310" s="825"/>
      <c r="E310" s="825"/>
      <c r="F310" s="825"/>
      <c r="G310" s="825"/>
      <c r="H310" s="825"/>
      <c r="I310" s="825"/>
      <c r="J310" s="825"/>
      <c r="K310" s="825"/>
      <c r="L310" s="825"/>
      <c r="M310" s="825"/>
      <c r="N310" s="825"/>
      <c r="O310" s="825"/>
      <c r="P310" s="825"/>
      <c r="Q310" s="825"/>
      <c r="R310" s="825"/>
      <c r="S310" s="825"/>
      <c r="T310" s="825"/>
      <c r="U310" s="825"/>
      <c r="V310" s="825"/>
    </row>
    <row r="311" spans="1:22" ht="12.75" x14ac:dyDescent="0.2">
      <c r="A311" s="996"/>
      <c r="B311" s="825"/>
      <c r="C311" s="825" t="str">
        <f>ListAVS!$B$369</f>
        <v>Kliknij nazwę korpusu, aby przejść do strony podnośnika i dodać lub poprawić dane.</v>
      </c>
      <c r="D311" s="825"/>
      <c r="E311" s="825"/>
      <c r="F311" s="825"/>
      <c r="G311" s="825"/>
      <c r="H311" s="825"/>
      <c r="I311" s="825"/>
      <c r="J311" s="825"/>
      <c r="K311" s="825"/>
      <c r="L311" s="825"/>
      <c r="M311" s="825"/>
      <c r="N311" s="825"/>
      <c r="O311" s="825"/>
      <c r="P311" s="825"/>
      <c r="Q311" s="825"/>
      <c r="R311" s="825"/>
      <c r="S311" s="825"/>
      <c r="T311" s="825"/>
      <c r="U311" s="825"/>
      <c r="V311" s="825"/>
    </row>
    <row r="312" spans="1:22" ht="12.75" x14ac:dyDescent="0.2">
      <c r="A312" s="996"/>
      <c r="B312" s="825"/>
      <c r="C312" s="825"/>
      <c r="D312" s="825"/>
      <c r="E312" s="825"/>
      <c r="F312" s="825"/>
      <c r="G312" s="825"/>
      <c r="H312" s="825"/>
      <c r="I312" s="825"/>
      <c r="J312" s="825"/>
      <c r="K312" s="825"/>
      <c r="L312" s="825"/>
      <c r="M312" s="825"/>
      <c r="N312" s="825"/>
      <c r="O312" s="825"/>
      <c r="P312" s="825"/>
      <c r="Q312" s="825"/>
      <c r="R312" s="825"/>
      <c r="S312" s="825"/>
      <c r="T312" s="825"/>
      <c r="U312" s="825"/>
      <c r="V312" s="825"/>
    </row>
    <row r="313" spans="1:22" ht="12.75" x14ac:dyDescent="0.2">
      <c r="A313" s="996"/>
      <c r="B313" s="825"/>
      <c r="C313" s="825"/>
      <c r="D313" s="825"/>
      <c r="E313" s="825"/>
      <c r="F313" s="825"/>
      <c r="G313" s="825"/>
      <c r="H313" s="825"/>
      <c r="I313" s="825"/>
      <c r="J313" s="825"/>
      <c r="K313" s="825"/>
      <c r="L313" s="825"/>
      <c r="M313" s="825"/>
      <c r="N313" s="825"/>
      <c r="O313" s="825"/>
      <c r="P313" s="825"/>
      <c r="Q313" s="825"/>
      <c r="R313" s="825"/>
      <c r="S313" s="825"/>
      <c r="T313" s="825"/>
      <c r="U313" s="825"/>
      <c r="V313" s="825"/>
    </row>
    <row r="314" spans="1:22" ht="12.75" x14ac:dyDescent="0.2">
      <c r="A314" s="996"/>
      <c r="B314" s="825"/>
      <c r="C314" s="825"/>
      <c r="D314" s="825"/>
      <c r="E314" s="825"/>
      <c r="F314" s="825"/>
      <c r="G314" s="825"/>
      <c r="H314" s="825"/>
      <c r="I314" s="825"/>
      <c r="J314" s="825"/>
      <c r="K314" s="825"/>
      <c r="L314" s="825"/>
      <c r="M314" s="825"/>
      <c r="N314" s="825"/>
      <c r="O314" s="825"/>
      <c r="P314" s="825"/>
      <c r="Q314" s="825"/>
      <c r="R314" s="825"/>
      <c r="S314" s="825"/>
      <c r="T314" s="825"/>
      <c r="U314" s="825"/>
      <c r="V314" s="825"/>
    </row>
    <row r="315" spans="1:22" ht="12.75" x14ac:dyDescent="0.2">
      <c r="A315" s="996"/>
      <c r="B315" s="825"/>
      <c r="C315" s="825"/>
      <c r="D315" s="825"/>
      <c r="E315" s="825"/>
      <c r="F315" s="825"/>
      <c r="G315" s="825"/>
      <c r="H315" s="825"/>
      <c r="I315" s="825"/>
      <c r="J315" s="825"/>
      <c r="K315" s="825"/>
      <c r="L315" s="825"/>
      <c r="M315" s="825"/>
      <c r="N315" s="825"/>
      <c r="O315" s="825"/>
      <c r="P315" s="825"/>
      <c r="Q315" s="825"/>
      <c r="R315" s="825"/>
      <c r="S315" s="825"/>
      <c r="T315" s="825"/>
      <c r="U315" s="825"/>
      <c r="V315" s="825"/>
    </row>
    <row r="316" spans="1:22" ht="12.75" x14ac:dyDescent="0.2">
      <c r="A316" s="996"/>
      <c r="B316" s="825"/>
      <c r="C316" s="825"/>
      <c r="D316" s="825"/>
      <c r="E316" s="825"/>
      <c r="F316" s="825"/>
      <c r="G316" s="825"/>
      <c r="H316" s="825"/>
      <c r="I316" s="825"/>
      <c r="J316" s="825"/>
      <c r="K316" s="825"/>
      <c r="L316" s="825"/>
      <c r="M316" s="825"/>
      <c r="N316" s="825"/>
      <c r="O316" s="825"/>
      <c r="P316" s="825"/>
      <c r="Q316" s="825"/>
      <c r="R316" s="825"/>
      <c r="S316" s="825"/>
      <c r="T316" s="825"/>
      <c r="U316" s="825"/>
      <c r="V316" s="825"/>
    </row>
    <row r="317" spans="1:22" ht="12.75" x14ac:dyDescent="0.2">
      <c r="A317" s="996"/>
      <c r="B317" s="825"/>
      <c r="C317" s="825"/>
      <c r="D317" s="825"/>
      <c r="E317" s="825"/>
      <c r="F317" s="825"/>
      <c r="G317" s="825"/>
      <c r="H317" s="825"/>
      <c r="I317" s="825"/>
      <c r="J317" s="825"/>
      <c r="K317" s="825"/>
      <c r="L317" s="825"/>
      <c r="M317" s="825"/>
      <c r="N317" s="825"/>
      <c r="O317" s="825"/>
      <c r="P317" s="825"/>
      <c r="Q317" s="825"/>
      <c r="R317" s="825"/>
      <c r="S317" s="825"/>
      <c r="T317" s="825"/>
      <c r="U317" s="825"/>
      <c r="V317" s="825"/>
    </row>
    <row r="318" spans="1:22" ht="12.75" x14ac:dyDescent="0.2">
      <c r="A318" s="996"/>
      <c r="B318" s="825"/>
      <c r="C318" s="825"/>
      <c r="D318" s="825"/>
      <c r="E318" s="825"/>
      <c r="F318" s="825"/>
      <c r="G318" s="825"/>
      <c r="H318" s="825"/>
      <c r="I318" s="825"/>
      <c r="J318" s="825"/>
      <c r="K318" s="825"/>
      <c r="L318" s="825"/>
      <c r="M318" s="825"/>
      <c r="N318" s="825"/>
      <c r="O318" s="825"/>
      <c r="P318" s="825"/>
      <c r="Q318" s="825"/>
      <c r="R318" s="825"/>
      <c r="S318" s="825"/>
      <c r="T318" s="825"/>
      <c r="U318" s="825"/>
      <c r="V318" s="825"/>
    </row>
    <row r="319" spans="1:22" ht="12.75" x14ac:dyDescent="0.2">
      <c r="A319" s="996"/>
      <c r="B319" s="825"/>
      <c r="C319" s="825"/>
      <c r="D319" s="825"/>
      <c r="E319" s="825"/>
      <c r="F319" s="825"/>
      <c r="G319" s="825"/>
      <c r="H319" s="825"/>
      <c r="I319" s="825"/>
      <c r="J319" s="825"/>
      <c r="K319" s="825"/>
      <c r="L319" s="825"/>
      <c r="M319" s="825"/>
      <c r="N319" s="825"/>
      <c r="O319" s="825"/>
      <c r="P319" s="825"/>
      <c r="Q319" s="825"/>
      <c r="R319" s="825"/>
      <c r="S319" s="825"/>
      <c r="T319" s="825"/>
      <c r="U319" s="825"/>
      <c r="V319" s="825"/>
    </row>
    <row r="320" spans="1:22" ht="12.75" x14ac:dyDescent="0.2">
      <c r="A320" s="996"/>
      <c r="B320" s="825"/>
      <c r="C320" s="825"/>
      <c r="D320" s="825"/>
      <c r="E320" s="825"/>
      <c r="F320" s="825"/>
      <c r="G320" s="825"/>
      <c r="H320" s="825"/>
      <c r="I320" s="825"/>
      <c r="J320" s="825"/>
      <c r="K320" s="825"/>
      <c r="L320" s="825"/>
      <c r="M320" s="825"/>
      <c r="N320" s="825"/>
      <c r="O320" s="825"/>
      <c r="P320" s="1274" t="str">
        <f>ListAVS!$B$168</f>
        <v>Z powrotem</v>
      </c>
      <c r="Q320" s="1274"/>
      <c r="R320" s="825"/>
      <c r="S320" s="825"/>
      <c r="T320" s="825"/>
      <c r="U320" s="825"/>
      <c r="V320" s="825"/>
    </row>
    <row r="321" spans="1:22" ht="12.75" x14ac:dyDescent="0.2">
      <c r="A321" s="996"/>
      <c r="B321" s="825"/>
      <c r="C321" s="825"/>
      <c r="D321" s="825"/>
      <c r="E321" s="825"/>
      <c r="F321" s="825"/>
      <c r="G321" s="825"/>
      <c r="H321" s="825"/>
      <c r="I321" s="825"/>
      <c r="J321" s="825"/>
      <c r="K321" s="825"/>
      <c r="L321" s="825"/>
      <c r="M321" s="825"/>
      <c r="N321" s="825"/>
      <c r="O321" s="825"/>
      <c r="P321" s="825"/>
      <c r="Q321" s="825"/>
      <c r="R321" s="825"/>
      <c r="S321" s="825"/>
      <c r="T321" s="825"/>
      <c r="U321" s="825"/>
      <c r="V321" s="825"/>
    </row>
    <row r="322" spans="1:22" ht="12.75" x14ac:dyDescent="0.2">
      <c r="A322" s="996"/>
      <c r="B322" s="825"/>
      <c r="C322" s="825"/>
      <c r="D322" s="825"/>
      <c r="E322" s="825"/>
      <c r="F322" s="825"/>
      <c r="G322" s="825"/>
      <c r="H322" s="825"/>
      <c r="I322" s="825"/>
      <c r="J322" s="825"/>
      <c r="K322" s="825"/>
      <c r="L322" s="825"/>
      <c r="M322" s="825"/>
      <c r="N322" s="825"/>
      <c r="O322" s="825"/>
      <c r="P322" s="825"/>
      <c r="Q322" s="825"/>
      <c r="R322" s="825"/>
      <c r="S322" s="825"/>
      <c r="T322" s="825"/>
      <c r="U322" s="825"/>
      <c r="V322" s="825"/>
    </row>
    <row r="323" spans="1:22" ht="12.75" x14ac:dyDescent="0.2">
      <c r="A323" s="996"/>
      <c r="B323" s="825"/>
      <c r="C323" s="825"/>
      <c r="D323" s="825"/>
      <c r="E323" s="825"/>
      <c r="F323" s="825"/>
      <c r="G323" s="825"/>
      <c r="H323" s="825"/>
      <c r="I323" s="825"/>
      <c r="J323" s="825"/>
      <c r="K323" s="825"/>
      <c r="L323" s="825"/>
      <c r="M323" s="825"/>
      <c r="N323" s="825"/>
      <c r="O323" s="825"/>
      <c r="P323" s="825"/>
      <c r="Q323" s="825"/>
      <c r="R323" s="825"/>
      <c r="S323" s="825"/>
      <c r="T323" s="825"/>
      <c r="U323" s="825"/>
      <c r="V323" s="825"/>
    </row>
    <row r="324" spans="1:22" ht="12.75" x14ac:dyDescent="0.2">
      <c r="A324" s="996"/>
      <c r="B324" s="825"/>
      <c r="C324" s="825"/>
      <c r="D324" s="825"/>
      <c r="E324" s="825"/>
      <c r="F324" s="825"/>
      <c r="G324" s="825"/>
      <c r="H324" s="825"/>
      <c r="I324" s="825"/>
      <c r="J324" s="825"/>
      <c r="K324" s="825"/>
      <c r="L324" s="825"/>
      <c r="M324" s="825"/>
      <c r="N324" s="825"/>
      <c r="O324" s="825"/>
      <c r="P324" s="825"/>
      <c r="Q324" s="825"/>
      <c r="R324" s="825"/>
      <c r="S324" s="825"/>
      <c r="T324" s="825"/>
      <c r="U324" s="825"/>
      <c r="V324" s="825"/>
    </row>
    <row r="325" spans="1:22" ht="12.75" x14ac:dyDescent="0.2">
      <c r="A325" s="996"/>
      <c r="B325" s="825"/>
      <c r="C325" s="825"/>
      <c r="D325" s="825"/>
      <c r="E325" s="825"/>
      <c r="F325" s="825"/>
      <c r="G325" s="825"/>
      <c r="H325" s="825"/>
      <c r="I325" s="825"/>
      <c r="J325" s="825"/>
      <c r="K325" s="825"/>
      <c r="L325" s="825"/>
      <c r="M325" s="825"/>
      <c r="N325" s="825"/>
      <c r="O325" s="825"/>
      <c r="P325" s="825"/>
      <c r="Q325" s="825"/>
      <c r="R325" s="825"/>
      <c r="S325" s="825"/>
      <c r="T325" s="825"/>
      <c r="U325" s="825"/>
      <c r="V325" s="825"/>
    </row>
    <row r="326" spans="1:22" ht="12.75" x14ac:dyDescent="0.2">
      <c r="A326" s="996"/>
      <c r="B326" s="825"/>
      <c r="C326" s="825"/>
      <c r="D326" s="825"/>
      <c r="E326" s="825"/>
      <c r="F326" s="825"/>
      <c r="G326" s="825"/>
      <c r="H326" s="825"/>
      <c r="I326" s="825"/>
      <c r="J326" s="825"/>
      <c r="K326" s="825"/>
      <c r="L326" s="825"/>
      <c r="M326" s="825"/>
      <c r="N326" s="825"/>
      <c r="O326" s="825"/>
      <c r="P326" s="825"/>
      <c r="Q326" s="825"/>
      <c r="R326" s="825"/>
      <c r="S326" s="825"/>
      <c r="T326" s="825"/>
      <c r="U326" s="825"/>
      <c r="V326" s="825"/>
    </row>
    <row r="327" spans="1:22" ht="12.75" x14ac:dyDescent="0.2">
      <c r="A327" s="996"/>
      <c r="B327" s="825"/>
      <c r="C327" s="825"/>
      <c r="D327" s="825"/>
      <c r="E327" s="825"/>
      <c r="F327" s="825"/>
      <c r="G327" s="825"/>
      <c r="H327" s="825"/>
      <c r="I327" s="825"/>
      <c r="J327" s="825"/>
      <c r="K327" s="825"/>
      <c r="L327" s="825"/>
      <c r="M327" s="825"/>
      <c r="N327" s="825"/>
      <c r="O327" s="825"/>
      <c r="P327" s="825"/>
      <c r="Q327" s="825"/>
      <c r="R327" s="825"/>
      <c r="S327" s="825"/>
      <c r="T327" s="825"/>
      <c r="U327" s="825"/>
      <c r="V327" s="825"/>
    </row>
    <row r="328" spans="1:22" x14ac:dyDescent="0.2">
      <c r="A328" s="996"/>
    </row>
    <row r="329" spans="1:22" x14ac:dyDescent="0.2">
      <c r="A329" s="996"/>
    </row>
    <row r="330" spans="1:22" x14ac:dyDescent="0.2">
      <c r="A330" s="996"/>
    </row>
    <row r="331" spans="1:22" x14ac:dyDescent="0.2">
      <c r="A331" s="996"/>
    </row>
    <row r="332" spans="1:22" x14ac:dyDescent="0.2">
      <c r="A332" s="996"/>
    </row>
    <row r="333" spans="1:22" x14ac:dyDescent="0.2">
      <c r="A333" s="996"/>
    </row>
    <row r="334" spans="1:22" x14ac:dyDescent="0.2">
      <c r="A334" s="996"/>
    </row>
    <row r="335" spans="1:22" x14ac:dyDescent="0.2">
      <c r="A335" s="996"/>
    </row>
    <row r="336" spans="1:22" x14ac:dyDescent="0.2">
      <c r="A336" s="996"/>
    </row>
    <row r="337" spans="1:1" x14ac:dyDescent="0.2">
      <c r="A337" s="996"/>
    </row>
    <row r="338" spans="1:1" x14ac:dyDescent="0.2">
      <c r="A338" s="996"/>
    </row>
    <row r="339" spans="1:1" x14ac:dyDescent="0.2">
      <c r="A339" s="996"/>
    </row>
    <row r="340" spans="1:1" x14ac:dyDescent="0.2">
      <c r="A340" s="996"/>
    </row>
    <row r="341" spans="1:1" x14ac:dyDescent="0.2">
      <c r="A341" s="996"/>
    </row>
  </sheetData>
  <sheetProtection sheet="1" objects="1" scenarios="1"/>
  <mergeCells count="52">
    <mergeCell ref="O36:S36"/>
    <mergeCell ref="V36:Z36"/>
    <mergeCell ref="B41:F43"/>
    <mergeCell ref="H41:L41"/>
    <mergeCell ref="O41:S41"/>
    <mergeCell ref="V41:Z41"/>
    <mergeCell ref="AC46:AE46"/>
    <mergeCell ref="AF46:AG46"/>
    <mergeCell ref="Y46:Z46"/>
    <mergeCell ref="A303:A341"/>
    <mergeCell ref="P320:Q320"/>
    <mergeCell ref="AC21:AG21"/>
    <mergeCell ref="AC26:AG26"/>
    <mergeCell ref="AC31:AG31"/>
    <mergeCell ref="B46:F46"/>
    <mergeCell ref="H46:J46"/>
    <mergeCell ref="K46:L46"/>
    <mergeCell ref="O46:Q46"/>
    <mergeCell ref="R46:S46"/>
    <mergeCell ref="V46:X46"/>
    <mergeCell ref="B31:F33"/>
    <mergeCell ref="H31:L31"/>
    <mergeCell ref="O31:S31"/>
    <mergeCell ref="V31:Z31"/>
    <mergeCell ref="B36:F38"/>
    <mergeCell ref="H36:L36"/>
    <mergeCell ref="AC36:AG36"/>
    <mergeCell ref="B21:F23"/>
    <mergeCell ref="H21:L21"/>
    <mergeCell ref="O21:S21"/>
    <mergeCell ref="V21:Z21"/>
    <mergeCell ref="B26:F28"/>
    <mergeCell ref="H26:L26"/>
    <mergeCell ref="O26:S26"/>
    <mergeCell ref="V26:Z26"/>
    <mergeCell ref="B6:F8"/>
    <mergeCell ref="H6:L6"/>
    <mergeCell ref="O6:S6"/>
    <mergeCell ref="V6:Z6"/>
    <mergeCell ref="H10:L10"/>
    <mergeCell ref="O10:S10"/>
    <mergeCell ref="V10:Z10"/>
    <mergeCell ref="AC10:AG10"/>
    <mergeCell ref="B16:F18"/>
    <mergeCell ref="H16:L16"/>
    <mergeCell ref="O16:S16"/>
    <mergeCell ref="V16:Z16"/>
    <mergeCell ref="H11:L11"/>
    <mergeCell ref="O11:S11"/>
    <mergeCell ref="V11:Z11"/>
    <mergeCell ref="AC11:AG11"/>
    <mergeCell ref="AC16:AG16"/>
  </mergeCells>
  <conditionalFormatting sqref="L7">
    <cfRule type="cellIs" dxfId="36" priority="39" stopIfTrue="1" operator="greaterThan">
      <formula>0</formula>
    </cfRule>
  </conditionalFormatting>
  <conditionalFormatting sqref="L8">
    <cfRule type="cellIs" dxfId="35" priority="38" stopIfTrue="1" operator="greaterThan">
      <formula>0</formula>
    </cfRule>
  </conditionalFormatting>
  <conditionalFormatting sqref="S7:S8">
    <cfRule type="cellIs" dxfId="34" priority="37" stopIfTrue="1" operator="greaterThan">
      <formula>0</formula>
    </cfRule>
  </conditionalFormatting>
  <conditionalFormatting sqref="Z7:Z8">
    <cfRule type="cellIs" dxfId="33" priority="36" stopIfTrue="1" operator="greaterThan">
      <formula>0</formula>
    </cfRule>
  </conditionalFormatting>
  <conditionalFormatting sqref="S12:S13">
    <cfRule type="cellIs" dxfId="32" priority="35" stopIfTrue="1" operator="greaterThan">
      <formula>0</formula>
    </cfRule>
  </conditionalFormatting>
  <conditionalFormatting sqref="Z12:Z13">
    <cfRule type="cellIs" dxfId="31" priority="34" stopIfTrue="1" operator="greaterThan">
      <formula>0</formula>
    </cfRule>
  </conditionalFormatting>
  <conditionalFormatting sqref="AG12:AG13">
    <cfRule type="cellIs" dxfId="30" priority="33" stopIfTrue="1" operator="greaterThan">
      <formula>0</formula>
    </cfRule>
  </conditionalFormatting>
  <conditionalFormatting sqref="S17:S18">
    <cfRule type="cellIs" dxfId="29" priority="32" stopIfTrue="1" operator="greaterThan">
      <formula>0</formula>
    </cfRule>
  </conditionalFormatting>
  <conditionalFormatting sqref="Z17:Z18">
    <cfRule type="cellIs" dxfId="28" priority="31" stopIfTrue="1" operator="greaterThan">
      <formula>0</formula>
    </cfRule>
  </conditionalFormatting>
  <conditionalFormatting sqref="L12:L13">
    <cfRule type="cellIs" dxfId="27" priority="30" stopIfTrue="1" operator="greaterThan">
      <formula>0</formula>
    </cfRule>
  </conditionalFormatting>
  <conditionalFormatting sqref="L17:L18">
    <cfRule type="cellIs" dxfId="26" priority="29" stopIfTrue="1" operator="greaterThan">
      <formula>0</formula>
    </cfRule>
  </conditionalFormatting>
  <conditionalFormatting sqref="L22:L23">
    <cfRule type="cellIs" dxfId="25" priority="28" stopIfTrue="1" operator="greaterThan">
      <formula>0</formula>
    </cfRule>
  </conditionalFormatting>
  <conditionalFormatting sqref="S22:S23">
    <cfRule type="cellIs" dxfId="24" priority="27" stopIfTrue="1" operator="greaterThan">
      <formula>0</formula>
    </cfRule>
  </conditionalFormatting>
  <conditionalFormatting sqref="Z22:Z23">
    <cfRule type="cellIs" dxfId="23" priority="26" stopIfTrue="1" operator="greaterThan">
      <formula>0</formula>
    </cfRule>
  </conditionalFormatting>
  <conditionalFormatting sqref="L27:L28">
    <cfRule type="cellIs" dxfId="22" priority="25" stopIfTrue="1" operator="greaterThan">
      <formula>0</formula>
    </cfRule>
  </conditionalFormatting>
  <conditionalFormatting sqref="S27:S28">
    <cfRule type="cellIs" dxfId="21" priority="24" stopIfTrue="1" operator="greaterThan">
      <formula>0</formula>
    </cfRule>
  </conditionalFormatting>
  <conditionalFormatting sqref="Z27:Z28">
    <cfRule type="cellIs" dxfId="20" priority="23" stopIfTrue="1" operator="greaterThan">
      <formula>0</formula>
    </cfRule>
  </conditionalFormatting>
  <conditionalFormatting sqref="L32:L33">
    <cfRule type="cellIs" dxfId="19" priority="22" stopIfTrue="1" operator="greaterThan">
      <formula>0</formula>
    </cfRule>
  </conditionalFormatting>
  <conditionalFormatting sqref="S32:S33">
    <cfRule type="cellIs" dxfId="18" priority="21" stopIfTrue="1" operator="greaterThan">
      <formula>0</formula>
    </cfRule>
  </conditionalFormatting>
  <conditionalFormatting sqref="Z32:Z33">
    <cfRule type="cellIs" dxfId="17" priority="20" stopIfTrue="1" operator="greaterThan">
      <formula>0</formula>
    </cfRule>
  </conditionalFormatting>
  <conditionalFormatting sqref="L37:L38">
    <cfRule type="cellIs" dxfId="16" priority="19" stopIfTrue="1" operator="greaterThan">
      <formula>0</formula>
    </cfRule>
  </conditionalFormatting>
  <conditionalFormatting sqref="S37:S38">
    <cfRule type="cellIs" dxfId="15" priority="18" stopIfTrue="1" operator="greaterThan">
      <formula>0</formula>
    </cfRule>
  </conditionalFormatting>
  <conditionalFormatting sqref="Z37:Z38">
    <cfRule type="cellIs" dxfId="14" priority="17" stopIfTrue="1" operator="greaterThan">
      <formula>0</formula>
    </cfRule>
  </conditionalFormatting>
  <conditionalFormatting sqref="K46:L46">
    <cfRule type="cellIs" dxfId="13" priority="16" stopIfTrue="1" operator="greaterThan">
      <formula>0</formula>
    </cfRule>
  </conditionalFormatting>
  <conditionalFormatting sqref="Y46:Z46">
    <cfRule type="cellIs" dxfId="12" priority="15" stopIfTrue="1" operator="greaterThan">
      <formula>0</formula>
    </cfRule>
  </conditionalFormatting>
  <conditionalFormatting sqref="R46:S46">
    <cfRule type="cellIs" dxfId="11" priority="14" stopIfTrue="1" operator="greaterThan">
      <formula>0</formula>
    </cfRule>
  </conditionalFormatting>
  <conditionalFormatting sqref="AG7:AG8">
    <cfRule type="cellIs" dxfId="10" priority="13" stopIfTrue="1" operator="greaterThan">
      <formula>0</formula>
    </cfRule>
  </conditionalFormatting>
  <conditionalFormatting sqref="AG17:AG18">
    <cfRule type="cellIs" dxfId="9" priority="11" stopIfTrue="1" operator="greaterThan">
      <formula>0</formula>
    </cfRule>
  </conditionalFormatting>
  <conditionalFormatting sqref="AG22:AG23">
    <cfRule type="cellIs" dxfId="8" priority="10" stopIfTrue="1" operator="greaterThan">
      <formula>0</formula>
    </cfRule>
  </conditionalFormatting>
  <conditionalFormatting sqref="AG27:AG28">
    <cfRule type="cellIs" dxfId="7" priority="9" stopIfTrue="1" operator="greaterThan">
      <formula>0</formula>
    </cfRule>
  </conditionalFormatting>
  <conditionalFormatting sqref="AG32:AG33">
    <cfRule type="cellIs" dxfId="6" priority="8" stopIfTrue="1" operator="greaterThan">
      <formula>0</formula>
    </cfRule>
  </conditionalFormatting>
  <conditionalFormatting sqref="AG37:AG38">
    <cfRule type="cellIs" dxfId="5" priority="7" stopIfTrue="1" operator="greaterThan">
      <formula>0</formula>
    </cfRule>
  </conditionalFormatting>
  <conditionalFormatting sqref="AF46:AG46">
    <cfRule type="cellIs" dxfId="4" priority="6" stopIfTrue="1" operator="greaterThan">
      <formula>0</formula>
    </cfRule>
  </conditionalFormatting>
  <conditionalFormatting sqref="L42:L43">
    <cfRule type="cellIs" dxfId="3" priority="5" stopIfTrue="1" operator="greaterThan">
      <formula>0</formula>
    </cfRule>
  </conditionalFormatting>
  <conditionalFormatting sqref="S42:S43">
    <cfRule type="cellIs" dxfId="2" priority="4" stopIfTrue="1" operator="greaterThan">
      <formula>0</formula>
    </cfRule>
  </conditionalFormatting>
  <conditionalFormatting sqref="Z42:Z43">
    <cfRule type="cellIs" dxfId="1" priority="3" stopIfTrue="1" operator="greaterThan">
      <formula>0</formula>
    </cfRule>
  </conditionalFormatting>
  <conditionalFormatting sqref="AG42:AG43">
    <cfRule type="cellIs" dxfId="0" priority="1" stopIfTrue="1" operator="greaterThan">
      <formula>0</formula>
    </cfRule>
  </conditionalFormatting>
  <hyperlinks>
    <hyperlink ref="H6:L6" location="HFw!A1" tooltip=" " display="HFw!A1" xr:uid="{0BE3D316-FF83-4DA1-A174-9BDBE1DBEFD5}"/>
    <hyperlink ref="O6:S6" location="HFwa!A1" tooltip=" " display="HFwa!A1" xr:uid="{73E40522-A9A8-4827-AF93-944FEAEF99CB}"/>
    <hyperlink ref="V6:Z6" location="HFna!A1" tooltip=" " display="HFna!A1" xr:uid="{E84F689D-F566-4472-9635-8FF4F25BFFAF}"/>
    <hyperlink ref="H10:L11" location="HFw_wa!A1" tooltip=" " display="HFw_wa!A1" xr:uid="{6EB01892-D62D-45F0-88A2-0B292F1D54DF}"/>
    <hyperlink ref="H16:L16" location="HSw!A1" tooltip=" " display="HSw!A1" xr:uid="{37964DF5-DAE9-4847-9969-91FC09712151}"/>
    <hyperlink ref="O10:S11" location="HFwa_w!A1" tooltip=" " display="HFwa_w!A1" xr:uid="{F8034D40-0B79-425C-A05D-17736C1E47D3}"/>
    <hyperlink ref="H31:L31" location="HKSw!A1" tooltip=" " display="HKSw!A1" xr:uid="{10FC3BB3-48B5-4AFA-AE90-A3D7205CF4BB}"/>
    <hyperlink ref="V10:Z11" location="HFw_na!A1" tooltip=" " display="HFw_na!A1" xr:uid="{0B5B387D-9DE4-4A5A-8940-B208603F102A}"/>
    <hyperlink ref="AC10:AG11" location="HFna_w!A1" tooltip=" " display="HFna_w!A1" xr:uid="{16934E10-2DA1-4AF8-A64D-C5EA9CA8AC4C}"/>
    <hyperlink ref="H26:L26" location="HKw!A1" tooltip=" " display="HKw!A1" xr:uid="{16D681BA-4CF1-468A-A792-71B548FC7632}"/>
    <hyperlink ref="O26:S26" location="HKwa!A1" tooltip=" " display="HKwa!A1" xr:uid="{5671C73E-2A61-416C-9FC5-FD1F19CF31E3}"/>
    <hyperlink ref="V26:Z26" location="HKna!A1" tooltip=" " display="HKna!A1" xr:uid="{7E7584C0-39EA-442C-A70A-CDE89AC9B2D7}"/>
    <hyperlink ref="H21:L21" location="HLw!A1" tooltip=" " display="HLw!A1" xr:uid="{D3F69076-99CB-431C-8066-E0347B76B131}"/>
    <hyperlink ref="O21:S21" location="HLwa!A1" tooltip=" " display="HLwa!A1" xr:uid="{C442A48E-E839-4522-8923-789A8C9227E0}"/>
    <hyperlink ref="V21:Z21" location="HLwa!A1" tooltip=" " display="HLwa!A1" xr:uid="{756F0092-2F31-4024-8560-ADBADBB94AB8}"/>
    <hyperlink ref="O31:S31" location="HKSwa!A1" tooltip=" " display="HKSwa!A1" xr:uid="{ED0C741E-2108-4C41-BFB0-114181F77FF1}"/>
    <hyperlink ref="V31:Z31" location="HKSna!A1" tooltip=" " display="HKSna!A1" xr:uid="{6047EEA6-1542-4FE8-9610-9CE63F86F98E}"/>
    <hyperlink ref="P320" location="Ord!A12" tooltip=" " display="Ord!A12" xr:uid="{5BBC4E6E-A801-4BBB-BFDB-0F079D24748D}"/>
    <hyperlink ref="P320:Q320" location="SumAVS!A1" tooltip=" " display="SumAVS!A1" xr:uid="{E78ED669-4C2A-48B9-8215-0BBB73AC250E}"/>
    <hyperlink ref="H36:L36" location="HKXSw!A1" tooltip=" " display="HKXSw!A1" xr:uid="{30676460-A2B1-4A4A-B8B0-B6775DAA0528}"/>
    <hyperlink ref="O36:S36" location="HKXSwa!A1" tooltip=" " display="HKXSwa!A1" xr:uid="{E77068EF-27FF-4353-9ADE-0718CEBCA5F8}"/>
    <hyperlink ref="V36:Z36" location="HKXSna!A1" tooltip=" " display="HKXSna!A1" xr:uid="{5AE0ED34-9477-4BC9-8D8F-1F0ED5049D5F}"/>
    <hyperlink ref="O46:Q46" location="AcsAVS!A60" tooltip=" " display="SERVO-DRIVE" xr:uid="{FA3A3116-2EAA-4148-BD1B-B4D730C451BB}"/>
    <hyperlink ref="V46:X46" location="AcsAVS!A1" tooltip=" " display="AcsAVS!A1" xr:uid="{C43219A9-F8CE-40C9-9E98-26DB5CC5F4D8}"/>
    <hyperlink ref="O16:S16" location="HSwa!A1" tooltip=" " display="HSwa!A1" xr:uid="{822F087E-A675-4962-9957-EAAC1E284C4D}"/>
    <hyperlink ref="V16:Z16" location="HSna!A1" tooltip=" " display="HSna!A1" xr:uid="{AA0E0F8F-8963-43BF-B0D4-FAEBD9CF4342}"/>
    <hyperlink ref="AC26:AG26" location="HKt!A1" tooltip=" " display="HKt!A1" xr:uid="{D98292B8-B7AA-44C1-99EC-C9952835EB92}"/>
    <hyperlink ref="AC21:AG21" location="HLt!A1" tooltip=" " display="HLt!A1" xr:uid="{8BE3B35B-AD9A-492B-9496-6DC48BF635A0}"/>
    <hyperlink ref="AC31:AG31" location="HKSt!A1" tooltip=" " display="HKSt!A1" xr:uid="{5E5FBD86-1A8C-4339-8481-11B8CDB56D23}"/>
    <hyperlink ref="AC36:AG36" location="HKXSt!A1" tooltip=" " display="HKXSt!A1" xr:uid="{0E900B89-85C1-467B-AB2E-D4DBDD0C515B}"/>
    <hyperlink ref="AC16:AG16" location="HSt!A1" tooltip=" " display="HSt!A1" xr:uid="{CB6B0884-D33E-42AC-BC64-378EB78CF82B}"/>
    <hyperlink ref="AI11" location="AcsAVS!A1" tooltip=" " display="AcsAVS!A1" xr:uid="{50416F20-793A-4D26-B6E4-A346C3917138}"/>
    <hyperlink ref="B46" location="AcsAVS!A1" tooltip=" " display="AcsAVS!A1" xr:uid="{33023936-A3B4-4DE9-994A-31A7BFE18273}"/>
    <hyperlink ref="H46:J46" location="AcsAVS!A40" tooltip=" " display="TIP-ON" xr:uid="{7E478450-4C46-4281-8BCA-B525C3BCD4B9}"/>
    <hyperlink ref="AI6" location="MenuAVS!A1" tooltip=" " display="MenuAVS!A1" xr:uid="{FD1D9A17-870E-480D-937F-DE3966AE9373}"/>
    <hyperlink ref="AI13" location="OrdAVS!A1" tooltip=" " display="OrdAVS!A1" xr:uid="{5873FE18-B97C-41F2-A771-3BB25039FC2F}"/>
    <hyperlink ref="AI7" location="SumAVS!A300" tooltip=" " display="SumAVS!A300" xr:uid="{29F76DC9-8DC4-4CA3-A3B9-02E54135D80B}"/>
    <hyperlink ref="H41:L41" location="HKiw!A1" tooltip=" " display="HKiw!A1" xr:uid="{8A1BB11F-4FAB-4E94-B5D9-1B42C29CB438}"/>
    <hyperlink ref="O41:S41" location="HKiwa!A1" tooltip=" " display="HKiwa!A1" xr:uid="{B15CC7D9-0B71-438B-86E0-038A6B7C2F8A}"/>
    <hyperlink ref="V41:Z41" location="HKina!A1" tooltip=" " display="HKina!A1" xr:uid="{F6D1B77B-D474-47A7-9B62-AE4F210CA2B4}"/>
    <hyperlink ref="B6:F8" location="HF!A1" tooltip=" " display="AVENTOS HF top" xr:uid="{E7B2252D-D06E-4A09-B630-594C91C74993}"/>
    <hyperlink ref="B16:F18" location="HS!A1" tooltip="  " display="AVENTOS HS top" xr:uid="{8927B843-9584-48E3-8B39-E14B81CA003E}"/>
    <hyperlink ref="B21:F23" location="HL!A1" tooltip=" " display="AVENTOS HL top" xr:uid="{46234107-A5A4-4058-861D-CC3418E63757}"/>
    <hyperlink ref="B26:F28" location="HK!A1" tooltip=" " display="AVENTOS HK top" xr:uid="{BD838FDB-BE82-4376-90D2-3128FD857024}"/>
    <hyperlink ref="B31:F33" location="HKS!A1" tooltip=" " display="AVENTOS HK-S" xr:uid="{7F502BA8-590E-4C31-BC59-A88F6719E4E6}"/>
    <hyperlink ref="B36:F38" location="HKXS!A1" tooltip=" " display="AVENTOS HK-XS" xr:uid="{C2707646-E19D-480A-88F0-D4E1CE3A142D}"/>
    <hyperlink ref="B41:F43" location="HKi!A1" tooltip=" " display="AVENTOS HKi" xr:uid="{4383F0A2-7324-4B7D-9153-1C859580E9A4}"/>
  </hyperlinks>
  <pageMargins left="0.7" right="0.7" top="0.78740157499999996" bottom="0.78740157499999996" header="0.3" footer="0.3"/>
  <pageSetup paperSize="9" orientation="portrait" horizontalDpi="4294967293" verticalDpi="0"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40231-391D-4782-B892-E2684CBA6401}">
  <sheetPr codeName="Sheet29">
    <tabColor indexed="25"/>
  </sheetPr>
  <dimension ref="A1:BC344"/>
  <sheetViews>
    <sheetView showGridLines="0" showZeros="0" zoomScaleNormal="100" workbookViewId="0">
      <selection activeCell="I203" sqref="I203"/>
    </sheetView>
  </sheetViews>
  <sheetFormatPr defaultRowHeight="12" x14ac:dyDescent="0.2"/>
  <cols>
    <col min="1" max="1" width="1" style="36" customWidth="1"/>
    <col min="2" max="2" width="58" style="36" customWidth="1"/>
    <col min="3" max="3" width="13" style="36" customWidth="1"/>
    <col min="4" max="4" width="6" style="113" customWidth="1"/>
    <col min="5" max="5" width="3.28515625" style="36" customWidth="1"/>
    <col min="6" max="6" width="6.28515625" style="111" customWidth="1"/>
    <col min="7" max="7" width="8.7109375" style="113" customWidth="1"/>
    <col min="8" max="8" width="9.42578125" style="113" customWidth="1"/>
    <col min="9" max="9" width="5.42578125" style="241" customWidth="1"/>
    <col min="10" max="10" width="9.5703125" style="36" customWidth="1"/>
    <col min="11" max="11" width="10.28515625" style="36" customWidth="1"/>
    <col min="12" max="12" width="5.42578125" style="945" hidden="1" customWidth="1"/>
    <col min="13" max="13" width="9.7109375" style="36" hidden="1" customWidth="1"/>
    <col min="14" max="14" width="1.28515625" style="242" hidden="1" customWidth="1"/>
    <col min="15" max="21" width="3.28515625" style="242" hidden="1" customWidth="1"/>
    <col min="22" max="22" width="1.28515625" style="242" hidden="1" customWidth="1"/>
    <col min="23" max="26" width="3.28515625" style="242" hidden="1" customWidth="1"/>
    <col min="27" max="27" width="1.28515625" style="242" hidden="1" customWidth="1"/>
    <col min="28" max="31" width="3.28515625" style="242" hidden="1" customWidth="1"/>
    <col min="32" max="32" width="1.28515625" style="242" hidden="1" customWidth="1"/>
    <col min="33" max="36" width="3.28515625" style="242" hidden="1" customWidth="1"/>
    <col min="37" max="37" width="1.28515625" style="242" hidden="1" customWidth="1"/>
    <col min="38" max="41" width="3.28515625" style="242" hidden="1" customWidth="1"/>
    <col min="42" max="42" width="1.28515625" style="242" hidden="1" customWidth="1"/>
    <col min="43" max="46" width="3.28515625" style="242" hidden="1" customWidth="1"/>
    <col min="47" max="47" width="1.28515625" style="242" hidden="1" customWidth="1"/>
    <col min="48" max="50" width="3.28515625" style="242" hidden="1" customWidth="1"/>
    <col min="51" max="51" width="1.28515625" style="242" hidden="1" customWidth="1"/>
    <col min="52" max="53" width="3.28515625" style="242" hidden="1" customWidth="1"/>
    <col min="54" max="54" width="6.28515625" style="36" customWidth="1"/>
    <col min="55" max="55" width="26.7109375" style="36" customWidth="1"/>
    <col min="56" max="280" width="8.7109375" style="36"/>
    <col min="281" max="281" width="1" style="36" customWidth="1"/>
    <col min="282" max="282" width="34.7109375" style="36" customWidth="1"/>
    <col min="283" max="283" width="13" style="36" customWidth="1"/>
    <col min="284" max="284" width="6" style="36" customWidth="1"/>
    <col min="285" max="285" width="4.5703125" style="36" customWidth="1"/>
    <col min="286" max="286" width="2.42578125" style="36" customWidth="1"/>
    <col min="287" max="287" width="8.7109375" style="36" customWidth="1"/>
    <col min="288" max="288" width="9.42578125" style="36" customWidth="1"/>
    <col min="289" max="289" width="5.42578125" style="36" customWidth="1"/>
    <col min="290" max="290" width="9.5703125" style="36" customWidth="1"/>
    <col min="291" max="291" width="10.28515625" style="36" customWidth="1"/>
    <col min="292" max="292" width="5.42578125" style="36" customWidth="1"/>
    <col min="293" max="293" width="9.7109375" style="36" customWidth="1"/>
    <col min="294" max="294" width="1.28515625" style="36" customWidth="1"/>
    <col min="295" max="295" width="3.28515625" style="36" customWidth="1"/>
    <col min="296" max="296" width="1.28515625" style="36" customWidth="1"/>
    <col min="297" max="297" width="3.28515625" style="36" customWidth="1"/>
    <col min="298" max="298" width="1.28515625" style="36" customWidth="1"/>
    <col min="299" max="299" width="3.28515625" style="36" customWidth="1"/>
    <col min="300" max="300" width="1.28515625" style="36" customWidth="1"/>
    <col min="301" max="301" width="3.28515625" style="36" customWidth="1"/>
    <col min="302" max="302" width="1.28515625" style="36" customWidth="1"/>
    <col min="303" max="303" width="3.28515625" style="36" customWidth="1"/>
    <col min="304" max="304" width="1.28515625" style="36" customWidth="1"/>
    <col min="305" max="305" width="3.28515625" style="36" customWidth="1"/>
    <col min="306" max="306" width="1.28515625" style="36" customWidth="1"/>
    <col min="307" max="308" width="3.28515625" style="36" customWidth="1"/>
    <col min="309" max="309" width="6.28515625" style="36" customWidth="1"/>
    <col min="310" max="311" width="19.28515625" style="36" customWidth="1"/>
    <col min="312" max="536" width="8.7109375" style="36"/>
    <col min="537" max="537" width="1" style="36" customWidth="1"/>
    <col min="538" max="538" width="34.7109375" style="36" customWidth="1"/>
    <col min="539" max="539" width="13" style="36" customWidth="1"/>
    <col min="540" max="540" width="6" style="36" customWidth="1"/>
    <col min="541" max="541" width="4.5703125" style="36" customWidth="1"/>
    <col min="542" max="542" width="2.42578125" style="36" customWidth="1"/>
    <col min="543" max="543" width="8.7109375" style="36" customWidth="1"/>
    <col min="544" max="544" width="9.42578125" style="36" customWidth="1"/>
    <col min="545" max="545" width="5.42578125" style="36" customWidth="1"/>
    <col min="546" max="546" width="9.5703125" style="36" customWidth="1"/>
    <col min="547" max="547" width="10.28515625" style="36" customWidth="1"/>
    <col min="548" max="548" width="5.42578125" style="36" customWidth="1"/>
    <col min="549" max="549" width="9.7109375" style="36" customWidth="1"/>
    <col min="550" max="550" width="1.28515625" style="36" customWidth="1"/>
    <col min="551" max="551" width="3.28515625" style="36" customWidth="1"/>
    <col min="552" max="552" width="1.28515625" style="36" customWidth="1"/>
    <col min="553" max="553" width="3.28515625" style="36" customWidth="1"/>
    <col min="554" max="554" width="1.28515625" style="36" customWidth="1"/>
    <col min="555" max="555" width="3.28515625" style="36" customWidth="1"/>
    <col min="556" max="556" width="1.28515625" style="36" customWidth="1"/>
    <col min="557" max="557" width="3.28515625" style="36" customWidth="1"/>
    <col min="558" max="558" width="1.28515625" style="36" customWidth="1"/>
    <col min="559" max="559" width="3.28515625" style="36" customWidth="1"/>
    <col min="560" max="560" width="1.28515625" style="36" customWidth="1"/>
    <col min="561" max="561" width="3.28515625" style="36" customWidth="1"/>
    <col min="562" max="562" width="1.28515625" style="36" customWidth="1"/>
    <col min="563" max="564" width="3.28515625" style="36" customWidth="1"/>
    <col min="565" max="565" width="6.28515625" style="36" customWidth="1"/>
    <col min="566" max="567" width="19.28515625" style="36" customWidth="1"/>
    <col min="568" max="792" width="8.7109375" style="36"/>
    <col min="793" max="793" width="1" style="36" customWidth="1"/>
    <col min="794" max="794" width="34.7109375" style="36" customWidth="1"/>
    <col min="795" max="795" width="13" style="36" customWidth="1"/>
    <col min="796" max="796" width="6" style="36" customWidth="1"/>
    <col min="797" max="797" width="4.5703125" style="36" customWidth="1"/>
    <col min="798" max="798" width="2.42578125" style="36" customWidth="1"/>
    <col min="799" max="799" width="8.7109375" style="36" customWidth="1"/>
    <col min="800" max="800" width="9.42578125" style="36" customWidth="1"/>
    <col min="801" max="801" width="5.42578125" style="36" customWidth="1"/>
    <col min="802" max="802" width="9.5703125" style="36" customWidth="1"/>
    <col min="803" max="803" width="10.28515625" style="36" customWidth="1"/>
    <col min="804" max="804" width="5.42578125" style="36" customWidth="1"/>
    <col min="805" max="805" width="9.7109375" style="36" customWidth="1"/>
    <col min="806" max="806" width="1.28515625" style="36" customWidth="1"/>
    <col min="807" max="807" width="3.28515625" style="36" customWidth="1"/>
    <col min="808" max="808" width="1.28515625" style="36" customWidth="1"/>
    <col min="809" max="809" width="3.28515625" style="36" customWidth="1"/>
    <col min="810" max="810" width="1.28515625" style="36" customWidth="1"/>
    <col min="811" max="811" width="3.28515625" style="36" customWidth="1"/>
    <col min="812" max="812" width="1.28515625" style="36" customWidth="1"/>
    <col min="813" max="813" width="3.28515625" style="36" customWidth="1"/>
    <col min="814" max="814" width="1.28515625" style="36" customWidth="1"/>
    <col min="815" max="815" width="3.28515625" style="36" customWidth="1"/>
    <col min="816" max="816" width="1.28515625" style="36" customWidth="1"/>
    <col min="817" max="817" width="3.28515625" style="36" customWidth="1"/>
    <col min="818" max="818" width="1.28515625" style="36" customWidth="1"/>
    <col min="819" max="820" width="3.28515625" style="36" customWidth="1"/>
    <col min="821" max="821" width="6.28515625" style="36" customWidth="1"/>
    <col min="822" max="823" width="19.28515625" style="36" customWidth="1"/>
    <col min="824" max="1048" width="8.7109375" style="36"/>
    <col min="1049" max="1049" width="1" style="36" customWidth="1"/>
    <col min="1050" max="1050" width="34.7109375" style="36" customWidth="1"/>
    <col min="1051" max="1051" width="13" style="36" customWidth="1"/>
    <col min="1052" max="1052" width="6" style="36" customWidth="1"/>
    <col min="1053" max="1053" width="4.5703125" style="36" customWidth="1"/>
    <col min="1054" max="1054" width="2.42578125" style="36" customWidth="1"/>
    <col min="1055" max="1055" width="8.7109375" style="36" customWidth="1"/>
    <col min="1056" max="1056" width="9.42578125" style="36" customWidth="1"/>
    <col min="1057" max="1057" width="5.42578125" style="36" customWidth="1"/>
    <col min="1058" max="1058" width="9.5703125" style="36" customWidth="1"/>
    <col min="1059" max="1059" width="10.28515625" style="36" customWidth="1"/>
    <col min="1060" max="1060" width="5.42578125" style="36" customWidth="1"/>
    <col min="1061" max="1061" width="9.7109375" style="36" customWidth="1"/>
    <col min="1062" max="1062" width="1.28515625" style="36" customWidth="1"/>
    <col min="1063" max="1063" width="3.28515625" style="36" customWidth="1"/>
    <col min="1064" max="1064" width="1.28515625" style="36" customWidth="1"/>
    <col min="1065" max="1065" width="3.28515625" style="36" customWidth="1"/>
    <col min="1066" max="1066" width="1.28515625" style="36" customWidth="1"/>
    <col min="1067" max="1067" width="3.28515625" style="36" customWidth="1"/>
    <col min="1068" max="1068" width="1.28515625" style="36" customWidth="1"/>
    <col min="1069" max="1069" width="3.28515625" style="36" customWidth="1"/>
    <col min="1070" max="1070" width="1.28515625" style="36" customWidth="1"/>
    <col min="1071" max="1071" width="3.28515625" style="36" customWidth="1"/>
    <col min="1072" max="1072" width="1.28515625" style="36" customWidth="1"/>
    <col min="1073" max="1073" width="3.28515625" style="36" customWidth="1"/>
    <col min="1074" max="1074" width="1.28515625" style="36" customWidth="1"/>
    <col min="1075" max="1076" width="3.28515625" style="36" customWidth="1"/>
    <col min="1077" max="1077" width="6.28515625" style="36" customWidth="1"/>
    <col min="1078" max="1079" width="19.28515625" style="36" customWidth="1"/>
    <col min="1080" max="1304" width="8.7109375" style="36"/>
    <col min="1305" max="1305" width="1" style="36" customWidth="1"/>
    <col min="1306" max="1306" width="34.7109375" style="36" customWidth="1"/>
    <col min="1307" max="1307" width="13" style="36" customWidth="1"/>
    <col min="1308" max="1308" width="6" style="36" customWidth="1"/>
    <col min="1309" max="1309" width="4.5703125" style="36" customWidth="1"/>
    <col min="1310" max="1310" width="2.42578125" style="36" customWidth="1"/>
    <col min="1311" max="1311" width="8.7109375" style="36" customWidth="1"/>
    <col min="1312" max="1312" width="9.42578125" style="36" customWidth="1"/>
    <col min="1313" max="1313" width="5.42578125" style="36" customWidth="1"/>
    <col min="1314" max="1314" width="9.5703125" style="36" customWidth="1"/>
    <col min="1315" max="1315" width="10.28515625" style="36" customWidth="1"/>
    <col min="1316" max="1316" width="5.42578125" style="36" customWidth="1"/>
    <col min="1317" max="1317" width="9.7109375" style="36" customWidth="1"/>
    <col min="1318" max="1318" width="1.28515625" style="36" customWidth="1"/>
    <col min="1319" max="1319" width="3.28515625" style="36" customWidth="1"/>
    <col min="1320" max="1320" width="1.28515625" style="36" customWidth="1"/>
    <col min="1321" max="1321" width="3.28515625" style="36" customWidth="1"/>
    <col min="1322" max="1322" width="1.28515625" style="36" customWidth="1"/>
    <col min="1323" max="1323" width="3.28515625" style="36" customWidth="1"/>
    <col min="1324" max="1324" width="1.28515625" style="36" customWidth="1"/>
    <col min="1325" max="1325" width="3.28515625" style="36" customWidth="1"/>
    <col min="1326" max="1326" width="1.28515625" style="36" customWidth="1"/>
    <col min="1327" max="1327" width="3.28515625" style="36" customWidth="1"/>
    <col min="1328" max="1328" width="1.28515625" style="36" customWidth="1"/>
    <col min="1329" max="1329" width="3.28515625" style="36" customWidth="1"/>
    <col min="1330" max="1330" width="1.28515625" style="36" customWidth="1"/>
    <col min="1331" max="1332" width="3.28515625" style="36" customWidth="1"/>
    <col min="1333" max="1333" width="6.28515625" style="36" customWidth="1"/>
    <col min="1334" max="1335" width="19.28515625" style="36" customWidth="1"/>
    <col min="1336" max="1560" width="8.7109375" style="36"/>
    <col min="1561" max="1561" width="1" style="36" customWidth="1"/>
    <col min="1562" max="1562" width="34.7109375" style="36" customWidth="1"/>
    <col min="1563" max="1563" width="13" style="36" customWidth="1"/>
    <col min="1564" max="1564" width="6" style="36" customWidth="1"/>
    <col min="1565" max="1565" width="4.5703125" style="36" customWidth="1"/>
    <col min="1566" max="1566" width="2.42578125" style="36" customWidth="1"/>
    <col min="1567" max="1567" width="8.7109375" style="36" customWidth="1"/>
    <col min="1568" max="1568" width="9.42578125" style="36" customWidth="1"/>
    <col min="1569" max="1569" width="5.42578125" style="36" customWidth="1"/>
    <col min="1570" max="1570" width="9.5703125" style="36" customWidth="1"/>
    <col min="1571" max="1571" width="10.28515625" style="36" customWidth="1"/>
    <col min="1572" max="1572" width="5.42578125" style="36" customWidth="1"/>
    <col min="1573" max="1573" width="9.7109375" style="36" customWidth="1"/>
    <col min="1574" max="1574" width="1.28515625" style="36" customWidth="1"/>
    <col min="1575" max="1575" width="3.28515625" style="36" customWidth="1"/>
    <col min="1576" max="1576" width="1.28515625" style="36" customWidth="1"/>
    <col min="1577" max="1577" width="3.28515625" style="36" customWidth="1"/>
    <col min="1578" max="1578" width="1.28515625" style="36" customWidth="1"/>
    <col min="1579" max="1579" width="3.28515625" style="36" customWidth="1"/>
    <col min="1580" max="1580" width="1.28515625" style="36" customWidth="1"/>
    <col min="1581" max="1581" width="3.28515625" style="36" customWidth="1"/>
    <col min="1582" max="1582" width="1.28515625" style="36" customWidth="1"/>
    <col min="1583" max="1583" width="3.28515625" style="36" customWidth="1"/>
    <col min="1584" max="1584" width="1.28515625" style="36" customWidth="1"/>
    <col min="1585" max="1585" width="3.28515625" style="36" customWidth="1"/>
    <col min="1586" max="1586" width="1.28515625" style="36" customWidth="1"/>
    <col min="1587" max="1588" width="3.28515625" style="36" customWidth="1"/>
    <col min="1589" max="1589" width="6.28515625" style="36" customWidth="1"/>
    <col min="1590" max="1591" width="19.28515625" style="36" customWidth="1"/>
    <col min="1592" max="1816" width="8.7109375" style="36"/>
    <col min="1817" max="1817" width="1" style="36" customWidth="1"/>
    <col min="1818" max="1818" width="34.7109375" style="36" customWidth="1"/>
    <col min="1819" max="1819" width="13" style="36" customWidth="1"/>
    <col min="1820" max="1820" width="6" style="36" customWidth="1"/>
    <col min="1821" max="1821" width="4.5703125" style="36" customWidth="1"/>
    <col min="1822" max="1822" width="2.42578125" style="36" customWidth="1"/>
    <col min="1823" max="1823" width="8.7109375" style="36" customWidth="1"/>
    <col min="1824" max="1824" width="9.42578125" style="36" customWidth="1"/>
    <col min="1825" max="1825" width="5.42578125" style="36" customWidth="1"/>
    <col min="1826" max="1826" width="9.5703125" style="36" customWidth="1"/>
    <col min="1827" max="1827" width="10.28515625" style="36" customWidth="1"/>
    <col min="1828" max="1828" width="5.42578125" style="36" customWidth="1"/>
    <col min="1829" max="1829" width="9.7109375" style="36" customWidth="1"/>
    <col min="1830" max="1830" width="1.28515625" style="36" customWidth="1"/>
    <col min="1831" max="1831" width="3.28515625" style="36" customWidth="1"/>
    <col min="1832" max="1832" width="1.28515625" style="36" customWidth="1"/>
    <col min="1833" max="1833" width="3.28515625" style="36" customWidth="1"/>
    <col min="1834" max="1834" width="1.28515625" style="36" customWidth="1"/>
    <col min="1835" max="1835" width="3.28515625" style="36" customWidth="1"/>
    <col min="1836" max="1836" width="1.28515625" style="36" customWidth="1"/>
    <col min="1837" max="1837" width="3.28515625" style="36" customWidth="1"/>
    <col min="1838" max="1838" width="1.28515625" style="36" customWidth="1"/>
    <col min="1839" max="1839" width="3.28515625" style="36" customWidth="1"/>
    <col min="1840" max="1840" width="1.28515625" style="36" customWidth="1"/>
    <col min="1841" max="1841" width="3.28515625" style="36" customWidth="1"/>
    <col min="1842" max="1842" width="1.28515625" style="36" customWidth="1"/>
    <col min="1843" max="1844" width="3.28515625" style="36" customWidth="1"/>
    <col min="1845" max="1845" width="6.28515625" style="36" customWidth="1"/>
    <col min="1846" max="1847" width="19.28515625" style="36" customWidth="1"/>
    <col min="1848" max="2072" width="8.7109375" style="36"/>
    <col min="2073" max="2073" width="1" style="36" customWidth="1"/>
    <col min="2074" max="2074" width="34.7109375" style="36" customWidth="1"/>
    <col min="2075" max="2075" width="13" style="36" customWidth="1"/>
    <col min="2076" max="2076" width="6" style="36" customWidth="1"/>
    <col min="2077" max="2077" width="4.5703125" style="36" customWidth="1"/>
    <col min="2078" max="2078" width="2.42578125" style="36" customWidth="1"/>
    <col min="2079" max="2079" width="8.7109375" style="36" customWidth="1"/>
    <col min="2080" max="2080" width="9.42578125" style="36" customWidth="1"/>
    <col min="2081" max="2081" width="5.42578125" style="36" customWidth="1"/>
    <col min="2082" max="2082" width="9.5703125" style="36" customWidth="1"/>
    <col min="2083" max="2083" width="10.28515625" style="36" customWidth="1"/>
    <col min="2084" max="2084" width="5.42578125" style="36" customWidth="1"/>
    <col min="2085" max="2085" width="9.7109375" style="36" customWidth="1"/>
    <col min="2086" max="2086" width="1.28515625" style="36" customWidth="1"/>
    <col min="2087" max="2087" width="3.28515625" style="36" customWidth="1"/>
    <col min="2088" max="2088" width="1.28515625" style="36" customWidth="1"/>
    <col min="2089" max="2089" width="3.28515625" style="36" customWidth="1"/>
    <col min="2090" max="2090" width="1.28515625" style="36" customWidth="1"/>
    <col min="2091" max="2091" width="3.28515625" style="36" customWidth="1"/>
    <col min="2092" max="2092" width="1.28515625" style="36" customWidth="1"/>
    <col min="2093" max="2093" width="3.28515625" style="36" customWidth="1"/>
    <col min="2094" max="2094" width="1.28515625" style="36" customWidth="1"/>
    <col min="2095" max="2095" width="3.28515625" style="36" customWidth="1"/>
    <col min="2096" max="2096" width="1.28515625" style="36" customWidth="1"/>
    <col min="2097" max="2097" width="3.28515625" style="36" customWidth="1"/>
    <col min="2098" max="2098" width="1.28515625" style="36" customWidth="1"/>
    <col min="2099" max="2100" width="3.28515625" style="36" customWidth="1"/>
    <col min="2101" max="2101" width="6.28515625" style="36" customWidth="1"/>
    <col min="2102" max="2103" width="19.28515625" style="36" customWidth="1"/>
    <col min="2104" max="2328" width="8.7109375" style="36"/>
    <col min="2329" max="2329" width="1" style="36" customWidth="1"/>
    <col min="2330" max="2330" width="34.7109375" style="36" customWidth="1"/>
    <col min="2331" max="2331" width="13" style="36" customWidth="1"/>
    <col min="2332" max="2332" width="6" style="36" customWidth="1"/>
    <col min="2333" max="2333" width="4.5703125" style="36" customWidth="1"/>
    <col min="2334" max="2334" width="2.42578125" style="36" customWidth="1"/>
    <col min="2335" max="2335" width="8.7109375" style="36" customWidth="1"/>
    <col min="2336" max="2336" width="9.42578125" style="36" customWidth="1"/>
    <col min="2337" max="2337" width="5.42578125" style="36" customWidth="1"/>
    <col min="2338" max="2338" width="9.5703125" style="36" customWidth="1"/>
    <col min="2339" max="2339" width="10.28515625" style="36" customWidth="1"/>
    <col min="2340" max="2340" width="5.42578125" style="36" customWidth="1"/>
    <col min="2341" max="2341" width="9.7109375" style="36" customWidth="1"/>
    <col min="2342" max="2342" width="1.28515625" style="36" customWidth="1"/>
    <col min="2343" max="2343" width="3.28515625" style="36" customWidth="1"/>
    <col min="2344" max="2344" width="1.28515625" style="36" customWidth="1"/>
    <col min="2345" max="2345" width="3.28515625" style="36" customWidth="1"/>
    <col min="2346" max="2346" width="1.28515625" style="36" customWidth="1"/>
    <col min="2347" max="2347" width="3.28515625" style="36" customWidth="1"/>
    <col min="2348" max="2348" width="1.28515625" style="36" customWidth="1"/>
    <col min="2349" max="2349" width="3.28515625" style="36" customWidth="1"/>
    <col min="2350" max="2350" width="1.28515625" style="36" customWidth="1"/>
    <col min="2351" max="2351" width="3.28515625" style="36" customWidth="1"/>
    <col min="2352" max="2352" width="1.28515625" style="36" customWidth="1"/>
    <col min="2353" max="2353" width="3.28515625" style="36" customWidth="1"/>
    <col min="2354" max="2354" width="1.28515625" style="36" customWidth="1"/>
    <col min="2355" max="2356" width="3.28515625" style="36" customWidth="1"/>
    <col min="2357" max="2357" width="6.28515625" style="36" customWidth="1"/>
    <col min="2358" max="2359" width="19.28515625" style="36" customWidth="1"/>
    <col min="2360" max="2584" width="8.7109375" style="36"/>
    <col min="2585" max="2585" width="1" style="36" customWidth="1"/>
    <col min="2586" max="2586" width="34.7109375" style="36" customWidth="1"/>
    <col min="2587" max="2587" width="13" style="36" customWidth="1"/>
    <col min="2588" max="2588" width="6" style="36" customWidth="1"/>
    <col min="2589" max="2589" width="4.5703125" style="36" customWidth="1"/>
    <col min="2590" max="2590" width="2.42578125" style="36" customWidth="1"/>
    <col min="2591" max="2591" width="8.7109375" style="36" customWidth="1"/>
    <col min="2592" max="2592" width="9.42578125" style="36" customWidth="1"/>
    <col min="2593" max="2593" width="5.42578125" style="36" customWidth="1"/>
    <col min="2594" max="2594" width="9.5703125" style="36" customWidth="1"/>
    <col min="2595" max="2595" width="10.28515625" style="36" customWidth="1"/>
    <col min="2596" max="2596" width="5.42578125" style="36" customWidth="1"/>
    <col min="2597" max="2597" width="9.7109375" style="36" customWidth="1"/>
    <col min="2598" max="2598" width="1.28515625" style="36" customWidth="1"/>
    <col min="2599" max="2599" width="3.28515625" style="36" customWidth="1"/>
    <col min="2600" max="2600" width="1.28515625" style="36" customWidth="1"/>
    <col min="2601" max="2601" width="3.28515625" style="36" customWidth="1"/>
    <col min="2602" max="2602" width="1.28515625" style="36" customWidth="1"/>
    <col min="2603" max="2603" width="3.28515625" style="36" customWidth="1"/>
    <col min="2604" max="2604" width="1.28515625" style="36" customWidth="1"/>
    <col min="2605" max="2605" width="3.28515625" style="36" customWidth="1"/>
    <col min="2606" max="2606" width="1.28515625" style="36" customWidth="1"/>
    <col min="2607" max="2607" width="3.28515625" style="36" customWidth="1"/>
    <col min="2608" max="2608" width="1.28515625" style="36" customWidth="1"/>
    <col min="2609" max="2609" width="3.28515625" style="36" customWidth="1"/>
    <col min="2610" max="2610" width="1.28515625" style="36" customWidth="1"/>
    <col min="2611" max="2612" width="3.28515625" style="36" customWidth="1"/>
    <col min="2613" max="2613" width="6.28515625" style="36" customWidth="1"/>
    <col min="2614" max="2615" width="19.28515625" style="36" customWidth="1"/>
    <col min="2616" max="2840" width="8.7109375" style="36"/>
    <col min="2841" max="2841" width="1" style="36" customWidth="1"/>
    <col min="2842" max="2842" width="34.7109375" style="36" customWidth="1"/>
    <col min="2843" max="2843" width="13" style="36" customWidth="1"/>
    <col min="2844" max="2844" width="6" style="36" customWidth="1"/>
    <col min="2845" max="2845" width="4.5703125" style="36" customWidth="1"/>
    <col min="2846" max="2846" width="2.42578125" style="36" customWidth="1"/>
    <col min="2847" max="2847" width="8.7109375" style="36" customWidth="1"/>
    <col min="2848" max="2848" width="9.42578125" style="36" customWidth="1"/>
    <col min="2849" max="2849" width="5.42578125" style="36" customWidth="1"/>
    <col min="2850" max="2850" width="9.5703125" style="36" customWidth="1"/>
    <col min="2851" max="2851" width="10.28515625" style="36" customWidth="1"/>
    <col min="2852" max="2852" width="5.42578125" style="36" customWidth="1"/>
    <col min="2853" max="2853" width="9.7109375" style="36" customWidth="1"/>
    <col min="2854" max="2854" width="1.28515625" style="36" customWidth="1"/>
    <col min="2855" max="2855" width="3.28515625" style="36" customWidth="1"/>
    <col min="2856" max="2856" width="1.28515625" style="36" customWidth="1"/>
    <col min="2857" max="2857" width="3.28515625" style="36" customWidth="1"/>
    <col min="2858" max="2858" width="1.28515625" style="36" customWidth="1"/>
    <col min="2859" max="2859" width="3.28515625" style="36" customWidth="1"/>
    <col min="2860" max="2860" width="1.28515625" style="36" customWidth="1"/>
    <col min="2861" max="2861" width="3.28515625" style="36" customWidth="1"/>
    <col min="2862" max="2862" width="1.28515625" style="36" customWidth="1"/>
    <col min="2863" max="2863" width="3.28515625" style="36" customWidth="1"/>
    <col min="2864" max="2864" width="1.28515625" style="36" customWidth="1"/>
    <col min="2865" max="2865" width="3.28515625" style="36" customWidth="1"/>
    <col min="2866" max="2866" width="1.28515625" style="36" customWidth="1"/>
    <col min="2867" max="2868" width="3.28515625" style="36" customWidth="1"/>
    <col min="2869" max="2869" width="6.28515625" style="36" customWidth="1"/>
    <col min="2870" max="2871" width="19.28515625" style="36" customWidth="1"/>
    <col min="2872" max="3096" width="8.7109375" style="36"/>
    <col min="3097" max="3097" width="1" style="36" customWidth="1"/>
    <col min="3098" max="3098" width="34.7109375" style="36" customWidth="1"/>
    <col min="3099" max="3099" width="13" style="36" customWidth="1"/>
    <col min="3100" max="3100" width="6" style="36" customWidth="1"/>
    <col min="3101" max="3101" width="4.5703125" style="36" customWidth="1"/>
    <col min="3102" max="3102" width="2.42578125" style="36" customWidth="1"/>
    <col min="3103" max="3103" width="8.7109375" style="36" customWidth="1"/>
    <col min="3104" max="3104" width="9.42578125" style="36" customWidth="1"/>
    <col min="3105" max="3105" width="5.42578125" style="36" customWidth="1"/>
    <col min="3106" max="3106" width="9.5703125" style="36" customWidth="1"/>
    <col min="3107" max="3107" width="10.28515625" style="36" customWidth="1"/>
    <col min="3108" max="3108" width="5.42578125" style="36" customWidth="1"/>
    <col min="3109" max="3109" width="9.7109375" style="36" customWidth="1"/>
    <col min="3110" max="3110" width="1.28515625" style="36" customWidth="1"/>
    <col min="3111" max="3111" width="3.28515625" style="36" customWidth="1"/>
    <col min="3112" max="3112" width="1.28515625" style="36" customWidth="1"/>
    <col min="3113" max="3113" width="3.28515625" style="36" customWidth="1"/>
    <col min="3114" max="3114" width="1.28515625" style="36" customWidth="1"/>
    <col min="3115" max="3115" width="3.28515625" style="36" customWidth="1"/>
    <col min="3116" max="3116" width="1.28515625" style="36" customWidth="1"/>
    <col min="3117" max="3117" width="3.28515625" style="36" customWidth="1"/>
    <col min="3118" max="3118" width="1.28515625" style="36" customWidth="1"/>
    <col min="3119" max="3119" width="3.28515625" style="36" customWidth="1"/>
    <col min="3120" max="3120" width="1.28515625" style="36" customWidth="1"/>
    <col min="3121" max="3121" width="3.28515625" style="36" customWidth="1"/>
    <col min="3122" max="3122" width="1.28515625" style="36" customWidth="1"/>
    <col min="3123" max="3124" width="3.28515625" style="36" customWidth="1"/>
    <col min="3125" max="3125" width="6.28515625" style="36" customWidth="1"/>
    <col min="3126" max="3127" width="19.28515625" style="36" customWidth="1"/>
    <col min="3128" max="3352" width="8.7109375" style="36"/>
    <col min="3353" max="3353" width="1" style="36" customWidth="1"/>
    <col min="3354" max="3354" width="34.7109375" style="36" customWidth="1"/>
    <col min="3355" max="3355" width="13" style="36" customWidth="1"/>
    <col min="3356" max="3356" width="6" style="36" customWidth="1"/>
    <col min="3357" max="3357" width="4.5703125" style="36" customWidth="1"/>
    <col min="3358" max="3358" width="2.42578125" style="36" customWidth="1"/>
    <col min="3359" max="3359" width="8.7109375" style="36" customWidth="1"/>
    <col min="3360" max="3360" width="9.42578125" style="36" customWidth="1"/>
    <col min="3361" max="3361" width="5.42578125" style="36" customWidth="1"/>
    <col min="3362" max="3362" width="9.5703125" style="36" customWidth="1"/>
    <col min="3363" max="3363" width="10.28515625" style="36" customWidth="1"/>
    <col min="3364" max="3364" width="5.42578125" style="36" customWidth="1"/>
    <col min="3365" max="3365" width="9.7109375" style="36" customWidth="1"/>
    <col min="3366" max="3366" width="1.28515625" style="36" customWidth="1"/>
    <col min="3367" max="3367" width="3.28515625" style="36" customWidth="1"/>
    <col min="3368" max="3368" width="1.28515625" style="36" customWidth="1"/>
    <col min="3369" max="3369" width="3.28515625" style="36" customWidth="1"/>
    <col min="3370" max="3370" width="1.28515625" style="36" customWidth="1"/>
    <col min="3371" max="3371" width="3.28515625" style="36" customWidth="1"/>
    <col min="3372" max="3372" width="1.28515625" style="36" customWidth="1"/>
    <col min="3373" max="3373" width="3.28515625" style="36" customWidth="1"/>
    <col min="3374" max="3374" width="1.28515625" style="36" customWidth="1"/>
    <col min="3375" max="3375" width="3.28515625" style="36" customWidth="1"/>
    <col min="3376" max="3376" width="1.28515625" style="36" customWidth="1"/>
    <col min="3377" max="3377" width="3.28515625" style="36" customWidth="1"/>
    <col min="3378" max="3378" width="1.28515625" style="36" customWidth="1"/>
    <col min="3379" max="3380" width="3.28515625" style="36" customWidth="1"/>
    <col min="3381" max="3381" width="6.28515625" style="36" customWidth="1"/>
    <col min="3382" max="3383" width="19.28515625" style="36" customWidth="1"/>
    <col min="3384" max="3608" width="8.7109375" style="36"/>
    <col min="3609" max="3609" width="1" style="36" customWidth="1"/>
    <col min="3610" max="3610" width="34.7109375" style="36" customWidth="1"/>
    <col min="3611" max="3611" width="13" style="36" customWidth="1"/>
    <col min="3612" max="3612" width="6" style="36" customWidth="1"/>
    <col min="3613" max="3613" width="4.5703125" style="36" customWidth="1"/>
    <col min="3614" max="3614" width="2.42578125" style="36" customWidth="1"/>
    <col min="3615" max="3615" width="8.7109375" style="36" customWidth="1"/>
    <col min="3616" max="3616" width="9.42578125" style="36" customWidth="1"/>
    <col min="3617" max="3617" width="5.42578125" style="36" customWidth="1"/>
    <col min="3618" max="3618" width="9.5703125" style="36" customWidth="1"/>
    <col min="3619" max="3619" width="10.28515625" style="36" customWidth="1"/>
    <col min="3620" max="3620" width="5.42578125" style="36" customWidth="1"/>
    <col min="3621" max="3621" width="9.7109375" style="36" customWidth="1"/>
    <col min="3622" max="3622" width="1.28515625" style="36" customWidth="1"/>
    <col min="3623" max="3623" width="3.28515625" style="36" customWidth="1"/>
    <col min="3624" max="3624" width="1.28515625" style="36" customWidth="1"/>
    <col min="3625" max="3625" width="3.28515625" style="36" customWidth="1"/>
    <col min="3626" max="3626" width="1.28515625" style="36" customWidth="1"/>
    <col min="3627" max="3627" width="3.28515625" style="36" customWidth="1"/>
    <col min="3628" max="3628" width="1.28515625" style="36" customWidth="1"/>
    <col min="3629" max="3629" width="3.28515625" style="36" customWidth="1"/>
    <col min="3630" max="3630" width="1.28515625" style="36" customWidth="1"/>
    <col min="3631" max="3631" width="3.28515625" style="36" customWidth="1"/>
    <col min="3632" max="3632" width="1.28515625" style="36" customWidth="1"/>
    <col min="3633" max="3633" width="3.28515625" style="36" customWidth="1"/>
    <col min="3634" max="3634" width="1.28515625" style="36" customWidth="1"/>
    <col min="3635" max="3636" width="3.28515625" style="36" customWidth="1"/>
    <col min="3637" max="3637" width="6.28515625" style="36" customWidth="1"/>
    <col min="3638" max="3639" width="19.28515625" style="36" customWidth="1"/>
    <col min="3640" max="3864" width="8.7109375" style="36"/>
    <col min="3865" max="3865" width="1" style="36" customWidth="1"/>
    <col min="3866" max="3866" width="34.7109375" style="36" customWidth="1"/>
    <col min="3867" max="3867" width="13" style="36" customWidth="1"/>
    <col min="3868" max="3868" width="6" style="36" customWidth="1"/>
    <col min="3869" max="3869" width="4.5703125" style="36" customWidth="1"/>
    <col min="3870" max="3870" width="2.42578125" style="36" customWidth="1"/>
    <col min="3871" max="3871" width="8.7109375" style="36" customWidth="1"/>
    <col min="3872" max="3872" width="9.42578125" style="36" customWidth="1"/>
    <col min="3873" max="3873" width="5.42578125" style="36" customWidth="1"/>
    <col min="3874" max="3874" width="9.5703125" style="36" customWidth="1"/>
    <col min="3875" max="3875" width="10.28515625" style="36" customWidth="1"/>
    <col min="3876" max="3876" width="5.42578125" style="36" customWidth="1"/>
    <col min="3877" max="3877" width="9.7109375" style="36" customWidth="1"/>
    <col min="3878" max="3878" width="1.28515625" style="36" customWidth="1"/>
    <col min="3879" max="3879" width="3.28515625" style="36" customWidth="1"/>
    <col min="3880" max="3880" width="1.28515625" style="36" customWidth="1"/>
    <col min="3881" max="3881" width="3.28515625" style="36" customWidth="1"/>
    <col min="3882" max="3882" width="1.28515625" style="36" customWidth="1"/>
    <col min="3883" max="3883" width="3.28515625" style="36" customWidth="1"/>
    <col min="3884" max="3884" width="1.28515625" style="36" customWidth="1"/>
    <col min="3885" max="3885" width="3.28515625" style="36" customWidth="1"/>
    <col min="3886" max="3886" width="1.28515625" style="36" customWidth="1"/>
    <col min="3887" max="3887" width="3.28515625" style="36" customWidth="1"/>
    <col min="3888" max="3888" width="1.28515625" style="36" customWidth="1"/>
    <col min="3889" max="3889" width="3.28515625" style="36" customWidth="1"/>
    <col min="3890" max="3890" width="1.28515625" style="36" customWidth="1"/>
    <col min="3891" max="3892" width="3.28515625" style="36" customWidth="1"/>
    <col min="3893" max="3893" width="6.28515625" style="36" customWidth="1"/>
    <col min="3894" max="3895" width="19.28515625" style="36" customWidth="1"/>
    <col min="3896" max="4120" width="8.7109375" style="36"/>
    <col min="4121" max="4121" width="1" style="36" customWidth="1"/>
    <col min="4122" max="4122" width="34.7109375" style="36" customWidth="1"/>
    <col min="4123" max="4123" width="13" style="36" customWidth="1"/>
    <col min="4124" max="4124" width="6" style="36" customWidth="1"/>
    <col min="4125" max="4125" width="4.5703125" style="36" customWidth="1"/>
    <col min="4126" max="4126" width="2.42578125" style="36" customWidth="1"/>
    <col min="4127" max="4127" width="8.7109375" style="36" customWidth="1"/>
    <col min="4128" max="4128" width="9.42578125" style="36" customWidth="1"/>
    <col min="4129" max="4129" width="5.42578125" style="36" customWidth="1"/>
    <col min="4130" max="4130" width="9.5703125" style="36" customWidth="1"/>
    <col min="4131" max="4131" width="10.28515625" style="36" customWidth="1"/>
    <col min="4132" max="4132" width="5.42578125" style="36" customWidth="1"/>
    <col min="4133" max="4133" width="9.7109375" style="36" customWidth="1"/>
    <col min="4134" max="4134" width="1.28515625" style="36" customWidth="1"/>
    <col min="4135" max="4135" width="3.28515625" style="36" customWidth="1"/>
    <col min="4136" max="4136" width="1.28515625" style="36" customWidth="1"/>
    <col min="4137" max="4137" width="3.28515625" style="36" customWidth="1"/>
    <col min="4138" max="4138" width="1.28515625" style="36" customWidth="1"/>
    <col min="4139" max="4139" width="3.28515625" style="36" customWidth="1"/>
    <col min="4140" max="4140" width="1.28515625" style="36" customWidth="1"/>
    <col min="4141" max="4141" width="3.28515625" style="36" customWidth="1"/>
    <col min="4142" max="4142" width="1.28515625" style="36" customWidth="1"/>
    <col min="4143" max="4143" width="3.28515625" style="36" customWidth="1"/>
    <col min="4144" max="4144" width="1.28515625" style="36" customWidth="1"/>
    <col min="4145" max="4145" width="3.28515625" style="36" customWidth="1"/>
    <col min="4146" max="4146" width="1.28515625" style="36" customWidth="1"/>
    <col min="4147" max="4148" width="3.28515625" style="36" customWidth="1"/>
    <col min="4149" max="4149" width="6.28515625" style="36" customWidth="1"/>
    <col min="4150" max="4151" width="19.28515625" style="36" customWidth="1"/>
    <col min="4152" max="4376" width="8.7109375" style="36"/>
    <col min="4377" max="4377" width="1" style="36" customWidth="1"/>
    <col min="4378" max="4378" width="34.7109375" style="36" customWidth="1"/>
    <col min="4379" max="4379" width="13" style="36" customWidth="1"/>
    <col min="4380" max="4380" width="6" style="36" customWidth="1"/>
    <col min="4381" max="4381" width="4.5703125" style="36" customWidth="1"/>
    <col min="4382" max="4382" width="2.42578125" style="36" customWidth="1"/>
    <col min="4383" max="4383" width="8.7109375" style="36" customWidth="1"/>
    <col min="4384" max="4384" width="9.42578125" style="36" customWidth="1"/>
    <col min="4385" max="4385" width="5.42578125" style="36" customWidth="1"/>
    <col min="4386" max="4386" width="9.5703125" style="36" customWidth="1"/>
    <col min="4387" max="4387" width="10.28515625" style="36" customWidth="1"/>
    <col min="4388" max="4388" width="5.42578125" style="36" customWidth="1"/>
    <col min="4389" max="4389" width="9.7109375" style="36" customWidth="1"/>
    <col min="4390" max="4390" width="1.28515625" style="36" customWidth="1"/>
    <col min="4391" max="4391" width="3.28515625" style="36" customWidth="1"/>
    <col min="4392" max="4392" width="1.28515625" style="36" customWidth="1"/>
    <col min="4393" max="4393" width="3.28515625" style="36" customWidth="1"/>
    <col min="4394" max="4394" width="1.28515625" style="36" customWidth="1"/>
    <col min="4395" max="4395" width="3.28515625" style="36" customWidth="1"/>
    <col min="4396" max="4396" width="1.28515625" style="36" customWidth="1"/>
    <col min="4397" max="4397" width="3.28515625" style="36" customWidth="1"/>
    <col min="4398" max="4398" width="1.28515625" style="36" customWidth="1"/>
    <col min="4399" max="4399" width="3.28515625" style="36" customWidth="1"/>
    <col min="4400" max="4400" width="1.28515625" style="36" customWidth="1"/>
    <col min="4401" max="4401" width="3.28515625" style="36" customWidth="1"/>
    <col min="4402" max="4402" width="1.28515625" style="36" customWidth="1"/>
    <col min="4403" max="4404" width="3.28515625" style="36" customWidth="1"/>
    <col min="4405" max="4405" width="6.28515625" style="36" customWidth="1"/>
    <col min="4406" max="4407" width="19.28515625" style="36" customWidth="1"/>
    <col min="4408" max="4632" width="8.7109375" style="36"/>
    <col min="4633" max="4633" width="1" style="36" customWidth="1"/>
    <col min="4634" max="4634" width="34.7109375" style="36" customWidth="1"/>
    <col min="4635" max="4635" width="13" style="36" customWidth="1"/>
    <col min="4636" max="4636" width="6" style="36" customWidth="1"/>
    <col min="4637" max="4637" width="4.5703125" style="36" customWidth="1"/>
    <col min="4638" max="4638" width="2.42578125" style="36" customWidth="1"/>
    <col min="4639" max="4639" width="8.7109375" style="36" customWidth="1"/>
    <col min="4640" max="4640" width="9.42578125" style="36" customWidth="1"/>
    <col min="4641" max="4641" width="5.42578125" style="36" customWidth="1"/>
    <col min="4642" max="4642" width="9.5703125" style="36" customWidth="1"/>
    <col min="4643" max="4643" width="10.28515625" style="36" customWidth="1"/>
    <col min="4644" max="4644" width="5.42578125" style="36" customWidth="1"/>
    <col min="4645" max="4645" width="9.7109375" style="36" customWidth="1"/>
    <col min="4646" max="4646" width="1.28515625" style="36" customWidth="1"/>
    <col min="4647" max="4647" width="3.28515625" style="36" customWidth="1"/>
    <col min="4648" max="4648" width="1.28515625" style="36" customWidth="1"/>
    <col min="4649" max="4649" width="3.28515625" style="36" customWidth="1"/>
    <col min="4650" max="4650" width="1.28515625" style="36" customWidth="1"/>
    <col min="4651" max="4651" width="3.28515625" style="36" customWidth="1"/>
    <col min="4652" max="4652" width="1.28515625" style="36" customWidth="1"/>
    <col min="4653" max="4653" width="3.28515625" style="36" customWidth="1"/>
    <col min="4654" max="4654" width="1.28515625" style="36" customWidth="1"/>
    <col min="4655" max="4655" width="3.28515625" style="36" customWidth="1"/>
    <col min="4656" max="4656" width="1.28515625" style="36" customWidth="1"/>
    <col min="4657" max="4657" width="3.28515625" style="36" customWidth="1"/>
    <col min="4658" max="4658" width="1.28515625" style="36" customWidth="1"/>
    <col min="4659" max="4660" width="3.28515625" style="36" customWidth="1"/>
    <col min="4661" max="4661" width="6.28515625" style="36" customWidth="1"/>
    <col min="4662" max="4663" width="19.28515625" style="36" customWidth="1"/>
    <col min="4664" max="4888" width="8.7109375" style="36"/>
    <col min="4889" max="4889" width="1" style="36" customWidth="1"/>
    <col min="4890" max="4890" width="34.7109375" style="36" customWidth="1"/>
    <col min="4891" max="4891" width="13" style="36" customWidth="1"/>
    <col min="4892" max="4892" width="6" style="36" customWidth="1"/>
    <col min="4893" max="4893" width="4.5703125" style="36" customWidth="1"/>
    <col min="4894" max="4894" width="2.42578125" style="36" customWidth="1"/>
    <col min="4895" max="4895" width="8.7109375" style="36" customWidth="1"/>
    <col min="4896" max="4896" width="9.42578125" style="36" customWidth="1"/>
    <col min="4897" max="4897" width="5.42578125" style="36" customWidth="1"/>
    <col min="4898" max="4898" width="9.5703125" style="36" customWidth="1"/>
    <col min="4899" max="4899" width="10.28515625" style="36" customWidth="1"/>
    <col min="4900" max="4900" width="5.42578125" style="36" customWidth="1"/>
    <col min="4901" max="4901" width="9.7109375" style="36" customWidth="1"/>
    <col min="4902" max="4902" width="1.28515625" style="36" customWidth="1"/>
    <col min="4903" max="4903" width="3.28515625" style="36" customWidth="1"/>
    <col min="4904" max="4904" width="1.28515625" style="36" customWidth="1"/>
    <col min="4905" max="4905" width="3.28515625" style="36" customWidth="1"/>
    <col min="4906" max="4906" width="1.28515625" style="36" customWidth="1"/>
    <col min="4907" max="4907" width="3.28515625" style="36" customWidth="1"/>
    <col min="4908" max="4908" width="1.28515625" style="36" customWidth="1"/>
    <col min="4909" max="4909" width="3.28515625" style="36" customWidth="1"/>
    <col min="4910" max="4910" width="1.28515625" style="36" customWidth="1"/>
    <col min="4911" max="4911" width="3.28515625" style="36" customWidth="1"/>
    <col min="4912" max="4912" width="1.28515625" style="36" customWidth="1"/>
    <col min="4913" max="4913" width="3.28515625" style="36" customWidth="1"/>
    <col min="4914" max="4914" width="1.28515625" style="36" customWidth="1"/>
    <col min="4915" max="4916" width="3.28515625" style="36" customWidth="1"/>
    <col min="4917" max="4917" width="6.28515625" style="36" customWidth="1"/>
    <col min="4918" max="4919" width="19.28515625" style="36" customWidth="1"/>
    <col min="4920" max="5144" width="8.7109375" style="36"/>
    <col min="5145" max="5145" width="1" style="36" customWidth="1"/>
    <col min="5146" max="5146" width="34.7109375" style="36" customWidth="1"/>
    <col min="5147" max="5147" width="13" style="36" customWidth="1"/>
    <col min="5148" max="5148" width="6" style="36" customWidth="1"/>
    <col min="5149" max="5149" width="4.5703125" style="36" customWidth="1"/>
    <col min="5150" max="5150" width="2.42578125" style="36" customWidth="1"/>
    <col min="5151" max="5151" width="8.7109375" style="36" customWidth="1"/>
    <col min="5152" max="5152" width="9.42578125" style="36" customWidth="1"/>
    <col min="5153" max="5153" width="5.42578125" style="36" customWidth="1"/>
    <col min="5154" max="5154" width="9.5703125" style="36" customWidth="1"/>
    <col min="5155" max="5155" width="10.28515625" style="36" customWidth="1"/>
    <col min="5156" max="5156" width="5.42578125" style="36" customWidth="1"/>
    <col min="5157" max="5157" width="9.7109375" style="36" customWidth="1"/>
    <col min="5158" max="5158" width="1.28515625" style="36" customWidth="1"/>
    <col min="5159" max="5159" width="3.28515625" style="36" customWidth="1"/>
    <col min="5160" max="5160" width="1.28515625" style="36" customWidth="1"/>
    <col min="5161" max="5161" width="3.28515625" style="36" customWidth="1"/>
    <col min="5162" max="5162" width="1.28515625" style="36" customWidth="1"/>
    <col min="5163" max="5163" width="3.28515625" style="36" customWidth="1"/>
    <col min="5164" max="5164" width="1.28515625" style="36" customWidth="1"/>
    <col min="5165" max="5165" width="3.28515625" style="36" customWidth="1"/>
    <col min="5166" max="5166" width="1.28515625" style="36" customWidth="1"/>
    <col min="5167" max="5167" width="3.28515625" style="36" customWidth="1"/>
    <col min="5168" max="5168" width="1.28515625" style="36" customWidth="1"/>
    <col min="5169" max="5169" width="3.28515625" style="36" customWidth="1"/>
    <col min="5170" max="5170" width="1.28515625" style="36" customWidth="1"/>
    <col min="5171" max="5172" width="3.28515625" style="36" customWidth="1"/>
    <col min="5173" max="5173" width="6.28515625" style="36" customWidth="1"/>
    <col min="5174" max="5175" width="19.28515625" style="36" customWidth="1"/>
    <col min="5176" max="5400" width="8.7109375" style="36"/>
    <col min="5401" max="5401" width="1" style="36" customWidth="1"/>
    <col min="5402" max="5402" width="34.7109375" style="36" customWidth="1"/>
    <col min="5403" max="5403" width="13" style="36" customWidth="1"/>
    <col min="5404" max="5404" width="6" style="36" customWidth="1"/>
    <col min="5405" max="5405" width="4.5703125" style="36" customWidth="1"/>
    <col min="5406" max="5406" width="2.42578125" style="36" customWidth="1"/>
    <col min="5407" max="5407" width="8.7109375" style="36" customWidth="1"/>
    <col min="5408" max="5408" width="9.42578125" style="36" customWidth="1"/>
    <col min="5409" max="5409" width="5.42578125" style="36" customWidth="1"/>
    <col min="5410" max="5410" width="9.5703125" style="36" customWidth="1"/>
    <col min="5411" max="5411" width="10.28515625" style="36" customWidth="1"/>
    <col min="5412" max="5412" width="5.42578125" style="36" customWidth="1"/>
    <col min="5413" max="5413" width="9.7109375" style="36" customWidth="1"/>
    <col min="5414" max="5414" width="1.28515625" style="36" customWidth="1"/>
    <col min="5415" max="5415" width="3.28515625" style="36" customWidth="1"/>
    <col min="5416" max="5416" width="1.28515625" style="36" customWidth="1"/>
    <col min="5417" max="5417" width="3.28515625" style="36" customWidth="1"/>
    <col min="5418" max="5418" width="1.28515625" style="36" customWidth="1"/>
    <col min="5419" max="5419" width="3.28515625" style="36" customWidth="1"/>
    <col min="5420" max="5420" width="1.28515625" style="36" customWidth="1"/>
    <col min="5421" max="5421" width="3.28515625" style="36" customWidth="1"/>
    <col min="5422" max="5422" width="1.28515625" style="36" customWidth="1"/>
    <col min="5423" max="5423" width="3.28515625" style="36" customWidth="1"/>
    <col min="5424" max="5424" width="1.28515625" style="36" customWidth="1"/>
    <col min="5425" max="5425" width="3.28515625" style="36" customWidth="1"/>
    <col min="5426" max="5426" width="1.28515625" style="36" customWidth="1"/>
    <col min="5427" max="5428" width="3.28515625" style="36" customWidth="1"/>
    <col min="5429" max="5429" width="6.28515625" style="36" customWidth="1"/>
    <col min="5430" max="5431" width="19.28515625" style="36" customWidth="1"/>
    <col min="5432" max="5656" width="8.7109375" style="36"/>
    <col min="5657" max="5657" width="1" style="36" customWidth="1"/>
    <col min="5658" max="5658" width="34.7109375" style="36" customWidth="1"/>
    <col min="5659" max="5659" width="13" style="36" customWidth="1"/>
    <col min="5660" max="5660" width="6" style="36" customWidth="1"/>
    <col min="5661" max="5661" width="4.5703125" style="36" customWidth="1"/>
    <col min="5662" max="5662" width="2.42578125" style="36" customWidth="1"/>
    <col min="5663" max="5663" width="8.7109375" style="36" customWidth="1"/>
    <col min="5664" max="5664" width="9.42578125" style="36" customWidth="1"/>
    <col min="5665" max="5665" width="5.42578125" style="36" customWidth="1"/>
    <col min="5666" max="5666" width="9.5703125" style="36" customWidth="1"/>
    <col min="5667" max="5667" width="10.28515625" style="36" customWidth="1"/>
    <col min="5668" max="5668" width="5.42578125" style="36" customWidth="1"/>
    <col min="5669" max="5669" width="9.7109375" style="36" customWidth="1"/>
    <col min="5670" max="5670" width="1.28515625" style="36" customWidth="1"/>
    <col min="5671" max="5671" width="3.28515625" style="36" customWidth="1"/>
    <col min="5672" max="5672" width="1.28515625" style="36" customWidth="1"/>
    <col min="5673" max="5673" width="3.28515625" style="36" customWidth="1"/>
    <col min="5674" max="5674" width="1.28515625" style="36" customWidth="1"/>
    <col min="5675" max="5675" width="3.28515625" style="36" customWidth="1"/>
    <col min="5676" max="5676" width="1.28515625" style="36" customWidth="1"/>
    <col min="5677" max="5677" width="3.28515625" style="36" customWidth="1"/>
    <col min="5678" max="5678" width="1.28515625" style="36" customWidth="1"/>
    <col min="5679" max="5679" width="3.28515625" style="36" customWidth="1"/>
    <col min="5680" max="5680" width="1.28515625" style="36" customWidth="1"/>
    <col min="5681" max="5681" width="3.28515625" style="36" customWidth="1"/>
    <col min="5682" max="5682" width="1.28515625" style="36" customWidth="1"/>
    <col min="5683" max="5684" width="3.28515625" style="36" customWidth="1"/>
    <col min="5685" max="5685" width="6.28515625" style="36" customWidth="1"/>
    <col min="5686" max="5687" width="19.28515625" style="36" customWidth="1"/>
    <col min="5688" max="5912" width="8.7109375" style="36"/>
    <col min="5913" max="5913" width="1" style="36" customWidth="1"/>
    <col min="5914" max="5914" width="34.7109375" style="36" customWidth="1"/>
    <col min="5915" max="5915" width="13" style="36" customWidth="1"/>
    <col min="5916" max="5916" width="6" style="36" customWidth="1"/>
    <col min="5917" max="5917" width="4.5703125" style="36" customWidth="1"/>
    <col min="5918" max="5918" width="2.42578125" style="36" customWidth="1"/>
    <col min="5919" max="5919" width="8.7109375" style="36" customWidth="1"/>
    <col min="5920" max="5920" width="9.42578125" style="36" customWidth="1"/>
    <col min="5921" max="5921" width="5.42578125" style="36" customWidth="1"/>
    <col min="5922" max="5922" width="9.5703125" style="36" customWidth="1"/>
    <col min="5923" max="5923" width="10.28515625" style="36" customWidth="1"/>
    <col min="5924" max="5924" width="5.42578125" style="36" customWidth="1"/>
    <col min="5925" max="5925" width="9.7109375" style="36" customWidth="1"/>
    <col min="5926" max="5926" width="1.28515625" style="36" customWidth="1"/>
    <col min="5927" max="5927" width="3.28515625" style="36" customWidth="1"/>
    <col min="5928" max="5928" width="1.28515625" style="36" customWidth="1"/>
    <col min="5929" max="5929" width="3.28515625" style="36" customWidth="1"/>
    <col min="5930" max="5930" width="1.28515625" style="36" customWidth="1"/>
    <col min="5931" max="5931" width="3.28515625" style="36" customWidth="1"/>
    <col min="5932" max="5932" width="1.28515625" style="36" customWidth="1"/>
    <col min="5933" max="5933" width="3.28515625" style="36" customWidth="1"/>
    <col min="5934" max="5934" width="1.28515625" style="36" customWidth="1"/>
    <col min="5935" max="5935" width="3.28515625" style="36" customWidth="1"/>
    <col min="5936" max="5936" width="1.28515625" style="36" customWidth="1"/>
    <col min="5937" max="5937" width="3.28515625" style="36" customWidth="1"/>
    <col min="5938" max="5938" width="1.28515625" style="36" customWidth="1"/>
    <col min="5939" max="5940" width="3.28515625" style="36" customWidth="1"/>
    <col min="5941" max="5941" width="6.28515625" style="36" customWidth="1"/>
    <col min="5942" max="5943" width="19.28515625" style="36" customWidth="1"/>
    <col min="5944" max="6168" width="8.7109375" style="36"/>
    <col min="6169" max="6169" width="1" style="36" customWidth="1"/>
    <col min="6170" max="6170" width="34.7109375" style="36" customWidth="1"/>
    <col min="6171" max="6171" width="13" style="36" customWidth="1"/>
    <col min="6172" max="6172" width="6" style="36" customWidth="1"/>
    <col min="6173" max="6173" width="4.5703125" style="36" customWidth="1"/>
    <col min="6174" max="6174" width="2.42578125" style="36" customWidth="1"/>
    <col min="6175" max="6175" width="8.7109375" style="36" customWidth="1"/>
    <col min="6176" max="6176" width="9.42578125" style="36" customWidth="1"/>
    <col min="6177" max="6177" width="5.42578125" style="36" customWidth="1"/>
    <col min="6178" max="6178" width="9.5703125" style="36" customWidth="1"/>
    <col min="6179" max="6179" width="10.28515625" style="36" customWidth="1"/>
    <col min="6180" max="6180" width="5.42578125" style="36" customWidth="1"/>
    <col min="6181" max="6181" width="9.7109375" style="36" customWidth="1"/>
    <col min="6182" max="6182" width="1.28515625" style="36" customWidth="1"/>
    <col min="6183" max="6183" width="3.28515625" style="36" customWidth="1"/>
    <col min="6184" max="6184" width="1.28515625" style="36" customWidth="1"/>
    <col min="6185" max="6185" width="3.28515625" style="36" customWidth="1"/>
    <col min="6186" max="6186" width="1.28515625" style="36" customWidth="1"/>
    <col min="6187" max="6187" width="3.28515625" style="36" customWidth="1"/>
    <col min="6188" max="6188" width="1.28515625" style="36" customWidth="1"/>
    <col min="6189" max="6189" width="3.28515625" style="36" customWidth="1"/>
    <col min="6190" max="6190" width="1.28515625" style="36" customWidth="1"/>
    <col min="6191" max="6191" width="3.28515625" style="36" customWidth="1"/>
    <col min="6192" max="6192" width="1.28515625" style="36" customWidth="1"/>
    <col min="6193" max="6193" width="3.28515625" style="36" customWidth="1"/>
    <col min="6194" max="6194" width="1.28515625" style="36" customWidth="1"/>
    <col min="6195" max="6196" width="3.28515625" style="36" customWidth="1"/>
    <col min="6197" max="6197" width="6.28515625" style="36" customWidth="1"/>
    <col min="6198" max="6199" width="19.28515625" style="36" customWidth="1"/>
    <col min="6200" max="6424" width="8.7109375" style="36"/>
    <col min="6425" max="6425" width="1" style="36" customWidth="1"/>
    <col min="6426" max="6426" width="34.7109375" style="36" customWidth="1"/>
    <col min="6427" max="6427" width="13" style="36" customWidth="1"/>
    <col min="6428" max="6428" width="6" style="36" customWidth="1"/>
    <col min="6429" max="6429" width="4.5703125" style="36" customWidth="1"/>
    <col min="6430" max="6430" width="2.42578125" style="36" customWidth="1"/>
    <col min="6431" max="6431" width="8.7109375" style="36" customWidth="1"/>
    <col min="6432" max="6432" width="9.42578125" style="36" customWidth="1"/>
    <col min="6433" max="6433" width="5.42578125" style="36" customWidth="1"/>
    <col min="6434" max="6434" width="9.5703125" style="36" customWidth="1"/>
    <col min="6435" max="6435" width="10.28515625" style="36" customWidth="1"/>
    <col min="6436" max="6436" width="5.42578125" style="36" customWidth="1"/>
    <col min="6437" max="6437" width="9.7109375" style="36" customWidth="1"/>
    <col min="6438" max="6438" width="1.28515625" style="36" customWidth="1"/>
    <col min="6439" max="6439" width="3.28515625" style="36" customWidth="1"/>
    <col min="6440" max="6440" width="1.28515625" style="36" customWidth="1"/>
    <col min="6441" max="6441" width="3.28515625" style="36" customWidth="1"/>
    <col min="6442" max="6442" width="1.28515625" style="36" customWidth="1"/>
    <col min="6443" max="6443" width="3.28515625" style="36" customWidth="1"/>
    <col min="6444" max="6444" width="1.28515625" style="36" customWidth="1"/>
    <col min="6445" max="6445" width="3.28515625" style="36" customWidth="1"/>
    <col min="6446" max="6446" width="1.28515625" style="36" customWidth="1"/>
    <col min="6447" max="6447" width="3.28515625" style="36" customWidth="1"/>
    <col min="6448" max="6448" width="1.28515625" style="36" customWidth="1"/>
    <col min="6449" max="6449" width="3.28515625" style="36" customWidth="1"/>
    <col min="6450" max="6450" width="1.28515625" style="36" customWidth="1"/>
    <col min="6451" max="6452" width="3.28515625" style="36" customWidth="1"/>
    <col min="6453" max="6453" width="6.28515625" style="36" customWidth="1"/>
    <col min="6454" max="6455" width="19.28515625" style="36" customWidth="1"/>
    <col min="6456" max="6680" width="8.7109375" style="36"/>
    <col min="6681" max="6681" width="1" style="36" customWidth="1"/>
    <col min="6682" max="6682" width="34.7109375" style="36" customWidth="1"/>
    <col min="6683" max="6683" width="13" style="36" customWidth="1"/>
    <col min="6684" max="6684" width="6" style="36" customWidth="1"/>
    <col min="6685" max="6685" width="4.5703125" style="36" customWidth="1"/>
    <col min="6686" max="6686" width="2.42578125" style="36" customWidth="1"/>
    <col min="6687" max="6687" width="8.7109375" style="36" customWidth="1"/>
    <col min="6688" max="6688" width="9.42578125" style="36" customWidth="1"/>
    <col min="6689" max="6689" width="5.42578125" style="36" customWidth="1"/>
    <col min="6690" max="6690" width="9.5703125" style="36" customWidth="1"/>
    <col min="6691" max="6691" width="10.28515625" style="36" customWidth="1"/>
    <col min="6692" max="6692" width="5.42578125" style="36" customWidth="1"/>
    <col min="6693" max="6693" width="9.7109375" style="36" customWidth="1"/>
    <col min="6694" max="6694" width="1.28515625" style="36" customWidth="1"/>
    <col min="6695" max="6695" width="3.28515625" style="36" customWidth="1"/>
    <col min="6696" max="6696" width="1.28515625" style="36" customWidth="1"/>
    <col min="6697" max="6697" width="3.28515625" style="36" customWidth="1"/>
    <col min="6698" max="6698" width="1.28515625" style="36" customWidth="1"/>
    <col min="6699" max="6699" width="3.28515625" style="36" customWidth="1"/>
    <col min="6700" max="6700" width="1.28515625" style="36" customWidth="1"/>
    <col min="6701" max="6701" width="3.28515625" style="36" customWidth="1"/>
    <col min="6702" max="6702" width="1.28515625" style="36" customWidth="1"/>
    <col min="6703" max="6703" width="3.28515625" style="36" customWidth="1"/>
    <col min="6704" max="6704" width="1.28515625" style="36" customWidth="1"/>
    <col min="6705" max="6705" width="3.28515625" style="36" customWidth="1"/>
    <col min="6706" max="6706" width="1.28515625" style="36" customWidth="1"/>
    <col min="6707" max="6708" width="3.28515625" style="36" customWidth="1"/>
    <col min="6709" max="6709" width="6.28515625" style="36" customWidth="1"/>
    <col min="6710" max="6711" width="19.28515625" style="36" customWidth="1"/>
    <col min="6712" max="6936" width="8.7109375" style="36"/>
    <col min="6937" max="6937" width="1" style="36" customWidth="1"/>
    <col min="6938" max="6938" width="34.7109375" style="36" customWidth="1"/>
    <col min="6939" max="6939" width="13" style="36" customWidth="1"/>
    <col min="6940" max="6940" width="6" style="36" customWidth="1"/>
    <col min="6941" max="6941" width="4.5703125" style="36" customWidth="1"/>
    <col min="6942" max="6942" width="2.42578125" style="36" customWidth="1"/>
    <col min="6943" max="6943" width="8.7109375" style="36" customWidth="1"/>
    <col min="6944" max="6944" width="9.42578125" style="36" customWidth="1"/>
    <col min="6945" max="6945" width="5.42578125" style="36" customWidth="1"/>
    <col min="6946" max="6946" width="9.5703125" style="36" customWidth="1"/>
    <col min="6947" max="6947" width="10.28515625" style="36" customWidth="1"/>
    <col min="6948" max="6948" width="5.42578125" style="36" customWidth="1"/>
    <col min="6949" max="6949" width="9.7109375" style="36" customWidth="1"/>
    <col min="6950" max="6950" width="1.28515625" style="36" customWidth="1"/>
    <col min="6951" max="6951" width="3.28515625" style="36" customWidth="1"/>
    <col min="6952" max="6952" width="1.28515625" style="36" customWidth="1"/>
    <col min="6953" max="6953" width="3.28515625" style="36" customWidth="1"/>
    <col min="6954" max="6954" width="1.28515625" style="36" customWidth="1"/>
    <col min="6955" max="6955" width="3.28515625" style="36" customWidth="1"/>
    <col min="6956" max="6956" width="1.28515625" style="36" customWidth="1"/>
    <col min="6957" max="6957" width="3.28515625" style="36" customWidth="1"/>
    <col min="6958" max="6958" width="1.28515625" style="36" customWidth="1"/>
    <col min="6959" max="6959" width="3.28515625" style="36" customWidth="1"/>
    <col min="6960" max="6960" width="1.28515625" style="36" customWidth="1"/>
    <col min="6961" max="6961" width="3.28515625" style="36" customWidth="1"/>
    <col min="6962" max="6962" width="1.28515625" style="36" customWidth="1"/>
    <col min="6963" max="6964" width="3.28515625" style="36" customWidth="1"/>
    <col min="6965" max="6965" width="6.28515625" style="36" customWidth="1"/>
    <col min="6966" max="6967" width="19.28515625" style="36" customWidth="1"/>
    <col min="6968" max="7192" width="8.7109375" style="36"/>
    <col min="7193" max="7193" width="1" style="36" customWidth="1"/>
    <col min="7194" max="7194" width="34.7109375" style="36" customWidth="1"/>
    <col min="7195" max="7195" width="13" style="36" customWidth="1"/>
    <col min="7196" max="7196" width="6" style="36" customWidth="1"/>
    <col min="7197" max="7197" width="4.5703125" style="36" customWidth="1"/>
    <col min="7198" max="7198" width="2.42578125" style="36" customWidth="1"/>
    <col min="7199" max="7199" width="8.7109375" style="36" customWidth="1"/>
    <col min="7200" max="7200" width="9.42578125" style="36" customWidth="1"/>
    <col min="7201" max="7201" width="5.42578125" style="36" customWidth="1"/>
    <col min="7202" max="7202" width="9.5703125" style="36" customWidth="1"/>
    <col min="7203" max="7203" width="10.28515625" style="36" customWidth="1"/>
    <col min="7204" max="7204" width="5.42578125" style="36" customWidth="1"/>
    <col min="7205" max="7205" width="9.7109375" style="36" customWidth="1"/>
    <col min="7206" max="7206" width="1.28515625" style="36" customWidth="1"/>
    <col min="7207" max="7207" width="3.28515625" style="36" customWidth="1"/>
    <col min="7208" max="7208" width="1.28515625" style="36" customWidth="1"/>
    <col min="7209" max="7209" width="3.28515625" style="36" customWidth="1"/>
    <col min="7210" max="7210" width="1.28515625" style="36" customWidth="1"/>
    <col min="7211" max="7211" width="3.28515625" style="36" customWidth="1"/>
    <col min="7212" max="7212" width="1.28515625" style="36" customWidth="1"/>
    <col min="7213" max="7213" width="3.28515625" style="36" customWidth="1"/>
    <col min="7214" max="7214" width="1.28515625" style="36" customWidth="1"/>
    <col min="7215" max="7215" width="3.28515625" style="36" customWidth="1"/>
    <col min="7216" max="7216" width="1.28515625" style="36" customWidth="1"/>
    <col min="7217" max="7217" width="3.28515625" style="36" customWidth="1"/>
    <col min="7218" max="7218" width="1.28515625" style="36" customWidth="1"/>
    <col min="7219" max="7220" width="3.28515625" style="36" customWidth="1"/>
    <col min="7221" max="7221" width="6.28515625" style="36" customWidth="1"/>
    <col min="7222" max="7223" width="19.28515625" style="36" customWidth="1"/>
    <col min="7224" max="7448" width="8.7109375" style="36"/>
    <col min="7449" max="7449" width="1" style="36" customWidth="1"/>
    <col min="7450" max="7450" width="34.7109375" style="36" customWidth="1"/>
    <col min="7451" max="7451" width="13" style="36" customWidth="1"/>
    <col min="7452" max="7452" width="6" style="36" customWidth="1"/>
    <col min="7453" max="7453" width="4.5703125" style="36" customWidth="1"/>
    <col min="7454" max="7454" width="2.42578125" style="36" customWidth="1"/>
    <col min="7455" max="7455" width="8.7109375" style="36" customWidth="1"/>
    <col min="7456" max="7456" width="9.42578125" style="36" customWidth="1"/>
    <col min="7457" max="7457" width="5.42578125" style="36" customWidth="1"/>
    <col min="7458" max="7458" width="9.5703125" style="36" customWidth="1"/>
    <col min="7459" max="7459" width="10.28515625" style="36" customWidth="1"/>
    <col min="7460" max="7460" width="5.42578125" style="36" customWidth="1"/>
    <col min="7461" max="7461" width="9.7109375" style="36" customWidth="1"/>
    <col min="7462" max="7462" width="1.28515625" style="36" customWidth="1"/>
    <col min="7463" max="7463" width="3.28515625" style="36" customWidth="1"/>
    <col min="7464" max="7464" width="1.28515625" style="36" customWidth="1"/>
    <col min="7465" max="7465" width="3.28515625" style="36" customWidth="1"/>
    <col min="7466" max="7466" width="1.28515625" style="36" customWidth="1"/>
    <col min="7467" max="7467" width="3.28515625" style="36" customWidth="1"/>
    <col min="7468" max="7468" width="1.28515625" style="36" customWidth="1"/>
    <col min="7469" max="7469" width="3.28515625" style="36" customWidth="1"/>
    <col min="7470" max="7470" width="1.28515625" style="36" customWidth="1"/>
    <col min="7471" max="7471" width="3.28515625" style="36" customWidth="1"/>
    <col min="7472" max="7472" width="1.28515625" style="36" customWidth="1"/>
    <col min="7473" max="7473" width="3.28515625" style="36" customWidth="1"/>
    <col min="7474" max="7474" width="1.28515625" style="36" customWidth="1"/>
    <col min="7475" max="7476" width="3.28515625" style="36" customWidth="1"/>
    <col min="7477" max="7477" width="6.28515625" style="36" customWidth="1"/>
    <col min="7478" max="7479" width="19.28515625" style="36" customWidth="1"/>
    <col min="7480" max="7704" width="8.7109375" style="36"/>
    <col min="7705" max="7705" width="1" style="36" customWidth="1"/>
    <col min="7706" max="7706" width="34.7109375" style="36" customWidth="1"/>
    <col min="7707" max="7707" width="13" style="36" customWidth="1"/>
    <col min="7708" max="7708" width="6" style="36" customWidth="1"/>
    <col min="7709" max="7709" width="4.5703125" style="36" customWidth="1"/>
    <col min="7710" max="7710" width="2.42578125" style="36" customWidth="1"/>
    <col min="7711" max="7711" width="8.7109375" style="36" customWidth="1"/>
    <col min="7712" max="7712" width="9.42578125" style="36" customWidth="1"/>
    <col min="7713" max="7713" width="5.42578125" style="36" customWidth="1"/>
    <col min="7714" max="7714" width="9.5703125" style="36" customWidth="1"/>
    <col min="7715" max="7715" width="10.28515625" style="36" customWidth="1"/>
    <col min="7716" max="7716" width="5.42578125" style="36" customWidth="1"/>
    <col min="7717" max="7717" width="9.7109375" style="36" customWidth="1"/>
    <col min="7718" max="7718" width="1.28515625" style="36" customWidth="1"/>
    <col min="7719" max="7719" width="3.28515625" style="36" customWidth="1"/>
    <col min="7720" max="7720" width="1.28515625" style="36" customWidth="1"/>
    <col min="7721" max="7721" width="3.28515625" style="36" customWidth="1"/>
    <col min="7722" max="7722" width="1.28515625" style="36" customWidth="1"/>
    <col min="7723" max="7723" width="3.28515625" style="36" customWidth="1"/>
    <col min="7724" max="7724" width="1.28515625" style="36" customWidth="1"/>
    <col min="7725" max="7725" width="3.28515625" style="36" customWidth="1"/>
    <col min="7726" max="7726" width="1.28515625" style="36" customWidth="1"/>
    <col min="7727" max="7727" width="3.28515625" style="36" customWidth="1"/>
    <col min="7728" max="7728" width="1.28515625" style="36" customWidth="1"/>
    <col min="7729" max="7729" width="3.28515625" style="36" customWidth="1"/>
    <col min="7730" max="7730" width="1.28515625" style="36" customWidth="1"/>
    <col min="7731" max="7732" width="3.28515625" style="36" customWidth="1"/>
    <col min="7733" max="7733" width="6.28515625" style="36" customWidth="1"/>
    <col min="7734" max="7735" width="19.28515625" style="36" customWidth="1"/>
    <col min="7736" max="7960" width="8.7109375" style="36"/>
    <col min="7961" max="7961" width="1" style="36" customWidth="1"/>
    <col min="7962" max="7962" width="34.7109375" style="36" customWidth="1"/>
    <col min="7963" max="7963" width="13" style="36" customWidth="1"/>
    <col min="7964" max="7964" width="6" style="36" customWidth="1"/>
    <col min="7965" max="7965" width="4.5703125" style="36" customWidth="1"/>
    <col min="7966" max="7966" width="2.42578125" style="36" customWidth="1"/>
    <col min="7967" max="7967" width="8.7109375" style="36" customWidth="1"/>
    <col min="7968" max="7968" width="9.42578125" style="36" customWidth="1"/>
    <col min="7969" max="7969" width="5.42578125" style="36" customWidth="1"/>
    <col min="7970" max="7970" width="9.5703125" style="36" customWidth="1"/>
    <col min="7971" max="7971" width="10.28515625" style="36" customWidth="1"/>
    <col min="7972" max="7972" width="5.42578125" style="36" customWidth="1"/>
    <col min="7973" max="7973" width="9.7109375" style="36" customWidth="1"/>
    <col min="7974" max="7974" width="1.28515625" style="36" customWidth="1"/>
    <col min="7975" max="7975" width="3.28515625" style="36" customWidth="1"/>
    <col min="7976" max="7976" width="1.28515625" style="36" customWidth="1"/>
    <col min="7977" max="7977" width="3.28515625" style="36" customWidth="1"/>
    <col min="7978" max="7978" width="1.28515625" style="36" customWidth="1"/>
    <col min="7979" max="7979" width="3.28515625" style="36" customWidth="1"/>
    <col min="7980" max="7980" width="1.28515625" style="36" customWidth="1"/>
    <col min="7981" max="7981" width="3.28515625" style="36" customWidth="1"/>
    <col min="7982" max="7982" width="1.28515625" style="36" customWidth="1"/>
    <col min="7983" max="7983" width="3.28515625" style="36" customWidth="1"/>
    <col min="7984" max="7984" width="1.28515625" style="36" customWidth="1"/>
    <col min="7985" max="7985" width="3.28515625" style="36" customWidth="1"/>
    <col min="7986" max="7986" width="1.28515625" style="36" customWidth="1"/>
    <col min="7987" max="7988" width="3.28515625" style="36" customWidth="1"/>
    <col min="7989" max="7989" width="6.28515625" style="36" customWidth="1"/>
    <col min="7990" max="7991" width="19.28515625" style="36" customWidth="1"/>
    <col min="7992" max="8216" width="8.7109375" style="36"/>
    <col min="8217" max="8217" width="1" style="36" customWidth="1"/>
    <col min="8218" max="8218" width="34.7109375" style="36" customWidth="1"/>
    <col min="8219" max="8219" width="13" style="36" customWidth="1"/>
    <col min="8220" max="8220" width="6" style="36" customWidth="1"/>
    <col min="8221" max="8221" width="4.5703125" style="36" customWidth="1"/>
    <col min="8222" max="8222" width="2.42578125" style="36" customWidth="1"/>
    <col min="8223" max="8223" width="8.7109375" style="36" customWidth="1"/>
    <col min="8224" max="8224" width="9.42578125" style="36" customWidth="1"/>
    <col min="8225" max="8225" width="5.42578125" style="36" customWidth="1"/>
    <col min="8226" max="8226" width="9.5703125" style="36" customWidth="1"/>
    <col min="8227" max="8227" width="10.28515625" style="36" customWidth="1"/>
    <col min="8228" max="8228" width="5.42578125" style="36" customWidth="1"/>
    <col min="8229" max="8229" width="9.7109375" style="36" customWidth="1"/>
    <col min="8230" max="8230" width="1.28515625" style="36" customWidth="1"/>
    <col min="8231" max="8231" width="3.28515625" style="36" customWidth="1"/>
    <col min="8232" max="8232" width="1.28515625" style="36" customWidth="1"/>
    <col min="8233" max="8233" width="3.28515625" style="36" customWidth="1"/>
    <col min="8234" max="8234" width="1.28515625" style="36" customWidth="1"/>
    <col min="8235" max="8235" width="3.28515625" style="36" customWidth="1"/>
    <col min="8236" max="8236" width="1.28515625" style="36" customWidth="1"/>
    <col min="8237" max="8237" width="3.28515625" style="36" customWidth="1"/>
    <col min="8238" max="8238" width="1.28515625" style="36" customWidth="1"/>
    <col min="8239" max="8239" width="3.28515625" style="36" customWidth="1"/>
    <col min="8240" max="8240" width="1.28515625" style="36" customWidth="1"/>
    <col min="8241" max="8241" width="3.28515625" style="36" customWidth="1"/>
    <col min="8242" max="8242" width="1.28515625" style="36" customWidth="1"/>
    <col min="8243" max="8244" width="3.28515625" style="36" customWidth="1"/>
    <col min="8245" max="8245" width="6.28515625" style="36" customWidth="1"/>
    <col min="8246" max="8247" width="19.28515625" style="36" customWidth="1"/>
    <col min="8248" max="8472" width="8.7109375" style="36"/>
    <col min="8473" max="8473" width="1" style="36" customWidth="1"/>
    <col min="8474" max="8474" width="34.7109375" style="36" customWidth="1"/>
    <col min="8475" max="8475" width="13" style="36" customWidth="1"/>
    <col min="8476" max="8476" width="6" style="36" customWidth="1"/>
    <col min="8477" max="8477" width="4.5703125" style="36" customWidth="1"/>
    <col min="8478" max="8478" width="2.42578125" style="36" customWidth="1"/>
    <col min="8479" max="8479" width="8.7109375" style="36" customWidth="1"/>
    <col min="8480" max="8480" width="9.42578125" style="36" customWidth="1"/>
    <col min="8481" max="8481" width="5.42578125" style="36" customWidth="1"/>
    <col min="8482" max="8482" width="9.5703125" style="36" customWidth="1"/>
    <col min="8483" max="8483" width="10.28515625" style="36" customWidth="1"/>
    <col min="8484" max="8484" width="5.42578125" style="36" customWidth="1"/>
    <col min="8485" max="8485" width="9.7109375" style="36" customWidth="1"/>
    <col min="8486" max="8486" width="1.28515625" style="36" customWidth="1"/>
    <col min="8487" max="8487" width="3.28515625" style="36" customWidth="1"/>
    <col min="8488" max="8488" width="1.28515625" style="36" customWidth="1"/>
    <col min="8489" max="8489" width="3.28515625" style="36" customWidth="1"/>
    <col min="8490" max="8490" width="1.28515625" style="36" customWidth="1"/>
    <col min="8491" max="8491" width="3.28515625" style="36" customWidth="1"/>
    <col min="8492" max="8492" width="1.28515625" style="36" customWidth="1"/>
    <col min="8493" max="8493" width="3.28515625" style="36" customWidth="1"/>
    <col min="8494" max="8494" width="1.28515625" style="36" customWidth="1"/>
    <col min="8495" max="8495" width="3.28515625" style="36" customWidth="1"/>
    <col min="8496" max="8496" width="1.28515625" style="36" customWidth="1"/>
    <col min="8497" max="8497" width="3.28515625" style="36" customWidth="1"/>
    <col min="8498" max="8498" width="1.28515625" style="36" customWidth="1"/>
    <col min="8499" max="8500" width="3.28515625" style="36" customWidth="1"/>
    <col min="8501" max="8501" width="6.28515625" style="36" customWidth="1"/>
    <col min="8502" max="8503" width="19.28515625" style="36" customWidth="1"/>
    <col min="8504" max="8728" width="8.7109375" style="36"/>
    <col min="8729" max="8729" width="1" style="36" customWidth="1"/>
    <col min="8730" max="8730" width="34.7109375" style="36" customWidth="1"/>
    <col min="8731" max="8731" width="13" style="36" customWidth="1"/>
    <col min="8732" max="8732" width="6" style="36" customWidth="1"/>
    <col min="8733" max="8733" width="4.5703125" style="36" customWidth="1"/>
    <col min="8734" max="8734" width="2.42578125" style="36" customWidth="1"/>
    <col min="8735" max="8735" width="8.7109375" style="36" customWidth="1"/>
    <col min="8736" max="8736" width="9.42578125" style="36" customWidth="1"/>
    <col min="8737" max="8737" width="5.42578125" style="36" customWidth="1"/>
    <col min="8738" max="8738" width="9.5703125" style="36" customWidth="1"/>
    <col min="8739" max="8739" width="10.28515625" style="36" customWidth="1"/>
    <col min="8740" max="8740" width="5.42578125" style="36" customWidth="1"/>
    <col min="8741" max="8741" width="9.7109375" style="36" customWidth="1"/>
    <col min="8742" max="8742" width="1.28515625" style="36" customWidth="1"/>
    <col min="8743" max="8743" width="3.28515625" style="36" customWidth="1"/>
    <col min="8744" max="8744" width="1.28515625" style="36" customWidth="1"/>
    <col min="8745" max="8745" width="3.28515625" style="36" customWidth="1"/>
    <col min="8746" max="8746" width="1.28515625" style="36" customWidth="1"/>
    <col min="8747" max="8747" width="3.28515625" style="36" customWidth="1"/>
    <col min="8748" max="8748" width="1.28515625" style="36" customWidth="1"/>
    <col min="8749" max="8749" width="3.28515625" style="36" customWidth="1"/>
    <col min="8750" max="8750" width="1.28515625" style="36" customWidth="1"/>
    <col min="8751" max="8751" width="3.28515625" style="36" customWidth="1"/>
    <col min="8752" max="8752" width="1.28515625" style="36" customWidth="1"/>
    <col min="8753" max="8753" width="3.28515625" style="36" customWidth="1"/>
    <col min="8754" max="8754" width="1.28515625" style="36" customWidth="1"/>
    <col min="8755" max="8756" width="3.28515625" style="36" customWidth="1"/>
    <col min="8757" max="8757" width="6.28515625" style="36" customWidth="1"/>
    <col min="8758" max="8759" width="19.28515625" style="36" customWidth="1"/>
    <col min="8760" max="8984" width="8.7109375" style="36"/>
    <col min="8985" max="8985" width="1" style="36" customWidth="1"/>
    <col min="8986" max="8986" width="34.7109375" style="36" customWidth="1"/>
    <col min="8987" max="8987" width="13" style="36" customWidth="1"/>
    <col min="8988" max="8988" width="6" style="36" customWidth="1"/>
    <col min="8989" max="8989" width="4.5703125" style="36" customWidth="1"/>
    <col min="8990" max="8990" width="2.42578125" style="36" customWidth="1"/>
    <col min="8991" max="8991" width="8.7109375" style="36" customWidth="1"/>
    <col min="8992" max="8992" width="9.42578125" style="36" customWidth="1"/>
    <col min="8993" max="8993" width="5.42578125" style="36" customWidth="1"/>
    <col min="8994" max="8994" width="9.5703125" style="36" customWidth="1"/>
    <col min="8995" max="8995" width="10.28515625" style="36" customWidth="1"/>
    <col min="8996" max="8996" width="5.42578125" style="36" customWidth="1"/>
    <col min="8997" max="8997" width="9.7109375" style="36" customWidth="1"/>
    <col min="8998" max="8998" width="1.28515625" style="36" customWidth="1"/>
    <col min="8999" max="8999" width="3.28515625" style="36" customWidth="1"/>
    <col min="9000" max="9000" width="1.28515625" style="36" customWidth="1"/>
    <col min="9001" max="9001" width="3.28515625" style="36" customWidth="1"/>
    <col min="9002" max="9002" width="1.28515625" style="36" customWidth="1"/>
    <col min="9003" max="9003" width="3.28515625" style="36" customWidth="1"/>
    <col min="9004" max="9004" width="1.28515625" style="36" customWidth="1"/>
    <col min="9005" max="9005" width="3.28515625" style="36" customWidth="1"/>
    <col min="9006" max="9006" width="1.28515625" style="36" customWidth="1"/>
    <col min="9007" max="9007" width="3.28515625" style="36" customWidth="1"/>
    <col min="9008" max="9008" width="1.28515625" style="36" customWidth="1"/>
    <col min="9009" max="9009" width="3.28515625" style="36" customWidth="1"/>
    <col min="9010" max="9010" width="1.28515625" style="36" customWidth="1"/>
    <col min="9011" max="9012" width="3.28515625" style="36" customWidth="1"/>
    <col min="9013" max="9013" width="6.28515625" style="36" customWidth="1"/>
    <col min="9014" max="9015" width="19.28515625" style="36" customWidth="1"/>
    <col min="9016" max="9240" width="8.7109375" style="36"/>
    <col min="9241" max="9241" width="1" style="36" customWidth="1"/>
    <col min="9242" max="9242" width="34.7109375" style="36" customWidth="1"/>
    <col min="9243" max="9243" width="13" style="36" customWidth="1"/>
    <col min="9244" max="9244" width="6" style="36" customWidth="1"/>
    <col min="9245" max="9245" width="4.5703125" style="36" customWidth="1"/>
    <col min="9246" max="9246" width="2.42578125" style="36" customWidth="1"/>
    <col min="9247" max="9247" width="8.7109375" style="36" customWidth="1"/>
    <col min="9248" max="9248" width="9.42578125" style="36" customWidth="1"/>
    <col min="9249" max="9249" width="5.42578125" style="36" customWidth="1"/>
    <col min="9250" max="9250" width="9.5703125" style="36" customWidth="1"/>
    <col min="9251" max="9251" width="10.28515625" style="36" customWidth="1"/>
    <col min="9252" max="9252" width="5.42578125" style="36" customWidth="1"/>
    <col min="9253" max="9253" width="9.7109375" style="36" customWidth="1"/>
    <col min="9254" max="9254" width="1.28515625" style="36" customWidth="1"/>
    <col min="9255" max="9255" width="3.28515625" style="36" customWidth="1"/>
    <col min="9256" max="9256" width="1.28515625" style="36" customWidth="1"/>
    <col min="9257" max="9257" width="3.28515625" style="36" customWidth="1"/>
    <col min="9258" max="9258" width="1.28515625" style="36" customWidth="1"/>
    <col min="9259" max="9259" width="3.28515625" style="36" customWidth="1"/>
    <col min="9260" max="9260" width="1.28515625" style="36" customWidth="1"/>
    <col min="9261" max="9261" width="3.28515625" style="36" customWidth="1"/>
    <col min="9262" max="9262" width="1.28515625" style="36" customWidth="1"/>
    <col min="9263" max="9263" width="3.28515625" style="36" customWidth="1"/>
    <col min="9264" max="9264" width="1.28515625" style="36" customWidth="1"/>
    <col min="9265" max="9265" width="3.28515625" style="36" customWidth="1"/>
    <col min="9266" max="9266" width="1.28515625" style="36" customWidth="1"/>
    <col min="9267" max="9268" width="3.28515625" style="36" customWidth="1"/>
    <col min="9269" max="9269" width="6.28515625" style="36" customWidth="1"/>
    <col min="9270" max="9271" width="19.28515625" style="36" customWidth="1"/>
    <col min="9272" max="9496" width="8.7109375" style="36"/>
    <col min="9497" max="9497" width="1" style="36" customWidth="1"/>
    <col min="9498" max="9498" width="34.7109375" style="36" customWidth="1"/>
    <col min="9499" max="9499" width="13" style="36" customWidth="1"/>
    <col min="9500" max="9500" width="6" style="36" customWidth="1"/>
    <col min="9501" max="9501" width="4.5703125" style="36" customWidth="1"/>
    <col min="9502" max="9502" width="2.42578125" style="36" customWidth="1"/>
    <col min="9503" max="9503" width="8.7109375" style="36" customWidth="1"/>
    <col min="9504" max="9504" width="9.42578125" style="36" customWidth="1"/>
    <col min="9505" max="9505" width="5.42578125" style="36" customWidth="1"/>
    <col min="9506" max="9506" width="9.5703125" style="36" customWidth="1"/>
    <col min="9507" max="9507" width="10.28515625" style="36" customWidth="1"/>
    <col min="9508" max="9508" width="5.42578125" style="36" customWidth="1"/>
    <col min="9509" max="9509" width="9.7109375" style="36" customWidth="1"/>
    <col min="9510" max="9510" width="1.28515625" style="36" customWidth="1"/>
    <col min="9511" max="9511" width="3.28515625" style="36" customWidth="1"/>
    <col min="9512" max="9512" width="1.28515625" style="36" customWidth="1"/>
    <col min="9513" max="9513" width="3.28515625" style="36" customWidth="1"/>
    <col min="9514" max="9514" width="1.28515625" style="36" customWidth="1"/>
    <col min="9515" max="9515" width="3.28515625" style="36" customWidth="1"/>
    <col min="9516" max="9516" width="1.28515625" style="36" customWidth="1"/>
    <col min="9517" max="9517" width="3.28515625" style="36" customWidth="1"/>
    <col min="9518" max="9518" width="1.28515625" style="36" customWidth="1"/>
    <col min="9519" max="9519" width="3.28515625" style="36" customWidth="1"/>
    <col min="9520" max="9520" width="1.28515625" style="36" customWidth="1"/>
    <col min="9521" max="9521" width="3.28515625" style="36" customWidth="1"/>
    <col min="9522" max="9522" width="1.28515625" style="36" customWidth="1"/>
    <col min="9523" max="9524" width="3.28515625" style="36" customWidth="1"/>
    <col min="9525" max="9525" width="6.28515625" style="36" customWidth="1"/>
    <col min="9526" max="9527" width="19.28515625" style="36" customWidth="1"/>
    <col min="9528" max="9752" width="8.7109375" style="36"/>
    <col min="9753" max="9753" width="1" style="36" customWidth="1"/>
    <col min="9754" max="9754" width="34.7109375" style="36" customWidth="1"/>
    <col min="9755" max="9755" width="13" style="36" customWidth="1"/>
    <col min="9756" max="9756" width="6" style="36" customWidth="1"/>
    <col min="9757" max="9757" width="4.5703125" style="36" customWidth="1"/>
    <col min="9758" max="9758" width="2.42578125" style="36" customWidth="1"/>
    <col min="9759" max="9759" width="8.7109375" style="36" customWidth="1"/>
    <col min="9760" max="9760" width="9.42578125" style="36" customWidth="1"/>
    <col min="9761" max="9761" width="5.42578125" style="36" customWidth="1"/>
    <col min="9762" max="9762" width="9.5703125" style="36" customWidth="1"/>
    <col min="9763" max="9763" width="10.28515625" style="36" customWidth="1"/>
    <col min="9764" max="9764" width="5.42578125" style="36" customWidth="1"/>
    <col min="9765" max="9765" width="9.7109375" style="36" customWidth="1"/>
    <col min="9766" max="9766" width="1.28515625" style="36" customWidth="1"/>
    <col min="9767" max="9767" width="3.28515625" style="36" customWidth="1"/>
    <col min="9768" max="9768" width="1.28515625" style="36" customWidth="1"/>
    <col min="9769" max="9769" width="3.28515625" style="36" customWidth="1"/>
    <col min="9770" max="9770" width="1.28515625" style="36" customWidth="1"/>
    <col min="9771" max="9771" width="3.28515625" style="36" customWidth="1"/>
    <col min="9772" max="9772" width="1.28515625" style="36" customWidth="1"/>
    <col min="9773" max="9773" width="3.28515625" style="36" customWidth="1"/>
    <col min="9774" max="9774" width="1.28515625" style="36" customWidth="1"/>
    <col min="9775" max="9775" width="3.28515625" style="36" customWidth="1"/>
    <col min="9776" max="9776" width="1.28515625" style="36" customWidth="1"/>
    <col min="9777" max="9777" width="3.28515625" style="36" customWidth="1"/>
    <col min="9778" max="9778" width="1.28515625" style="36" customWidth="1"/>
    <col min="9779" max="9780" width="3.28515625" style="36" customWidth="1"/>
    <col min="9781" max="9781" width="6.28515625" style="36" customWidth="1"/>
    <col min="9782" max="9783" width="19.28515625" style="36" customWidth="1"/>
    <col min="9784" max="10008" width="8.7109375" style="36"/>
    <col min="10009" max="10009" width="1" style="36" customWidth="1"/>
    <col min="10010" max="10010" width="34.7109375" style="36" customWidth="1"/>
    <col min="10011" max="10011" width="13" style="36" customWidth="1"/>
    <col min="10012" max="10012" width="6" style="36" customWidth="1"/>
    <col min="10013" max="10013" width="4.5703125" style="36" customWidth="1"/>
    <col min="10014" max="10014" width="2.42578125" style="36" customWidth="1"/>
    <col min="10015" max="10015" width="8.7109375" style="36" customWidth="1"/>
    <col min="10016" max="10016" width="9.42578125" style="36" customWidth="1"/>
    <col min="10017" max="10017" width="5.42578125" style="36" customWidth="1"/>
    <col min="10018" max="10018" width="9.5703125" style="36" customWidth="1"/>
    <col min="10019" max="10019" width="10.28515625" style="36" customWidth="1"/>
    <col min="10020" max="10020" width="5.42578125" style="36" customWidth="1"/>
    <col min="10021" max="10021" width="9.7109375" style="36" customWidth="1"/>
    <col min="10022" max="10022" width="1.28515625" style="36" customWidth="1"/>
    <col min="10023" max="10023" width="3.28515625" style="36" customWidth="1"/>
    <col min="10024" max="10024" width="1.28515625" style="36" customWidth="1"/>
    <col min="10025" max="10025" width="3.28515625" style="36" customWidth="1"/>
    <col min="10026" max="10026" width="1.28515625" style="36" customWidth="1"/>
    <col min="10027" max="10027" width="3.28515625" style="36" customWidth="1"/>
    <col min="10028" max="10028" width="1.28515625" style="36" customWidth="1"/>
    <col min="10029" max="10029" width="3.28515625" style="36" customWidth="1"/>
    <col min="10030" max="10030" width="1.28515625" style="36" customWidth="1"/>
    <col min="10031" max="10031" width="3.28515625" style="36" customWidth="1"/>
    <col min="10032" max="10032" width="1.28515625" style="36" customWidth="1"/>
    <col min="10033" max="10033" width="3.28515625" style="36" customWidth="1"/>
    <col min="10034" max="10034" width="1.28515625" style="36" customWidth="1"/>
    <col min="10035" max="10036" width="3.28515625" style="36" customWidth="1"/>
    <col min="10037" max="10037" width="6.28515625" style="36" customWidth="1"/>
    <col min="10038" max="10039" width="19.28515625" style="36" customWidth="1"/>
    <col min="10040" max="10264" width="8.7109375" style="36"/>
    <col min="10265" max="10265" width="1" style="36" customWidth="1"/>
    <col min="10266" max="10266" width="34.7109375" style="36" customWidth="1"/>
    <col min="10267" max="10267" width="13" style="36" customWidth="1"/>
    <col min="10268" max="10268" width="6" style="36" customWidth="1"/>
    <col min="10269" max="10269" width="4.5703125" style="36" customWidth="1"/>
    <col min="10270" max="10270" width="2.42578125" style="36" customWidth="1"/>
    <col min="10271" max="10271" width="8.7109375" style="36" customWidth="1"/>
    <col min="10272" max="10272" width="9.42578125" style="36" customWidth="1"/>
    <col min="10273" max="10273" width="5.42578125" style="36" customWidth="1"/>
    <col min="10274" max="10274" width="9.5703125" style="36" customWidth="1"/>
    <col min="10275" max="10275" width="10.28515625" style="36" customWidth="1"/>
    <col min="10276" max="10276" width="5.42578125" style="36" customWidth="1"/>
    <col min="10277" max="10277" width="9.7109375" style="36" customWidth="1"/>
    <col min="10278" max="10278" width="1.28515625" style="36" customWidth="1"/>
    <col min="10279" max="10279" width="3.28515625" style="36" customWidth="1"/>
    <col min="10280" max="10280" width="1.28515625" style="36" customWidth="1"/>
    <col min="10281" max="10281" width="3.28515625" style="36" customWidth="1"/>
    <col min="10282" max="10282" width="1.28515625" style="36" customWidth="1"/>
    <col min="10283" max="10283" width="3.28515625" style="36" customWidth="1"/>
    <col min="10284" max="10284" width="1.28515625" style="36" customWidth="1"/>
    <col min="10285" max="10285" width="3.28515625" style="36" customWidth="1"/>
    <col min="10286" max="10286" width="1.28515625" style="36" customWidth="1"/>
    <col min="10287" max="10287" width="3.28515625" style="36" customWidth="1"/>
    <col min="10288" max="10288" width="1.28515625" style="36" customWidth="1"/>
    <col min="10289" max="10289" width="3.28515625" style="36" customWidth="1"/>
    <col min="10290" max="10290" width="1.28515625" style="36" customWidth="1"/>
    <col min="10291" max="10292" width="3.28515625" style="36" customWidth="1"/>
    <col min="10293" max="10293" width="6.28515625" style="36" customWidth="1"/>
    <col min="10294" max="10295" width="19.28515625" style="36" customWidth="1"/>
    <col min="10296" max="10520" width="8.7109375" style="36"/>
    <col min="10521" max="10521" width="1" style="36" customWidth="1"/>
    <col min="10522" max="10522" width="34.7109375" style="36" customWidth="1"/>
    <col min="10523" max="10523" width="13" style="36" customWidth="1"/>
    <col min="10524" max="10524" width="6" style="36" customWidth="1"/>
    <col min="10525" max="10525" width="4.5703125" style="36" customWidth="1"/>
    <col min="10526" max="10526" width="2.42578125" style="36" customWidth="1"/>
    <col min="10527" max="10527" width="8.7109375" style="36" customWidth="1"/>
    <col min="10528" max="10528" width="9.42578125" style="36" customWidth="1"/>
    <col min="10529" max="10529" width="5.42578125" style="36" customWidth="1"/>
    <col min="10530" max="10530" width="9.5703125" style="36" customWidth="1"/>
    <col min="10531" max="10531" width="10.28515625" style="36" customWidth="1"/>
    <col min="10532" max="10532" width="5.42578125" style="36" customWidth="1"/>
    <col min="10533" max="10533" width="9.7109375" style="36" customWidth="1"/>
    <col min="10534" max="10534" width="1.28515625" style="36" customWidth="1"/>
    <col min="10535" max="10535" width="3.28515625" style="36" customWidth="1"/>
    <col min="10536" max="10536" width="1.28515625" style="36" customWidth="1"/>
    <col min="10537" max="10537" width="3.28515625" style="36" customWidth="1"/>
    <col min="10538" max="10538" width="1.28515625" style="36" customWidth="1"/>
    <col min="10539" max="10539" width="3.28515625" style="36" customWidth="1"/>
    <col min="10540" max="10540" width="1.28515625" style="36" customWidth="1"/>
    <col min="10541" max="10541" width="3.28515625" style="36" customWidth="1"/>
    <col min="10542" max="10542" width="1.28515625" style="36" customWidth="1"/>
    <col min="10543" max="10543" width="3.28515625" style="36" customWidth="1"/>
    <col min="10544" max="10544" width="1.28515625" style="36" customWidth="1"/>
    <col min="10545" max="10545" width="3.28515625" style="36" customWidth="1"/>
    <col min="10546" max="10546" width="1.28515625" style="36" customWidth="1"/>
    <col min="10547" max="10548" width="3.28515625" style="36" customWidth="1"/>
    <col min="10549" max="10549" width="6.28515625" style="36" customWidth="1"/>
    <col min="10550" max="10551" width="19.28515625" style="36" customWidth="1"/>
    <col min="10552" max="10776" width="8.7109375" style="36"/>
    <col min="10777" max="10777" width="1" style="36" customWidth="1"/>
    <col min="10778" max="10778" width="34.7109375" style="36" customWidth="1"/>
    <col min="10779" max="10779" width="13" style="36" customWidth="1"/>
    <col min="10780" max="10780" width="6" style="36" customWidth="1"/>
    <col min="10781" max="10781" width="4.5703125" style="36" customWidth="1"/>
    <col min="10782" max="10782" width="2.42578125" style="36" customWidth="1"/>
    <col min="10783" max="10783" width="8.7109375" style="36" customWidth="1"/>
    <col min="10784" max="10784" width="9.42578125" style="36" customWidth="1"/>
    <col min="10785" max="10785" width="5.42578125" style="36" customWidth="1"/>
    <col min="10786" max="10786" width="9.5703125" style="36" customWidth="1"/>
    <col min="10787" max="10787" width="10.28515625" style="36" customWidth="1"/>
    <col min="10788" max="10788" width="5.42578125" style="36" customWidth="1"/>
    <col min="10789" max="10789" width="9.7109375" style="36" customWidth="1"/>
    <col min="10790" max="10790" width="1.28515625" style="36" customWidth="1"/>
    <col min="10791" max="10791" width="3.28515625" style="36" customWidth="1"/>
    <col min="10792" max="10792" width="1.28515625" style="36" customWidth="1"/>
    <col min="10793" max="10793" width="3.28515625" style="36" customWidth="1"/>
    <col min="10794" max="10794" width="1.28515625" style="36" customWidth="1"/>
    <col min="10795" max="10795" width="3.28515625" style="36" customWidth="1"/>
    <col min="10796" max="10796" width="1.28515625" style="36" customWidth="1"/>
    <col min="10797" max="10797" width="3.28515625" style="36" customWidth="1"/>
    <col min="10798" max="10798" width="1.28515625" style="36" customWidth="1"/>
    <col min="10799" max="10799" width="3.28515625" style="36" customWidth="1"/>
    <col min="10800" max="10800" width="1.28515625" style="36" customWidth="1"/>
    <col min="10801" max="10801" width="3.28515625" style="36" customWidth="1"/>
    <col min="10802" max="10802" width="1.28515625" style="36" customWidth="1"/>
    <col min="10803" max="10804" width="3.28515625" style="36" customWidth="1"/>
    <col min="10805" max="10805" width="6.28515625" style="36" customWidth="1"/>
    <col min="10806" max="10807" width="19.28515625" style="36" customWidth="1"/>
    <col min="10808" max="11032" width="8.7109375" style="36"/>
    <col min="11033" max="11033" width="1" style="36" customWidth="1"/>
    <col min="11034" max="11034" width="34.7109375" style="36" customWidth="1"/>
    <col min="11035" max="11035" width="13" style="36" customWidth="1"/>
    <col min="11036" max="11036" width="6" style="36" customWidth="1"/>
    <col min="11037" max="11037" width="4.5703125" style="36" customWidth="1"/>
    <col min="11038" max="11038" width="2.42578125" style="36" customWidth="1"/>
    <col min="11039" max="11039" width="8.7109375" style="36" customWidth="1"/>
    <col min="11040" max="11040" width="9.42578125" style="36" customWidth="1"/>
    <col min="11041" max="11041" width="5.42578125" style="36" customWidth="1"/>
    <col min="11042" max="11042" width="9.5703125" style="36" customWidth="1"/>
    <col min="11043" max="11043" width="10.28515625" style="36" customWidth="1"/>
    <col min="11044" max="11044" width="5.42578125" style="36" customWidth="1"/>
    <col min="11045" max="11045" width="9.7109375" style="36" customWidth="1"/>
    <col min="11046" max="11046" width="1.28515625" style="36" customWidth="1"/>
    <col min="11047" max="11047" width="3.28515625" style="36" customWidth="1"/>
    <col min="11048" max="11048" width="1.28515625" style="36" customWidth="1"/>
    <col min="11049" max="11049" width="3.28515625" style="36" customWidth="1"/>
    <col min="11050" max="11050" width="1.28515625" style="36" customWidth="1"/>
    <col min="11051" max="11051" width="3.28515625" style="36" customWidth="1"/>
    <col min="11052" max="11052" width="1.28515625" style="36" customWidth="1"/>
    <col min="11053" max="11053" width="3.28515625" style="36" customWidth="1"/>
    <col min="11054" max="11054" width="1.28515625" style="36" customWidth="1"/>
    <col min="11055" max="11055" width="3.28515625" style="36" customWidth="1"/>
    <col min="11056" max="11056" width="1.28515625" style="36" customWidth="1"/>
    <col min="11057" max="11057" width="3.28515625" style="36" customWidth="1"/>
    <col min="11058" max="11058" width="1.28515625" style="36" customWidth="1"/>
    <col min="11059" max="11060" width="3.28515625" style="36" customWidth="1"/>
    <col min="11061" max="11061" width="6.28515625" style="36" customWidth="1"/>
    <col min="11062" max="11063" width="19.28515625" style="36" customWidth="1"/>
    <col min="11064" max="11288" width="8.7109375" style="36"/>
    <col min="11289" max="11289" width="1" style="36" customWidth="1"/>
    <col min="11290" max="11290" width="34.7109375" style="36" customWidth="1"/>
    <col min="11291" max="11291" width="13" style="36" customWidth="1"/>
    <col min="11292" max="11292" width="6" style="36" customWidth="1"/>
    <col min="11293" max="11293" width="4.5703125" style="36" customWidth="1"/>
    <col min="11294" max="11294" width="2.42578125" style="36" customWidth="1"/>
    <col min="11295" max="11295" width="8.7109375" style="36" customWidth="1"/>
    <col min="11296" max="11296" width="9.42578125" style="36" customWidth="1"/>
    <col min="11297" max="11297" width="5.42578125" style="36" customWidth="1"/>
    <col min="11298" max="11298" width="9.5703125" style="36" customWidth="1"/>
    <col min="11299" max="11299" width="10.28515625" style="36" customWidth="1"/>
    <col min="11300" max="11300" width="5.42578125" style="36" customWidth="1"/>
    <col min="11301" max="11301" width="9.7109375" style="36" customWidth="1"/>
    <col min="11302" max="11302" width="1.28515625" style="36" customWidth="1"/>
    <col min="11303" max="11303" width="3.28515625" style="36" customWidth="1"/>
    <col min="11304" max="11304" width="1.28515625" style="36" customWidth="1"/>
    <col min="11305" max="11305" width="3.28515625" style="36" customWidth="1"/>
    <col min="11306" max="11306" width="1.28515625" style="36" customWidth="1"/>
    <col min="11307" max="11307" width="3.28515625" style="36" customWidth="1"/>
    <col min="11308" max="11308" width="1.28515625" style="36" customWidth="1"/>
    <col min="11309" max="11309" width="3.28515625" style="36" customWidth="1"/>
    <col min="11310" max="11310" width="1.28515625" style="36" customWidth="1"/>
    <col min="11311" max="11311" width="3.28515625" style="36" customWidth="1"/>
    <col min="11312" max="11312" width="1.28515625" style="36" customWidth="1"/>
    <col min="11313" max="11313" width="3.28515625" style="36" customWidth="1"/>
    <col min="11314" max="11314" width="1.28515625" style="36" customWidth="1"/>
    <col min="11315" max="11316" width="3.28515625" style="36" customWidth="1"/>
    <col min="11317" max="11317" width="6.28515625" style="36" customWidth="1"/>
    <col min="11318" max="11319" width="19.28515625" style="36" customWidth="1"/>
    <col min="11320" max="11544" width="8.7109375" style="36"/>
    <col min="11545" max="11545" width="1" style="36" customWidth="1"/>
    <col min="11546" max="11546" width="34.7109375" style="36" customWidth="1"/>
    <col min="11547" max="11547" width="13" style="36" customWidth="1"/>
    <col min="11548" max="11548" width="6" style="36" customWidth="1"/>
    <col min="11549" max="11549" width="4.5703125" style="36" customWidth="1"/>
    <col min="11550" max="11550" width="2.42578125" style="36" customWidth="1"/>
    <col min="11551" max="11551" width="8.7109375" style="36" customWidth="1"/>
    <col min="11552" max="11552" width="9.42578125" style="36" customWidth="1"/>
    <col min="11553" max="11553" width="5.42578125" style="36" customWidth="1"/>
    <col min="11554" max="11554" width="9.5703125" style="36" customWidth="1"/>
    <col min="11555" max="11555" width="10.28515625" style="36" customWidth="1"/>
    <col min="11556" max="11556" width="5.42578125" style="36" customWidth="1"/>
    <col min="11557" max="11557" width="9.7109375" style="36" customWidth="1"/>
    <col min="11558" max="11558" width="1.28515625" style="36" customWidth="1"/>
    <col min="11559" max="11559" width="3.28515625" style="36" customWidth="1"/>
    <col min="11560" max="11560" width="1.28515625" style="36" customWidth="1"/>
    <col min="11561" max="11561" width="3.28515625" style="36" customWidth="1"/>
    <col min="11562" max="11562" width="1.28515625" style="36" customWidth="1"/>
    <col min="11563" max="11563" width="3.28515625" style="36" customWidth="1"/>
    <col min="11564" max="11564" width="1.28515625" style="36" customWidth="1"/>
    <col min="11565" max="11565" width="3.28515625" style="36" customWidth="1"/>
    <col min="11566" max="11566" width="1.28515625" style="36" customWidth="1"/>
    <col min="11567" max="11567" width="3.28515625" style="36" customWidth="1"/>
    <col min="11568" max="11568" width="1.28515625" style="36" customWidth="1"/>
    <col min="11569" max="11569" width="3.28515625" style="36" customWidth="1"/>
    <col min="11570" max="11570" width="1.28515625" style="36" customWidth="1"/>
    <col min="11571" max="11572" width="3.28515625" style="36" customWidth="1"/>
    <col min="11573" max="11573" width="6.28515625" style="36" customWidth="1"/>
    <col min="11574" max="11575" width="19.28515625" style="36" customWidth="1"/>
    <col min="11576" max="11800" width="8.7109375" style="36"/>
    <col min="11801" max="11801" width="1" style="36" customWidth="1"/>
    <col min="11802" max="11802" width="34.7109375" style="36" customWidth="1"/>
    <col min="11803" max="11803" width="13" style="36" customWidth="1"/>
    <col min="11804" max="11804" width="6" style="36" customWidth="1"/>
    <col min="11805" max="11805" width="4.5703125" style="36" customWidth="1"/>
    <col min="11806" max="11806" width="2.42578125" style="36" customWidth="1"/>
    <col min="11807" max="11807" width="8.7109375" style="36" customWidth="1"/>
    <col min="11808" max="11808" width="9.42578125" style="36" customWidth="1"/>
    <col min="11809" max="11809" width="5.42578125" style="36" customWidth="1"/>
    <col min="11810" max="11810" width="9.5703125" style="36" customWidth="1"/>
    <col min="11811" max="11811" width="10.28515625" style="36" customWidth="1"/>
    <col min="11812" max="11812" width="5.42578125" style="36" customWidth="1"/>
    <col min="11813" max="11813" width="9.7109375" style="36" customWidth="1"/>
    <col min="11814" max="11814" width="1.28515625" style="36" customWidth="1"/>
    <col min="11815" max="11815" width="3.28515625" style="36" customWidth="1"/>
    <col min="11816" max="11816" width="1.28515625" style="36" customWidth="1"/>
    <col min="11817" max="11817" width="3.28515625" style="36" customWidth="1"/>
    <col min="11818" max="11818" width="1.28515625" style="36" customWidth="1"/>
    <col min="11819" max="11819" width="3.28515625" style="36" customWidth="1"/>
    <col min="11820" max="11820" width="1.28515625" style="36" customWidth="1"/>
    <col min="11821" max="11821" width="3.28515625" style="36" customWidth="1"/>
    <col min="11822" max="11822" width="1.28515625" style="36" customWidth="1"/>
    <col min="11823" max="11823" width="3.28515625" style="36" customWidth="1"/>
    <col min="11824" max="11824" width="1.28515625" style="36" customWidth="1"/>
    <col min="11825" max="11825" width="3.28515625" style="36" customWidth="1"/>
    <col min="11826" max="11826" width="1.28515625" style="36" customWidth="1"/>
    <col min="11827" max="11828" width="3.28515625" style="36" customWidth="1"/>
    <col min="11829" max="11829" width="6.28515625" style="36" customWidth="1"/>
    <col min="11830" max="11831" width="19.28515625" style="36" customWidth="1"/>
    <col min="11832" max="12056" width="8.7109375" style="36"/>
    <col min="12057" max="12057" width="1" style="36" customWidth="1"/>
    <col min="12058" max="12058" width="34.7109375" style="36" customWidth="1"/>
    <col min="12059" max="12059" width="13" style="36" customWidth="1"/>
    <col min="12060" max="12060" width="6" style="36" customWidth="1"/>
    <col min="12061" max="12061" width="4.5703125" style="36" customWidth="1"/>
    <col min="12062" max="12062" width="2.42578125" style="36" customWidth="1"/>
    <col min="12063" max="12063" width="8.7109375" style="36" customWidth="1"/>
    <col min="12064" max="12064" width="9.42578125" style="36" customWidth="1"/>
    <col min="12065" max="12065" width="5.42578125" style="36" customWidth="1"/>
    <col min="12066" max="12066" width="9.5703125" style="36" customWidth="1"/>
    <col min="12067" max="12067" width="10.28515625" style="36" customWidth="1"/>
    <col min="12068" max="12068" width="5.42578125" style="36" customWidth="1"/>
    <col min="12069" max="12069" width="9.7109375" style="36" customWidth="1"/>
    <col min="12070" max="12070" width="1.28515625" style="36" customWidth="1"/>
    <col min="12071" max="12071" width="3.28515625" style="36" customWidth="1"/>
    <col min="12072" max="12072" width="1.28515625" style="36" customWidth="1"/>
    <col min="12073" max="12073" width="3.28515625" style="36" customWidth="1"/>
    <col min="12074" max="12074" width="1.28515625" style="36" customWidth="1"/>
    <col min="12075" max="12075" width="3.28515625" style="36" customWidth="1"/>
    <col min="12076" max="12076" width="1.28515625" style="36" customWidth="1"/>
    <col min="12077" max="12077" width="3.28515625" style="36" customWidth="1"/>
    <col min="12078" max="12078" width="1.28515625" style="36" customWidth="1"/>
    <col min="12079" max="12079" width="3.28515625" style="36" customWidth="1"/>
    <col min="12080" max="12080" width="1.28515625" style="36" customWidth="1"/>
    <col min="12081" max="12081" width="3.28515625" style="36" customWidth="1"/>
    <col min="12082" max="12082" width="1.28515625" style="36" customWidth="1"/>
    <col min="12083" max="12084" width="3.28515625" style="36" customWidth="1"/>
    <col min="12085" max="12085" width="6.28515625" style="36" customWidth="1"/>
    <col min="12086" max="12087" width="19.28515625" style="36" customWidth="1"/>
    <col min="12088" max="12312" width="8.7109375" style="36"/>
    <col min="12313" max="12313" width="1" style="36" customWidth="1"/>
    <col min="12314" max="12314" width="34.7109375" style="36" customWidth="1"/>
    <col min="12315" max="12315" width="13" style="36" customWidth="1"/>
    <col min="12316" max="12316" width="6" style="36" customWidth="1"/>
    <col min="12317" max="12317" width="4.5703125" style="36" customWidth="1"/>
    <col min="12318" max="12318" width="2.42578125" style="36" customWidth="1"/>
    <col min="12319" max="12319" width="8.7109375" style="36" customWidth="1"/>
    <col min="12320" max="12320" width="9.42578125" style="36" customWidth="1"/>
    <col min="12321" max="12321" width="5.42578125" style="36" customWidth="1"/>
    <col min="12322" max="12322" width="9.5703125" style="36" customWidth="1"/>
    <col min="12323" max="12323" width="10.28515625" style="36" customWidth="1"/>
    <col min="12324" max="12324" width="5.42578125" style="36" customWidth="1"/>
    <col min="12325" max="12325" width="9.7109375" style="36" customWidth="1"/>
    <col min="12326" max="12326" width="1.28515625" style="36" customWidth="1"/>
    <col min="12327" max="12327" width="3.28515625" style="36" customWidth="1"/>
    <col min="12328" max="12328" width="1.28515625" style="36" customWidth="1"/>
    <col min="12329" max="12329" width="3.28515625" style="36" customWidth="1"/>
    <col min="12330" max="12330" width="1.28515625" style="36" customWidth="1"/>
    <col min="12331" max="12331" width="3.28515625" style="36" customWidth="1"/>
    <col min="12332" max="12332" width="1.28515625" style="36" customWidth="1"/>
    <col min="12333" max="12333" width="3.28515625" style="36" customWidth="1"/>
    <col min="12334" max="12334" width="1.28515625" style="36" customWidth="1"/>
    <col min="12335" max="12335" width="3.28515625" style="36" customWidth="1"/>
    <col min="12336" max="12336" width="1.28515625" style="36" customWidth="1"/>
    <col min="12337" max="12337" width="3.28515625" style="36" customWidth="1"/>
    <col min="12338" max="12338" width="1.28515625" style="36" customWidth="1"/>
    <col min="12339" max="12340" width="3.28515625" style="36" customWidth="1"/>
    <col min="12341" max="12341" width="6.28515625" style="36" customWidth="1"/>
    <col min="12342" max="12343" width="19.28515625" style="36" customWidth="1"/>
    <col min="12344" max="12568" width="8.7109375" style="36"/>
    <col min="12569" max="12569" width="1" style="36" customWidth="1"/>
    <col min="12570" max="12570" width="34.7109375" style="36" customWidth="1"/>
    <col min="12571" max="12571" width="13" style="36" customWidth="1"/>
    <col min="12572" max="12572" width="6" style="36" customWidth="1"/>
    <col min="12573" max="12573" width="4.5703125" style="36" customWidth="1"/>
    <col min="12574" max="12574" width="2.42578125" style="36" customWidth="1"/>
    <col min="12575" max="12575" width="8.7109375" style="36" customWidth="1"/>
    <col min="12576" max="12576" width="9.42578125" style="36" customWidth="1"/>
    <col min="12577" max="12577" width="5.42578125" style="36" customWidth="1"/>
    <col min="12578" max="12578" width="9.5703125" style="36" customWidth="1"/>
    <col min="12579" max="12579" width="10.28515625" style="36" customWidth="1"/>
    <col min="12580" max="12580" width="5.42578125" style="36" customWidth="1"/>
    <col min="12581" max="12581" width="9.7109375" style="36" customWidth="1"/>
    <col min="12582" max="12582" width="1.28515625" style="36" customWidth="1"/>
    <col min="12583" max="12583" width="3.28515625" style="36" customWidth="1"/>
    <col min="12584" max="12584" width="1.28515625" style="36" customWidth="1"/>
    <col min="12585" max="12585" width="3.28515625" style="36" customWidth="1"/>
    <col min="12586" max="12586" width="1.28515625" style="36" customWidth="1"/>
    <col min="12587" max="12587" width="3.28515625" style="36" customWidth="1"/>
    <col min="12588" max="12588" width="1.28515625" style="36" customWidth="1"/>
    <col min="12589" max="12589" width="3.28515625" style="36" customWidth="1"/>
    <col min="12590" max="12590" width="1.28515625" style="36" customWidth="1"/>
    <col min="12591" max="12591" width="3.28515625" style="36" customWidth="1"/>
    <col min="12592" max="12592" width="1.28515625" style="36" customWidth="1"/>
    <col min="12593" max="12593" width="3.28515625" style="36" customWidth="1"/>
    <col min="12594" max="12594" width="1.28515625" style="36" customWidth="1"/>
    <col min="12595" max="12596" width="3.28515625" style="36" customWidth="1"/>
    <col min="12597" max="12597" width="6.28515625" style="36" customWidth="1"/>
    <col min="12598" max="12599" width="19.28515625" style="36" customWidth="1"/>
    <col min="12600" max="12824" width="8.7109375" style="36"/>
    <col min="12825" max="12825" width="1" style="36" customWidth="1"/>
    <col min="12826" max="12826" width="34.7109375" style="36" customWidth="1"/>
    <col min="12827" max="12827" width="13" style="36" customWidth="1"/>
    <col min="12828" max="12828" width="6" style="36" customWidth="1"/>
    <col min="12829" max="12829" width="4.5703125" style="36" customWidth="1"/>
    <col min="12830" max="12830" width="2.42578125" style="36" customWidth="1"/>
    <col min="12831" max="12831" width="8.7109375" style="36" customWidth="1"/>
    <col min="12832" max="12832" width="9.42578125" style="36" customWidth="1"/>
    <col min="12833" max="12833" width="5.42578125" style="36" customWidth="1"/>
    <col min="12834" max="12834" width="9.5703125" style="36" customWidth="1"/>
    <col min="12835" max="12835" width="10.28515625" style="36" customWidth="1"/>
    <col min="12836" max="12836" width="5.42578125" style="36" customWidth="1"/>
    <col min="12837" max="12837" width="9.7109375" style="36" customWidth="1"/>
    <col min="12838" max="12838" width="1.28515625" style="36" customWidth="1"/>
    <col min="12839" max="12839" width="3.28515625" style="36" customWidth="1"/>
    <col min="12840" max="12840" width="1.28515625" style="36" customWidth="1"/>
    <col min="12841" max="12841" width="3.28515625" style="36" customWidth="1"/>
    <col min="12842" max="12842" width="1.28515625" style="36" customWidth="1"/>
    <col min="12843" max="12843" width="3.28515625" style="36" customWidth="1"/>
    <col min="12844" max="12844" width="1.28515625" style="36" customWidth="1"/>
    <col min="12845" max="12845" width="3.28515625" style="36" customWidth="1"/>
    <col min="12846" max="12846" width="1.28515625" style="36" customWidth="1"/>
    <col min="12847" max="12847" width="3.28515625" style="36" customWidth="1"/>
    <col min="12848" max="12848" width="1.28515625" style="36" customWidth="1"/>
    <col min="12849" max="12849" width="3.28515625" style="36" customWidth="1"/>
    <col min="12850" max="12850" width="1.28515625" style="36" customWidth="1"/>
    <col min="12851" max="12852" width="3.28515625" style="36" customWidth="1"/>
    <col min="12853" max="12853" width="6.28515625" style="36" customWidth="1"/>
    <col min="12854" max="12855" width="19.28515625" style="36" customWidth="1"/>
    <col min="12856" max="13080" width="8.7109375" style="36"/>
    <col min="13081" max="13081" width="1" style="36" customWidth="1"/>
    <col min="13082" max="13082" width="34.7109375" style="36" customWidth="1"/>
    <col min="13083" max="13083" width="13" style="36" customWidth="1"/>
    <col min="13084" max="13084" width="6" style="36" customWidth="1"/>
    <col min="13085" max="13085" width="4.5703125" style="36" customWidth="1"/>
    <col min="13086" max="13086" width="2.42578125" style="36" customWidth="1"/>
    <col min="13087" max="13087" width="8.7109375" style="36" customWidth="1"/>
    <col min="13088" max="13088" width="9.42578125" style="36" customWidth="1"/>
    <col min="13089" max="13089" width="5.42578125" style="36" customWidth="1"/>
    <col min="13090" max="13090" width="9.5703125" style="36" customWidth="1"/>
    <col min="13091" max="13091" width="10.28515625" style="36" customWidth="1"/>
    <col min="13092" max="13092" width="5.42578125" style="36" customWidth="1"/>
    <col min="13093" max="13093" width="9.7109375" style="36" customWidth="1"/>
    <col min="13094" max="13094" width="1.28515625" style="36" customWidth="1"/>
    <col min="13095" max="13095" width="3.28515625" style="36" customWidth="1"/>
    <col min="13096" max="13096" width="1.28515625" style="36" customWidth="1"/>
    <col min="13097" max="13097" width="3.28515625" style="36" customWidth="1"/>
    <col min="13098" max="13098" width="1.28515625" style="36" customWidth="1"/>
    <col min="13099" max="13099" width="3.28515625" style="36" customWidth="1"/>
    <col min="13100" max="13100" width="1.28515625" style="36" customWidth="1"/>
    <col min="13101" max="13101" width="3.28515625" style="36" customWidth="1"/>
    <col min="13102" max="13102" width="1.28515625" style="36" customWidth="1"/>
    <col min="13103" max="13103" width="3.28515625" style="36" customWidth="1"/>
    <col min="13104" max="13104" width="1.28515625" style="36" customWidth="1"/>
    <col min="13105" max="13105" width="3.28515625" style="36" customWidth="1"/>
    <col min="13106" max="13106" width="1.28515625" style="36" customWidth="1"/>
    <col min="13107" max="13108" width="3.28515625" style="36" customWidth="1"/>
    <col min="13109" max="13109" width="6.28515625" style="36" customWidth="1"/>
    <col min="13110" max="13111" width="19.28515625" style="36" customWidth="1"/>
    <col min="13112" max="13336" width="8.7109375" style="36"/>
    <col min="13337" max="13337" width="1" style="36" customWidth="1"/>
    <col min="13338" max="13338" width="34.7109375" style="36" customWidth="1"/>
    <col min="13339" max="13339" width="13" style="36" customWidth="1"/>
    <col min="13340" max="13340" width="6" style="36" customWidth="1"/>
    <col min="13341" max="13341" width="4.5703125" style="36" customWidth="1"/>
    <col min="13342" max="13342" width="2.42578125" style="36" customWidth="1"/>
    <col min="13343" max="13343" width="8.7109375" style="36" customWidth="1"/>
    <col min="13344" max="13344" width="9.42578125" style="36" customWidth="1"/>
    <col min="13345" max="13345" width="5.42578125" style="36" customWidth="1"/>
    <col min="13346" max="13346" width="9.5703125" style="36" customWidth="1"/>
    <col min="13347" max="13347" width="10.28515625" style="36" customWidth="1"/>
    <col min="13348" max="13348" width="5.42578125" style="36" customWidth="1"/>
    <col min="13349" max="13349" width="9.7109375" style="36" customWidth="1"/>
    <col min="13350" max="13350" width="1.28515625" style="36" customWidth="1"/>
    <col min="13351" max="13351" width="3.28515625" style="36" customWidth="1"/>
    <col min="13352" max="13352" width="1.28515625" style="36" customWidth="1"/>
    <col min="13353" max="13353" width="3.28515625" style="36" customWidth="1"/>
    <col min="13354" max="13354" width="1.28515625" style="36" customWidth="1"/>
    <col min="13355" max="13355" width="3.28515625" style="36" customWidth="1"/>
    <col min="13356" max="13356" width="1.28515625" style="36" customWidth="1"/>
    <col min="13357" max="13357" width="3.28515625" style="36" customWidth="1"/>
    <col min="13358" max="13358" width="1.28515625" style="36" customWidth="1"/>
    <col min="13359" max="13359" width="3.28515625" style="36" customWidth="1"/>
    <col min="13360" max="13360" width="1.28515625" style="36" customWidth="1"/>
    <col min="13361" max="13361" width="3.28515625" style="36" customWidth="1"/>
    <col min="13362" max="13362" width="1.28515625" style="36" customWidth="1"/>
    <col min="13363" max="13364" width="3.28515625" style="36" customWidth="1"/>
    <col min="13365" max="13365" width="6.28515625" style="36" customWidth="1"/>
    <col min="13366" max="13367" width="19.28515625" style="36" customWidth="1"/>
    <col min="13368" max="13592" width="8.7109375" style="36"/>
    <col min="13593" max="13593" width="1" style="36" customWidth="1"/>
    <col min="13594" max="13594" width="34.7109375" style="36" customWidth="1"/>
    <col min="13595" max="13595" width="13" style="36" customWidth="1"/>
    <col min="13596" max="13596" width="6" style="36" customWidth="1"/>
    <col min="13597" max="13597" width="4.5703125" style="36" customWidth="1"/>
    <col min="13598" max="13598" width="2.42578125" style="36" customWidth="1"/>
    <col min="13599" max="13599" width="8.7109375" style="36" customWidth="1"/>
    <col min="13600" max="13600" width="9.42578125" style="36" customWidth="1"/>
    <col min="13601" max="13601" width="5.42578125" style="36" customWidth="1"/>
    <col min="13602" max="13602" width="9.5703125" style="36" customWidth="1"/>
    <col min="13603" max="13603" width="10.28515625" style="36" customWidth="1"/>
    <col min="13604" max="13604" width="5.42578125" style="36" customWidth="1"/>
    <col min="13605" max="13605" width="9.7109375" style="36" customWidth="1"/>
    <col min="13606" max="13606" width="1.28515625" style="36" customWidth="1"/>
    <col min="13607" max="13607" width="3.28515625" style="36" customWidth="1"/>
    <col min="13608" max="13608" width="1.28515625" style="36" customWidth="1"/>
    <col min="13609" max="13609" width="3.28515625" style="36" customWidth="1"/>
    <col min="13610" max="13610" width="1.28515625" style="36" customWidth="1"/>
    <col min="13611" max="13611" width="3.28515625" style="36" customWidth="1"/>
    <col min="13612" max="13612" width="1.28515625" style="36" customWidth="1"/>
    <col min="13613" max="13613" width="3.28515625" style="36" customWidth="1"/>
    <col min="13614" max="13614" width="1.28515625" style="36" customWidth="1"/>
    <col min="13615" max="13615" width="3.28515625" style="36" customWidth="1"/>
    <col min="13616" max="13616" width="1.28515625" style="36" customWidth="1"/>
    <col min="13617" max="13617" width="3.28515625" style="36" customWidth="1"/>
    <col min="13618" max="13618" width="1.28515625" style="36" customWidth="1"/>
    <col min="13619" max="13620" width="3.28515625" style="36" customWidth="1"/>
    <col min="13621" max="13621" width="6.28515625" style="36" customWidth="1"/>
    <col min="13622" max="13623" width="19.28515625" style="36" customWidth="1"/>
    <col min="13624" max="13848" width="8.7109375" style="36"/>
    <col min="13849" max="13849" width="1" style="36" customWidth="1"/>
    <col min="13850" max="13850" width="34.7109375" style="36" customWidth="1"/>
    <col min="13851" max="13851" width="13" style="36" customWidth="1"/>
    <col min="13852" max="13852" width="6" style="36" customWidth="1"/>
    <col min="13853" max="13853" width="4.5703125" style="36" customWidth="1"/>
    <col min="13854" max="13854" width="2.42578125" style="36" customWidth="1"/>
    <col min="13855" max="13855" width="8.7109375" style="36" customWidth="1"/>
    <col min="13856" max="13856" width="9.42578125" style="36" customWidth="1"/>
    <col min="13857" max="13857" width="5.42578125" style="36" customWidth="1"/>
    <col min="13858" max="13858" width="9.5703125" style="36" customWidth="1"/>
    <col min="13859" max="13859" width="10.28515625" style="36" customWidth="1"/>
    <col min="13860" max="13860" width="5.42578125" style="36" customWidth="1"/>
    <col min="13861" max="13861" width="9.7109375" style="36" customWidth="1"/>
    <col min="13862" max="13862" width="1.28515625" style="36" customWidth="1"/>
    <col min="13863" max="13863" width="3.28515625" style="36" customWidth="1"/>
    <col min="13864" max="13864" width="1.28515625" style="36" customWidth="1"/>
    <col min="13865" max="13865" width="3.28515625" style="36" customWidth="1"/>
    <col min="13866" max="13866" width="1.28515625" style="36" customWidth="1"/>
    <col min="13867" max="13867" width="3.28515625" style="36" customWidth="1"/>
    <col min="13868" max="13868" width="1.28515625" style="36" customWidth="1"/>
    <col min="13869" max="13869" width="3.28515625" style="36" customWidth="1"/>
    <col min="13870" max="13870" width="1.28515625" style="36" customWidth="1"/>
    <col min="13871" max="13871" width="3.28515625" style="36" customWidth="1"/>
    <col min="13872" max="13872" width="1.28515625" style="36" customWidth="1"/>
    <col min="13873" max="13873" width="3.28515625" style="36" customWidth="1"/>
    <col min="13874" max="13874" width="1.28515625" style="36" customWidth="1"/>
    <col min="13875" max="13876" width="3.28515625" style="36" customWidth="1"/>
    <col min="13877" max="13877" width="6.28515625" style="36" customWidth="1"/>
    <col min="13878" max="13879" width="19.28515625" style="36" customWidth="1"/>
    <col min="13880" max="14104" width="8.7109375" style="36"/>
    <col min="14105" max="14105" width="1" style="36" customWidth="1"/>
    <col min="14106" max="14106" width="34.7109375" style="36" customWidth="1"/>
    <col min="14107" max="14107" width="13" style="36" customWidth="1"/>
    <col min="14108" max="14108" width="6" style="36" customWidth="1"/>
    <col min="14109" max="14109" width="4.5703125" style="36" customWidth="1"/>
    <col min="14110" max="14110" width="2.42578125" style="36" customWidth="1"/>
    <col min="14111" max="14111" width="8.7109375" style="36" customWidth="1"/>
    <col min="14112" max="14112" width="9.42578125" style="36" customWidth="1"/>
    <col min="14113" max="14113" width="5.42578125" style="36" customWidth="1"/>
    <col min="14114" max="14114" width="9.5703125" style="36" customWidth="1"/>
    <col min="14115" max="14115" width="10.28515625" style="36" customWidth="1"/>
    <col min="14116" max="14116" width="5.42578125" style="36" customWidth="1"/>
    <col min="14117" max="14117" width="9.7109375" style="36" customWidth="1"/>
    <col min="14118" max="14118" width="1.28515625" style="36" customWidth="1"/>
    <col min="14119" max="14119" width="3.28515625" style="36" customWidth="1"/>
    <col min="14120" max="14120" width="1.28515625" style="36" customWidth="1"/>
    <col min="14121" max="14121" width="3.28515625" style="36" customWidth="1"/>
    <col min="14122" max="14122" width="1.28515625" style="36" customWidth="1"/>
    <col min="14123" max="14123" width="3.28515625" style="36" customWidth="1"/>
    <col min="14124" max="14124" width="1.28515625" style="36" customWidth="1"/>
    <col min="14125" max="14125" width="3.28515625" style="36" customWidth="1"/>
    <col min="14126" max="14126" width="1.28515625" style="36" customWidth="1"/>
    <col min="14127" max="14127" width="3.28515625" style="36" customWidth="1"/>
    <col min="14128" max="14128" width="1.28515625" style="36" customWidth="1"/>
    <col min="14129" max="14129" width="3.28515625" style="36" customWidth="1"/>
    <col min="14130" max="14130" width="1.28515625" style="36" customWidth="1"/>
    <col min="14131" max="14132" width="3.28515625" style="36" customWidth="1"/>
    <col min="14133" max="14133" width="6.28515625" style="36" customWidth="1"/>
    <col min="14134" max="14135" width="19.28515625" style="36" customWidth="1"/>
    <col min="14136" max="14360" width="8.7109375" style="36"/>
    <col min="14361" max="14361" width="1" style="36" customWidth="1"/>
    <col min="14362" max="14362" width="34.7109375" style="36" customWidth="1"/>
    <col min="14363" max="14363" width="13" style="36" customWidth="1"/>
    <col min="14364" max="14364" width="6" style="36" customWidth="1"/>
    <col min="14365" max="14365" width="4.5703125" style="36" customWidth="1"/>
    <col min="14366" max="14366" width="2.42578125" style="36" customWidth="1"/>
    <col min="14367" max="14367" width="8.7109375" style="36" customWidth="1"/>
    <col min="14368" max="14368" width="9.42578125" style="36" customWidth="1"/>
    <col min="14369" max="14369" width="5.42578125" style="36" customWidth="1"/>
    <col min="14370" max="14370" width="9.5703125" style="36" customWidth="1"/>
    <col min="14371" max="14371" width="10.28515625" style="36" customWidth="1"/>
    <col min="14372" max="14372" width="5.42578125" style="36" customWidth="1"/>
    <col min="14373" max="14373" width="9.7109375" style="36" customWidth="1"/>
    <col min="14374" max="14374" width="1.28515625" style="36" customWidth="1"/>
    <col min="14375" max="14375" width="3.28515625" style="36" customWidth="1"/>
    <col min="14376" max="14376" width="1.28515625" style="36" customWidth="1"/>
    <col min="14377" max="14377" width="3.28515625" style="36" customWidth="1"/>
    <col min="14378" max="14378" width="1.28515625" style="36" customWidth="1"/>
    <col min="14379" max="14379" width="3.28515625" style="36" customWidth="1"/>
    <col min="14380" max="14380" width="1.28515625" style="36" customWidth="1"/>
    <col min="14381" max="14381" width="3.28515625" style="36" customWidth="1"/>
    <col min="14382" max="14382" width="1.28515625" style="36" customWidth="1"/>
    <col min="14383" max="14383" width="3.28515625" style="36" customWidth="1"/>
    <col min="14384" max="14384" width="1.28515625" style="36" customWidth="1"/>
    <col min="14385" max="14385" width="3.28515625" style="36" customWidth="1"/>
    <col min="14386" max="14386" width="1.28515625" style="36" customWidth="1"/>
    <col min="14387" max="14388" width="3.28515625" style="36" customWidth="1"/>
    <col min="14389" max="14389" width="6.28515625" style="36" customWidth="1"/>
    <col min="14390" max="14391" width="19.28515625" style="36" customWidth="1"/>
    <col min="14392" max="14616" width="8.7109375" style="36"/>
    <col min="14617" max="14617" width="1" style="36" customWidth="1"/>
    <col min="14618" max="14618" width="34.7109375" style="36" customWidth="1"/>
    <col min="14619" max="14619" width="13" style="36" customWidth="1"/>
    <col min="14620" max="14620" width="6" style="36" customWidth="1"/>
    <col min="14621" max="14621" width="4.5703125" style="36" customWidth="1"/>
    <col min="14622" max="14622" width="2.42578125" style="36" customWidth="1"/>
    <col min="14623" max="14623" width="8.7109375" style="36" customWidth="1"/>
    <col min="14624" max="14624" width="9.42578125" style="36" customWidth="1"/>
    <col min="14625" max="14625" width="5.42578125" style="36" customWidth="1"/>
    <col min="14626" max="14626" width="9.5703125" style="36" customWidth="1"/>
    <col min="14627" max="14627" width="10.28515625" style="36" customWidth="1"/>
    <col min="14628" max="14628" width="5.42578125" style="36" customWidth="1"/>
    <col min="14629" max="14629" width="9.7109375" style="36" customWidth="1"/>
    <col min="14630" max="14630" width="1.28515625" style="36" customWidth="1"/>
    <col min="14631" max="14631" width="3.28515625" style="36" customWidth="1"/>
    <col min="14632" max="14632" width="1.28515625" style="36" customWidth="1"/>
    <col min="14633" max="14633" width="3.28515625" style="36" customWidth="1"/>
    <col min="14634" max="14634" width="1.28515625" style="36" customWidth="1"/>
    <col min="14635" max="14635" width="3.28515625" style="36" customWidth="1"/>
    <col min="14636" max="14636" width="1.28515625" style="36" customWidth="1"/>
    <col min="14637" max="14637" width="3.28515625" style="36" customWidth="1"/>
    <col min="14638" max="14638" width="1.28515625" style="36" customWidth="1"/>
    <col min="14639" max="14639" width="3.28515625" style="36" customWidth="1"/>
    <col min="14640" max="14640" width="1.28515625" style="36" customWidth="1"/>
    <col min="14641" max="14641" width="3.28515625" style="36" customWidth="1"/>
    <col min="14642" max="14642" width="1.28515625" style="36" customWidth="1"/>
    <col min="14643" max="14644" width="3.28515625" style="36" customWidth="1"/>
    <col min="14645" max="14645" width="6.28515625" style="36" customWidth="1"/>
    <col min="14646" max="14647" width="19.28515625" style="36" customWidth="1"/>
    <col min="14648" max="14872" width="8.7109375" style="36"/>
    <col min="14873" max="14873" width="1" style="36" customWidth="1"/>
    <col min="14874" max="14874" width="34.7109375" style="36" customWidth="1"/>
    <col min="14875" max="14875" width="13" style="36" customWidth="1"/>
    <col min="14876" max="14876" width="6" style="36" customWidth="1"/>
    <col min="14877" max="14877" width="4.5703125" style="36" customWidth="1"/>
    <col min="14878" max="14878" width="2.42578125" style="36" customWidth="1"/>
    <col min="14879" max="14879" width="8.7109375" style="36" customWidth="1"/>
    <col min="14880" max="14880" width="9.42578125" style="36" customWidth="1"/>
    <col min="14881" max="14881" width="5.42578125" style="36" customWidth="1"/>
    <col min="14882" max="14882" width="9.5703125" style="36" customWidth="1"/>
    <col min="14883" max="14883" width="10.28515625" style="36" customWidth="1"/>
    <col min="14884" max="14884" width="5.42578125" style="36" customWidth="1"/>
    <col min="14885" max="14885" width="9.7109375" style="36" customWidth="1"/>
    <col min="14886" max="14886" width="1.28515625" style="36" customWidth="1"/>
    <col min="14887" max="14887" width="3.28515625" style="36" customWidth="1"/>
    <col min="14888" max="14888" width="1.28515625" style="36" customWidth="1"/>
    <col min="14889" max="14889" width="3.28515625" style="36" customWidth="1"/>
    <col min="14890" max="14890" width="1.28515625" style="36" customWidth="1"/>
    <col min="14891" max="14891" width="3.28515625" style="36" customWidth="1"/>
    <col min="14892" max="14892" width="1.28515625" style="36" customWidth="1"/>
    <col min="14893" max="14893" width="3.28515625" style="36" customWidth="1"/>
    <col min="14894" max="14894" width="1.28515625" style="36" customWidth="1"/>
    <col min="14895" max="14895" width="3.28515625" style="36" customWidth="1"/>
    <col min="14896" max="14896" width="1.28515625" style="36" customWidth="1"/>
    <col min="14897" max="14897" width="3.28515625" style="36" customWidth="1"/>
    <col min="14898" max="14898" width="1.28515625" style="36" customWidth="1"/>
    <col min="14899" max="14900" width="3.28515625" style="36" customWidth="1"/>
    <col min="14901" max="14901" width="6.28515625" style="36" customWidth="1"/>
    <col min="14902" max="14903" width="19.28515625" style="36" customWidth="1"/>
    <col min="14904" max="15128" width="8.7109375" style="36"/>
    <col min="15129" max="15129" width="1" style="36" customWidth="1"/>
    <col min="15130" max="15130" width="34.7109375" style="36" customWidth="1"/>
    <col min="15131" max="15131" width="13" style="36" customWidth="1"/>
    <col min="15132" max="15132" width="6" style="36" customWidth="1"/>
    <col min="15133" max="15133" width="4.5703125" style="36" customWidth="1"/>
    <col min="15134" max="15134" width="2.42578125" style="36" customWidth="1"/>
    <col min="15135" max="15135" width="8.7109375" style="36" customWidth="1"/>
    <col min="15136" max="15136" width="9.42578125" style="36" customWidth="1"/>
    <col min="15137" max="15137" width="5.42578125" style="36" customWidth="1"/>
    <col min="15138" max="15138" width="9.5703125" style="36" customWidth="1"/>
    <col min="15139" max="15139" width="10.28515625" style="36" customWidth="1"/>
    <col min="15140" max="15140" width="5.42578125" style="36" customWidth="1"/>
    <col min="15141" max="15141" width="9.7109375" style="36" customWidth="1"/>
    <col min="15142" max="15142" width="1.28515625" style="36" customWidth="1"/>
    <col min="15143" max="15143" width="3.28515625" style="36" customWidth="1"/>
    <col min="15144" max="15144" width="1.28515625" style="36" customWidth="1"/>
    <col min="15145" max="15145" width="3.28515625" style="36" customWidth="1"/>
    <col min="15146" max="15146" width="1.28515625" style="36" customWidth="1"/>
    <col min="15147" max="15147" width="3.28515625" style="36" customWidth="1"/>
    <col min="15148" max="15148" width="1.28515625" style="36" customWidth="1"/>
    <col min="15149" max="15149" width="3.28515625" style="36" customWidth="1"/>
    <col min="15150" max="15150" width="1.28515625" style="36" customWidth="1"/>
    <col min="15151" max="15151" width="3.28515625" style="36" customWidth="1"/>
    <col min="15152" max="15152" width="1.28515625" style="36" customWidth="1"/>
    <col min="15153" max="15153" width="3.28515625" style="36" customWidth="1"/>
    <col min="15154" max="15154" width="1.28515625" style="36" customWidth="1"/>
    <col min="15155" max="15156" width="3.28515625" style="36" customWidth="1"/>
    <col min="15157" max="15157" width="6.28515625" style="36" customWidth="1"/>
    <col min="15158" max="15159" width="19.28515625" style="36" customWidth="1"/>
    <col min="15160" max="15384" width="8.7109375" style="36"/>
    <col min="15385" max="15385" width="1" style="36" customWidth="1"/>
    <col min="15386" max="15386" width="34.7109375" style="36" customWidth="1"/>
    <col min="15387" max="15387" width="13" style="36" customWidth="1"/>
    <col min="15388" max="15388" width="6" style="36" customWidth="1"/>
    <col min="15389" max="15389" width="4.5703125" style="36" customWidth="1"/>
    <col min="15390" max="15390" width="2.42578125" style="36" customWidth="1"/>
    <col min="15391" max="15391" width="8.7109375" style="36" customWidth="1"/>
    <col min="15392" max="15392" width="9.42578125" style="36" customWidth="1"/>
    <col min="15393" max="15393" width="5.42578125" style="36" customWidth="1"/>
    <col min="15394" max="15394" width="9.5703125" style="36" customWidth="1"/>
    <col min="15395" max="15395" width="10.28515625" style="36" customWidth="1"/>
    <col min="15396" max="15396" width="5.42578125" style="36" customWidth="1"/>
    <col min="15397" max="15397" width="9.7109375" style="36" customWidth="1"/>
    <col min="15398" max="15398" width="1.28515625" style="36" customWidth="1"/>
    <col min="15399" max="15399" width="3.28515625" style="36" customWidth="1"/>
    <col min="15400" max="15400" width="1.28515625" style="36" customWidth="1"/>
    <col min="15401" max="15401" width="3.28515625" style="36" customWidth="1"/>
    <col min="15402" max="15402" width="1.28515625" style="36" customWidth="1"/>
    <col min="15403" max="15403" width="3.28515625" style="36" customWidth="1"/>
    <col min="15404" max="15404" width="1.28515625" style="36" customWidth="1"/>
    <col min="15405" max="15405" width="3.28515625" style="36" customWidth="1"/>
    <col min="15406" max="15406" width="1.28515625" style="36" customWidth="1"/>
    <col min="15407" max="15407" width="3.28515625" style="36" customWidth="1"/>
    <col min="15408" max="15408" width="1.28515625" style="36" customWidth="1"/>
    <col min="15409" max="15409" width="3.28515625" style="36" customWidth="1"/>
    <col min="15410" max="15410" width="1.28515625" style="36" customWidth="1"/>
    <col min="15411" max="15412" width="3.28515625" style="36" customWidth="1"/>
    <col min="15413" max="15413" width="6.28515625" style="36" customWidth="1"/>
    <col min="15414" max="15415" width="19.28515625" style="36" customWidth="1"/>
    <col min="15416" max="15640" width="8.7109375" style="36"/>
    <col min="15641" max="15641" width="1" style="36" customWidth="1"/>
    <col min="15642" max="15642" width="34.7109375" style="36" customWidth="1"/>
    <col min="15643" max="15643" width="13" style="36" customWidth="1"/>
    <col min="15644" max="15644" width="6" style="36" customWidth="1"/>
    <col min="15645" max="15645" width="4.5703125" style="36" customWidth="1"/>
    <col min="15646" max="15646" width="2.42578125" style="36" customWidth="1"/>
    <col min="15647" max="15647" width="8.7109375" style="36" customWidth="1"/>
    <col min="15648" max="15648" width="9.42578125" style="36" customWidth="1"/>
    <col min="15649" max="15649" width="5.42578125" style="36" customWidth="1"/>
    <col min="15650" max="15650" width="9.5703125" style="36" customWidth="1"/>
    <col min="15651" max="15651" width="10.28515625" style="36" customWidth="1"/>
    <col min="15652" max="15652" width="5.42578125" style="36" customWidth="1"/>
    <col min="15653" max="15653" width="9.7109375" style="36" customWidth="1"/>
    <col min="15654" max="15654" width="1.28515625" style="36" customWidth="1"/>
    <col min="15655" max="15655" width="3.28515625" style="36" customWidth="1"/>
    <col min="15656" max="15656" width="1.28515625" style="36" customWidth="1"/>
    <col min="15657" max="15657" width="3.28515625" style="36" customWidth="1"/>
    <col min="15658" max="15658" width="1.28515625" style="36" customWidth="1"/>
    <col min="15659" max="15659" width="3.28515625" style="36" customWidth="1"/>
    <col min="15660" max="15660" width="1.28515625" style="36" customWidth="1"/>
    <col min="15661" max="15661" width="3.28515625" style="36" customWidth="1"/>
    <col min="15662" max="15662" width="1.28515625" style="36" customWidth="1"/>
    <col min="15663" max="15663" width="3.28515625" style="36" customWidth="1"/>
    <col min="15664" max="15664" width="1.28515625" style="36" customWidth="1"/>
    <col min="15665" max="15665" width="3.28515625" style="36" customWidth="1"/>
    <col min="15666" max="15666" width="1.28515625" style="36" customWidth="1"/>
    <col min="15667" max="15668" width="3.28515625" style="36" customWidth="1"/>
    <col min="15669" max="15669" width="6.28515625" style="36" customWidth="1"/>
    <col min="15670" max="15671" width="19.28515625" style="36" customWidth="1"/>
    <col min="15672" max="15896" width="8.7109375" style="36"/>
    <col min="15897" max="15897" width="1" style="36" customWidth="1"/>
    <col min="15898" max="15898" width="34.7109375" style="36" customWidth="1"/>
    <col min="15899" max="15899" width="13" style="36" customWidth="1"/>
    <col min="15900" max="15900" width="6" style="36" customWidth="1"/>
    <col min="15901" max="15901" width="4.5703125" style="36" customWidth="1"/>
    <col min="15902" max="15902" width="2.42578125" style="36" customWidth="1"/>
    <col min="15903" max="15903" width="8.7109375" style="36" customWidth="1"/>
    <col min="15904" max="15904" width="9.42578125" style="36" customWidth="1"/>
    <col min="15905" max="15905" width="5.42578125" style="36" customWidth="1"/>
    <col min="15906" max="15906" width="9.5703125" style="36" customWidth="1"/>
    <col min="15907" max="15907" width="10.28515625" style="36" customWidth="1"/>
    <col min="15908" max="15908" width="5.42578125" style="36" customWidth="1"/>
    <col min="15909" max="15909" width="9.7109375" style="36" customWidth="1"/>
    <col min="15910" max="15910" width="1.28515625" style="36" customWidth="1"/>
    <col min="15911" max="15911" width="3.28515625" style="36" customWidth="1"/>
    <col min="15912" max="15912" width="1.28515625" style="36" customWidth="1"/>
    <col min="15913" max="15913" width="3.28515625" style="36" customWidth="1"/>
    <col min="15914" max="15914" width="1.28515625" style="36" customWidth="1"/>
    <col min="15915" max="15915" width="3.28515625" style="36" customWidth="1"/>
    <col min="15916" max="15916" width="1.28515625" style="36" customWidth="1"/>
    <col min="15917" max="15917" width="3.28515625" style="36" customWidth="1"/>
    <col min="15918" max="15918" width="1.28515625" style="36" customWidth="1"/>
    <col min="15919" max="15919" width="3.28515625" style="36" customWidth="1"/>
    <col min="15920" max="15920" width="1.28515625" style="36" customWidth="1"/>
    <col min="15921" max="15921" width="3.28515625" style="36" customWidth="1"/>
    <col min="15922" max="15922" width="1.28515625" style="36" customWidth="1"/>
    <col min="15923" max="15924" width="3.28515625" style="36" customWidth="1"/>
    <col min="15925" max="15925" width="6.28515625" style="36" customWidth="1"/>
    <col min="15926" max="15927" width="19.28515625" style="36" customWidth="1"/>
    <col min="15928" max="16152" width="8.7109375" style="36"/>
    <col min="16153" max="16153" width="1" style="36" customWidth="1"/>
    <col min="16154" max="16154" width="34.7109375" style="36" customWidth="1"/>
    <col min="16155" max="16155" width="13" style="36" customWidth="1"/>
    <col min="16156" max="16156" width="6" style="36" customWidth="1"/>
    <col min="16157" max="16157" width="4.5703125" style="36" customWidth="1"/>
    <col min="16158" max="16158" width="2.42578125" style="36" customWidth="1"/>
    <col min="16159" max="16159" width="8.7109375" style="36" customWidth="1"/>
    <col min="16160" max="16160" width="9.42578125" style="36" customWidth="1"/>
    <col min="16161" max="16161" width="5.42578125" style="36" customWidth="1"/>
    <col min="16162" max="16162" width="9.5703125" style="36" customWidth="1"/>
    <col min="16163" max="16163" width="10.28515625" style="36" customWidth="1"/>
    <col min="16164" max="16164" width="5.42578125" style="36" customWidth="1"/>
    <col min="16165" max="16165" width="9.7109375" style="36" customWidth="1"/>
    <col min="16166" max="16166" width="1.28515625" style="36" customWidth="1"/>
    <col min="16167" max="16167" width="3.28515625" style="36" customWidth="1"/>
    <col min="16168" max="16168" width="1.28515625" style="36" customWidth="1"/>
    <col min="16169" max="16169" width="3.28515625" style="36" customWidth="1"/>
    <col min="16170" max="16170" width="1.28515625" style="36" customWidth="1"/>
    <col min="16171" max="16171" width="3.28515625" style="36" customWidth="1"/>
    <col min="16172" max="16172" width="1.28515625" style="36" customWidth="1"/>
    <col min="16173" max="16173" width="3.28515625" style="36" customWidth="1"/>
    <col min="16174" max="16174" width="1.28515625" style="36" customWidth="1"/>
    <col min="16175" max="16175" width="3.28515625" style="36" customWidth="1"/>
    <col min="16176" max="16176" width="1.28515625" style="36" customWidth="1"/>
    <col min="16177" max="16177" width="3.28515625" style="36" customWidth="1"/>
    <col min="16178" max="16178" width="1.28515625" style="36" customWidth="1"/>
    <col min="16179" max="16180" width="3.28515625" style="36" customWidth="1"/>
    <col min="16181" max="16181" width="6.28515625" style="36" customWidth="1"/>
    <col min="16182" max="16183" width="19.28515625" style="36" customWidth="1"/>
    <col min="16184" max="16384" width="8.7109375" style="36"/>
  </cols>
  <sheetData>
    <row r="1" spans="1:55" ht="21.6" customHeight="1" thickBot="1" x14ac:dyDescent="0.4">
      <c r="A1" s="108"/>
      <c r="B1" s="49" t="str">
        <f>ListAVS!$B$256&amp;":"</f>
        <v>Odbiorca:</v>
      </c>
      <c r="C1" s="40"/>
      <c r="D1" s="40"/>
      <c r="E1" s="229"/>
      <c r="F1" s="229"/>
      <c r="G1" s="232"/>
      <c r="H1" s="228"/>
      <c r="I1" s="230"/>
      <c r="J1" s="108"/>
      <c r="K1" s="612" t="str">
        <f>ListAVS!$B$158</f>
        <v>Zamówienie</v>
      </c>
      <c r="L1" s="940"/>
      <c r="M1" s="108"/>
      <c r="N1" s="231"/>
      <c r="O1" s="231"/>
      <c r="P1" s="231"/>
      <c r="Q1" s="231"/>
      <c r="R1" s="231"/>
      <c r="S1" s="231"/>
      <c r="T1" s="231"/>
      <c r="U1" s="231"/>
      <c r="V1" s="231"/>
      <c r="W1" s="231"/>
      <c r="X1" s="231"/>
      <c r="Y1" s="231"/>
      <c r="Z1" s="231"/>
      <c r="AA1" s="231"/>
      <c r="AB1" s="231"/>
      <c r="AC1" s="231"/>
      <c r="AD1" s="231"/>
      <c r="AE1" s="231"/>
      <c r="AF1" s="231"/>
      <c r="AG1" s="231"/>
      <c r="AH1" s="231"/>
      <c r="AI1" s="231"/>
      <c r="AJ1" s="231"/>
      <c r="AK1" s="231"/>
      <c r="AL1" s="231"/>
      <c r="AM1" s="231"/>
      <c r="AN1" s="231"/>
      <c r="AO1" s="231"/>
      <c r="AP1" s="231"/>
      <c r="AQ1" s="231"/>
      <c r="AR1" s="231"/>
      <c r="AS1" s="231"/>
      <c r="AT1" s="231"/>
      <c r="AU1" s="231"/>
      <c r="AV1" s="231"/>
      <c r="AW1" s="231"/>
      <c r="AX1" s="231"/>
      <c r="AY1" s="231"/>
      <c r="AZ1" s="231"/>
      <c r="BA1" s="231"/>
      <c r="BB1" s="108"/>
      <c r="BC1" s="226" t="str">
        <f>ListAVS!$B$153</f>
        <v>Przejdź do</v>
      </c>
    </row>
    <row r="2" spans="1:55" ht="15" customHeight="1" thickBot="1" x14ac:dyDescent="0.25">
      <c r="A2" s="108"/>
      <c r="B2" s="1299">
        <f>Form!C53</f>
        <v>0</v>
      </c>
      <c r="C2" s="570"/>
      <c r="D2" s="40"/>
      <c r="E2" s="229"/>
      <c r="F2" s="229"/>
      <c r="G2" s="232"/>
      <c r="H2" s="228"/>
      <c r="I2" s="230"/>
      <c r="J2" s="108"/>
      <c r="K2" s="613" t="s">
        <v>161</v>
      </c>
      <c r="L2" s="941"/>
      <c r="N2" s="231"/>
      <c r="O2" s="231"/>
      <c r="P2" s="231"/>
      <c r="Q2" s="231"/>
      <c r="R2" s="231"/>
      <c r="S2" s="231"/>
      <c r="T2" s="231"/>
      <c r="U2" s="231"/>
      <c r="V2" s="231"/>
      <c r="W2" s="231"/>
      <c r="X2" s="231"/>
      <c r="Y2" s="231"/>
      <c r="Z2" s="231"/>
      <c r="AA2" s="231"/>
      <c r="AB2" s="231"/>
      <c r="AC2" s="231"/>
      <c r="AD2" s="231"/>
      <c r="AE2" s="231"/>
      <c r="AF2" s="231"/>
      <c r="AG2" s="231"/>
      <c r="AH2" s="231"/>
      <c r="AI2" s="231"/>
      <c r="AJ2" s="231"/>
      <c r="AK2" s="231"/>
      <c r="AL2" s="231"/>
      <c r="AM2" s="231"/>
      <c r="AN2" s="231"/>
      <c r="AO2" s="231"/>
      <c r="AP2" s="231"/>
      <c r="AQ2" s="231"/>
      <c r="AR2" s="231"/>
      <c r="AS2" s="231"/>
      <c r="AT2" s="231"/>
      <c r="AU2" s="231"/>
      <c r="AV2" s="231"/>
      <c r="AW2" s="231"/>
      <c r="AX2" s="231"/>
      <c r="AY2" s="231"/>
      <c r="AZ2" s="231"/>
      <c r="BA2" s="231"/>
      <c r="BB2" s="108"/>
      <c r="BC2" s="383" t="str">
        <f>" "&amp;ListAVS!$B$154</f>
        <v xml:space="preserve"> Wprowadzenie do planowania</v>
      </c>
    </row>
    <row r="3" spans="1:55" ht="15" customHeight="1" x14ac:dyDescent="0.2">
      <c r="A3" s="108"/>
      <c r="B3" s="1299"/>
      <c r="C3" s="49" t="str">
        <f>ListAVS!$B$259&amp;":"</f>
        <v>NIP:</v>
      </c>
      <c r="D3" s="1301"/>
      <c r="E3" s="1302"/>
      <c r="F3" s="1302"/>
      <c r="G3" s="1303"/>
      <c r="J3" s="576" t="str">
        <f>ListAVS!$B$223&amp;": "</f>
        <v xml:space="preserve">Wersja: </v>
      </c>
      <c r="K3" s="101" t="str">
        <f>Form!$Q$7&amp;" "</f>
        <v xml:space="preserve">4.0.4 </v>
      </c>
      <c r="L3" s="941"/>
      <c r="M3" s="562">
        <f>SUM(O5,W5,AB5,AG5,AL5,AQ5,AZ7,BA3,AV5)</f>
        <v>0</v>
      </c>
      <c r="N3" s="231"/>
      <c r="O3" s="231"/>
      <c r="P3" s="231"/>
      <c r="Q3" s="231"/>
      <c r="R3" s="231"/>
      <c r="S3" s="231"/>
      <c r="T3" s="231"/>
      <c r="U3" s="231"/>
      <c r="V3" s="231"/>
      <c r="W3" s="231"/>
      <c r="X3" s="231"/>
      <c r="Y3" s="231"/>
      <c r="Z3" s="231"/>
      <c r="AA3" s="231"/>
      <c r="AB3" s="233"/>
      <c r="AC3" s="233"/>
      <c r="AD3" s="233"/>
      <c r="AE3" s="233"/>
      <c r="AF3" s="231"/>
      <c r="AG3" s="231"/>
      <c r="AH3" s="231"/>
      <c r="AI3" s="231"/>
      <c r="AJ3" s="231"/>
      <c r="AK3" s="231"/>
      <c r="AL3" s="231"/>
      <c r="AM3" s="231"/>
      <c r="AN3" s="231"/>
      <c r="AO3" s="231"/>
      <c r="AP3" s="231"/>
      <c r="AQ3" s="231"/>
      <c r="AR3" s="231"/>
      <c r="AS3" s="231"/>
      <c r="AT3" s="231"/>
      <c r="AU3" s="231"/>
      <c r="AV3" s="231"/>
      <c r="AW3" s="231"/>
      <c r="AX3" s="231"/>
      <c r="AY3" s="231"/>
      <c r="AZ3" s="231"/>
      <c r="BA3" s="1277">
        <f>IF($BA$6=1, SUM($G$186:$G$187), 0)</f>
        <v>0</v>
      </c>
      <c r="BB3" s="108"/>
      <c r="BC3" s="559" t="str">
        <f>" "&amp;ListAVS!$B$155</f>
        <v xml:space="preserve"> Pomoc</v>
      </c>
    </row>
    <row r="4" spans="1:55" ht="15" customHeight="1" thickBot="1" x14ac:dyDescent="0.35">
      <c r="A4" s="108"/>
      <c r="B4" s="1299">
        <f>Form!C56</f>
        <v>0</v>
      </c>
      <c r="C4" s="92">
        <f>Form!C63</f>
        <v>0</v>
      </c>
      <c r="D4" s="1299"/>
      <c r="E4" s="1299"/>
      <c r="F4" s="1302"/>
      <c r="G4" s="1303"/>
      <c r="H4" s="513"/>
      <c r="I4" s="513"/>
      <c r="J4" s="576" t="str">
        <f>ListAVS!$B$224&amp;": "</f>
        <v xml:space="preserve">Cennik obowiązuje od: </v>
      </c>
      <c r="K4" s="576">
        <f>Price!$H$8</f>
        <v>45671</v>
      </c>
      <c r="L4" s="941"/>
      <c r="M4" s="108"/>
      <c r="N4" s="231"/>
      <c r="O4" s="231"/>
      <c r="P4" s="231"/>
      <c r="Q4" s="231"/>
      <c r="R4" s="231"/>
      <c r="S4" s="231"/>
      <c r="T4" s="231"/>
      <c r="U4" s="231"/>
      <c r="V4" s="231"/>
      <c r="W4" s="231"/>
      <c r="X4" s="231"/>
      <c r="Y4" s="231"/>
      <c r="Z4" s="231"/>
      <c r="AA4" s="231"/>
      <c r="AB4" s="233"/>
      <c r="AC4" s="233"/>
      <c r="AD4" s="233"/>
      <c r="AE4" s="233"/>
      <c r="AF4" s="231"/>
      <c r="AG4" s="231"/>
      <c r="AH4" s="231"/>
      <c r="AI4" s="231"/>
      <c r="AJ4" s="231"/>
      <c r="AK4" s="231"/>
      <c r="AL4" s="231"/>
      <c r="AM4" s="231"/>
      <c r="AN4" s="231"/>
      <c r="AO4" s="231"/>
      <c r="AP4" s="231"/>
      <c r="AQ4" s="231"/>
      <c r="AR4" s="231"/>
      <c r="AS4" s="231"/>
      <c r="AT4" s="231"/>
      <c r="AU4" s="231"/>
      <c r="AV4" s="231"/>
      <c r="AW4" s="231"/>
      <c r="AX4" s="231"/>
      <c r="AY4" s="231"/>
      <c r="AZ4" s="231"/>
      <c r="BA4" s="1278"/>
      <c r="BB4" s="108"/>
      <c r="BC4" s="859"/>
    </row>
    <row r="5" spans="1:55" ht="15" customHeight="1" thickBot="1" x14ac:dyDescent="0.35">
      <c r="A5" s="108"/>
      <c r="B5" s="1299">
        <f>Form!C57</f>
        <v>0</v>
      </c>
      <c r="C5" s="92">
        <f>Form!C64</f>
        <v>0</v>
      </c>
      <c r="D5" s="1300"/>
      <c r="E5" s="1299"/>
      <c r="F5" s="1302"/>
      <c r="G5" s="1303"/>
      <c r="H5" s="543"/>
      <c r="I5" s="543"/>
      <c r="J5" s="115"/>
      <c r="K5" s="577" t="str">
        <f>IF(MenuAVS!$N$95&gt;0, ListAVS!$B$294, " ")</f>
        <v xml:space="preserve"> </v>
      </c>
      <c r="L5" s="941"/>
      <c r="M5" s="431">
        <f>SUM(M11:M191)</f>
        <v>0</v>
      </c>
      <c r="N5" s="231"/>
      <c r="O5" s="1275">
        <f>SUM(O7, P7, Q7, R7, S7, T7, U7)</f>
        <v>0</v>
      </c>
      <c r="P5" s="1275"/>
      <c r="Q5" s="1275"/>
      <c r="R5" s="1275"/>
      <c r="S5" s="1275"/>
      <c r="T5" s="1275"/>
      <c r="U5" s="1275"/>
      <c r="V5" s="231"/>
      <c r="W5" s="1275">
        <f>SUM(W7,X7,Y7,Z7)</f>
        <v>0</v>
      </c>
      <c r="X5" s="1276"/>
      <c r="Y5" s="1276"/>
      <c r="Z5" s="1276"/>
      <c r="AA5" s="231"/>
      <c r="AB5" s="1275">
        <f>SUM(AB7,AC7,AD7,AE7)</f>
        <v>0</v>
      </c>
      <c r="AC5" s="1276"/>
      <c r="AD5" s="1276"/>
      <c r="AE5" s="1276"/>
      <c r="AF5" s="231"/>
      <c r="AG5" s="1275">
        <f>SUM(AG7,AH7,AI7,AJ7)</f>
        <v>0</v>
      </c>
      <c r="AH5" s="1276"/>
      <c r="AI5" s="1276"/>
      <c r="AJ5" s="1276"/>
      <c r="AK5" s="231"/>
      <c r="AL5" s="1275">
        <f>SUM(AL7,AM7,AN7,AO7)</f>
        <v>0</v>
      </c>
      <c r="AM5" s="1276"/>
      <c r="AN5" s="1276"/>
      <c r="AO5" s="1276"/>
      <c r="AP5" s="231"/>
      <c r="AQ5" s="1275">
        <f>SUM(AQ7,AR7,AS7,AT7)</f>
        <v>0</v>
      </c>
      <c r="AR5" s="1276"/>
      <c r="AS5" s="1276"/>
      <c r="AT5" s="1276"/>
      <c r="AU5" s="231"/>
      <c r="AV5" s="1279">
        <f>SUM($AV$7, $AW$7, $AX$7)</f>
        <v>0</v>
      </c>
      <c r="AW5" s="1280"/>
      <c r="AX5" s="1280"/>
      <c r="AY5" s="231"/>
      <c r="AZ5" s="231"/>
      <c r="BA5" s="1278"/>
      <c r="BB5" s="108"/>
      <c r="BC5" s="561" t="str">
        <f>" "&amp;ListAVS!$B$160</f>
        <v xml:space="preserve"> Dodatki</v>
      </c>
    </row>
    <row r="6" spans="1:55" ht="15" customHeight="1" thickBot="1" x14ac:dyDescent="0.25">
      <c r="A6" s="108"/>
      <c r="B6" s="51" t="str">
        <f>ListAVS!$B$258&amp;":"</f>
        <v>Adres dostawy:</v>
      </c>
      <c r="C6" s="51" t="str">
        <f>ListAVS!$B$260&amp;":"</f>
        <v>Telefon, faks, e-mail:</v>
      </c>
      <c r="D6" s="52"/>
      <c r="E6" s="51"/>
      <c r="F6" s="53"/>
      <c r="G6" s="53"/>
      <c r="H6" s="44" t="str">
        <f>ListAVS!$B$261</f>
        <v>Numer zamówienia</v>
      </c>
      <c r="J6" s="40"/>
      <c r="K6" s="40"/>
      <c r="L6" s="941"/>
      <c r="M6" s="108"/>
      <c r="N6" s="231"/>
      <c r="O6" s="458">
        <f>IF(OR(AND(HFw!$S$9=2, HFw!$M$17&gt;0), AND(HFw!$S$20=2, HFw!$M$28&gt;0)), 1, 2)</f>
        <v>2</v>
      </c>
      <c r="P6" s="458">
        <f>IF(OR(AND(HFwa!$S$9=2, HFwa!$M$17&gt;0), AND(HFwa!$S$20=2, HFwa!$M$28&gt;0)), 1, 2)</f>
        <v>2</v>
      </c>
      <c r="Q6" s="458">
        <f>IF(OR(AND(HFw_wa!$S$9=2, HFw_wa!$M$17&gt;0), AND(HFw_wa!$S$20=2, HFw_wa!$M$28&gt;0)), 1, 2)</f>
        <v>2</v>
      </c>
      <c r="R6" s="458">
        <f>IF(OR(AND(HFwa_w!$S$9=2, HFwa_w!$M$17&gt;0), AND(HFwa_w!$S$20=2, HFwa_w!$M$28&gt;0)), 1, 2)</f>
        <v>2</v>
      </c>
      <c r="S6" s="458">
        <f>IF(OR(AND(HFna!$S$9=2, HFna!$M$17&gt;0), AND(HFna!$S$20=2, HFna!$M$28&gt;0)), 1, 2)</f>
        <v>2</v>
      </c>
      <c r="T6" s="458">
        <f>IF(OR(AND(HFw_na!$S$9=2, HFw_na!$M$17&gt;0), AND(HFw_na!$S$20=2, HFw_na!$M$28&gt;0)), 1, 2)</f>
        <v>2</v>
      </c>
      <c r="U6" s="458">
        <f>IF(OR(AND(HFna_w!$S$9=2, HFna_w!$M$17&gt;0), AND(HFna_w!$S$20=2, HFna_w!$M$28&gt;0)), 1, 2)</f>
        <v>2</v>
      </c>
      <c r="V6" s="240"/>
      <c r="W6" s="458">
        <f>IF(OR(AND(HSw!$Q$16=2, HSw!$M$17&gt;0), AND(HSw!$Q$27=2, HSw!$M$28&gt;0)), 1, 2)</f>
        <v>2</v>
      </c>
      <c r="X6" s="458">
        <f>IF(OR(AND(HSwa!$Q$16=2, HSwa!$M$17&gt;0), AND(HSwa!$Q$27=2, HSwa!$M$28&gt;0)), 1, 2)</f>
        <v>2</v>
      </c>
      <c r="Y6" s="458">
        <f>IF(OR(AND(HSna!$Q$16=2, HSna!$M$17&gt;0), AND(HSna!$Q$27=2, HSna!$M$28&gt;0)), 1, 2)</f>
        <v>2</v>
      </c>
      <c r="Z6" s="458">
        <f>IF(OR(AND(HSt!$Q$16=2, HSt!$M$17&gt;0), AND(HSt!$Q$27=2, HSt!$M$28&gt;0)), 1, 2)</f>
        <v>2</v>
      </c>
      <c r="AA6" s="240"/>
      <c r="AB6" s="458">
        <f>IF(OR(AND(HLw!$R$14=2, HLw!$M$15&gt;0), AND(HLw!$R$25=2, HLw!$M$26)), 1, 2)</f>
        <v>2</v>
      </c>
      <c r="AC6" s="458">
        <f>IF(OR(AND(HLwa!$R$14=2, HLwa!$M$15&gt;0), AND(HLwa!$R$24=2, HLwa!$M$25)), 1, 2)</f>
        <v>2</v>
      </c>
      <c r="AD6" s="458">
        <f>IF(OR(AND(HLna!$R$14=2, HLna!$M$15&gt;0), AND(HLna!$R$24=2, HLna!$M$25)), 1, 2)</f>
        <v>2</v>
      </c>
      <c r="AE6" s="458">
        <f>IF(OR(AND(HLt!$R$14=2, HLt!$M$15&gt;0), AND(HLt!$R$24=2, HLt!$M$25)), 1, 2)</f>
        <v>2</v>
      </c>
      <c r="AF6" s="240"/>
      <c r="AG6" s="458">
        <f>IF(OR(AND(HKw!$U$16=2, HKw!$M$17&gt;0), AND(HKw!$U$27=2, HKw!$M$28)), 1, 2)</f>
        <v>2</v>
      </c>
      <c r="AH6" s="458">
        <f>IF(OR(AND(HKwa!$U$16=2, HKwa!$M$17&gt;0), AND(HKwa!$U$27=2, HKwa!$M$28)), 1, 2)</f>
        <v>2</v>
      </c>
      <c r="AI6" s="458">
        <f>IF(OR(AND(HKna!$U$16=2, HKna!$M$17&gt;0), AND(HKna!$U$27=2, HKna!$M$28)), 1, 2)</f>
        <v>2</v>
      </c>
      <c r="AJ6" s="458">
        <f>IF(OR(AND(HKt!$U$16=2, HKt!$M$17&gt;0), AND(HKt!$U$27=2, HKt!$M$28)), 1, 2)</f>
        <v>2</v>
      </c>
      <c r="AK6" s="240"/>
      <c r="AL6" s="240"/>
      <c r="AM6" s="240"/>
      <c r="AN6" s="240"/>
      <c r="AO6" s="240"/>
      <c r="AP6" s="240"/>
      <c r="AQ6" s="240"/>
      <c r="AR6" s="240"/>
      <c r="AS6" s="240"/>
      <c r="AT6" s="240"/>
      <c r="AU6" s="240"/>
      <c r="AV6" s="240"/>
      <c r="AW6" s="240"/>
      <c r="AX6" s="240"/>
      <c r="AY6" s="240"/>
      <c r="AZ6" s="240"/>
      <c r="BA6" s="459">
        <f>IF(OR(O6=1, P6=1, Q6=1, R6=1, S6= 1, T6=1, U6=1, W6=1, X6=1, Y6=1, Z6=1, AB6=1, AC6=1, AD6=1, AE6=1, AG6=1, AH6=1, AI6=1, AJ6=1), 1, 2)</f>
        <v>2</v>
      </c>
      <c r="BB6" s="108"/>
      <c r="BC6" s="560" t="str">
        <f>" "&amp;ListAVS!$B$157</f>
        <v xml:space="preserve"> Rodzaje korpusów</v>
      </c>
    </row>
    <row r="7" spans="1:55" ht="15" customHeight="1" x14ac:dyDescent="0.2">
      <c r="A7" s="108"/>
      <c r="B7" s="1299">
        <f>Form!C59</f>
        <v>0</v>
      </c>
      <c r="C7" s="1304">
        <f>Form!C66</f>
        <v>0</v>
      </c>
      <c r="D7" s="1299"/>
      <c r="E7" s="1299"/>
      <c r="F7" s="1299"/>
      <c r="G7" s="1299"/>
      <c r="H7" s="1282"/>
      <c r="I7" s="1282"/>
      <c r="J7" s="1282"/>
      <c r="K7" s="1282"/>
      <c r="L7" s="941"/>
      <c r="M7" s="108"/>
      <c r="N7" s="231"/>
      <c r="O7" s="1277">
        <f>HFw!$AD$47</f>
        <v>0</v>
      </c>
      <c r="P7" s="1277">
        <f>HFwa!$AD$47</f>
        <v>0</v>
      </c>
      <c r="Q7" s="1277">
        <f>HFw_wa!$AD$47</f>
        <v>0</v>
      </c>
      <c r="R7" s="1277">
        <f>HFwa_w!$AD$47</f>
        <v>0</v>
      </c>
      <c r="S7" s="1277">
        <f>HFna!$AD$47</f>
        <v>0</v>
      </c>
      <c r="T7" s="1277">
        <f>HFw_na!$AD$47</f>
        <v>0</v>
      </c>
      <c r="U7" s="1277">
        <f>HFna_w!$AD$47</f>
        <v>0</v>
      </c>
      <c r="V7" s="460"/>
      <c r="W7" s="1277">
        <f>HSw!$AD$45</f>
        <v>0</v>
      </c>
      <c r="X7" s="1277">
        <f>HSwa!$AD$45</f>
        <v>0</v>
      </c>
      <c r="Y7" s="1277">
        <f>HSna!$AD$45</f>
        <v>0</v>
      </c>
      <c r="Z7" s="1277">
        <f>HSt!$AD$45</f>
        <v>0</v>
      </c>
      <c r="AA7" s="460"/>
      <c r="AB7" s="1277">
        <f>HLw!$AD$40</f>
        <v>0</v>
      </c>
      <c r="AC7" s="1277">
        <f>HLwa!$AD$40</f>
        <v>0</v>
      </c>
      <c r="AD7" s="1277">
        <f>HLna!$AD$40</f>
        <v>0</v>
      </c>
      <c r="AE7" s="1277">
        <f>HLt!$AD$40</f>
        <v>0</v>
      </c>
      <c r="AF7" s="460"/>
      <c r="AG7" s="1277">
        <f>HKw!$AD$48</f>
        <v>0</v>
      </c>
      <c r="AH7" s="1277">
        <f>HKwa!$AD$48</f>
        <v>0</v>
      </c>
      <c r="AI7" s="1277">
        <f>HKna!$AD$48</f>
        <v>0</v>
      </c>
      <c r="AJ7" s="1277">
        <f>HKt!$AD$48</f>
        <v>0</v>
      </c>
      <c r="AK7" s="460"/>
      <c r="AL7" s="1277">
        <f>HKSw!$AD$46</f>
        <v>0</v>
      </c>
      <c r="AM7" s="1277">
        <f>HKSwa!$AD$46</f>
        <v>0</v>
      </c>
      <c r="AN7" s="1277">
        <f>HKSna!$AD$46</f>
        <v>0</v>
      </c>
      <c r="AO7" s="1277">
        <f>HKSt!$AD$46</f>
        <v>0</v>
      </c>
      <c r="AP7" s="460"/>
      <c r="AQ7" s="1277">
        <f>HKXSw!$AF$50</f>
        <v>0</v>
      </c>
      <c r="AR7" s="1277">
        <f>HKXSwa!$AF$50</f>
        <v>0</v>
      </c>
      <c r="AS7" s="1277">
        <f>HKXSna!$AF$50</f>
        <v>0</v>
      </c>
      <c r="AT7" s="1277">
        <f>HKXSt!$AF$50</f>
        <v>0</v>
      </c>
      <c r="AU7" s="460"/>
      <c r="AV7" s="1277">
        <f>HKiw!AD48</f>
        <v>0</v>
      </c>
      <c r="AW7" s="1277">
        <f>HKiwa!AD48</f>
        <v>0</v>
      </c>
      <c r="AX7" s="1277">
        <f>HKina!AD48</f>
        <v>0</v>
      </c>
      <c r="AY7" s="460"/>
      <c r="AZ7" s="1277">
        <f>AcsAVS!Y68</f>
        <v>0</v>
      </c>
      <c r="BA7" s="465" t="s">
        <v>162</v>
      </c>
      <c r="BB7" s="108"/>
      <c r="BC7" s="108"/>
    </row>
    <row r="8" spans="1:55" ht="15" customHeight="1" x14ac:dyDescent="0.2">
      <c r="A8" s="108"/>
      <c r="B8" s="1299">
        <f>Form!C60</f>
        <v>0</v>
      </c>
      <c r="C8" s="1304">
        <f>Form!C67</f>
        <v>0</v>
      </c>
      <c r="D8" s="1299"/>
      <c r="E8" s="1299"/>
      <c r="F8" s="1299"/>
      <c r="G8" s="1299"/>
      <c r="H8" s="54" t="str">
        <f>ListAVS!$B$262</f>
        <v>Zlecenie</v>
      </c>
      <c r="I8" s="515"/>
      <c r="J8" s="40"/>
      <c r="K8" s="40"/>
      <c r="L8" s="941"/>
      <c r="M8" s="108"/>
      <c r="N8" s="231"/>
      <c r="O8" s="1278"/>
      <c r="P8" s="1278"/>
      <c r="Q8" s="1278"/>
      <c r="R8" s="1278"/>
      <c r="S8" s="1278"/>
      <c r="T8" s="1278"/>
      <c r="U8" s="1278"/>
      <c r="V8" s="240"/>
      <c r="W8" s="1278"/>
      <c r="X8" s="1278"/>
      <c r="Y8" s="1278"/>
      <c r="Z8" s="1278"/>
      <c r="AA8" s="461"/>
      <c r="AB8" s="1278"/>
      <c r="AC8" s="1278"/>
      <c r="AD8" s="1278"/>
      <c r="AE8" s="1278"/>
      <c r="AF8" s="461"/>
      <c r="AG8" s="1278"/>
      <c r="AH8" s="1278"/>
      <c r="AI8" s="1278"/>
      <c r="AJ8" s="1278"/>
      <c r="AK8" s="461"/>
      <c r="AL8" s="1278"/>
      <c r="AM8" s="1278"/>
      <c r="AN8" s="1278"/>
      <c r="AO8" s="1278"/>
      <c r="AP8" s="461"/>
      <c r="AQ8" s="1278"/>
      <c r="AR8" s="1278"/>
      <c r="AS8" s="1278"/>
      <c r="AT8" s="1278"/>
      <c r="AU8" s="461"/>
      <c r="AV8" s="1278"/>
      <c r="AW8" s="1278"/>
      <c r="AX8" s="1278"/>
      <c r="AY8" s="461"/>
      <c r="AZ8" s="1278"/>
      <c r="BA8" s="1281" t="s">
        <v>163</v>
      </c>
      <c r="BB8" s="108"/>
      <c r="BC8" s="108"/>
    </row>
    <row r="9" spans="1:55" ht="14.1" customHeight="1" x14ac:dyDescent="0.2">
      <c r="A9" s="108"/>
      <c r="B9" s="1300">
        <f>Form!C61</f>
        <v>0</v>
      </c>
      <c r="C9" s="1305">
        <f>Form!C68</f>
        <v>0</v>
      </c>
      <c r="D9" s="1300"/>
      <c r="E9" s="1300"/>
      <c r="F9" s="1300"/>
      <c r="G9" s="1300"/>
      <c r="H9" s="1283"/>
      <c r="I9" s="1283"/>
      <c r="J9" s="1283"/>
      <c r="K9" s="1283"/>
      <c r="L9" s="941"/>
      <c r="M9" s="108"/>
      <c r="N9" s="234"/>
      <c r="O9" s="1278"/>
      <c r="P9" s="1278"/>
      <c r="Q9" s="1278"/>
      <c r="R9" s="1278"/>
      <c r="S9" s="1278"/>
      <c r="T9" s="1278"/>
      <c r="U9" s="1278"/>
      <c r="V9" s="462"/>
      <c r="W9" s="1278"/>
      <c r="X9" s="1278"/>
      <c r="Y9" s="1278"/>
      <c r="Z9" s="1278"/>
      <c r="AA9" s="461"/>
      <c r="AB9" s="1278"/>
      <c r="AC9" s="1278"/>
      <c r="AD9" s="1278"/>
      <c r="AE9" s="1278"/>
      <c r="AF9" s="461"/>
      <c r="AG9" s="1278"/>
      <c r="AH9" s="1278"/>
      <c r="AI9" s="1278"/>
      <c r="AJ9" s="1278"/>
      <c r="AK9" s="461"/>
      <c r="AL9" s="1278"/>
      <c r="AM9" s="1278"/>
      <c r="AN9" s="1278"/>
      <c r="AO9" s="1278"/>
      <c r="AP9" s="461"/>
      <c r="AQ9" s="1278"/>
      <c r="AR9" s="1278"/>
      <c r="AS9" s="1278"/>
      <c r="AT9" s="1278"/>
      <c r="AU9" s="461"/>
      <c r="AV9" s="1278"/>
      <c r="AW9" s="1278"/>
      <c r="AX9" s="1278"/>
      <c r="AY9" s="461"/>
      <c r="AZ9" s="1278"/>
      <c r="BA9" s="1281"/>
      <c r="BB9" s="108"/>
      <c r="BC9" s="108"/>
    </row>
    <row r="10" spans="1:55" ht="46.15" customHeight="1" x14ac:dyDescent="0.2">
      <c r="A10" s="108"/>
      <c r="B10" s="55" t="str">
        <f>Price!A10</f>
        <v>Nazwa</v>
      </c>
      <c r="C10" s="55" t="str">
        <f>Price!B10</f>
        <v>Kod asortymentu</v>
      </c>
      <c r="D10" s="55" t="str">
        <f>Price!C10</f>
        <v>Kolor</v>
      </c>
      <c r="E10" s="96" t="str">
        <f>Price!D10</f>
        <v>Dostępność</v>
      </c>
      <c r="F10" s="102" t="str">
        <f>Price!E10</f>
        <v>Ilość</v>
      </c>
      <c r="G10" s="56" t="str">
        <f>Price!F10</f>
        <v>Cena za sztukę</v>
      </c>
      <c r="H10" s="103" t="str">
        <f>ListAVS!$B$59</f>
        <v>W sumie</v>
      </c>
      <c r="I10" s="91" t="str">
        <f>ListAVS!$B$60</f>
        <v>Zmiana</v>
      </c>
      <c r="J10" s="56" t="str">
        <f>Price!G10</f>
        <v>IDNr.</v>
      </c>
      <c r="K10" s="542">
        <f>Price!H10</f>
        <v>0</v>
      </c>
      <c r="L10" s="942" t="s">
        <v>164</v>
      </c>
      <c r="M10" s="106" t="s">
        <v>165</v>
      </c>
      <c r="N10" s="234"/>
      <c r="O10" s="463" t="s">
        <v>166</v>
      </c>
      <c r="P10" s="463" t="s">
        <v>167</v>
      </c>
      <c r="Q10" s="463" t="s">
        <v>168</v>
      </c>
      <c r="R10" s="463" t="s">
        <v>169</v>
      </c>
      <c r="S10" s="463" t="s">
        <v>170</v>
      </c>
      <c r="T10" s="463" t="s">
        <v>171</v>
      </c>
      <c r="U10" s="463" t="s">
        <v>172</v>
      </c>
      <c r="V10" s="462"/>
      <c r="W10" s="464" t="s">
        <v>173</v>
      </c>
      <c r="X10" s="464" t="s">
        <v>174</v>
      </c>
      <c r="Y10" s="464" t="s">
        <v>175</v>
      </c>
      <c r="Z10" s="463" t="s">
        <v>176</v>
      </c>
      <c r="AA10" s="461"/>
      <c r="AB10" s="463" t="s">
        <v>177</v>
      </c>
      <c r="AC10" s="463" t="s">
        <v>178</v>
      </c>
      <c r="AD10" s="463" t="s">
        <v>179</v>
      </c>
      <c r="AE10" s="463" t="s">
        <v>180</v>
      </c>
      <c r="AF10" s="461"/>
      <c r="AG10" s="463" t="s">
        <v>181</v>
      </c>
      <c r="AH10" s="463" t="s">
        <v>182</v>
      </c>
      <c r="AI10" s="463" t="s">
        <v>183</v>
      </c>
      <c r="AJ10" s="463" t="s">
        <v>184</v>
      </c>
      <c r="AK10" s="461"/>
      <c r="AL10" s="463" t="s">
        <v>185</v>
      </c>
      <c r="AM10" s="463" t="s">
        <v>186</v>
      </c>
      <c r="AN10" s="463" t="s">
        <v>187</v>
      </c>
      <c r="AO10" s="463" t="s">
        <v>188</v>
      </c>
      <c r="AP10" s="461"/>
      <c r="AQ10" s="463" t="s">
        <v>189</v>
      </c>
      <c r="AR10" s="463" t="s">
        <v>190</v>
      </c>
      <c r="AS10" s="463" t="s">
        <v>191</v>
      </c>
      <c r="AT10" s="463" t="s">
        <v>192</v>
      </c>
      <c r="AU10" s="461"/>
      <c r="AV10" s="463" t="s">
        <v>662</v>
      </c>
      <c r="AW10" s="463" t="s">
        <v>665</v>
      </c>
      <c r="AX10" s="463" t="s">
        <v>666</v>
      </c>
      <c r="AY10" s="461"/>
      <c r="AZ10" s="463" t="s">
        <v>193</v>
      </c>
      <c r="BA10" s="1281"/>
      <c r="BB10" s="108"/>
      <c r="BC10" s="108"/>
    </row>
    <row r="11" spans="1:55" ht="16.149999999999999" customHeight="1" x14ac:dyDescent="0.2">
      <c r="A11" s="108"/>
      <c r="B11" s="60" t="str">
        <f>CenAVS!A11</f>
        <v xml:space="preserve">Aventos HF Top słaby, wkręty      </v>
      </c>
      <c r="C11" s="60" t="str">
        <f>CenAVS!B11</f>
        <v>22F2500</v>
      </c>
      <c r="D11" s="60" t="str">
        <f>CenAVS!C11</f>
        <v>ZN</v>
      </c>
      <c r="E11" s="536">
        <f>CenAVS!D11</f>
        <v>0</v>
      </c>
      <c r="F11" s="413">
        <f t="shared" ref="F11:F33" si="0">IF(I11&gt;0,I11,SUM(O11:BA11))</f>
        <v>0</v>
      </c>
      <c r="G11" s="58">
        <f>CenAVS!F11</f>
        <v>180.23612</v>
      </c>
      <c r="H11" s="104">
        <f>M11</f>
        <v>0</v>
      </c>
      <c r="I11" s="65"/>
      <c r="J11" s="59">
        <f>CenAVS!I11</f>
        <v>6115096</v>
      </c>
      <c r="K11" s="59">
        <f>CenAVS!J11</f>
        <v>507333</v>
      </c>
      <c r="L11" s="943">
        <f>IF(I11="x",0,IF(I11&gt;0,I11,F11))</f>
        <v>0</v>
      </c>
      <c r="M11" s="60">
        <f>PRODUCT(L11,G11)</f>
        <v>0</v>
      </c>
      <c r="N11" s="236"/>
      <c r="O11" s="237">
        <f>HFw!$AB9</f>
        <v>0</v>
      </c>
      <c r="P11" s="237">
        <f>HFwa!$AB9</f>
        <v>0</v>
      </c>
      <c r="Q11" s="237">
        <f>HFw_wa!$AB9</f>
        <v>0</v>
      </c>
      <c r="R11" s="237">
        <f>HFwa_w!$AB9</f>
        <v>0</v>
      </c>
      <c r="S11" s="237">
        <f>HFna!$AB9</f>
        <v>0</v>
      </c>
      <c r="T11" s="237">
        <f>HFw_na!$AB9</f>
        <v>0</v>
      </c>
      <c r="U11" s="237">
        <f>HFna_w!$AB9</f>
        <v>0</v>
      </c>
      <c r="V11" s="236"/>
      <c r="W11" s="235"/>
      <c r="X11" s="235"/>
      <c r="Y11" s="235"/>
      <c r="Z11" s="235"/>
      <c r="AA11" s="235"/>
      <c r="AB11" s="235"/>
      <c r="AC11" s="235"/>
      <c r="AD11" s="235"/>
      <c r="AE11" s="235"/>
      <c r="AF11" s="235"/>
      <c r="AG11" s="235"/>
      <c r="AH11" s="235"/>
      <c r="AI11" s="235"/>
      <c r="AJ11" s="235"/>
      <c r="AK11" s="235"/>
      <c r="AL11" s="235"/>
      <c r="AM11" s="235"/>
      <c r="AN11" s="235"/>
      <c r="AO11" s="235"/>
      <c r="AP11" s="235"/>
      <c r="AQ11" s="235"/>
      <c r="AR11" s="235"/>
      <c r="AS11" s="235"/>
      <c r="AT11" s="235"/>
      <c r="AU11" s="235"/>
      <c r="AV11" s="235"/>
      <c r="AW11" s="235"/>
      <c r="AX11" s="235"/>
      <c r="AY11" s="235"/>
      <c r="AZ11" s="235"/>
      <c r="BA11" s="235"/>
      <c r="BB11" s="108"/>
      <c r="BC11" s="108"/>
    </row>
    <row r="12" spans="1:55" ht="16.149999999999999" customHeight="1" x14ac:dyDescent="0.2">
      <c r="A12" s="108"/>
      <c r="B12" s="60" t="str">
        <f>CenAVS!A12</f>
        <v xml:space="preserve">Aventos HF Top słaby, eurowkręty      </v>
      </c>
      <c r="C12" s="60" t="str">
        <f>CenAVS!B12</f>
        <v>22F2510</v>
      </c>
      <c r="D12" s="60" t="str">
        <f>CenAVS!C12</f>
        <v>ZN</v>
      </c>
      <c r="E12" s="536">
        <f>CenAVS!D12</f>
        <v>0</v>
      </c>
      <c r="F12" s="413">
        <f t="shared" si="0"/>
        <v>0</v>
      </c>
      <c r="G12" s="58">
        <f>CenAVS!F12</f>
        <v>181.63767999999999</v>
      </c>
      <c r="H12" s="104">
        <f t="shared" ref="H12:H44" si="1">M12</f>
        <v>0</v>
      </c>
      <c r="I12" s="65"/>
      <c r="J12" s="59">
        <f>CenAVS!I12</f>
        <v>6225429</v>
      </c>
      <c r="K12" s="59">
        <f>CenAVS!J12</f>
        <v>507335</v>
      </c>
      <c r="L12" s="943">
        <f t="shared" ref="L12:L21" si="2">IF(I12="x",0,IF(I12&gt;0,I12,F12))</f>
        <v>0</v>
      </c>
      <c r="M12" s="60">
        <f t="shared" ref="M12:M21" si="3">PRODUCT(L12,G12)</f>
        <v>0</v>
      </c>
      <c r="N12" s="236"/>
      <c r="O12" s="237">
        <f>HFw!$AB10</f>
        <v>0</v>
      </c>
      <c r="P12" s="237">
        <f>HFwa!$AB10</f>
        <v>0</v>
      </c>
      <c r="Q12" s="237">
        <f>HFw_wa!$AB10</f>
        <v>0</v>
      </c>
      <c r="R12" s="237">
        <f>HFwa_w!$AB10</f>
        <v>0</v>
      </c>
      <c r="S12" s="237">
        <f>HFna!$AB10</f>
        <v>0</v>
      </c>
      <c r="T12" s="237">
        <f>HFw_na!$AB10</f>
        <v>0</v>
      </c>
      <c r="U12" s="237">
        <f>HFna_w!$AB10</f>
        <v>0</v>
      </c>
      <c r="V12" s="236"/>
      <c r="W12" s="235"/>
      <c r="X12" s="235"/>
      <c r="Y12" s="235"/>
      <c r="Z12" s="235"/>
      <c r="AA12" s="235"/>
      <c r="AB12" s="235"/>
      <c r="AC12" s="235"/>
      <c r="AD12" s="235"/>
      <c r="AE12" s="235"/>
      <c r="AF12" s="235"/>
      <c r="AG12" s="235"/>
      <c r="AH12" s="235"/>
      <c r="AI12" s="235"/>
      <c r="AJ12" s="235"/>
      <c r="AK12" s="235"/>
      <c r="AL12" s="235"/>
      <c r="AM12" s="235"/>
      <c r="AN12" s="235"/>
      <c r="AO12" s="235"/>
      <c r="AP12" s="235"/>
      <c r="AQ12" s="235"/>
      <c r="AR12" s="235"/>
      <c r="AS12" s="235"/>
      <c r="AT12" s="235"/>
      <c r="AU12" s="235"/>
      <c r="AV12" s="235"/>
      <c r="AW12" s="235"/>
      <c r="AX12" s="235"/>
      <c r="AY12" s="235"/>
      <c r="AZ12" s="235"/>
      <c r="BA12" s="235"/>
      <c r="BB12" s="108"/>
      <c r="BC12" s="108"/>
    </row>
    <row r="13" spans="1:55" ht="16.149999999999999" customHeight="1" x14ac:dyDescent="0.2">
      <c r="A13" s="108"/>
      <c r="B13" s="60" t="str">
        <f>CenAVS!A13</f>
        <v xml:space="preserve">Aventos HF Top mocny, wkręty      </v>
      </c>
      <c r="C13" s="60" t="str">
        <f>CenAVS!B13</f>
        <v>22F2800</v>
      </c>
      <c r="D13" s="60" t="str">
        <f>CenAVS!C13</f>
        <v>ZN</v>
      </c>
      <c r="E13" s="536">
        <f>CenAVS!D13</f>
        <v>0</v>
      </c>
      <c r="F13" s="413">
        <f t="shared" si="0"/>
        <v>0</v>
      </c>
      <c r="G13" s="58">
        <f>CenAVS!F13</f>
        <v>196.99925999999999</v>
      </c>
      <c r="H13" s="104">
        <f t="shared" si="1"/>
        <v>0</v>
      </c>
      <c r="I13" s="65"/>
      <c r="J13" s="59">
        <f>CenAVS!I13</f>
        <v>1755700</v>
      </c>
      <c r="K13" s="59">
        <f>CenAVS!J13</f>
        <v>507336</v>
      </c>
      <c r="L13" s="943">
        <f t="shared" si="2"/>
        <v>0</v>
      </c>
      <c r="M13" s="60">
        <f t="shared" si="3"/>
        <v>0</v>
      </c>
      <c r="N13" s="236"/>
      <c r="O13" s="237">
        <f>HFw!$AB11</f>
        <v>0</v>
      </c>
      <c r="P13" s="237">
        <f>HFwa!$AB11</f>
        <v>0</v>
      </c>
      <c r="Q13" s="237">
        <f>HFw_wa!$AB11</f>
        <v>0</v>
      </c>
      <c r="R13" s="237">
        <f>HFwa_w!$AB11</f>
        <v>0</v>
      </c>
      <c r="S13" s="237">
        <f>HFna!$AB11</f>
        <v>0</v>
      </c>
      <c r="T13" s="237">
        <f>HFw_na!$AB11</f>
        <v>0</v>
      </c>
      <c r="U13" s="237">
        <f>HFna_w!$AB11</f>
        <v>0</v>
      </c>
      <c r="V13" s="236"/>
      <c r="W13" s="235"/>
      <c r="X13" s="235"/>
      <c r="Y13" s="235"/>
      <c r="Z13" s="235"/>
      <c r="AA13" s="235"/>
      <c r="AB13" s="235"/>
      <c r="AC13" s="235"/>
      <c r="AD13" s="235"/>
      <c r="AE13" s="235"/>
      <c r="AF13" s="235"/>
      <c r="AG13" s="235"/>
      <c r="AH13" s="235"/>
      <c r="AI13" s="235"/>
      <c r="AJ13" s="235"/>
      <c r="AK13" s="235"/>
      <c r="AL13" s="235"/>
      <c r="AM13" s="235"/>
      <c r="AN13" s="235"/>
      <c r="AO13" s="235"/>
      <c r="AP13" s="235"/>
      <c r="AQ13" s="235"/>
      <c r="AR13" s="235"/>
      <c r="AS13" s="235"/>
      <c r="AT13" s="235"/>
      <c r="AU13" s="235"/>
      <c r="AV13" s="235"/>
      <c r="AW13" s="235"/>
      <c r="AX13" s="235"/>
      <c r="AY13" s="235"/>
      <c r="AZ13" s="235"/>
      <c r="BA13" s="235"/>
      <c r="BB13" s="108"/>
      <c r="BC13" s="108"/>
    </row>
    <row r="14" spans="1:55" ht="16.149999999999999" customHeight="1" x14ac:dyDescent="0.2">
      <c r="A14" s="108"/>
      <c r="B14" s="60" t="str">
        <f>CenAVS!A14</f>
        <v xml:space="preserve">Aventos HF Top mocny, eurowkręty      </v>
      </c>
      <c r="C14" s="60" t="str">
        <f>CenAVS!B14</f>
        <v>22F2810</v>
      </c>
      <c r="D14" s="60" t="str">
        <f>CenAVS!C14</f>
        <v>ZN</v>
      </c>
      <c r="E14" s="536">
        <f>CenAVS!D14</f>
        <v>0</v>
      </c>
      <c r="F14" s="413">
        <f>IF(I14&gt;0,I14,SUM(O14:BA14))</f>
        <v>0</v>
      </c>
      <c r="G14" s="58">
        <f>CenAVS!F14</f>
        <v>198.53095999999996</v>
      </c>
      <c r="H14" s="104">
        <f>M14</f>
        <v>0</v>
      </c>
      <c r="I14" s="65"/>
      <c r="J14" s="59">
        <f>CenAVS!I14</f>
        <v>6445555</v>
      </c>
      <c r="K14" s="59">
        <f>CenAVS!J14</f>
        <v>507337</v>
      </c>
      <c r="L14" s="943">
        <f>IF(I14="x",0,IF(I14&gt;0,I14,F14))</f>
        <v>0</v>
      </c>
      <c r="M14" s="60">
        <f>PRODUCT(L14,G14)</f>
        <v>0</v>
      </c>
      <c r="N14" s="236"/>
      <c r="O14" s="237">
        <f>HFw!$AB12</f>
        <v>0</v>
      </c>
      <c r="P14" s="237">
        <f>HFwa!$AB12</f>
        <v>0</v>
      </c>
      <c r="Q14" s="237">
        <f>HFw_wa!$AB12</f>
        <v>0</v>
      </c>
      <c r="R14" s="237">
        <f>HFwa_w!$AB12</f>
        <v>0</v>
      </c>
      <c r="S14" s="237">
        <f>HFna!$AB12</f>
        <v>0</v>
      </c>
      <c r="T14" s="237">
        <f>HFw_na!$AB12</f>
        <v>0</v>
      </c>
      <c r="U14" s="237">
        <f>HFna_w!$AB12</f>
        <v>0</v>
      </c>
      <c r="V14" s="236"/>
      <c r="W14" s="235"/>
      <c r="X14" s="235"/>
      <c r="Y14" s="235"/>
      <c r="Z14" s="235"/>
      <c r="AA14" s="235"/>
      <c r="AB14" s="235"/>
      <c r="AC14" s="235"/>
      <c r="AD14" s="235"/>
      <c r="AE14" s="235"/>
      <c r="AF14" s="235"/>
      <c r="AG14" s="235"/>
      <c r="AH14" s="235"/>
      <c r="AI14" s="235"/>
      <c r="AJ14" s="235"/>
      <c r="AK14" s="235"/>
      <c r="AL14" s="235"/>
      <c r="AM14" s="235"/>
      <c r="AN14" s="235"/>
      <c r="AO14" s="235"/>
      <c r="AP14" s="235"/>
      <c r="AQ14" s="235"/>
      <c r="AR14" s="235"/>
      <c r="AS14" s="235"/>
      <c r="AT14" s="235"/>
      <c r="AU14" s="235"/>
      <c r="AV14" s="235"/>
      <c r="AW14" s="235"/>
      <c r="AX14" s="235"/>
      <c r="AY14" s="235"/>
      <c r="AZ14" s="235"/>
      <c r="BA14" s="235"/>
      <c r="BB14" s="108"/>
      <c r="BC14" s="108"/>
    </row>
    <row r="15" spans="1:55" ht="16.149999999999999" customHeight="1" x14ac:dyDescent="0.2">
      <c r="A15" s="108"/>
      <c r="B15" s="60" t="str">
        <f>CenAVS!A15</f>
        <v xml:space="preserve">zestaw ramion teleskop. HF Top 480-610mm     </v>
      </c>
      <c r="C15" s="60" t="str">
        <f>CenAVS!B15</f>
        <v>22F3200</v>
      </c>
      <c r="D15" s="60" t="str">
        <f>CenAVS!C15</f>
        <v>NI</v>
      </c>
      <c r="E15" s="536">
        <f>CenAVS!D15</f>
        <v>0</v>
      </c>
      <c r="F15" s="413">
        <f t="shared" si="0"/>
        <v>0</v>
      </c>
      <c r="G15" s="58">
        <f>CenAVS!F15</f>
        <v>85.664479999999998</v>
      </c>
      <c r="H15" s="104">
        <f t="shared" si="1"/>
        <v>0</v>
      </c>
      <c r="I15" s="65"/>
      <c r="J15" s="59">
        <f>CenAVS!I15</f>
        <v>8795903</v>
      </c>
      <c r="K15" s="59">
        <f>CenAVS!J15</f>
        <v>507340</v>
      </c>
      <c r="L15" s="943">
        <f t="shared" si="2"/>
        <v>0</v>
      </c>
      <c r="M15" s="60">
        <f t="shared" si="3"/>
        <v>0</v>
      </c>
      <c r="N15" s="236"/>
      <c r="O15" s="237">
        <f>HFw!$AB13</f>
        <v>0</v>
      </c>
      <c r="P15" s="237">
        <f>HFwa!$AB13</f>
        <v>0</v>
      </c>
      <c r="Q15" s="237">
        <f>HFw_wa!$AB13</f>
        <v>0</v>
      </c>
      <c r="R15" s="237">
        <f>HFwa_w!$AB13</f>
        <v>0</v>
      </c>
      <c r="S15" s="237">
        <f>HFna!$AB13</f>
        <v>0</v>
      </c>
      <c r="T15" s="237">
        <f>HFw_na!$AB13</f>
        <v>0</v>
      </c>
      <c r="U15" s="237">
        <f>HFna_w!$AB13</f>
        <v>0</v>
      </c>
      <c r="V15" s="236"/>
      <c r="W15" s="235"/>
      <c r="X15" s="235"/>
      <c r="Y15" s="235"/>
      <c r="Z15" s="235"/>
      <c r="AA15" s="235"/>
      <c r="AB15" s="235"/>
      <c r="AC15" s="235"/>
      <c r="AD15" s="235"/>
      <c r="AE15" s="235"/>
      <c r="AF15" s="235"/>
      <c r="AG15" s="235"/>
      <c r="AH15" s="235"/>
      <c r="AI15" s="235"/>
      <c r="AJ15" s="235"/>
      <c r="AK15" s="235"/>
      <c r="AL15" s="235"/>
      <c r="AM15" s="235"/>
      <c r="AN15" s="235"/>
      <c r="AO15" s="235"/>
      <c r="AP15" s="235"/>
      <c r="AQ15" s="235"/>
      <c r="AR15" s="235"/>
      <c r="AS15" s="235"/>
      <c r="AT15" s="235"/>
      <c r="AU15" s="235"/>
      <c r="AV15" s="235"/>
      <c r="AW15" s="235"/>
      <c r="AX15" s="235"/>
      <c r="AY15" s="235"/>
      <c r="AZ15" s="235"/>
      <c r="BA15" s="235"/>
      <c r="BB15" s="108"/>
      <c r="BC15" s="108"/>
    </row>
    <row r="16" spans="1:55" ht="16.149999999999999" customHeight="1" x14ac:dyDescent="0.2">
      <c r="A16" s="108"/>
      <c r="B16" s="60" t="str">
        <f>CenAVS!A16</f>
        <v xml:space="preserve">zestaw ramion teleskop. HF Top 600-910mm     </v>
      </c>
      <c r="C16" s="60" t="str">
        <f>CenAVS!B16</f>
        <v>22F3500</v>
      </c>
      <c r="D16" s="60" t="str">
        <f>CenAVS!C16</f>
        <v>NI</v>
      </c>
      <c r="E16" s="536">
        <f>CenAVS!D16</f>
        <v>0</v>
      </c>
      <c r="F16" s="413">
        <f t="shared" si="0"/>
        <v>0</v>
      </c>
      <c r="G16" s="58">
        <f>CenAVS!F16</f>
        <v>105.22162</v>
      </c>
      <c r="H16" s="104">
        <f t="shared" si="1"/>
        <v>0</v>
      </c>
      <c r="I16" s="65"/>
      <c r="J16" s="59">
        <f>CenAVS!I16</f>
        <v>7893366</v>
      </c>
      <c r="K16" s="59">
        <f>CenAVS!J16</f>
        <v>507341</v>
      </c>
      <c r="L16" s="943">
        <f t="shared" si="2"/>
        <v>0</v>
      </c>
      <c r="M16" s="60">
        <f t="shared" si="3"/>
        <v>0</v>
      </c>
      <c r="N16" s="236"/>
      <c r="O16" s="237">
        <f>HFw!$AB14</f>
        <v>0</v>
      </c>
      <c r="P16" s="237">
        <f>HFwa!$AB14</f>
        <v>0</v>
      </c>
      <c r="Q16" s="237">
        <f>HFw_wa!$AB14</f>
        <v>0</v>
      </c>
      <c r="R16" s="237">
        <f>HFwa_w!$AB14</f>
        <v>0</v>
      </c>
      <c r="S16" s="237">
        <f>HFna!$AB14</f>
        <v>0</v>
      </c>
      <c r="T16" s="237">
        <f>HFw_na!$AB14</f>
        <v>0</v>
      </c>
      <c r="U16" s="237">
        <f>HFna_w!$AB14</f>
        <v>0</v>
      </c>
      <c r="V16" s="236"/>
      <c r="W16" s="235"/>
      <c r="X16" s="235"/>
      <c r="Y16" s="235"/>
      <c r="Z16" s="235"/>
      <c r="AA16" s="235"/>
      <c r="AB16" s="235"/>
      <c r="AC16" s="235"/>
      <c r="AD16" s="235"/>
      <c r="AE16" s="235"/>
      <c r="AF16" s="235"/>
      <c r="AG16" s="235"/>
      <c r="AH16" s="235"/>
      <c r="AI16" s="235"/>
      <c r="AJ16" s="235"/>
      <c r="AK16" s="235"/>
      <c r="AL16" s="235"/>
      <c r="AM16" s="235"/>
      <c r="AN16" s="235"/>
      <c r="AO16" s="235"/>
      <c r="AP16" s="235"/>
      <c r="AQ16" s="235"/>
      <c r="AR16" s="235"/>
      <c r="AS16" s="235"/>
      <c r="AT16" s="235"/>
      <c r="AU16" s="235"/>
      <c r="AV16" s="235"/>
      <c r="AW16" s="235"/>
      <c r="AX16" s="235"/>
      <c r="AY16" s="235"/>
      <c r="AZ16" s="235"/>
      <c r="BA16" s="235"/>
      <c r="BB16" s="108"/>
      <c r="BC16" s="108"/>
    </row>
    <row r="17" spans="1:55" ht="16.149999999999999" customHeight="1" x14ac:dyDescent="0.2">
      <c r="A17" s="108"/>
      <c r="B17" s="60" t="str">
        <f>CenAVS!A17</f>
        <v xml:space="preserve">zestaw ramion teleskop. HF Top 840-1200mm     </v>
      </c>
      <c r="C17" s="60" t="str">
        <f>CenAVS!B17</f>
        <v>22F3900</v>
      </c>
      <c r="D17" s="60" t="str">
        <f>CenAVS!C17</f>
        <v>NI</v>
      </c>
      <c r="E17" s="536">
        <f>CenAVS!D17</f>
        <v>0</v>
      </c>
      <c r="F17" s="413">
        <f t="shared" si="0"/>
        <v>0</v>
      </c>
      <c r="G17" s="58">
        <f>CenAVS!F17</f>
        <v>124.77875</v>
      </c>
      <c r="H17" s="104">
        <f t="shared" si="1"/>
        <v>0</v>
      </c>
      <c r="I17" s="65"/>
      <c r="J17" s="59">
        <f>CenAVS!I17</f>
        <v>6927662</v>
      </c>
      <c r="K17" s="59">
        <f>CenAVS!J17</f>
        <v>507342</v>
      </c>
      <c r="L17" s="943">
        <f t="shared" si="2"/>
        <v>0</v>
      </c>
      <c r="M17" s="60">
        <f t="shared" si="3"/>
        <v>0</v>
      </c>
      <c r="N17" s="236"/>
      <c r="O17" s="237">
        <f>HFw!$AB15</f>
        <v>0</v>
      </c>
      <c r="P17" s="237">
        <f>HFwa!$AB15</f>
        <v>0</v>
      </c>
      <c r="Q17" s="237">
        <f>HFw_wa!$AB15</f>
        <v>0</v>
      </c>
      <c r="R17" s="237">
        <f>HFwa_w!$AB15</f>
        <v>0</v>
      </c>
      <c r="S17" s="237">
        <f>HFna!$AB15</f>
        <v>0</v>
      </c>
      <c r="T17" s="237">
        <f>HFw_na!$AB15</f>
        <v>0</v>
      </c>
      <c r="U17" s="237">
        <f>HFna_w!$AB15</f>
        <v>0</v>
      </c>
      <c r="V17" s="236"/>
      <c r="W17" s="235"/>
      <c r="X17" s="235"/>
      <c r="Y17" s="235"/>
      <c r="Z17" s="235"/>
      <c r="AA17" s="235"/>
      <c r="AB17" s="235"/>
      <c r="AC17" s="235"/>
      <c r="AD17" s="235"/>
      <c r="AE17" s="235"/>
      <c r="AF17" s="235"/>
      <c r="AG17" s="235"/>
      <c r="AH17" s="235"/>
      <c r="AI17" s="235"/>
      <c r="AJ17" s="235"/>
      <c r="AK17" s="235"/>
      <c r="AL17" s="235"/>
      <c r="AM17" s="235"/>
      <c r="AN17" s="235"/>
      <c r="AO17" s="235"/>
      <c r="AP17" s="235"/>
      <c r="AQ17" s="235"/>
      <c r="AR17" s="235"/>
      <c r="AS17" s="235"/>
      <c r="AT17" s="235"/>
      <c r="AU17" s="235"/>
      <c r="AV17" s="235"/>
      <c r="AW17" s="235"/>
      <c r="AX17" s="235"/>
      <c r="AY17" s="235"/>
      <c r="AZ17" s="235"/>
      <c r="BA17" s="235"/>
      <c r="BB17" s="108"/>
      <c r="BC17" s="108"/>
    </row>
    <row r="18" spans="1:55" ht="16.149999999999999" customHeight="1" x14ac:dyDescent="0.2">
      <c r="A18" s="108"/>
      <c r="B18" s="60" t="str">
        <f>CenAVS!A18</f>
        <v xml:space="preserve">nakładany Tip-on wkręt 120°       </v>
      </c>
      <c r="C18" s="60" t="str">
        <f>CenAVS!B18</f>
        <v>70T5550.TL</v>
      </c>
      <c r="D18" s="60" t="str">
        <f>CenAVS!C18</f>
        <v>NI</v>
      </c>
      <c r="E18" s="536">
        <f>CenAVS!D18</f>
        <v>0</v>
      </c>
      <c r="F18" s="413">
        <f t="shared" si="0"/>
        <v>0</v>
      </c>
      <c r="G18" s="58">
        <f>CenAVS!F18</f>
        <v>5.5152999999999999</v>
      </c>
      <c r="H18" s="104">
        <f t="shared" si="1"/>
        <v>0</v>
      </c>
      <c r="I18" s="65"/>
      <c r="J18" s="59">
        <f>CenAVS!I18</f>
        <v>6510533</v>
      </c>
      <c r="K18" s="59">
        <f>CenAVS!J18</f>
        <v>12023</v>
      </c>
      <c r="L18" s="943">
        <f t="shared" si="2"/>
        <v>0</v>
      </c>
      <c r="M18" s="60">
        <f t="shared" si="3"/>
        <v>0</v>
      </c>
      <c r="N18" s="236"/>
      <c r="O18" s="237">
        <f>HFw!$AB22</f>
        <v>0</v>
      </c>
      <c r="P18" s="237">
        <f>HFwa!$AB22</f>
        <v>0</v>
      </c>
      <c r="Q18" s="237">
        <f>HFw_wa!$AB22</f>
        <v>0</v>
      </c>
      <c r="R18" s="237">
        <f>HFwa_w!$AB22</f>
        <v>0</v>
      </c>
      <c r="S18" s="236"/>
      <c r="T18" s="237">
        <f>HFw_na!$AB22</f>
        <v>0</v>
      </c>
      <c r="U18" s="235"/>
      <c r="V18" s="236"/>
      <c r="W18" s="235"/>
      <c r="X18" s="235"/>
      <c r="Y18" s="235"/>
      <c r="Z18" s="235"/>
      <c r="AA18" s="235"/>
      <c r="AB18" s="235"/>
      <c r="AC18" s="235"/>
      <c r="AD18" s="235"/>
      <c r="AE18" s="235"/>
      <c r="AF18" s="235"/>
      <c r="AG18" s="235"/>
      <c r="AH18" s="235"/>
      <c r="AI18" s="235"/>
      <c r="AJ18" s="235"/>
      <c r="AK18" s="235"/>
      <c r="AL18" s="235"/>
      <c r="AM18" s="235"/>
      <c r="AN18" s="235"/>
      <c r="AO18" s="235"/>
      <c r="AP18" s="235"/>
      <c r="AQ18" s="235"/>
      <c r="AR18" s="235"/>
      <c r="AS18" s="235"/>
      <c r="AT18" s="235"/>
      <c r="AU18" s="235"/>
      <c r="AV18" s="235"/>
      <c r="AW18" s="235"/>
      <c r="AX18" s="235"/>
      <c r="AY18" s="235"/>
      <c r="AZ18" s="235"/>
      <c r="BA18" s="235"/>
      <c r="BB18" s="108"/>
      <c r="BC18" s="108"/>
    </row>
    <row r="19" spans="1:55" ht="16.149999999999999" customHeight="1" x14ac:dyDescent="0.2">
      <c r="A19" s="108"/>
      <c r="B19" s="60" t="str">
        <f>CenAVS!A19</f>
        <v xml:space="preserve">zawias nakładany Tip-on Expando 120°      </v>
      </c>
      <c r="C19" s="60" t="str">
        <f>CenAVS!B19</f>
        <v>70T558E</v>
      </c>
      <c r="D19" s="60" t="str">
        <f>CenAVS!C19</f>
        <v>NI</v>
      </c>
      <c r="E19" s="536">
        <f>CenAVS!D19</f>
        <v>0</v>
      </c>
      <c r="F19" s="413">
        <f t="shared" si="0"/>
        <v>0</v>
      </c>
      <c r="G19" s="58">
        <f>CenAVS!F19</f>
        <v>5.8604399999999996</v>
      </c>
      <c r="H19" s="104">
        <f t="shared" si="1"/>
        <v>0</v>
      </c>
      <c r="I19" s="65"/>
      <c r="J19" s="59">
        <f>CenAVS!I19</f>
        <v>7606263</v>
      </c>
      <c r="K19" s="59">
        <f>CenAVS!J19</f>
        <v>12028</v>
      </c>
      <c r="L19" s="943">
        <f t="shared" si="2"/>
        <v>0</v>
      </c>
      <c r="M19" s="60">
        <f t="shared" si="3"/>
        <v>0</v>
      </c>
      <c r="N19" s="236"/>
      <c r="O19" s="237">
        <f>HFw!$AB23</f>
        <v>0</v>
      </c>
      <c r="P19" s="235"/>
      <c r="Q19" s="237">
        <f>HFw_wa!$AB23</f>
        <v>0</v>
      </c>
      <c r="R19" s="235"/>
      <c r="S19" s="236"/>
      <c r="T19" s="237">
        <f>HFw_na!$AB23</f>
        <v>0</v>
      </c>
      <c r="U19" s="235"/>
      <c r="V19" s="236"/>
      <c r="W19" s="235"/>
      <c r="X19" s="235"/>
      <c r="Y19" s="235"/>
      <c r="Z19" s="235"/>
      <c r="AA19" s="235"/>
      <c r="AB19" s="235"/>
      <c r="AC19" s="235"/>
      <c r="AD19" s="235"/>
      <c r="AE19" s="235"/>
      <c r="AF19" s="235"/>
      <c r="AG19" s="235"/>
      <c r="AH19" s="235"/>
      <c r="AI19" s="235"/>
      <c r="AJ19" s="235"/>
      <c r="AK19" s="235"/>
      <c r="AL19" s="235"/>
      <c r="AM19" s="235"/>
      <c r="AN19" s="235"/>
      <c r="AO19" s="235"/>
      <c r="AP19" s="235"/>
      <c r="AQ19" s="235"/>
      <c r="AR19" s="235"/>
      <c r="AS19" s="235"/>
      <c r="AT19" s="235"/>
      <c r="AU19" s="235"/>
      <c r="AV19" s="235"/>
      <c r="AW19" s="235"/>
      <c r="AX19" s="235"/>
      <c r="AY19" s="235"/>
      <c r="AZ19" s="235"/>
      <c r="BA19" s="235"/>
      <c r="BB19" s="108"/>
      <c r="BC19" s="108"/>
    </row>
    <row r="20" spans="1:55" ht="16.149999999999999" customHeight="1" x14ac:dyDescent="0.2">
      <c r="A20" s="108"/>
      <c r="B20" s="60" t="str">
        <f>CenAVS!A20</f>
        <v xml:space="preserve">zawias środkowy wkręt        </v>
      </c>
      <c r="C20" s="60" t="str">
        <f>CenAVS!B20</f>
        <v>78Z5500T</v>
      </c>
      <c r="D20" s="60" t="str">
        <f>CenAVS!C20</f>
        <v>NI</v>
      </c>
      <c r="E20" s="536">
        <f>CenAVS!D20</f>
        <v>0</v>
      </c>
      <c r="F20" s="413">
        <f t="shared" si="0"/>
        <v>0</v>
      </c>
      <c r="G20" s="58">
        <f>CenAVS!F20</f>
        <v>10.1708</v>
      </c>
      <c r="H20" s="104">
        <f t="shared" si="1"/>
        <v>0</v>
      </c>
      <c r="I20" s="65"/>
      <c r="J20" s="59">
        <f>CenAVS!I20</f>
        <v>6796673</v>
      </c>
      <c r="K20" s="59">
        <f>CenAVS!J20</f>
        <v>12024</v>
      </c>
      <c r="L20" s="943">
        <f t="shared" si="2"/>
        <v>0</v>
      </c>
      <c r="M20" s="60">
        <f t="shared" si="3"/>
        <v>0</v>
      </c>
      <c r="N20" s="236"/>
      <c r="O20" s="237">
        <f>HFw!$AB24</f>
        <v>0</v>
      </c>
      <c r="P20" s="237">
        <f>HFwa!$AB24</f>
        <v>0</v>
      </c>
      <c r="Q20" s="237">
        <f>HFw_wa!$AB24</f>
        <v>0</v>
      </c>
      <c r="R20" s="237">
        <f>HFwa_w!$AB24</f>
        <v>0</v>
      </c>
      <c r="S20" s="236"/>
      <c r="T20" s="235"/>
      <c r="U20" s="237">
        <f>HFna_w!$AB24</f>
        <v>0</v>
      </c>
      <c r="V20" s="236"/>
      <c r="W20" s="235"/>
      <c r="X20" s="235"/>
      <c r="Y20" s="235"/>
      <c r="Z20" s="235"/>
      <c r="AA20" s="235"/>
      <c r="AB20" s="235"/>
      <c r="AC20" s="235"/>
      <c r="AD20" s="235"/>
      <c r="AE20" s="235"/>
      <c r="AF20" s="235"/>
      <c r="AG20" s="235"/>
      <c r="AH20" s="235"/>
      <c r="AI20" s="235"/>
      <c r="AJ20" s="235"/>
      <c r="AK20" s="235"/>
      <c r="AL20" s="235"/>
      <c r="AM20" s="235"/>
      <c r="AN20" s="235"/>
      <c r="AO20" s="235"/>
      <c r="AP20" s="235"/>
      <c r="AQ20" s="235"/>
      <c r="AR20" s="235"/>
      <c r="AS20" s="235"/>
      <c r="AT20" s="235"/>
      <c r="AU20" s="235"/>
      <c r="AV20" s="235"/>
      <c r="AW20" s="235"/>
      <c r="AX20" s="235"/>
      <c r="AY20" s="235"/>
      <c r="AZ20" s="235"/>
      <c r="BA20" s="235"/>
      <c r="BB20" s="108"/>
      <c r="BC20" s="108"/>
    </row>
    <row r="21" spans="1:55" ht="16.149999999999999" customHeight="1" x14ac:dyDescent="0.2">
      <c r="A21" s="108"/>
      <c r="B21" s="60" t="str">
        <f>CenAVS!A21</f>
        <v xml:space="preserve">zawias środkowy Expando        </v>
      </c>
      <c r="C21" s="60" t="str">
        <f>CenAVS!B21</f>
        <v>78Z553ET</v>
      </c>
      <c r="D21" s="60" t="str">
        <f>CenAVS!C21</f>
        <v>NI</v>
      </c>
      <c r="E21" s="536">
        <f>CenAVS!D21</f>
        <v>0</v>
      </c>
      <c r="F21" s="413">
        <f t="shared" si="0"/>
        <v>0</v>
      </c>
      <c r="G21" s="58">
        <f>CenAVS!F21</f>
        <v>10.498419999999999</v>
      </c>
      <c r="H21" s="104">
        <f t="shared" si="1"/>
        <v>0</v>
      </c>
      <c r="I21" s="65"/>
      <c r="J21" s="59">
        <f>CenAVS!I21</f>
        <v>6797133</v>
      </c>
      <c r="K21" s="59">
        <f>CenAVS!J21</f>
        <v>12027</v>
      </c>
      <c r="L21" s="943">
        <f t="shared" si="2"/>
        <v>0</v>
      </c>
      <c r="M21" s="60">
        <f t="shared" si="3"/>
        <v>0</v>
      </c>
      <c r="N21" s="236"/>
      <c r="O21" s="237">
        <f>HFw!$AB25</f>
        <v>0</v>
      </c>
      <c r="P21" s="235"/>
      <c r="Q21" s="235"/>
      <c r="R21" s="237">
        <f>HFwa_w!$AB25</f>
        <v>0</v>
      </c>
      <c r="S21" s="236"/>
      <c r="T21" s="235"/>
      <c r="U21" s="237">
        <f>HFna_w!$AB25</f>
        <v>0</v>
      </c>
      <c r="V21" s="236"/>
      <c r="W21" s="235"/>
      <c r="X21" s="235"/>
      <c r="Y21" s="235"/>
      <c r="Z21" s="235"/>
      <c r="AA21" s="235"/>
      <c r="AB21" s="235"/>
      <c r="AC21" s="235"/>
      <c r="AD21" s="235"/>
      <c r="AE21" s="235"/>
      <c r="AF21" s="235"/>
      <c r="AG21" s="235"/>
      <c r="AH21" s="235"/>
      <c r="AI21" s="235"/>
      <c r="AJ21" s="235"/>
      <c r="AK21" s="235"/>
      <c r="AL21" s="235"/>
      <c r="AM21" s="235"/>
      <c r="AN21" s="235"/>
      <c r="AO21" s="235"/>
      <c r="AP21" s="235"/>
      <c r="AQ21" s="235"/>
      <c r="AR21" s="235"/>
      <c r="AS21" s="235"/>
      <c r="AT21" s="235"/>
      <c r="AU21" s="235"/>
      <c r="AV21" s="235"/>
      <c r="AW21" s="235"/>
      <c r="AX21" s="235"/>
      <c r="AY21" s="235"/>
      <c r="AZ21" s="235"/>
      <c r="BA21" s="235"/>
      <c r="BB21" s="108"/>
      <c r="BC21" s="108"/>
    </row>
    <row r="22" spans="1:55" ht="16.149999999999999" customHeight="1" x14ac:dyDescent="0.2">
      <c r="A22" s="108"/>
      <c r="B22" s="60" t="str">
        <f>CenAVS!A22</f>
        <v xml:space="preserve">alu nakładany Tip-on 120° Aventos HF     </v>
      </c>
      <c r="C22" s="60" t="str">
        <f>CenAVS!B22</f>
        <v>72T550A.TL</v>
      </c>
      <c r="D22" s="60" t="str">
        <f>CenAVS!C22</f>
        <v>NI</v>
      </c>
      <c r="E22" s="536">
        <f>CenAVS!D22</f>
        <v>0</v>
      </c>
      <c r="F22" s="413">
        <f t="shared" si="0"/>
        <v>0</v>
      </c>
      <c r="G22" s="58">
        <f>CenAVS!F22</f>
        <v>8.4674200000000006</v>
      </c>
      <c r="H22" s="104">
        <f t="shared" si="1"/>
        <v>0</v>
      </c>
      <c r="I22" s="65"/>
      <c r="J22" s="59">
        <f>CenAVS!I22</f>
        <v>7655633</v>
      </c>
      <c r="K22" s="59">
        <f>CenAVS!J22</f>
        <v>13764</v>
      </c>
      <c r="L22" s="943">
        <f t="shared" ref="L22:L67" si="4">IF(I22="x",0,IF(I22&gt;0,I22,F22))</f>
        <v>0</v>
      </c>
      <c r="M22" s="60">
        <f t="shared" ref="M22:M67" si="5">PRODUCT(L22,G22)</f>
        <v>0</v>
      </c>
      <c r="N22" s="236"/>
      <c r="O22" s="236"/>
      <c r="P22" s="236"/>
      <c r="Q22" s="236"/>
      <c r="R22" s="236"/>
      <c r="S22" s="237">
        <f>HFna!$AB26</f>
        <v>0</v>
      </c>
      <c r="T22" s="235"/>
      <c r="U22" s="237">
        <f>HFna_w!$AB26</f>
        <v>0</v>
      </c>
      <c r="V22" s="236"/>
      <c r="W22" s="235"/>
      <c r="X22" s="235"/>
      <c r="Y22" s="235"/>
      <c r="Z22" s="235"/>
      <c r="AA22" s="235"/>
      <c r="AB22" s="235"/>
      <c r="AC22" s="235"/>
      <c r="AD22" s="235"/>
      <c r="AE22" s="235"/>
      <c r="AF22" s="235"/>
      <c r="AG22" s="235"/>
      <c r="AH22" s="235"/>
      <c r="AI22" s="235"/>
      <c r="AJ22" s="235"/>
      <c r="AK22" s="235"/>
      <c r="AL22" s="235"/>
      <c r="AM22" s="235"/>
      <c r="AN22" s="235"/>
      <c r="AO22" s="235"/>
      <c r="AP22" s="235"/>
      <c r="AQ22" s="235"/>
      <c r="AR22" s="235"/>
      <c r="AS22" s="237">
        <f>HKXSna!$AD35</f>
        <v>0</v>
      </c>
      <c r="AT22" s="235"/>
      <c r="AU22" s="235"/>
      <c r="AV22" s="235"/>
      <c r="AW22" s="235"/>
      <c r="AX22" s="235"/>
      <c r="AY22" s="235"/>
      <c r="AZ22" s="235"/>
      <c r="BA22" s="235"/>
      <c r="BB22" s="108"/>
      <c r="BC22" s="108"/>
    </row>
    <row r="23" spans="1:55" ht="16.149999999999999" customHeight="1" x14ac:dyDescent="0.2">
      <c r="A23" s="108"/>
      <c r="B23" s="60" t="str">
        <f>CenAVS!A23</f>
        <v xml:space="preserve">alu zawias środkowy        </v>
      </c>
      <c r="C23" s="60" t="str">
        <f>CenAVS!B23</f>
        <v>78Z550AT</v>
      </c>
      <c r="D23" s="60" t="str">
        <f>CenAVS!C23</f>
        <v>NI</v>
      </c>
      <c r="E23" s="536">
        <f>CenAVS!D23</f>
        <v>0</v>
      </c>
      <c r="F23" s="413">
        <f t="shared" si="0"/>
        <v>0</v>
      </c>
      <c r="G23" s="58">
        <f>CenAVS!F23</f>
        <v>11.149290000000001</v>
      </c>
      <c r="H23" s="104">
        <f t="shared" si="1"/>
        <v>0</v>
      </c>
      <c r="I23" s="65"/>
      <c r="J23" s="59">
        <f>CenAVS!I23</f>
        <v>6797303</v>
      </c>
      <c r="K23" s="59">
        <f>CenAVS!J23</f>
        <v>13765</v>
      </c>
      <c r="L23" s="943">
        <f t="shared" si="4"/>
        <v>0</v>
      </c>
      <c r="M23" s="60">
        <f t="shared" si="5"/>
        <v>0</v>
      </c>
      <c r="N23" s="236"/>
      <c r="O23" s="236"/>
      <c r="P23" s="236"/>
      <c r="Q23" s="236"/>
      <c r="R23" s="236"/>
      <c r="S23" s="237">
        <f>HFna!$AB27</f>
        <v>0</v>
      </c>
      <c r="T23" s="237">
        <f>HFw_na!$AB27</f>
        <v>0</v>
      </c>
      <c r="U23" s="236"/>
      <c r="V23" s="236"/>
      <c r="W23" s="235"/>
      <c r="X23" s="235"/>
      <c r="Y23" s="235"/>
      <c r="Z23" s="235"/>
      <c r="AA23" s="235"/>
      <c r="AB23" s="235"/>
      <c r="AC23" s="235"/>
      <c r="AD23" s="235"/>
      <c r="AE23" s="235"/>
      <c r="AF23" s="235"/>
      <c r="AG23" s="235"/>
      <c r="AH23" s="235"/>
      <c r="AI23" s="235"/>
      <c r="AJ23" s="235"/>
      <c r="AK23" s="235"/>
      <c r="AL23" s="235"/>
      <c r="AM23" s="235"/>
      <c r="AN23" s="235"/>
      <c r="AO23" s="235"/>
      <c r="AP23" s="235"/>
      <c r="AQ23" s="235"/>
      <c r="AR23" s="235"/>
      <c r="AS23" s="235"/>
      <c r="AT23" s="235"/>
      <c r="AU23" s="235"/>
      <c r="AV23" s="235"/>
      <c r="AW23" s="235"/>
      <c r="AX23" s="235"/>
      <c r="AY23" s="235"/>
      <c r="AZ23" s="235"/>
      <c r="BA23" s="235"/>
      <c r="BB23" s="108"/>
      <c r="BC23" s="108"/>
    </row>
    <row r="24" spans="1:55" ht="16.149999999999999" customHeight="1" x14ac:dyDescent="0.2">
      <c r="A24" s="108"/>
      <c r="B24" s="60" t="str">
        <f>CenAVS!A24</f>
        <v xml:space="preserve">adapter alu do ramion teleskop. P     </v>
      </c>
      <c r="C24" s="60" t="str">
        <f>CenAVS!B24</f>
        <v>175H5B00   R</v>
      </c>
      <c r="D24" s="60" t="str">
        <f>CenAVS!C24</f>
        <v>NI</v>
      </c>
      <c r="E24" s="536">
        <f>CenAVS!D24</f>
        <v>0</v>
      </c>
      <c r="F24" s="413">
        <f t="shared" si="0"/>
        <v>0</v>
      </c>
      <c r="G24" s="58">
        <f>CenAVS!F24</f>
        <v>9.9110600000000009</v>
      </c>
      <c r="H24" s="104">
        <f t="shared" si="1"/>
        <v>0</v>
      </c>
      <c r="I24" s="65"/>
      <c r="J24" s="59">
        <f>CenAVS!I24</f>
        <v>6796243</v>
      </c>
      <c r="K24" s="59">
        <f>CenAVS!J24</f>
        <v>13767</v>
      </c>
      <c r="L24" s="943">
        <f t="shared" si="4"/>
        <v>0</v>
      </c>
      <c r="M24" s="60">
        <f t="shared" si="5"/>
        <v>0</v>
      </c>
      <c r="N24" s="236"/>
      <c r="O24" s="236"/>
      <c r="P24" s="236"/>
      <c r="Q24" s="236"/>
      <c r="R24" s="236"/>
      <c r="S24" s="237">
        <f>HFna!$AB28</f>
        <v>0</v>
      </c>
      <c r="T24" s="237">
        <f>HFw_na!$AB28</f>
        <v>0</v>
      </c>
      <c r="U24" s="236"/>
      <c r="V24" s="236"/>
      <c r="W24" s="235"/>
      <c r="X24" s="235"/>
      <c r="Y24" s="235"/>
      <c r="Z24" s="235"/>
      <c r="AA24" s="235"/>
      <c r="AB24" s="235"/>
      <c r="AC24" s="235"/>
      <c r="AD24" s="235"/>
      <c r="AE24" s="235"/>
      <c r="AF24" s="235"/>
      <c r="AG24" s="235"/>
      <c r="AH24" s="235"/>
      <c r="AI24" s="235"/>
      <c r="AJ24" s="235"/>
      <c r="AK24" s="235"/>
      <c r="AL24" s="235"/>
      <c r="AM24" s="235"/>
      <c r="AN24" s="235"/>
      <c r="AO24" s="235"/>
      <c r="AP24" s="235"/>
      <c r="AQ24" s="235"/>
      <c r="AR24" s="235"/>
      <c r="AS24" s="235"/>
      <c r="AT24" s="235"/>
      <c r="AU24" s="235"/>
      <c r="AV24" s="235"/>
      <c r="AW24" s="235"/>
      <c r="AX24" s="235"/>
      <c r="AY24" s="235"/>
      <c r="AZ24" s="235"/>
      <c r="BA24" s="235"/>
      <c r="BB24" s="108"/>
      <c r="BC24" s="108"/>
    </row>
    <row r="25" spans="1:55" ht="16.149999999999999" customHeight="1" x14ac:dyDescent="0.2">
      <c r="A25" s="108"/>
      <c r="B25" s="60" t="str">
        <f>CenAVS!A25</f>
        <v xml:space="preserve">adapter alu do ramion teleskop. L     </v>
      </c>
      <c r="C25" s="60" t="str">
        <f>CenAVS!B25</f>
        <v>175H5B00   L</v>
      </c>
      <c r="D25" s="60" t="str">
        <f>CenAVS!C25</f>
        <v>NI</v>
      </c>
      <c r="E25" s="536">
        <f>CenAVS!D25</f>
        <v>0</v>
      </c>
      <c r="F25" s="413">
        <f t="shared" si="0"/>
        <v>0</v>
      </c>
      <c r="G25" s="58">
        <f>CenAVS!F25</f>
        <v>9.9110600000000009</v>
      </c>
      <c r="H25" s="104">
        <f t="shared" si="1"/>
        <v>0</v>
      </c>
      <c r="I25" s="65"/>
      <c r="J25" s="59">
        <f>CenAVS!I25</f>
        <v>6796593</v>
      </c>
      <c r="K25" s="59">
        <f>CenAVS!J25</f>
        <v>13766</v>
      </c>
      <c r="L25" s="943">
        <f t="shared" si="4"/>
        <v>0</v>
      </c>
      <c r="M25" s="60">
        <f t="shared" si="5"/>
        <v>0</v>
      </c>
      <c r="N25" s="236"/>
      <c r="O25" s="236"/>
      <c r="P25" s="236"/>
      <c r="Q25" s="236"/>
      <c r="R25" s="236"/>
      <c r="S25" s="237">
        <f>HFna!$AB29</f>
        <v>0</v>
      </c>
      <c r="T25" s="237">
        <f>HFw_na!$AB29</f>
        <v>0</v>
      </c>
      <c r="U25" s="236"/>
      <c r="V25" s="236"/>
      <c r="W25" s="235"/>
      <c r="X25" s="235"/>
      <c r="Y25" s="235"/>
      <c r="Z25" s="235"/>
      <c r="AA25" s="235"/>
      <c r="AB25" s="235"/>
      <c r="AC25" s="235"/>
      <c r="AD25" s="235"/>
      <c r="AE25" s="235"/>
      <c r="AF25" s="235"/>
      <c r="AG25" s="235"/>
      <c r="AH25" s="235"/>
      <c r="AI25" s="235"/>
      <c r="AJ25" s="235"/>
      <c r="AK25" s="235"/>
      <c r="AL25" s="235"/>
      <c r="AM25" s="235"/>
      <c r="AN25" s="235"/>
      <c r="AO25" s="235"/>
      <c r="AP25" s="235"/>
      <c r="AQ25" s="235"/>
      <c r="AR25" s="235"/>
      <c r="AS25" s="235"/>
      <c r="AT25" s="235"/>
      <c r="AU25" s="235"/>
      <c r="AV25" s="235"/>
      <c r="AW25" s="235"/>
      <c r="AX25" s="235"/>
      <c r="AY25" s="235"/>
      <c r="AZ25" s="235"/>
      <c r="BA25" s="235"/>
      <c r="BB25" s="108"/>
      <c r="BC25" s="108"/>
    </row>
    <row r="26" spans="1:55" ht="16.149999999999999" customHeight="1" x14ac:dyDescent="0.2">
      <c r="A26" s="108"/>
      <c r="B26" s="60" t="str">
        <f>CenAVS!A26</f>
        <v xml:space="preserve">adapter alu do zawiasu środkowego      </v>
      </c>
      <c r="C26" s="60" t="str">
        <f>CenAVS!B26</f>
        <v>175H5A00</v>
      </c>
      <c r="D26" s="60" t="str">
        <f>CenAVS!C26</f>
        <v>NI</v>
      </c>
      <c r="E26" s="536">
        <f>CenAVS!D26</f>
        <v>0</v>
      </c>
      <c r="F26" s="413">
        <f t="shared" si="0"/>
        <v>0</v>
      </c>
      <c r="G26" s="58">
        <f>CenAVS!F26</f>
        <v>9.9110600000000009</v>
      </c>
      <c r="H26" s="104">
        <f t="shared" si="1"/>
        <v>0</v>
      </c>
      <c r="I26" s="65"/>
      <c r="J26" s="59">
        <f>CenAVS!I26</f>
        <v>6796303</v>
      </c>
      <c r="K26" s="59">
        <f>CenAVS!J26</f>
        <v>13768</v>
      </c>
      <c r="L26" s="943">
        <f t="shared" si="4"/>
        <v>0</v>
      </c>
      <c r="M26" s="60">
        <f t="shared" si="5"/>
        <v>0</v>
      </c>
      <c r="N26" s="236"/>
      <c r="O26" s="236"/>
      <c r="P26" s="236"/>
      <c r="Q26" s="236"/>
      <c r="R26" s="236"/>
      <c r="S26" s="237">
        <f>HFna!$AB30</f>
        <v>0</v>
      </c>
      <c r="T26" s="235"/>
      <c r="U26" s="237">
        <f>HFna_w!$AB30</f>
        <v>0</v>
      </c>
      <c r="V26" s="236"/>
      <c r="W26" s="235"/>
      <c r="X26" s="235"/>
      <c r="Y26" s="235"/>
      <c r="Z26" s="235"/>
      <c r="AA26" s="235"/>
      <c r="AB26" s="235"/>
      <c r="AC26" s="235"/>
      <c r="AD26" s="235"/>
      <c r="AE26" s="235"/>
      <c r="AF26" s="235"/>
      <c r="AG26" s="235"/>
      <c r="AH26" s="235"/>
      <c r="AI26" s="235"/>
      <c r="AJ26" s="235"/>
      <c r="AK26" s="235"/>
      <c r="AL26" s="235"/>
      <c r="AM26" s="235"/>
      <c r="AN26" s="235"/>
      <c r="AO26" s="235"/>
      <c r="AP26" s="235"/>
      <c r="AQ26" s="235"/>
      <c r="AR26" s="235"/>
      <c r="AS26" s="235"/>
      <c r="AT26" s="235"/>
      <c r="AU26" s="235"/>
      <c r="AV26" s="235"/>
      <c r="AW26" s="235"/>
      <c r="AX26" s="235"/>
      <c r="AY26" s="235"/>
      <c r="AZ26" s="235"/>
      <c r="BA26" s="235"/>
      <c r="BB26" s="108"/>
      <c r="BC26" s="108"/>
    </row>
    <row r="27" spans="1:55" ht="16.149999999999999" customHeight="1" x14ac:dyDescent="0.2">
      <c r="A27" s="108"/>
      <c r="B27" s="60" t="str">
        <f>CenAVS!A27</f>
        <v xml:space="preserve">          </v>
      </c>
      <c r="C27" s="60">
        <f>CenAVS!B27</f>
        <v>0</v>
      </c>
      <c r="D27" s="60">
        <f>CenAVS!C27</f>
        <v>0</v>
      </c>
      <c r="E27" s="536">
        <f>CenAVS!D27</f>
        <v>0</v>
      </c>
      <c r="F27" s="413">
        <f t="shared" si="0"/>
        <v>0</v>
      </c>
      <c r="G27" s="58">
        <f>CenAVS!F27</f>
        <v>0</v>
      </c>
      <c r="H27" s="104">
        <f t="shared" si="1"/>
        <v>0</v>
      </c>
      <c r="I27" s="65"/>
      <c r="J27" s="59">
        <f>CenAVS!I27</f>
        <v>0</v>
      </c>
      <c r="K27" s="59">
        <f>CenAVS!J27</f>
        <v>0</v>
      </c>
      <c r="L27" s="943">
        <f t="shared" si="4"/>
        <v>0</v>
      </c>
      <c r="M27" s="60">
        <f t="shared" si="5"/>
        <v>0</v>
      </c>
      <c r="N27" s="236"/>
      <c r="O27" s="236"/>
      <c r="P27" s="236"/>
      <c r="Q27" s="236"/>
      <c r="R27" s="236"/>
      <c r="S27" s="236"/>
      <c r="T27" s="236"/>
      <c r="U27" s="236"/>
      <c r="V27" s="236"/>
      <c r="W27" s="235"/>
      <c r="X27" s="235"/>
      <c r="Y27" s="235"/>
      <c r="Z27" s="235"/>
      <c r="AA27" s="235"/>
      <c r="AB27" s="235"/>
      <c r="AC27" s="235"/>
      <c r="AD27" s="235"/>
      <c r="AE27" s="235"/>
      <c r="AF27" s="235"/>
      <c r="AG27" s="235"/>
      <c r="AH27" s="235"/>
      <c r="AI27" s="235"/>
      <c r="AJ27" s="235"/>
      <c r="AK27" s="235"/>
      <c r="AL27" s="235"/>
      <c r="AM27" s="235"/>
      <c r="AN27" s="235"/>
      <c r="AO27" s="235"/>
      <c r="AP27" s="235"/>
      <c r="AQ27" s="235"/>
      <c r="AR27" s="235"/>
      <c r="AS27" s="235"/>
      <c r="AT27" s="235"/>
      <c r="AU27" s="235"/>
      <c r="AV27" s="235"/>
      <c r="AW27" s="235"/>
      <c r="AX27" s="235"/>
      <c r="AY27" s="235"/>
      <c r="AZ27" s="235"/>
      <c r="BA27" s="235"/>
      <c r="BB27" s="108"/>
      <c r="BC27" s="108"/>
    </row>
    <row r="28" spans="1:55" ht="16.149999999999999" customHeight="1" x14ac:dyDescent="0.2">
      <c r="A28" s="108"/>
      <c r="B28" s="60" t="str">
        <f>CenAVS!A28</f>
        <v xml:space="preserve">Aventos HS Top słaby, wkręty      </v>
      </c>
      <c r="C28" s="60" t="str">
        <f>CenAVS!B28</f>
        <v>22S2200</v>
      </c>
      <c r="D28" s="60" t="str">
        <f>CenAVS!C28</f>
        <v>ZN</v>
      </c>
      <c r="E28" s="536">
        <f>CenAVS!D28</f>
        <v>0</v>
      </c>
      <c r="F28" s="413">
        <f t="shared" si="0"/>
        <v>0</v>
      </c>
      <c r="G28" s="58">
        <f>CenAVS!F28</f>
        <v>191.41126</v>
      </c>
      <c r="H28" s="104">
        <f t="shared" si="1"/>
        <v>0</v>
      </c>
      <c r="I28" s="65"/>
      <c r="J28" s="59">
        <f>CenAVS!I28</f>
        <v>6873965</v>
      </c>
      <c r="K28" s="59">
        <f>CenAVS!J28</f>
        <v>507368</v>
      </c>
      <c r="L28" s="943">
        <f t="shared" si="4"/>
        <v>0</v>
      </c>
      <c r="M28" s="60">
        <f t="shared" si="5"/>
        <v>0</v>
      </c>
      <c r="N28" s="236"/>
      <c r="O28" s="236"/>
      <c r="P28" s="236"/>
      <c r="Q28" s="236"/>
      <c r="R28" s="236"/>
      <c r="S28" s="236"/>
      <c r="T28" s="236"/>
      <c r="U28" s="236"/>
      <c r="V28" s="236"/>
      <c r="W28" s="237">
        <f>HSw!AB9</f>
        <v>0</v>
      </c>
      <c r="X28" s="237">
        <f>HSwa!AB9</f>
        <v>0</v>
      </c>
      <c r="Y28" s="237">
        <f>HSna!AB9</f>
        <v>0</v>
      </c>
      <c r="Z28" s="237">
        <f>HSt!AB9</f>
        <v>0</v>
      </c>
      <c r="AA28" s="235"/>
      <c r="AB28" s="235"/>
      <c r="AC28" s="235"/>
      <c r="AD28" s="235"/>
      <c r="AE28" s="235"/>
      <c r="AF28" s="235"/>
      <c r="AG28" s="235"/>
      <c r="AH28" s="235"/>
      <c r="AI28" s="235"/>
      <c r="AJ28" s="235"/>
      <c r="AK28" s="235"/>
      <c r="AL28" s="235"/>
      <c r="AM28" s="235"/>
      <c r="AN28" s="235"/>
      <c r="AO28" s="235"/>
      <c r="AP28" s="235"/>
      <c r="AQ28" s="235"/>
      <c r="AR28" s="235"/>
      <c r="AS28" s="235"/>
      <c r="AT28" s="235"/>
      <c r="AU28" s="235"/>
      <c r="AV28" s="235"/>
      <c r="AW28" s="235"/>
      <c r="AX28" s="235"/>
      <c r="AY28" s="235"/>
      <c r="AZ28" s="235"/>
      <c r="BA28" s="235"/>
      <c r="BB28" s="108"/>
      <c r="BC28" s="108"/>
    </row>
    <row r="29" spans="1:55" ht="16.149999999999999" customHeight="1" x14ac:dyDescent="0.2">
      <c r="A29" s="108"/>
      <c r="B29" s="60" t="str">
        <f>CenAVS!A29</f>
        <v xml:space="preserve">Aventos HS Top słaby, eurowkręty      </v>
      </c>
      <c r="C29" s="60" t="str">
        <f>CenAVS!B29</f>
        <v>22S2210</v>
      </c>
      <c r="D29" s="60" t="str">
        <f>CenAVS!C29</f>
        <v>ZN</v>
      </c>
      <c r="E29" s="536">
        <f>CenAVS!D29</f>
        <v>0</v>
      </c>
      <c r="F29" s="413">
        <f t="shared" si="0"/>
        <v>0</v>
      </c>
      <c r="G29" s="58">
        <f>CenAVS!F29</f>
        <v>192.89991000000001</v>
      </c>
      <c r="H29" s="104">
        <f t="shared" si="1"/>
        <v>0</v>
      </c>
      <c r="I29" s="65"/>
      <c r="J29" s="59">
        <f>CenAVS!I29</f>
        <v>8437807</v>
      </c>
      <c r="K29" s="59">
        <f>CenAVS!J29</f>
        <v>507372</v>
      </c>
      <c r="L29" s="943">
        <f t="shared" si="4"/>
        <v>0</v>
      </c>
      <c r="M29" s="60">
        <f t="shared" si="5"/>
        <v>0</v>
      </c>
      <c r="N29" s="236"/>
      <c r="O29" s="236"/>
      <c r="P29" s="236"/>
      <c r="Q29" s="236"/>
      <c r="R29" s="236"/>
      <c r="S29" s="236"/>
      <c r="T29" s="236"/>
      <c r="U29" s="236"/>
      <c r="V29" s="236"/>
      <c r="W29" s="237">
        <f>HSw!AB10</f>
        <v>0</v>
      </c>
      <c r="X29" s="237">
        <f>HSwa!AB10</f>
        <v>0</v>
      </c>
      <c r="Y29" s="237">
        <f>HSna!AB10</f>
        <v>0</v>
      </c>
      <c r="Z29" s="237">
        <f>HSt!AB10</f>
        <v>0</v>
      </c>
      <c r="AA29" s="235"/>
      <c r="AB29" s="235"/>
      <c r="AC29" s="235"/>
      <c r="AD29" s="235"/>
      <c r="AE29" s="235"/>
      <c r="AF29" s="235"/>
      <c r="AG29" s="235"/>
      <c r="AH29" s="235"/>
      <c r="AI29" s="235"/>
      <c r="AJ29" s="235"/>
      <c r="AK29" s="235"/>
      <c r="AL29" s="235"/>
      <c r="AM29" s="235"/>
      <c r="AN29" s="235"/>
      <c r="AO29" s="235"/>
      <c r="AP29" s="235"/>
      <c r="AQ29" s="235"/>
      <c r="AR29" s="235"/>
      <c r="AS29" s="235"/>
      <c r="AT29" s="235"/>
      <c r="AU29" s="235"/>
      <c r="AV29" s="235"/>
      <c r="AW29" s="235"/>
      <c r="AX29" s="235"/>
      <c r="AY29" s="235"/>
      <c r="AZ29" s="235"/>
      <c r="BA29" s="235"/>
      <c r="BB29" s="108"/>
      <c r="BC29" s="108"/>
    </row>
    <row r="30" spans="1:55" ht="16.149999999999999" customHeight="1" x14ac:dyDescent="0.2">
      <c r="A30" s="108"/>
      <c r="B30" s="60" t="str">
        <f>CenAVS!A30</f>
        <v xml:space="preserve">Aventos HS Top średni, wkręty      </v>
      </c>
      <c r="C30" s="60" t="str">
        <f>CenAVS!B30</f>
        <v>22S2500</v>
      </c>
      <c r="D30" s="60" t="str">
        <f>CenAVS!C30</f>
        <v>ZN</v>
      </c>
      <c r="E30" s="536">
        <f>CenAVS!D30</f>
        <v>0</v>
      </c>
      <c r="F30" s="413">
        <f t="shared" si="0"/>
        <v>0</v>
      </c>
      <c r="G30" s="58">
        <f>CenAVS!F30</f>
        <v>202.58683000000002</v>
      </c>
      <c r="H30" s="104">
        <f t="shared" si="1"/>
        <v>0</v>
      </c>
      <c r="I30" s="65"/>
      <c r="J30" s="59">
        <f>CenAVS!I30</f>
        <v>4544774</v>
      </c>
      <c r="K30" s="59">
        <f>CenAVS!J30</f>
        <v>507370</v>
      </c>
      <c r="L30" s="943">
        <f t="shared" si="4"/>
        <v>0</v>
      </c>
      <c r="M30" s="60">
        <f t="shared" si="5"/>
        <v>0</v>
      </c>
      <c r="N30" s="236"/>
      <c r="O30" s="236"/>
      <c r="P30" s="236"/>
      <c r="Q30" s="236"/>
      <c r="R30" s="236"/>
      <c r="S30" s="236"/>
      <c r="T30" s="236"/>
      <c r="U30" s="236"/>
      <c r="V30" s="236"/>
      <c r="W30" s="237">
        <f>HSw!AB11</f>
        <v>0</v>
      </c>
      <c r="X30" s="237">
        <f>HSwa!AB11</f>
        <v>0</v>
      </c>
      <c r="Y30" s="237">
        <f>HSna!AB11</f>
        <v>0</v>
      </c>
      <c r="Z30" s="237">
        <f>HSt!AB11</f>
        <v>0</v>
      </c>
      <c r="AA30" s="235"/>
      <c r="AB30" s="235"/>
      <c r="AC30" s="235"/>
      <c r="AD30" s="235"/>
      <c r="AE30" s="235"/>
      <c r="AF30" s="235"/>
      <c r="AG30" s="235"/>
      <c r="AH30" s="235"/>
      <c r="AI30" s="235"/>
      <c r="AJ30" s="235"/>
      <c r="AK30" s="235"/>
      <c r="AL30" s="235"/>
      <c r="AM30" s="235"/>
      <c r="AN30" s="235"/>
      <c r="AO30" s="235"/>
      <c r="AP30" s="235"/>
      <c r="AQ30" s="235"/>
      <c r="AR30" s="235"/>
      <c r="AS30" s="235"/>
      <c r="AT30" s="235"/>
      <c r="AU30" s="235"/>
      <c r="AV30" s="235"/>
      <c r="AW30" s="235"/>
      <c r="AX30" s="235"/>
      <c r="AY30" s="235"/>
      <c r="AZ30" s="235"/>
      <c r="BA30" s="235"/>
      <c r="BB30" s="108"/>
      <c r="BC30" s="108"/>
    </row>
    <row r="31" spans="1:55" ht="16.149999999999999" customHeight="1" x14ac:dyDescent="0.2">
      <c r="A31" s="108"/>
      <c r="B31" s="60" t="str">
        <f>CenAVS!A31</f>
        <v xml:space="preserve">Aventos HS Top średni, eurowkręty      </v>
      </c>
      <c r="C31" s="60" t="str">
        <f>CenAVS!B31</f>
        <v>22S2510</v>
      </c>
      <c r="D31" s="60" t="str">
        <f>CenAVS!C31</f>
        <v>ZN</v>
      </c>
      <c r="E31" s="536">
        <f>CenAVS!D31</f>
        <v>0</v>
      </c>
      <c r="F31" s="413">
        <f t="shared" si="0"/>
        <v>0</v>
      </c>
      <c r="G31" s="58">
        <f>CenAVS!F31</f>
        <v>204.16206999999997</v>
      </c>
      <c r="H31" s="104">
        <f t="shared" si="1"/>
        <v>0</v>
      </c>
      <c r="I31" s="65"/>
      <c r="J31" s="59">
        <f>CenAVS!I31</f>
        <v>4339002</v>
      </c>
      <c r="K31" s="59">
        <f>CenAVS!J31</f>
        <v>507374</v>
      </c>
      <c r="L31" s="943">
        <f t="shared" si="4"/>
        <v>0</v>
      </c>
      <c r="M31" s="60">
        <f t="shared" si="5"/>
        <v>0</v>
      </c>
      <c r="N31" s="236"/>
      <c r="O31" s="236"/>
      <c r="P31" s="236"/>
      <c r="Q31" s="236"/>
      <c r="R31" s="236"/>
      <c r="S31" s="236"/>
      <c r="T31" s="236"/>
      <c r="U31" s="236"/>
      <c r="V31" s="236"/>
      <c r="W31" s="237">
        <f>HSw!AB12</f>
        <v>0</v>
      </c>
      <c r="X31" s="237">
        <f>HSwa!AB12</f>
        <v>0</v>
      </c>
      <c r="Y31" s="237">
        <f>HSna!AB12</f>
        <v>0</v>
      </c>
      <c r="Z31" s="237">
        <f>HSt!AB12</f>
        <v>0</v>
      </c>
      <c r="AA31" s="235"/>
      <c r="AB31" s="235"/>
      <c r="AC31" s="235"/>
      <c r="AD31" s="235"/>
      <c r="AE31" s="235"/>
      <c r="AF31" s="235"/>
      <c r="AG31" s="235"/>
      <c r="AH31" s="235"/>
      <c r="AI31" s="235"/>
      <c r="AJ31" s="235"/>
      <c r="AK31" s="235"/>
      <c r="AL31" s="235"/>
      <c r="AM31" s="235"/>
      <c r="AN31" s="235"/>
      <c r="AO31" s="235"/>
      <c r="AP31" s="235"/>
      <c r="AQ31" s="235"/>
      <c r="AR31" s="235"/>
      <c r="AS31" s="235"/>
      <c r="AT31" s="235"/>
      <c r="AU31" s="235"/>
      <c r="AV31" s="235"/>
      <c r="AW31" s="235"/>
      <c r="AX31" s="235"/>
      <c r="AY31" s="235"/>
      <c r="AZ31" s="235"/>
      <c r="BA31" s="235"/>
      <c r="BB31" s="108"/>
      <c r="BC31" s="108"/>
    </row>
    <row r="32" spans="1:55" ht="16.149999999999999" customHeight="1" x14ac:dyDescent="0.2">
      <c r="A32" s="108"/>
      <c r="B32" s="60" t="str">
        <f>CenAVS!A32</f>
        <v xml:space="preserve">Aventos HS Top mocny, wkręty      </v>
      </c>
      <c r="C32" s="60" t="str">
        <f>CenAVS!B32</f>
        <v>22S2800</v>
      </c>
      <c r="D32" s="60" t="str">
        <f>CenAVS!C32</f>
        <v>ZN</v>
      </c>
      <c r="E32" s="536">
        <f>CenAVS!D32</f>
        <v>0</v>
      </c>
      <c r="F32" s="413">
        <f t="shared" si="0"/>
        <v>0</v>
      </c>
      <c r="G32" s="58">
        <f>CenAVS!F32</f>
        <v>215.15917999999999</v>
      </c>
      <c r="H32" s="104">
        <f t="shared" si="1"/>
        <v>0</v>
      </c>
      <c r="I32" s="65"/>
      <c r="J32" s="59">
        <f>CenAVS!I32</f>
        <v>6726108</v>
      </c>
      <c r="K32" s="59">
        <f>CenAVS!J32</f>
        <v>507371</v>
      </c>
      <c r="L32" s="943">
        <f t="shared" si="4"/>
        <v>0</v>
      </c>
      <c r="M32" s="60">
        <f t="shared" si="5"/>
        <v>0</v>
      </c>
      <c r="N32" s="236"/>
      <c r="O32" s="236"/>
      <c r="P32" s="236"/>
      <c r="Q32" s="236"/>
      <c r="R32" s="236"/>
      <c r="S32" s="236"/>
      <c r="T32" s="236"/>
      <c r="U32" s="236"/>
      <c r="V32" s="236"/>
      <c r="W32" s="237">
        <f>HSw!AB13</f>
        <v>0</v>
      </c>
      <c r="X32" s="237">
        <f>HSwa!AB13</f>
        <v>0</v>
      </c>
      <c r="Y32" s="237">
        <f>HSna!AB13</f>
        <v>0</v>
      </c>
      <c r="Z32" s="237">
        <f>HSt!AB13</f>
        <v>0</v>
      </c>
      <c r="AA32" s="235"/>
      <c r="AB32" s="235"/>
      <c r="AC32" s="235"/>
      <c r="AD32" s="235"/>
      <c r="AE32" s="235"/>
      <c r="AF32" s="235"/>
      <c r="AG32" s="235"/>
      <c r="AH32" s="235"/>
      <c r="AI32" s="235"/>
      <c r="AJ32" s="235"/>
      <c r="AK32" s="235"/>
      <c r="AL32" s="235"/>
      <c r="AM32" s="235"/>
      <c r="AN32" s="235"/>
      <c r="AO32" s="235"/>
      <c r="AP32" s="235"/>
      <c r="AQ32" s="235"/>
      <c r="AR32" s="235"/>
      <c r="AS32" s="235"/>
      <c r="AT32" s="235"/>
      <c r="AU32" s="235"/>
      <c r="AV32" s="235"/>
      <c r="AW32" s="235"/>
      <c r="AX32" s="235"/>
      <c r="AY32" s="235"/>
      <c r="AZ32" s="235"/>
      <c r="BA32" s="235"/>
      <c r="BB32" s="108"/>
      <c r="BC32" s="108"/>
    </row>
    <row r="33" spans="1:55" ht="16.149999999999999" customHeight="1" x14ac:dyDescent="0.2">
      <c r="A33" s="108"/>
      <c r="B33" s="60" t="str">
        <f>CenAVS!A33</f>
        <v xml:space="preserve">Aventos HS Top mocny, eurowkręty      </v>
      </c>
      <c r="C33" s="60" t="str">
        <f>CenAVS!B33</f>
        <v>22S2810</v>
      </c>
      <c r="D33" s="60" t="str">
        <f>CenAVS!C33</f>
        <v>ZN</v>
      </c>
      <c r="E33" s="536">
        <f>CenAVS!D33</f>
        <v>0</v>
      </c>
      <c r="F33" s="413">
        <f t="shared" si="0"/>
        <v>0</v>
      </c>
      <c r="G33" s="58">
        <f>CenAVS!F33</f>
        <v>216.83244999999999</v>
      </c>
      <c r="H33" s="104">
        <f t="shared" si="1"/>
        <v>0</v>
      </c>
      <c r="I33" s="65"/>
      <c r="J33" s="59">
        <f>CenAVS!I33</f>
        <v>1560191</v>
      </c>
      <c r="K33" s="59">
        <f>CenAVS!J33</f>
        <v>507375</v>
      </c>
      <c r="L33" s="943">
        <f t="shared" si="4"/>
        <v>0</v>
      </c>
      <c r="M33" s="60">
        <f t="shared" si="5"/>
        <v>0</v>
      </c>
      <c r="N33" s="236"/>
      <c r="O33" s="236"/>
      <c r="P33" s="236"/>
      <c r="Q33" s="236"/>
      <c r="R33" s="236"/>
      <c r="S33" s="236"/>
      <c r="T33" s="236"/>
      <c r="U33" s="236"/>
      <c r="V33" s="236"/>
      <c r="W33" s="237">
        <f>HSw!AB14</f>
        <v>0</v>
      </c>
      <c r="X33" s="237">
        <f>HSwa!AB14</f>
        <v>0</v>
      </c>
      <c r="Y33" s="237">
        <f>HSna!AB14</f>
        <v>0</v>
      </c>
      <c r="Z33" s="237">
        <f>HSt!AB14</f>
        <v>0</v>
      </c>
      <c r="AA33" s="235"/>
      <c r="AB33" s="235"/>
      <c r="AC33" s="235"/>
      <c r="AD33" s="235"/>
      <c r="AE33" s="235"/>
      <c r="AF33" s="235"/>
      <c r="AG33" s="235"/>
      <c r="AH33" s="235"/>
      <c r="AI33" s="235"/>
      <c r="AJ33" s="235"/>
      <c r="AK33" s="235"/>
      <c r="AL33" s="235"/>
      <c r="AM33" s="235"/>
      <c r="AN33" s="235"/>
      <c r="AO33" s="235"/>
      <c r="AP33" s="235"/>
      <c r="AQ33" s="235"/>
      <c r="AR33" s="235"/>
      <c r="AS33" s="235"/>
      <c r="AT33" s="235"/>
      <c r="AU33" s="235"/>
      <c r="AV33" s="235"/>
      <c r="AW33" s="235"/>
      <c r="AX33" s="235"/>
      <c r="AY33" s="235"/>
      <c r="AZ33" s="235"/>
      <c r="BA33" s="235"/>
      <c r="BB33" s="108"/>
      <c r="BC33" s="108"/>
    </row>
    <row r="34" spans="1:55" ht="16.149999999999999" customHeight="1" x14ac:dyDescent="0.2">
      <c r="A34" s="108"/>
      <c r="B34" s="60" t="str">
        <f>CenAVS!A34</f>
        <v xml:space="preserve">ramiona HS Top        </v>
      </c>
      <c r="C34" s="60" t="str">
        <f>CenAVS!B34</f>
        <v>22S3500</v>
      </c>
      <c r="D34" s="60" t="str">
        <f>CenAVS!C34</f>
        <v>ZN</v>
      </c>
      <c r="E34" s="536">
        <f>CenAVS!D34</f>
        <v>0</v>
      </c>
      <c r="F34" s="413">
        <f t="shared" ref="F34:F43" si="6">IF(I34&gt;0,I34,SUM(O34:BA34))</f>
        <v>0</v>
      </c>
      <c r="G34" s="58">
        <f>CenAVS!F34</f>
        <v>127.57276</v>
      </c>
      <c r="H34" s="104">
        <f t="shared" si="1"/>
        <v>0</v>
      </c>
      <c r="I34" s="65"/>
      <c r="J34" s="59">
        <f>CenAVS!I34</f>
        <v>4455776</v>
      </c>
      <c r="K34" s="59">
        <f>CenAVS!J34</f>
        <v>507376</v>
      </c>
      <c r="L34" s="943">
        <f t="shared" si="4"/>
        <v>0</v>
      </c>
      <c r="M34" s="60">
        <f t="shared" si="5"/>
        <v>0</v>
      </c>
      <c r="N34" s="236"/>
      <c r="O34" s="236"/>
      <c r="P34" s="236"/>
      <c r="Q34" s="236"/>
      <c r="R34" s="236"/>
      <c r="S34" s="236"/>
      <c r="T34" s="236"/>
      <c r="U34" s="236"/>
      <c r="V34" s="236"/>
      <c r="W34" s="237">
        <f>HSw!AB16</f>
        <v>0</v>
      </c>
      <c r="X34" s="237">
        <f>HSwa!AB16</f>
        <v>0</v>
      </c>
      <c r="Y34" s="237">
        <f>HSna!AB16</f>
        <v>0</v>
      </c>
      <c r="Z34" s="237">
        <f>HSt!AB16</f>
        <v>0</v>
      </c>
      <c r="AA34" s="235"/>
      <c r="AB34" s="235"/>
      <c r="AC34" s="235"/>
      <c r="AD34" s="235"/>
      <c r="AE34" s="235"/>
      <c r="AF34" s="235"/>
      <c r="AG34" s="235"/>
      <c r="AH34" s="235"/>
      <c r="AI34" s="235"/>
      <c r="AJ34" s="235"/>
      <c r="AK34" s="235"/>
      <c r="AL34" s="235"/>
      <c r="AM34" s="235"/>
      <c r="AN34" s="235"/>
      <c r="AO34" s="235"/>
      <c r="AP34" s="235"/>
      <c r="AQ34" s="235"/>
      <c r="AR34" s="235"/>
      <c r="AS34" s="235"/>
      <c r="AT34" s="235"/>
      <c r="AU34" s="235"/>
      <c r="AV34" s="235"/>
      <c r="AW34" s="235"/>
      <c r="AX34" s="235"/>
      <c r="AY34" s="235"/>
      <c r="AZ34" s="235"/>
      <c r="BA34" s="235"/>
      <c r="BB34" s="108"/>
      <c r="BC34" s="108"/>
    </row>
    <row r="35" spans="1:55" ht="16.149999999999999" customHeight="1" x14ac:dyDescent="0.2">
      <c r="A35" s="108"/>
      <c r="B35" s="60" t="str">
        <f>CenAVS!A35</f>
        <v xml:space="preserve">          </v>
      </c>
      <c r="C35" s="60">
        <f>CenAVS!B35</f>
        <v>0</v>
      </c>
      <c r="D35" s="60">
        <f>CenAVS!C35</f>
        <v>0</v>
      </c>
      <c r="E35" s="536">
        <f>CenAVS!D35</f>
        <v>0</v>
      </c>
      <c r="F35" s="413">
        <f t="shared" si="6"/>
        <v>0</v>
      </c>
      <c r="G35" s="58">
        <f>CenAVS!F35</f>
        <v>0</v>
      </c>
      <c r="H35" s="104">
        <f t="shared" si="1"/>
        <v>0</v>
      </c>
      <c r="I35" s="65"/>
      <c r="J35" s="59">
        <f>CenAVS!I35</f>
        <v>0</v>
      </c>
      <c r="K35" s="59">
        <f>CenAVS!J35</f>
        <v>0</v>
      </c>
      <c r="L35" s="943">
        <f t="shared" si="4"/>
        <v>0</v>
      </c>
      <c r="M35" s="60">
        <f t="shared" si="5"/>
        <v>0</v>
      </c>
      <c r="N35" s="236"/>
      <c r="O35" s="236"/>
      <c r="P35" s="236"/>
      <c r="Q35" s="236"/>
      <c r="R35" s="236"/>
      <c r="S35" s="236"/>
      <c r="T35" s="236"/>
      <c r="U35" s="236"/>
      <c r="V35" s="236"/>
      <c r="W35" s="235"/>
      <c r="X35" s="235"/>
      <c r="Y35" s="235"/>
      <c r="Z35" s="235"/>
      <c r="AA35" s="235"/>
      <c r="AB35" s="235"/>
      <c r="AC35" s="235"/>
      <c r="AD35" s="235"/>
      <c r="AE35" s="235"/>
      <c r="AF35" s="235"/>
      <c r="AG35" s="235"/>
      <c r="AH35" s="235"/>
      <c r="AI35" s="235"/>
      <c r="AJ35" s="235"/>
      <c r="AK35" s="235"/>
      <c r="AL35" s="235"/>
      <c r="AM35" s="235"/>
      <c r="AN35" s="235"/>
      <c r="AO35" s="235"/>
      <c r="AP35" s="235"/>
      <c r="AQ35" s="235"/>
      <c r="AR35" s="235"/>
      <c r="AS35" s="235"/>
      <c r="AT35" s="235"/>
      <c r="AU35" s="235"/>
      <c r="AV35" s="235"/>
      <c r="AW35" s="235"/>
      <c r="AX35" s="235"/>
      <c r="AY35" s="235"/>
      <c r="AZ35" s="235"/>
      <c r="BA35" s="235"/>
      <c r="BB35" s="108"/>
      <c r="BC35" s="108"/>
    </row>
    <row r="36" spans="1:55" ht="16.149999999999999" customHeight="1" x14ac:dyDescent="0.2">
      <c r="A36" s="108"/>
      <c r="B36" s="60" t="str">
        <f>CenAVS!A36</f>
        <v xml:space="preserve">Aventos HL Top słaby, wkręty      </v>
      </c>
      <c r="C36" s="60" t="str">
        <f>CenAVS!B36</f>
        <v>22L2200</v>
      </c>
      <c r="D36" s="60" t="str">
        <f>CenAVS!C36</f>
        <v>ZN</v>
      </c>
      <c r="E36" s="536">
        <f>CenAVS!D36</f>
        <v>0</v>
      </c>
      <c r="F36" s="413">
        <f t="shared" si="6"/>
        <v>0</v>
      </c>
      <c r="G36" s="58">
        <f>CenAVS!F36</f>
        <v>191.41126</v>
      </c>
      <c r="H36" s="104">
        <f t="shared" si="1"/>
        <v>0</v>
      </c>
      <c r="I36" s="65"/>
      <c r="J36" s="59">
        <f>CenAVS!I36</f>
        <v>5877526</v>
      </c>
      <c r="K36" s="59">
        <f>CenAVS!J36</f>
        <v>507351</v>
      </c>
      <c r="L36" s="943">
        <f t="shared" si="4"/>
        <v>0</v>
      </c>
      <c r="M36" s="60">
        <f t="shared" si="5"/>
        <v>0</v>
      </c>
      <c r="N36" s="236"/>
      <c r="O36" s="236"/>
      <c r="P36" s="236"/>
      <c r="Q36" s="236"/>
      <c r="R36" s="236"/>
      <c r="S36" s="236"/>
      <c r="T36" s="236"/>
      <c r="U36" s="236"/>
      <c r="V36" s="236"/>
      <c r="W36" s="235"/>
      <c r="X36" s="235"/>
      <c r="Y36" s="235"/>
      <c r="Z36" s="235"/>
      <c r="AA36" s="235"/>
      <c r="AB36" s="237">
        <f>HLw!$AB9</f>
        <v>0</v>
      </c>
      <c r="AC36" s="237">
        <f>HLwa!$AB9</f>
        <v>0</v>
      </c>
      <c r="AD36" s="237">
        <f>HLna!$AB9</f>
        <v>0</v>
      </c>
      <c r="AE36" s="237">
        <f>HLt!$AB9</f>
        <v>0</v>
      </c>
      <c r="AF36" s="235"/>
      <c r="AG36" s="235"/>
      <c r="AH36" s="235"/>
      <c r="AI36" s="235"/>
      <c r="AJ36" s="235"/>
      <c r="AK36" s="235"/>
      <c r="AL36" s="235"/>
      <c r="AM36" s="235"/>
      <c r="AN36" s="235"/>
      <c r="AO36" s="235"/>
      <c r="AP36" s="235"/>
      <c r="AQ36" s="235"/>
      <c r="AR36" s="235"/>
      <c r="AS36" s="235"/>
      <c r="AT36" s="235"/>
      <c r="AU36" s="235"/>
      <c r="AV36" s="235"/>
      <c r="AW36" s="235"/>
      <c r="AX36" s="235"/>
      <c r="AY36" s="235"/>
      <c r="AZ36" s="235"/>
      <c r="BA36" s="235"/>
      <c r="BB36" s="108"/>
      <c r="BC36" s="108"/>
    </row>
    <row r="37" spans="1:55" ht="16.149999999999999" customHeight="1" x14ac:dyDescent="0.2">
      <c r="A37" s="108"/>
      <c r="B37" s="60" t="str">
        <f>CenAVS!A37</f>
        <v xml:space="preserve">Aventos HL Top słaby, eurowkręty      </v>
      </c>
      <c r="C37" s="60" t="str">
        <f>CenAVS!B37</f>
        <v>22L2210</v>
      </c>
      <c r="D37" s="60" t="str">
        <f>CenAVS!C37</f>
        <v>ZN</v>
      </c>
      <c r="E37" s="536">
        <f>CenAVS!D37</f>
        <v>0</v>
      </c>
      <c r="F37" s="413">
        <f t="shared" si="6"/>
        <v>0</v>
      </c>
      <c r="G37" s="58">
        <f>CenAVS!F37</f>
        <v>192.89991000000001</v>
      </c>
      <c r="H37" s="104">
        <f t="shared" si="1"/>
        <v>0</v>
      </c>
      <c r="I37" s="65"/>
      <c r="J37" s="59">
        <f>CenAVS!I37</f>
        <v>1723404</v>
      </c>
      <c r="K37" s="59">
        <f>CenAVS!J37</f>
        <v>507353</v>
      </c>
      <c r="L37" s="943">
        <f t="shared" si="4"/>
        <v>0</v>
      </c>
      <c r="M37" s="60">
        <f t="shared" si="5"/>
        <v>0</v>
      </c>
      <c r="N37" s="236"/>
      <c r="O37" s="236"/>
      <c r="P37" s="236"/>
      <c r="Q37" s="236"/>
      <c r="R37" s="236"/>
      <c r="S37" s="236"/>
      <c r="T37" s="236"/>
      <c r="U37" s="236"/>
      <c r="V37" s="236"/>
      <c r="W37" s="235"/>
      <c r="X37" s="235"/>
      <c r="Y37" s="235"/>
      <c r="Z37" s="235"/>
      <c r="AA37" s="235"/>
      <c r="AB37" s="237">
        <f>HLw!$AB10</f>
        <v>0</v>
      </c>
      <c r="AC37" s="237">
        <f>HLwa!$AB10</f>
        <v>0</v>
      </c>
      <c r="AD37" s="237">
        <f>HLna!$AB10</f>
        <v>0</v>
      </c>
      <c r="AE37" s="237">
        <f>HLt!$AB10</f>
        <v>0</v>
      </c>
      <c r="AF37" s="235"/>
      <c r="AG37" s="235"/>
      <c r="AH37" s="235"/>
      <c r="AI37" s="235"/>
      <c r="AJ37" s="235"/>
      <c r="AK37" s="235"/>
      <c r="AL37" s="235"/>
      <c r="AM37" s="235"/>
      <c r="AN37" s="235"/>
      <c r="AO37" s="235"/>
      <c r="AP37" s="235"/>
      <c r="AQ37" s="235"/>
      <c r="AR37" s="235"/>
      <c r="AS37" s="235"/>
      <c r="AT37" s="235"/>
      <c r="AU37" s="235"/>
      <c r="AV37" s="235"/>
      <c r="AW37" s="235"/>
      <c r="AX37" s="235"/>
      <c r="AY37" s="235"/>
      <c r="AZ37" s="235"/>
      <c r="BA37" s="235"/>
      <c r="BB37" s="108"/>
      <c r="BC37" s="108"/>
    </row>
    <row r="38" spans="1:55" ht="16.149999999999999" customHeight="1" x14ac:dyDescent="0.2">
      <c r="A38" s="108"/>
      <c r="B38" s="60" t="str">
        <f>CenAVS!A38</f>
        <v xml:space="preserve">Aventos HL Top mocny, wkręty      </v>
      </c>
      <c r="C38" s="60" t="str">
        <f>CenAVS!B38</f>
        <v>22L2500</v>
      </c>
      <c r="D38" s="60" t="str">
        <f>CenAVS!C38</f>
        <v>ZN</v>
      </c>
      <c r="E38" s="536">
        <f>CenAVS!D38</f>
        <v>0</v>
      </c>
      <c r="F38" s="413">
        <f t="shared" si="6"/>
        <v>0</v>
      </c>
      <c r="G38" s="58">
        <f>CenAVS!F38</f>
        <v>205.38082999999997</v>
      </c>
      <c r="H38" s="104">
        <f t="shared" si="1"/>
        <v>0</v>
      </c>
      <c r="I38" s="65"/>
      <c r="J38" s="59">
        <f>CenAVS!I38</f>
        <v>6119711</v>
      </c>
      <c r="K38" s="59">
        <f>CenAVS!J38</f>
        <v>507352</v>
      </c>
      <c r="L38" s="943">
        <f t="shared" si="4"/>
        <v>0</v>
      </c>
      <c r="M38" s="60">
        <f t="shared" si="5"/>
        <v>0</v>
      </c>
      <c r="N38" s="236"/>
      <c r="O38" s="236"/>
      <c r="P38" s="236"/>
      <c r="Q38" s="236"/>
      <c r="R38" s="236"/>
      <c r="S38" s="236"/>
      <c r="T38" s="236"/>
      <c r="U38" s="236"/>
      <c r="V38" s="236"/>
      <c r="W38" s="235"/>
      <c r="X38" s="235"/>
      <c r="Y38" s="235"/>
      <c r="Z38" s="235"/>
      <c r="AA38" s="235"/>
      <c r="AB38" s="237">
        <f>HLw!$AB11</f>
        <v>0</v>
      </c>
      <c r="AC38" s="237">
        <f>HLwa!$AB11</f>
        <v>0</v>
      </c>
      <c r="AD38" s="237">
        <f>HLna!$AB11</f>
        <v>0</v>
      </c>
      <c r="AE38" s="237">
        <f>HLt!$AB11</f>
        <v>0</v>
      </c>
      <c r="AF38" s="235"/>
      <c r="AG38" s="235"/>
      <c r="AH38" s="235"/>
      <c r="AI38" s="235"/>
      <c r="AJ38" s="235"/>
      <c r="AK38" s="235"/>
      <c r="AL38" s="235"/>
      <c r="AM38" s="235"/>
      <c r="AN38" s="235"/>
      <c r="AO38" s="235"/>
      <c r="AP38" s="235"/>
      <c r="AQ38" s="235"/>
      <c r="AR38" s="235"/>
      <c r="AS38" s="235"/>
      <c r="AT38" s="235"/>
      <c r="AU38" s="235"/>
      <c r="AV38" s="235"/>
      <c r="AW38" s="235"/>
      <c r="AX38" s="235"/>
      <c r="AY38" s="235"/>
      <c r="AZ38" s="235"/>
      <c r="BA38" s="235"/>
      <c r="BB38" s="108"/>
      <c r="BC38" s="108"/>
    </row>
    <row r="39" spans="1:55" ht="16.149999999999999" customHeight="1" x14ac:dyDescent="0.2">
      <c r="A39" s="108"/>
      <c r="B39" s="60" t="str">
        <f>CenAVS!A39</f>
        <v xml:space="preserve">Aventos HL Top mocny, eurowkręty      </v>
      </c>
      <c r="C39" s="60" t="str">
        <f>CenAVS!B39</f>
        <v>22L2510</v>
      </c>
      <c r="D39" s="60" t="str">
        <f>CenAVS!C39</f>
        <v>ZN</v>
      </c>
      <c r="E39" s="536">
        <f>CenAVS!D39</f>
        <v>0</v>
      </c>
      <c r="F39" s="413">
        <f t="shared" si="6"/>
        <v>0</v>
      </c>
      <c r="G39" s="58">
        <f>CenAVS!F39</f>
        <v>206.97785999999999</v>
      </c>
      <c r="H39" s="104">
        <f t="shared" si="1"/>
        <v>0</v>
      </c>
      <c r="I39" s="65"/>
      <c r="J39" s="59">
        <f>CenAVS!I39</f>
        <v>3220181</v>
      </c>
      <c r="K39" s="59">
        <f>CenAVS!J39</f>
        <v>507354</v>
      </c>
      <c r="L39" s="943">
        <f t="shared" si="4"/>
        <v>0</v>
      </c>
      <c r="M39" s="60">
        <f t="shared" si="5"/>
        <v>0</v>
      </c>
      <c r="N39" s="236"/>
      <c r="O39" s="236"/>
      <c r="P39" s="236"/>
      <c r="Q39" s="236"/>
      <c r="R39" s="236"/>
      <c r="S39" s="236"/>
      <c r="T39" s="236"/>
      <c r="U39" s="236"/>
      <c r="V39" s="236"/>
      <c r="W39" s="235"/>
      <c r="X39" s="235"/>
      <c r="Y39" s="235"/>
      <c r="Z39" s="235"/>
      <c r="AA39" s="235"/>
      <c r="AB39" s="237">
        <f>HLw!$AB12</f>
        <v>0</v>
      </c>
      <c r="AC39" s="237">
        <f>HLwa!$AB12</f>
        <v>0</v>
      </c>
      <c r="AD39" s="237">
        <f>HLna!$AB12</f>
        <v>0</v>
      </c>
      <c r="AE39" s="237">
        <f>HLt!$AB12</f>
        <v>0</v>
      </c>
      <c r="AF39" s="235"/>
      <c r="AG39" s="235"/>
      <c r="AH39" s="235"/>
      <c r="AI39" s="235"/>
      <c r="AJ39" s="235"/>
      <c r="AK39" s="235"/>
      <c r="AL39" s="235"/>
      <c r="AM39" s="235"/>
      <c r="AN39" s="235"/>
      <c r="AO39" s="235"/>
      <c r="AP39" s="235"/>
      <c r="AQ39" s="235"/>
      <c r="AR39" s="235"/>
      <c r="AS39" s="235"/>
      <c r="AT39" s="235"/>
      <c r="AU39" s="235"/>
      <c r="AV39" s="235"/>
      <c r="AW39" s="235"/>
      <c r="AX39" s="235"/>
      <c r="AY39" s="235"/>
      <c r="AZ39" s="235"/>
      <c r="BA39" s="235"/>
      <c r="BB39" s="108"/>
      <c r="BC39" s="108"/>
    </row>
    <row r="40" spans="1:55" ht="16.149999999999999" customHeight="1" x14ac:dyDescent="0.2">
      <c r="A40" s="108"/>
      <c r="B40" s="60" t="str">
        <f>CenAVS!A40</f>
        <v xml:space="preserve">ramiona 300-339 HL Top       </v>
      </c>
      <c r="C40" s="60" t="str">
        <f>CenAVS!B40</f>
        <v>22L3200</v>
      </c>
      <c r="D40" s="60" t="str">
        <f>CenAVS!C40</f>
        <v>NI</v>
      </c>
      <c r="E40" s="536">
        <f>CenAVS!D40</f>
        <v>0</v>
      </c>
      <c r="F40" s="413">
        <f t="shared" si="6"/>
        <v>0</v>
      </c>
      <c r="G40" s="58">
        <f>CenAVS!F40</f>
        <v>134.60047</v>
      </c>
      <c r="H40" s="104">
        <f t="shared" si="1"/>
        <v>0</v>
      </c>
      <c r="I40" s="65"/>
      <c r="J40" s="59">
        <f>CenAVS!I40</f>
        <v>8484930</v>
      </c>
      <c r="K40" s="59">
        <f>CenAVS!J40</f>
        <v>507355</v>
      </c>
      <c r="L40" s="943">
        <f t="shared" si="4"/>
        <v>0</v>
      </c>
      <c r="M40" s="60">
        <f t="shared" si="5"/>
        <v>0</v>
      </c>
      <c r="N40" s="236"/>
      <c r="O40" s="236"/>
      <c r="P40" s="236"/>
      <c r="Q40" s="236"/>
      <c r="R40" s="236"/>
      <c r="S40" s="236"/>
      <c r="T40" s="236"/>
      <c r="U40" s="236"/>
      <c r="V40" s="236"/>
      <c r="W40" s="235"/>
      <c r="X40" s="235"/>
      <c r="Y40" s="235"/>
      <c r="Z40" s="235"/>
      <c r="AA40" s="235"/>
      <c r="AB40" s="237">
        <f>HLw!$AB14</f>
        <v>0</v>
      </c>
      <c r="AC40" s="237">
        <f>HLwa!$AB14</f>
        <v>0</v>
      </c>
      <c r="AD40" s="237">
        <f>HLna!$AB14</f>
        <v>0</v>
      </c>
      <c r="AE40" s="237">
        <f>HLt!$AB14</f>
        <v>0</v>
      </c>
      <c r="AF40" s="235"/>
      <c r="AG40" s="235"/>
      <c r="AH40" s="235"/>
      <c r="AI40" s="235"/>
      <c r="AJ40" s="235"/>
      <c r="AK40" s="235"/>
      <c r="AL40" s="235"/>
      <c r="AM40" s="235"/>
      <c r="AN40" s="235"/>
      <c r="AO40" s="235"/>
      <c r="AP40" s="235"/>
      <c r="AQ40" s="235"/>
      <c r="AR40" s="235"/>
      <c r="AS40" s="235"/>
      <c r="AT40" s="235"/>
      <c r="AU40" s="235"/>
      <c r="AV40" s="235"/>
      <c r="AW40" s="235"/>
      <c r="AX40" s="235"/>
      <c r="AY40" s="235"/>
      <c r="AZ40" s="235"/>
      <c r="BA40" s="235"/>
      <c r="BB40" s="108"/>
      <c r="BC40" s="108"/>
    </row>
    <row r="41" spans="1:55" ht="16.149999999999999" customHeight="1" x14ac:dyDescent="0.2">
      <c r="A41" s="108"/>
      <c r="B41" s="60" t="str">
        <f>CenAVS!A41</f>
        <v xml:space="preserve">ramiona 340-389 HL Top       </v>
      </c>
      <c r="C41" s="60" t="str">
        <f>CenAVS!B41</f>
        <v>22L3500</v>
      </c>
      <c r="D41" s="60" t="str">
        <f>CenAVS!C41</f>
        <v>NI</v>
      </c>
      <c r="E41" s="536">
        <f>CenAVS!D41</f>
        <v>0</v>
      </c>
      <c r="F41" s="413">
        <f t="shared" si="6"/>
        <v>0</v>
      </c>
      <c r="G41" s="58">
        <f>CenAVS!F41</f>
        <v>137.39402999999999</v>
      </c>
      <c r="H41" s="104">
        <f t="shared" si="1"/>
        <v>0</v>
      </c>
      <c r="I41" s="65"/>
      <c r="J41" s="59">
        <f>CenAVS!I41</f>
        <v>4361231</v>
      </c>
      <c r="K41" s="59">
        <f>CenAVS!J41</f>
        <v>507356</v>
      </c>
      <c r="L41" s="943">
        <f t="shared" si="4"/>
        <v>0</v>
      </c>
      <c r="M41" s="60">
        <f t="shared" si="5"/>
        <v>0</v>
      </c>
      <c r="N41" s="236"/>
      <c r="O41" s="236"/>
      <c r="P41" s="236"/>
      <c r="Q41" s="236"/>
      <c r="R41" s="236"/>
      <c r="S41" s="236"/>
      <c r="T41" s="236"/>
      <c r="U41" s="236"/>
      <c r="V41" s="236"/>
      <c r="W41" s="235"/>
      <c r="X41" s="235"/>
      <c r="Y41" s="235"/>
      <c r="Z41" s="235"/>
      <c r="AA41" s="235"/>
      <c r="AB41" s="237">
        <f>HLw!$AB15</f>
        <v>0</v>
      </c>
      <c r="AC41" s="237">
        <f>HLwa!$AB15</f>
        <v>0</v>
      </c>
      <c r="AD41" s="237">
        <f>HLna!$AB15</f>
        <v>0</v>
      </c>
      <c r="AE41" s="237">
        <f>HLt!$AB15</f>
        <v>0</v>
      </c>
      <c r="AF41" s="235"/>
      <c r="AG41" s="235"/>
      <c r="AH41" s="235"/>
      <c r="AI41" s="235"/>
      <c r="AJ41" s="235"/>
      <c r="AK41" s="235"/>
      <c r="AL41" s="235"/>
      <c r="AM41" s="235"/>
      <c r="AN41" s="235"/>
      <c r="AO41" s="235"/>
      <c r="AP41" s="235"/>
      <c r="AQ41" s="235"/>
      <c r="AR41" s="235"/>
      <c r="AS41" s="235"/>
      <c r="AT41" s="235"/>
      <c r="AU41" s="235"/>
      <c r="AV41" s="239"/>
      <c r="AW41" s="239"/>
      <c r="AX41" s="239"/>
      <c r="AY41" s="235"/>
      <c r="AZ41" s="239"/>
      <c r="BA41" s="239"/>
      <c r="BB41" s="108"/>
      <c r="BC41" s="108"/>
    </row>
    <row r="42" spans="1:55" ht="16.149999999999999" customHeight="1" x14ac:dyDescent="0.2">
      <c r="A42" s="108"/>
      <c r="B42" s="60" t="str">
        <f>CenAVS!A42</f>
        <v xml:space="preserve">ramiona 390-540 HL Top       </v>
      </c>
      <c r="C42" s="60" t="str">
        <f>CenAVS!B42</f>
        <v>22L3800</v>
      </c>
      <c r="D42" s="60" t="str">
        <f>CenAVS!C42</f>
        <v>NI</v>
      </c>
      <c r="E42" s="536">
        <f>CenAVS!D42</f>
        <v>0</v>
      </c>
      <c r="F42" s="413">
        <f t="shared" si="6"/>
        <v>0</v>
      </c>
      <c r="G42" s="58">
        <f>CenAVS!F42</f>
        <v>141.58481</v>
      </c>
      <c r="H42" s="104">
        <f t="shared" si="1"/>
        <v>0</v>
      </c>
      <c r="I42" s="65"/>
      <c r="J42" s="59">
        <f>CenAVS!I42</f>
        <v>8458432</v>
      </c>
      <c r="K42" s="59">
        <f>CenAVS!J42</f>
        <v>507357</v>
      </c>
      <c r="L42" s="943">
        <f t="shared" si="4"/>
        <v>0</v>
      </c>
      <c r="M42" s="60">
        <f t="shared" si="5"/>
        <v>0</v>
      </c>
      <c r="N42" s="236"/>
      <c r="O42" s="236"/>
      <c r="P42" s="236"/>
      <c r="Q42" s="236"/>
      <c r="R42" s="236"/>
      <c r="S42" s="236"/>
      <c r="T42" s="236"/>
      <c r="U42" s="236"/>
      <c r="V42" s="236"/>
      <c r="W42" s="235"/>
      <c r="X42" s="235"/>
      <c r="Y42" s="235"/>
      <c r="Z42" s="235"/>
      <c r="AA42" s="235"/>
      <c r="AB42" s="237">
        <f>HLw!$AB16</f>
        <v>0</v>
      </c>
      <c r="AC42" s="237">
        <f>HLwa!$AB16</f>
        <v>0</v>
      </c>
      <c r="AD42" s="237">
        <f>HLna!$AB16</f>
        <v>0</v>
      </c>
      <c r="AE42" s="237">
        <f>HLt!$AB16</f>
        <v>0</v>
      </c>
      <c r="AF42" s="235"/>
      <c r="AG42" s="235"/>
      <c r="AH42" s="235"/>
      <c r="AI42" s="235"/>
      <c r="AJ42" s="235"/>
      <c r="AK42" s="235"/>
      <c r="AL42" s="235"/>
      <c r="AM42" s="235"/>
      <c r="AN42" s="235"/>
      <c r="AO42" s="235"/>
      <c r="AP42" s="235"/>
      <c r="AQ42" s="235"/>
      <c r="AR42" s="235"/>
      <c r="AS42" s="235"/>
      <c r="AT42" s="235"/>
      <c r="AU42" s="235"/>
      <c r="AV42" s="235"/>
      <c r="AW42" s="235"/>
      <c r="AX42" s="235"/>
      <c r="AY42" s="235"/>
      <c r="AZ42" s="235"/>
      <c r="BA42" s="239"/>
      <c r="BB42" s="108"/>
      <c r="BC42" s="108"/>
    </row>
    <row r="43" spans="1:55" ht="16.149999999999999" customHeight="1" x14ac:dyDescent="0.2">
      <c r="A43" s="108"/>
      <c r="B43" s="60" t="str">
        <f>CenAVS!A43</f>
        <v xml:space="preserve">ramiona 480-580 HL Top       </v>
      </c>
      <c r="C43" s="60" t="str">
        <f>CenAVS!B43</f>
        <v>22L3900</v>
      </c>
      <c r="D43" s="60" t="str">
        <f>CenAVS!C43</f>
        <v>NI</v>
      </c>
      <c r="E43" s="536">
        <f>CenAVS!D43</f>
        <v>0</v>
      </c>
      <c r="F43" s="413">
        <f t="shared" si="6"/>
        <v>0</v>
      </c>
      <c r="G43" s="58">
        <f>CenAVS!F43</f>
        <v>156.95116999999999</v>
      </c>
      <c r="H43" s="104">
        <f t="shared" si="1"/>
        <v>0</v>
      </c>
      <c r="I43" s="65"/>
      <c r="J43" s="59">
        <f>CenAVS!I43</f>
        <v>4889829</v>
      </c>
      <c r="K43" s="59">
        <f>CenAVS!J43</f>
        <v>507358</v>
      </c>
      <c r="L43" s="943">
        <f t="shared" si="4"/>
        <v>0</v>
      </c>
      <c r="M43" s="60">
        <f t="shared" si="5"/>
        <v>0</v>
      </c>
      <c r="N43" s="236"/>
      <c r="O43" s="236"/>
      <c r="P43" s="236"/>
      <c r="Q43" s="236"/>
      <c r="R43" s="236"/>
      <c r="S43" s="236"/>
      <c r="T43" s="236"/>
      <c r="U43" s="236"/>
      <c r="V43" s="236"/>
      <c r="W43" s="235"/>
      <c r="X43" s="235"/>
      <c r="Y43" s="235"/>
      <c r="Z43" s="235"/>
      <c r="AA43" s="235"/>
      <c r="AB43" s="237">
        <f>HLw!$AB17</f>
        <v>0</v>
      </c>
      <c r="AC43" s="237">
        <f>HLwa!$AB17</f>
        <v>0</v>
      </c>
      <c r="AD43" s="237">
        <f>HLna!$AB17</f>
        <v>0</v>
      </c>
      <c r="AE43" s="237">
        <f>HLt!$AB17</f>
        <v>0</v>
      </c>
      <c r="AF43" s="235"/>
      <c r="AG43" s="235"/>
      <c r="AH43" s="235"/>
      <c r="AI43" s="235"/>
      <c r="AJ43" s="235"/>
      <c r="AK43" s="235"/>
      <c r="AL43" s="235"/>
      <c r="AM43" s="235"/>
      <c r="AN43" s="235"/>
      <c r="AO43" s="235"/>
      <c r="AP43" s="235"/>
      <c r="AQ43" s="235"/>
      <c r="AR43" s="235"/>
      <c r="AS43" s="235"/>
      <c r="AT43" s="235"/>
      <c r="AU43" s="235"/>
      <c r="AV43" s="235"/>
      <c r="AW43" s="235"/>
      <c r="AX43" s="235"/>
      <c r="AY43" s="235"/>
      <c r="AZ43" s="235"/>
      <c r="BA43" s="235"/>
      <c r="BB43" s="108"/>
      <c r="BC43" s="108"/>
    </row>
    <row r="44" spans="1:55" ht="16.149999999999999" customHeight="1" x14ac:dyDescent="0.2">
      <c r="A44" s="108"/>
      <c r="B44" s="60" t="str">
        <f>CenAVS!A44</f>
        <v xml:space="preserve">stablizacja poprzeczna HL Top       </v>
      </c>
      <c r="C44" s="60" t="str">
        <f>CenAVS!B44</f>
        <v>22Q1076U</v>
      </c>
      <c r="D44" s="60" t="str">
        <f>CenAVS!C44</f>
        <v>EV</v>
      </c>
      <c r="E44" s="536">
        <f>CenAVS!D44</f>
        <v>0</v>
      </c>
      <c r="F44" s="413">
        <f t="shared" ref="F44:F82" si="7">IF(I44&gt;0,I44,SUM(O44:BA44))</f>
        <v>0</v>
      </c>
      <c r="G44" s="58">
        <f>CenAVS!F44</f>
        <v>36.874780000000001</v>
      </c>
      <c r="H44" s="104">
        <f t="shared" si="1"/>
        <v>0</v>
      </c>
      <c r="I44" s="65"/>
      <c r="J44" s="59">
        <f>CenAVS!I44</f>
        <v>6826344</v>
      </c>
      <c r="K44" s="59">
        <f>CenAVS!J44</f>
        <v>507365</v>
      </c>
      <c r="L44" s="943">
        <f t="shared" si="4"/>
        <v>0</v>
      </c>
      <c r="M44" s="60">
        <f t="shared" si="5"/>
        <v>0</v>
      </c>
      <c r="N44" s="236"/>
      <c r="O44" s="236"/>
      <c r="P44" s="236"/>
      <c r="Q44" s="236"/>
      <c r="R44" s="236"/>
      <c r="S44" s="236"/>
      <c r="T44" s="236"/>
      <c r="U44" s="236"/>
      <c r="V44" s="236"/>
      <c r="W44" s="235"/>
      <c r="X44" s="235"/>
      <c r="Y44" s="235"/>
      <c r="Z44" s="235"/>
      <c r="AA44" s="235"/>
      <c r="AB44" s="237">
        <f>HLw!$AB19</f>
        <v>0</v>
      </c>
      <c r="AC44" s="237">
        <f>HLwa!$AB19</f>
        <v>0</v>
      </c>
      <c r="AD44" s="237">
        <f>HLna!AB19</f>
        <v>0</v>
      </c>
      <c r="AE44" s="237">
        <f>HLt!AB19</f>
        <v>0</v>
      </c>
      <c r="AF44" s="235"/>
      <c r="AG44" s="235"/>
      <c r="AH44" s="235"/>
      <c r="AI44" s="235"/>
      <c r="AJ44" s="235"/>
      <c r="AK44" s="235"/>
      <c r="AL44" s="235"/>
      <c r="AM44" s="235"/>
      <c r="AN44" s="235"/>
      <c r="AO44" s="235"/>
      <c r="AP44" s="235"/>
      <c r="AQ44" s="235"/>
      <c r="AR44" s="235"/>
      <c r="AS44" s="235"/>
      <c r="AT44" s="235"/>
      <c r="AU44" s="235"/>
      <c r="AV44" s="235"/>
      <c r="AW44" s="235"/>
      <c r="AX44" s="235"/>
      <c r="AY44" s="235"/>
      <c r="AZ44" s="235"/>
      <c r="BA44" s="235"/>
      <c r="BB44" s="108"/>
      <c r="BC44" s="108"/>
    </row>
    <row r="45" spans="1:55" ht="16.149999999999999" customHeight="1" x14ac:dyDescent="0.2">
      <c r="A45" s="108"/>
      <c r="B45" s="60" t="str">
        <f>CenAVS!A45</f>
        <v xml:space="preserve">przedłużka do stabilizacji poprzecznej Aventos HL Top    </v>
      </c>
      <c r="C45" s="60" t="str">
        <f>CenAVS!B45</f>
        <v>22Q080Z</v>
      </c>
      <c r="D45" s="60" t="str">
        <f>CenAVS!C45</f>
        <v>EV</v>
      </c>
      <c r="E45" s="536">
        <f>CenAVS!D45</f>
        <v>0</v>
      </c>
      <c r="F45" s="413">
        <f t="shared" si="7"/>
        <v>0</v>
      </c>
      <c r="G45" s="58">
        <f>CenAVS!F45</f>
        <v>33.577959999999997</v>
      </c>
      <c r="H45" s="104">
        <f t="shared" ref="H45:H114" si="8">M45</f>
        <v>0</v>
      </c>
      <c r="I45" s="65"/>
      <c r="J45" s="59">
        <f>CenAVS!I45</f>
        <v>2272763</v>
      </c>
      <c r="K45" s="59">
        <f>CenAVS!J45</f>
        <v>507366</v>
      </c>
      <c r="L45" s="943">
        <f t="shared" si="4"/>
        <v>0</v>
      </c>
      <c r="M45" s="60">
        <f t="shared" si="5"/>
        <v>0</v>
      </c>
      <c r="N45" s="236"/>
      <c r="O45" s="236"/>
      <c r="P45" s="236"/>
      <c r="Q45" s="236"/>
      <c r="R45" s="236"/>
      <c r="S45" s="236"/>
      <c r="T45" s="236"/>
      <c r="U45" s="236"/>
      <c r="V45" s="236"/>
      <c r="W45" s="235"/>
      <c r="X45" s="235"/>
      <c r="Y45" s="235"/>
      <c r="Z45" s="235"/>
      <c r="AA45" s="235"/>
      <c r="AB45" s="237">
        <f>HLw!$AB20</f>
        <v>0</v>
      </c>
      <c r="AC45" s="237">
        <f>HLwa!$AB20</f>
        <v>0</v>
      </c>
      <c r="AD45" s="237">
        <f>HLna!AB20</f>
        <v>0</v>
      </c>
      <c r="AE45" s="237">
        <f>HLt!AB20</f>
        <v>0</v>
      </c>
      <c r="AF45" s="235"/>
      <c r="AG45" s="235"/>
      <c r="AH45" s="235"/>
      <c r="AI45" s="235"/>
      <c r="AJ45" s="235"/>
      <c r="AK45" s="235"/>
      <c r="AL45" s="235"/>
      <c r="AM45" s="235"/>
      <c r="AN45" s="235"/>
      <c r="AO45" s="235"/>
      <c r="AP45" s="235"/>
      <c r="AQ45" s="235"/>
      <c r="AR45" s="235"/>
      <c r="AS45" s="235"/>
      <c r="AT45" s="235"/>
      <c r="AU45" s="235"/>
      <c r="AV45" s="235"/>
      <c r="AW45" s="235"/>
      <c r="AX45" s="235"/>
      <c r="AY45" s="235"/>
      <c r="AZ45" s="235"/>
      <c r="BA45" s="235"/>
      <c r="BB45" s="108"/>
      <c r="BC45" s="108"/>
    </row>
    <row r="46" spans="1:55" ht="16.149999999999999" customHeight="1" x14ac:dyDescent="0.2">
      <c r="A46" s="108"/>
      <c r="B46" s="60" t="str">
        <f>CenAVS!A46</f>
        <v xml:space="preserve">          </v>
      </c>
      <c r="C46" s="60">
        <f>CenAVS!B46</f>
        <v>0</v>
      </c>
      <c r="D46" s="60">
        <f>CenAVS!C46</f>
        <v>0</v>
      </c>
      <c r="E46" s="536">
        <f>CenAVS!D46</f>
        <v>0</v>
      </c>
      <c r="F46" s="413">
        <f t="shared" ref="F46:F53" si="9">IF(I46&gt;0,I46,SUM(O46:BA46))</f>
        <v>0</v>
      </c>
      <c r="G46" s="58">
        <f>CenAVS!F46</f>
        <v>0</v>
      </c>
      <c r="H46" s="104">
        <f t="shared" ref="H46:H53" si="10">M46</f>
        <v>0</v>
      </c>
      <c r="I46" s="65"/>
      <c r="J46" s="59">
        <f>CenAVS!I46</f>
        <v>0</v>
      </c>
      <c r="K46" s="59">
        <f>CenAVS!J46</f>
        <v>0</v>
      </c>
      <c r="L46" s="943">
        <f t="shared" ref="L46:L53" si="11">IF(I46="x",0,IF(I46&gt;0,I46,F46))</f>
        <v>0</v>
      </c>
      <c r="M46" s="60">
        <f t="shared" ref="M46:M53" si="12">PRODUCT(L46,G46)</f>
        <v>0</v>
      </c>
      <c r="N46" s="236"/>
      <c r="O46" s="236"/>
      <c r="P46" s="236"/>
      <c r="Q46" s="236"/>
      <c r="R46" s="236"/>
      <c r="S46" s="236"/>
      <c r="T46" s="236"/>
      <c r="U46" s="236"/>
      <c r="V46" s="236"/>
      <c r="W46" s="235"/>
      <c r="X46" s="235"/>
      <c r="Y46" s="235"/>
      <c r="Z46" s="235"/>
      <c r="AA46" s="235"/>
      <c r="AB46" s="235"/>
      <c r="AC46" s="235"/>
      <c r="AD46" s="235"/>
      <c r="AE46" s="235"/>
      <c r="AF46" s="235"/>
      <c r="AG46" s="235"/>
      <c r="AH46" s="235"/>
      <c r="AI46" s="235"/>
      <c r="AJ46" s="235"/>
      <c r="AK46" s="235"/>
      <c r="AL46" s="235"/>
      <c r="AM46" s="235"/>
      <c r="AN46" s="235"/>
      <c r="AO46" s="235"/>
      <c r="AP46" s="235"/>
      <c r="AQ46" s="235"/>
      <c r="AR46" s="235"/>
      <c r="AS46" s="235"/>
      <c r="AT46" s="235"/>
      <c r="AU46" s="235"/>
      <c r="AV46" s="235"/>
      <c r="AW46" s="235"/>
      <c r="AX46" s="235"/>
      <c r="AY46" s="235"/>
      <c r="AZ46" s="235"/>
      <c r="BA46" s="235"/>
      <c r="BB46" s="108"/>
      <c r="BC46" s="108"/>
    </row>
    <row r="47" spans="1:55" ht="16.149999999999999" customHeight="1" x14ac:dyDescent="0.2">
      <c r="A47" s="108"/>
      <c r="B47" s="60" t="str">
        <f>CenAVS!A47</f>
        <v xml:space="preserve">Zaślepki HF/HL/HS - Top bez SD jasnoszare HGR   </v>
      </c>
      <c r="C47" s="60" t="str">
        <f>CenAVS!B47</f>
        <v>22.8000</v>
      </c>
      <c r="D47" s="60" t="str">
        <f>CenAVS!C47</f>
        <v>HGR</v>
      </c>
      <c r="E47" s="536">
        <f>CenAVS!D47</f>
        <v>0</v>
      </c>
      <c r="F47" s="413">
        <f t="shared" si="9"/>
        <v>0</v>
      </c>
      <c r="G47" s="58">
        <f>CenAVS!F47</f>
        <v>27.586120000000001</v>
      </c>
      <c r="H47" s="104">
        <f t="shared" si="10"/>
        <v>0</v>
      </c>
      <c r="I47" s="65"/>
      <c r="J47" s="59">
        <f>CenAVS!I47</f>
        <v>1783069</v>
      </c>
      <c r="K47" s="59">
        <f>CenAVS!J47</f>
        <v>507344</v>
      </c>
      <c r="L47" s="943">
        <f t="shared" si="11"/>
        <v>0</v>
      </c>
      <c r="M47" s="60">
        <f t="shared" si="12"/>
        <v>0</v>
      </c>
      <c r="N47" s="236"/>
      <c r="O47" s="237">
        <f>HFw!$AB16</f>
        <v>0</v>
      </c>
      <c r="P47" s="237">
        <f>HFwa!$AB16</f>
        <v>0</v>
      </c>
      <c r="Q47" s="237">
        <f>HFw_wa!$AB16</f>
        <v>0</v>
      </c>
      <c r="R47" s="237">
        <f>HFwa_w!$AB16</f>
        <v>0</v>
      </c>
      <c r="S47" s="237">
        <f>HFna!$AB16</f>
        <v>0</v>
      </c>
      <c r="T47" s="237">
        <f>HFw_na!$AB16</f>
        <v>0</v>
      </c>
      <c r="U47" s="237">
        <f>HFna_w!$AB16</f>
        <v>0</v>
      </c>
      <c r="V47" s="236"/>
      <c r="W47" s="237">
        <f>HSw!$AB20</f>
        <v>0</v>
      </c>
      <c r="X47" s="237">
        <f>HSwa!$AB20</f>
        <v>0</v>
      </c>
      <c r="Y47" s="237">
        <f>HSna!$AB20</f>
        <v>0</v>
      </c>
      <c r="Z47" s="237">
        <f>HSt!$AB20</f>
        <v>0</v>
      </c>
      <c r="AA47" s="235"/>
      <c r="AB47" s="237">
        <f>HLw!$AB22</f>
        <v>0</v>
      </c>
      <c r="AC47" s="237">
        <f>HLwa!$AB22</f>
        <v>0</v>
      </c>
      <c r="AD47" s="237">
        <f>HLna!$AB22</f>
        <v>0</v>
      </c>
      <c r="AE47" s="237">
        <f>HLt!$AB22</f>
        <v>0</v>
      </c>
      <c r="AF47" s="235"/>
      <c r="AG47" s="235"/>
      <c r="AH47" s="235"/>
      <c r="AI47" s="235"/>
      <c r="AJ47" s="235"/>
      <c r="AK47" s="235"/>
      <c r="AL47" s="235"/>
      <c r="AM47" s="235"/>
      <c r="AN47" s="235"/>
      <c r="AO47" s="235"/>
      <c r="AP47" s="235"/>
      <c r="AQ47" s="235"/>
      <c r="AR47" s="235"/>
      <c r="AS47" s="235"/>
      <c r="AT47" s="235"/>
      <c r="AU47" s="235"/>
      <c r="AV47" s="235"/>
      <c r="AW47" s="235"/>
      <c r="AX47" s="235"/>
      <c r="AY47" s="235"/>
      <c r="AZ47" s="235"/>
      <c r="BA47" s="235"/>
      <c r="BB47" s="108"/>
      <c r="BC47" s="108"/>
    </row>
    <row r="48" spans="1:55" ht="16.149999999999999" customHeight="1" x14ac:dyDescent="0.2">
      <c r="A48" s="108"/>
      <c r="B48" s="60" t="str">
        <f>CenAVS!A48</f>
        <v xml:space="preserve">zaślepki HF/HL/HS - Top bez SD ciemnoszare TGR   </v>
      </c>
      <c r="C48" s="60" t="str">
        <f>CenAVS!B48</f>
        <v>22.8000</v>
      </c>
      <c r="D48" s="60" t="str">
        <f>CenAVS!C48</f>
        <v>TGR</v>
      </c>
      <c r="E48" s="536">
        <f>CenAVS!D48</f>
        <v>0</v>
      </c>
      <c r="F48" s="413">
        <f t="shared" si="9"/>
        <v>0</v>
      </c>
      <c r="G48" s="58">
        <f>CenAVS!F48</f>
        <v>30.106369999999998</v>
      </c>
      <c r="H48" s="104">
        <f t="shared" si="10"/>
        <v>0</v>
      </c>
      <c r="I48" s="65"/>
      <c r="J48" s="59">
        <f>CenAVS!I48</f>
        <v>9355276</v>
      </c>
      <c r="K48" s="59">
        <f>CenAVS!J48</f>
        <v>507345</v>
      </c>
      <c r="L48" s="943">
        <f t="shared" si="11"/>
        <v>0</v>
      </c>
      <c r="M48" s="60">
        <f t="shared" si="12"/>
        <v>0</v>
      </c>
      <c r="N48" s="236"/>
      <c r="O48" s="237">
        <f>HFw!$AB17</f>
        <v>0</v>
      </c>
      <c r="P48" s="237">
        <f>HFwa!$AB17</f>
        <v>0</v>
      </c>
      <c r="Q48" s="237">
        <f>HFw_wa!$AB17</f>
        <v>0</v>
      </c>
      <c r="R48" s="237">
        <f>HFwa_w!$AB17</f>
        <v>0</v>
      </c>
      <c r="S48" s="237">
        <f>HFna!$AB17</f>
        <v>0</v>
      </c>
      <c r="T48" s="237">
        <f>HFw_na!$AB17</f>
        <v>0</v>
      </c>
      <c r="U48" s="237">
        <f>HFna_w!$AB17</f>
        <v>0</v>
      </c>
      <c r="V48" s="236"/>
      <c r="W48" s="237">
        <f>HSw!$AB21</f>
        <v>0</v>
      </c>
      <c r="X48" s="237">
        <f>HSwa!$AB21</f>
        <v>0</v>
      </c>
      <c r="Y48" s="237">
        <f>HSna!$AB21</f>
        <v>0</v>
      </c>
      <c r="Z48" s="237">
        <f>HSt!$AB21</f>
        <v>0</v>
      </c>
      <c r="AA48" s="235"/>
      <c r="AB48" s="237">
        <f>HLw!$AB23</f>
        <v>0</v>
      </c>
      <c r="AC48" s="237">
        <f>HLwa!$AB23</f>
        <v>0</v>
      </c>
      <c r="AD48" s="237">
        <f>HLna!$AB23</f>
        <v>0</v>
      </c>
      <c r="AE48" s="237">
        <f>HLt!$AB23</f>
        <v>0</v>
      </c>
      <c r="AF48" s="235"/>
      <c r="AG48" s="235"/>
      <c r="AH48" s="235"/>
      <c r="AI48" s="235"/>
      <c r="AJ48" s="235"/>
      <c r="AK48" s="235"/>
      <c r="AL48" s="235"/>
      <c r="AM48" s="235"/>
      <c r="AN48" s="235"/>
      <c r="AO48" s="235"/>
      <c r="AP48" s="235"/>
      <c r="AQ48" s="235"/>
      <c r="AR48" s="235"/>
      <c r="AS48" s="235"/>
      <c r="AT48" s="235"/>
      <c r="AU48" s="235"/>
      <c r="AV48" s="235"/>
      <c r="AW48" s="235"/>
      <c r="AX48" s="235"/>
      <c r="AY48" s="235"/>
      <c r="AZ48" s="235"/>
      <c r="BA48" s="235"/>
      <c r="BB48" s="108"/>
      <c r="BC48" s="108"/>
    </row>
    <row r="49" spans="1:55" ht="16.149999999999999" customHeight="1" x14ac:dyDescent="0.2">
      <c r="A49" s="108"/>
      <c r="B49" s="60" t="str">
        <f>CenAVS!A49</f>
        <v xml:space="preserve">Zaślepki HF/HL/HS - Top bez SD białe SW   </v>
      </c>
      <c r="C49" s="60" t="str">
        <f>CenAVS!B49</f>
        <v>22.8000</v>
      </c>
      <c r="D49" s="60" t="str">
        <f>CenAVS!C49</f>
        <v>SW</v>
      </c>
      <c r="E49" s="536">
        <f>CenAVS!D49</f>
        <v>0</v>
      </c>
      <c r="F49" s="413">
        <f t="shared" si="9"/>
        <v>0</v>
      </c>
      <c r="G49" s="58">
        <f>CenAVS!F49</f>
        <v>30.106369999999998</v>
      </c>
      <c r="H49" s="104">
        <f t="shared" si="10"/>
        <v>0</v>
      </c>
      <c r="I49" s="65"/>
      <c r="J49" s="59">
        <f>CenAVS!I49</f>
        <v>3337819</v>
      </c>
      <c r="K49" s="59">
        <f>CenAVS!J49</f>
        <v>507343</v>
      </c>
      <c r="L49" s="943">
        <f t="shared" si="11"/>
        <v>0</v>
      </c>
      <c r="M49" s="60">
        <f t="shared" si="12"/>
        <v>0</v>
      </c>
      <c r="N49" s="236"/>
      <c r="O49" s="237">
        <f>HFw!$AB18</f>
        <v>0</v>
      </c>
      <c r="P49" s="237">
        <f>HFwa!$AB18</f>
        <v>0</v>
      </c>
      <c r="Q49" s="237">
        <f>HFw_wa!$AB18</f>
        <v>0</v>
      </c>
      <c r="R49" s="237">
        <f>HFwa_w!$AB18</f>
        <v>0</v>
      </c>
      <c r="S49" s="237">
        <f>HFna!$AB18</f>
        <v>0</v>
      </c>
      <c r="T49" s="237">
        <f>HFw_na!$AB18</f>
        <v>0</v>
      </c>
      <c r="U49" s="237">
        <f>HFna_w!$AB18</f>
        <v>0</v>
      </c>
      <c r="V49" s="236"/>
      <c r="W49" s="237">
        <f>HSw!$AB22</f>
        <v>0</v>
      </c>
      <c r="X49" s="237">
        <f>HSwa!$AB22</f>
        <v>0</v>
      </c>
      <c r="Y49" s="237">
        <f>HSna!$AB22</f>
        <v>0</v>
      </c>
      <c r="Z49" s="237">
        <f>HSt!$AB22</f>
        <v>0</v>
      </c>
      <c r="AA49" s="235"/>
      <c r="AB49" s="237">
        <f>HLw!$AB24</f>
        <v>0</v>
      </c>
      <c r="AC49" s="237">
        <f>HLwa!$AB24</f>
        <v>0</v>
      </c>
      <c r="AD49" s="237">
        <f>HLna!$AB24</f>
        <v>0</v>
      </c>
      <c r="AE49" s="237">
        <f>HLt!$AB24</f>
        <v>0</v>
      </c>
      <c r="AF49" s="235"/>
      <c r="AG49" s="235"/>
      <c r="AH49" s="235"/>
      <c r="AI49" s="235"/>
      <c r="AJ49" s="235"/>
      <c r="AK49" s="235"/>
      <c r="AL49" s="235"/>
      <c r="AM49" s="235"/>
      <c r="AN49" s="235"/>
      <c r="AO49" s="235"/>
      <c r="AP49" s="235"/>
      <c r="AQ49" s="235"/>
      <c r="AR49" s="235"/>
      <c r="AS49" s="235"/>
      <c r="AT49" s="235"/>
      <c r="AU49" s="235"/>
      <c r="AV49" s="235"/>
      <c r="AW49" s="235"/>
      <c r="AX49" s="235"/>
      <c r="AY49" s="235"/>
      <c r="AZ49" s="235"/>
      <c r="BA49" s="235"/>
      <c r="BB49" s="108"/>
      <c r="BC49" s="108"/>
    </row>
    <row r="50" spans="1:55" ht="16.149999999999999" customHeight="1" x14ac:dyDescent="0.2">
      <c r="A50" s="108"/>
      <c r="B50" s="60" t="str">
        <f>CenAVS!A50</f>
        <v xml:space="preserve">zaślepki HF/HL/HS - Top do SD jasnoszare HGR   </v>
      </c>
      <c r="C50" s="60" t="str">
        <f>CenAVS!B50</f>
        <v>23.8000</v>
      </c>
      <c r="D50" s="60" t="str">
        <f>CenAVS!C50</f>
        <v>HGR</v>
      </c>
      <c r="E50" s="536">
        <f>CenAVS!D50</f>
        <v>0</v>
      </c>
      <c r="F50" s="413">
        <f t="shared" si="9"/>
        <v>0</v>
      </c>
      <c r="G50" s="58">
        <f>CenAVS!F50</f>
        <v>284.41748999999999</v>
      </c>
      <c r="H50" s="104">
        <f t="shared" si="10"/>
        <v>0</v>
      </c>
      <c r="I50" s="65"/>
      <c r="J50" s="59">
        <f>CenAVS!I50</f>
        <v>8097114</v>
      </c>
      <c r="K50" s="59">
        <f>CenAVS!J50</f>
        <v>507347</v>
      </c>
      <c r="L50" s="943">
        <f t="shared" si="11"/>
        <v>0</v>
      </c>
      <c r="M50" s="60">
        <f t="shared" si="12"/>
        <v>0</v>
      </c>
      <c r="N50" s="236"/>
      <c r="O50" s="237">
        <f>HFw!$AB19</f>
        <v>0</v>
      </c>
      <c r="P50" s="237">
        <f>HFwa!$AB19</f>
        <v>0</v>
      </c>
      <c r="Q50" s="237">
        <f>HFw_wa!$AB19</f>
        <v>0</v>
      </c>
      <c r="R50" s="237">
        <f>HFwa_w!$AB19</f>
        <v>0</v>
      </c>
      <c r="S50" s="237">
        <f>HFna!$AB19</f>
        <v>0</v>
      </c>
      <c r="T50" s="237">
        <f>HFw_na!$AB19</f>
        <v>0</v>
      </c>
      <c r="U50" s="237">
        <f>HFna_w!$AB19</f>
        <v>0</v>
      </c>
      <c r="V50" s="236"/>
      <c r="W50" s="237">
        <f>HSw!$AB23</f>
        <v>0</v>
      </c>
      <c r="X50" s="237">
        <f>HSwa!$AB23</f>
        <v>0</v>
      </c>
      <c r="Y50" s="237">
        <f>HSna!$AB23</f>
        <v>0</v>
      </c>
      <c r="Z50" s="237">
        <f>HSt!$AB23</f>
        <v>0</v>
      </c>
      <c r="AA50" s="235"/>
      <c r="AB50" s="237">
        <f>HLw!$AB25</f>
        <v>0</v>
      </c>
      <c r="AC50" s="237">
        <f>HLwa!$AB25</f>
        <v>0</v>
      </c>
      <c r="AD50" s="237">
        <f>HLna!$AB25</f>
        <v>0</v>
      </c>
      <c r="AE50" s="237">
        <f>HLt!$AB25</f>
        <v>0</v>
      </c>
      <c r="AF50" s="235"/>
      <c r="AG50" s="235"/>
      <c r="AH50" s="235"/>
      <c r="AI50" s="235"/>
      <c r="AJ50" s="235"/>
      <c r="AK50" s="235"/>
      <c r="AL50" s="235"/>
      <c r="AM50" s="235"/>
      <c r="AN50" s="235"/>
      <c r="AO50" s="235"/>
      <c r="AP50" s="235"/>
      <c r="AQ50" s="235"/>
      <c r="AR50" s="235"/>
      <c r="AS50" s="235"/>
      <c r="AT50" s="235"/>
      <c r="AU50" s="235"/>
      <c r="AV50" s="235"/>
      <c r="AW50" s="235"/>
      <c r="AX50" s="235"/>
      <c r="AY50" s="235"/>
      <c r="AZ50" s="235"/>
      <c r="BA50" s="235"/>
      <c r="BB50" s="108"/>
      <c r="BC50" s="108"/>
    </row>
    <row r="51" spans="1:55" ht="16.149999999999999" customHeight="1" x14ac:dyDescent="0.2">
      <c r="A51" s="108"/>
      <c r="B51" s="60" t="str">
        <f>CenAVS!A51</f>
        <v xml:space="preserve">Zaślepki HF/HL/HS - Top do SD ciemnoszare TGR   </v>
      </c>
      <c r="C51" s="60" t="str">
        <f>CenAVS!B51</f>
        <v>23.8000</v>
      </c>
      <c r="D51" s="60" t="str">
        <f>CenAVS!C51</f>
        <v>TGR</v>
      </c>
      <c r="E51" s="536">
        <f>CenAVS!D51</f>
        <v>0</v>
      </c>
      <c r="F51" s="413">
        <f t="shared" si="9"/>
        <v>0</v>
      </c>
      <c r="G51" s="58">
        <f>CenAVS!F51</f>
        <v>295.60313000000002</v>
      </c>
      <c r="H51" s="104">
        <f t="shared" si="10"/>
        <v>0</v>
      </c>
      <c r="I51" s="65"/>
      <c r="J51" s="59">
        <f>CenAVS!I51</f>
        <v>1947248</v>
      </c>
      <c r="K51" s="59">
        <f>CenAVS!J51</f>
        <v>507348</v>
      </c>
      <c r="L51" s="943">
        <f t="shared" si="11"/>
        <v>0</v>
      </c>
      <c r="M51" s="60">
        <f t="shared" si="12"/>
        <v>0</v>
      </c>
      <c r="N51" s="236"/>
      <c r="O51" s="237">
        <f>HFw!$AB20</f>
        <v>0</v>
      </c>
      <c r="P51" s="237">
        <f>HFwa!$AB20</f>
        <v>0</v>
      </c>
      <c r="Q51" s="237">
        <f>HFw_wa!$AB20</f>
        <v>0</v>
      </c>
      <c r="R51" s="237">
        <f>HFwa_w!$AB20</f>
        <v>0</v>
      </c>
      <c r="S51" s="237">
        <f>HFna!$AB20</f>
        <v>0</v>
      </c>
      <c r="T51" s="237">
        <f>HFw_na!$AB20</f>
        <v>0</v>
      </c>
      <c r="U51" s="237">
        <f>HFna_w!$AB20</f>
        <v>0</v>
      </c>
      <c r="V51" s="236"/>
      <c r="W51" s="237">
        <f>HSw!$AB24</f>
        <v>0</v>
      </c>
      <c r="X51" s="237">
        <f>HSwa!$AB24</f>
        <v>0</v>
      </c>
      <c r="Y51" s="237">
        <f>HSna!$AB24</f>
        <v>0</v>
      </c>
      <c r="Z51" s="237">
        <f>HSt!$AB24</f>
        <v>0</v>
      </c>
      <c r="AA51" s="235"/>
      <c r="AB51" s="237">
        <f>HLw!$AB26</f>
        <v>0</v>
      </c>
      <c r="AC51" s="237">
        <f>HLwa!$AB26</f>
        <v>0</v>
      </c>
      <c r="AD51" s="237">
        <f>HLna!$AB26</f>
        <v>0</v>
      </c>
      <c r="AE51" s="237">
        <f>HLt!$AB26</f>
        <v>0</v>
      </c>
      <c r="AF51" s="235"/>
      <c r="AG51" s="235"/>
      <c r="AH51" s="235"/>
      <c r="AI51" s="235"/>
      <c r="AJ51" s="235"/>
      <c r="AK51" s="235"/>
      <c r="AL51" s="235"/>
      <c r="AM51" s="235"/>
      <c r="AN51" s="235"/>
      <c r="AO51" s="235"/>
      <c r="AP51" s="235"/>
      <c r="AQ51" s="235"/>
      <c r="AR51" s="235"/>
      <c r="AS51" s="235"/>
      <c r="AT51" s="235"/>
      <c r="AU51" s="235"/>
      <c r="AV51" s="235"/>
      <c r="AW51" s="235"/>
      <c r="AX51" s="235"/>
      <c r="AY51" s="235"/>
      <c r="AZ51" s="235"/>
      <c r="BA51" s="235"/>
      <c r="BB51" s="108"/>
      <c r="BC51" s="108"/>
    </row>
    <row r="52" spans="1:55" ht="16.149999999999999" customHeight="1" x14ac:dyDescent="0.2">
      <c r="A52" s="108"/>
      <c r="B52" s="60" t="str">
        <f>CenAVS!A52</f>
        <v xml:space="preserve">Zaślepki HF/HL/HS - Top do SD białe SW   </v>
      </c>
      <c r="C52" s="60" t="str">
        <f>CenAVS!B52</f>
        <v>23.8000</v>
      </c>
      <c r="D52" s="60" t="str">
        <f>CenAVS!C52</f>
        <v>SW</v>
      </c>
      <c r="E52" s="536">
        <f>CenAVS!D52</f>
        <v>0</v>
      </c>
      <c r="F52" s="413">
        <f t="shared" si="9"/>
        <v>0</v>
      </c>
      <c r="G52" s="58">
        <f>CenAVS!F52</f>
        <v>295.60313000000002</v>
      </c>
      <c r="H52" s="104">
        <f t="shared" si="10"/>
        <v>0</v>
      </c>
      <c r="I52" s="65"/>
      <c r="J52" s="59">
        <f>CenAVS!I52</f>
        <v>5427233</v>
      </c>
      <c r="K52" s="59">
        <f>CenAVS!J52</f>
        <v>507346</v>
      </c>
      <c r="L52" s="943">
        <f t="shared" si="11"/>
        <v>0</v>
      </c>
      <c r="M52" s="60">
        <f t="shared" si="12"/>
        <v>0</v>
      </c>
      <c r="N52" s="236"/>
      <c r="O52" s="237">
        <f>HFw!$AB21</f>
        <v>0</v>
      </c>
      <c r="P52" s="237">
        <f>HFwa!$AB21</f>
        <v>0</v>
      </c>
      <c r="Q52" s="237">
        <f>HFw_wa!$AB21</f>
        <v>0</v>
      </c>
      <c r="R52" s="237">
        <f>HFwa_w!$AB21</f>
        <v>0</v>
      </c>
      <c r="S52" s="237">
        <f>HFna!$AB21</f>
        <v>0</v>
      </c>
      <c r="T52" s="237">
        <f>HFw_na!$AB21</f>
        <v>0</v>
      </c>
      <c r="U52" s="237">
        <f>HFna_w!$AB21</f>
        <v>0</v>
      </c>
      <c r="V52" s="236"/>
      <c r="W52" s="237">
        <f>HSw!$AB25</f>
        <v>0</v>
      </c>
      <c r="X52" s="237">
        <f>HSwa!$AB25</f>
        <v>0</v>
      </c>
      <c r="Y52" s="237">
        <f>HSna!$AB25</f>
        <v>0</v>
      </c>
      <c r="Z52" s="237">
        <f>HSt!$AB25</f>
        <v>0</v>
      </c>
      <c r="AA52" s="235"/>
      <c r="AB52" s="237">
        <f>HLw!$AB27</f>
        <v>0</v>
      </c>
      <c r="AC52" s="237">
        <f>HLwa!$AB27</f>
        <v>0</v>
      </c>
      <c r="AD52" s="237">
        <f>HLna!$AB27</f>
        <v>0</v>
      </c>
      <c r="AE52" s="237">
        <f>HLt!$AB27</f>
        <v>0</v>
      </c>
      <c r="AF52" s="235"/>
      <c r="AG52" s="235"/>
      <c r="AH52" s="235"/>
      <c r="AI52" s="235"/>
      <c r="AJ52" s="235"/>
      <c r="AK52" s="235"/>
      <c r="AL52" s="235"/>
      <c r="AM52" s="235"/>
      <c r="AN52" s="235"/>
      <c r="AO52" s="235"/>
      <c r="AP52" s="235"/>
      <c r="AQ52" s="235"/>
      <c r="AR52" s="235"/>
      <c r="AS52" s="235"/>
      <c r="AT52" s="235"/>
      <c r="AU52" s="235"/>
      <c r="AV52" s="235"/>
      <c r="AW52" s="235"/>
      <c r="AX52" s="235"/>
      <c r="AY52" s="235"/>
      <c r="AZ52" s="235"/>
      <c r="BA52" s="235"/>
      <c r="BB52" s="108"/>
      <c r="BC52" s="108"/>
    </row>
    <row r="53" spans="1:55" ht="16.149999999999999" customHeight="1" x14ac:dyDescent="0.2">
      <c r="A53" s="108"/>
      <c r="B53" s="60" t="str">
        <f>CenAVS!A53</f>
        <v xml:space="preserve">          </v>
      </c>
      <c r="C53" s="60">
        <f>CenAVS!B53</f>
        <v>0</v>
      </c>
      <c r="D53" s="60">
        <f>CenAVS!C53</f>
        <v>0</v>
      </c>
      <c r="E53" s="536">
        <f>CenAVS!D53</f>
        <v>0</v>
      </c>
      <c r="F53" s="413">
        <f t="shared" si="9"/>
        <v>0</v>
      </c>
      <c r="G53" s="58">
        <f>CenAVS!F53</f>
        <v>0</v>
      </c>
      <c r="H53" s="104">
        <f t="shared" si="10"/>
        <v>0</v>
      </c>
      <c r="I53" s="65"/>
      <c r="J53" s="59">
        <f>CenAVS!I53</f>
        <v>0</v>
      </c>
      <c r="K53" s="59">
        <f>CenAVS!J53</f>
        <v>0</v>
      </c>
      <c r="L53" s="943">
        <f t="shared" si="11"/>
        <v>0</v>
      </c>
      <c r="M53" s="60">
        <f t="shared" si="12"/>
        <v>0</v>
      </c>
      <c r="N53" s="236"/>
      <c r="O53" s="236"/>
      <c r="P53" s="236"/>
      <c r="Q53" s="236"/>
      <c r="R53" s="236"/>
      <c r="S53" s="236"/>
      <c r="T53" s="236"/>
      <c r="U53" s="236"/>
      <c r="V53" s="236"/>
      <c r="W53" s="235"/>
      <c r="X53" s="235"/>
      <c r="Y53" s="235"/>
      <c r="Z53" s="235"/>
      <c r="AA53" s="235"/>
      <c r="AB53" s="235"/>
      <c r="AC53" s="235"/>
      <c r="AD53" s="235"/>
      <c r="AE53" s="235"/>
      <c r="AF53" s="235"/>
      <c r="AG53" s="235"/>
      <c r="AH53" s="235"/>
      <c r="AI53" s="235"/>
      <c r="AJ53" s="235"/>
      <c r="AK53" s="235"/>
      <c r="AL53" s="235"/>
      <c r="AM53" s="235"/>
      <c r="AN53" s="235"/>
      <c r="AO53" s="235"/>
      <c r="AP53" s="235"/>
      <c r="AQ53" s="235"/>
      <c r="AR53" s="235"/>
      <c r="AS53" s="235"/>
      <c r="AT53" s="235"/>
      <c r="AU53" s="235"/>
      <c r="AV53" s="235"/>
      <c r="AW53" s="235"/>
      <c r="AX53" s="235"/>
      <c r="AY53" s="235"/>
      <c r="AZ53" s="235"/>
      <c r="BA53" s="235"/>
      <c r="BB53" s="108"/>
      <c r="BC53" s="108"/>
    </row>
    <row r="54" spans="1:55" ht="16.149999999999999" customHeight="1" x14ac:dyDescent="0.2">
      <c r="A54" s="108"/>
      <c r="B54" s="60" t="str">
        <f>CenAVS!A54</f>
        <v xml:space="preserve">Aventos HK top słaby       </v>
      </c>
      <c r="C54" s="60" t="str">
        <f>CenAVS!B54</f>
        <v>22K2300</v>
      </c>
      <c r="D54" s="60" t="str">
        <f>CenAVS!C54</f>
        <v>ZN</v>
      </c>
      <c r="E54" s="536">
        <f>CenAVS!D54</f>
        <v>0</v>
      </c>
      <c r="F54" s="413">
        <f t="shared" si="7"/>
        <v>0</v>
      </c>
      <c r="G54" s="58">
        <f>CenAVS!F54</f>
        <v>161.11304000000001</v>
      </c>
      <c r="H54" s="104">
        <f t="shared" si="8"/>
        <v>0</v>
      </c>
      <c r="I54" s="65"/>
      <c r="J54" s="59">
        <f>CenAVS!I54</f>
        <v>7628604</v>
      </c>
      <c r="K54" s="59">
        <f>CenAVS!J54</f>
        <v>347810</v>
      </c>
      <c r="L54" s="943">
        <f t="shared" si="4"/>
        <v>0</v>
      </c>
      <c r="M54" s="60">
        <f t="shared" si="5"/>
        <v>0</v>
      </c>
      <c r="N54" s="236"/>
      <c r="O54" s="236"/>
      <c r="P54" s="236"/>
      <c r="Q54" s="236"/>
      <c r="R54" s="236"/>
      <c r="S54" s="236"/>
      <c r="T54" s="236"/>
      <c r="U54" s="236"/>
      <c r="V54" s="236"/>
      <c r="W54" s="235"/>
      <c r="X54" s="235"/>
      <c r="Y54" s="235"/>
      <c r="Z54" s="235"/>
      <c r="AA54" s="235"/>
      <c r="AB54" s="235"/>
      <c r="AC54" s="235"/>
      <c r="AD54" s="235"/>
      <c r="AE54" s="235"/>
      <c r="AF54" s="235"/>
      <c r="AG54" s="237">
        <f>HKw!AB9</f>
        <v>0</v>
      </c>
      <c r="AH54" s="237">
        <f>HKwa!AB9</f>
        <v>0</v>
      </c>
      <c r="AI54" s="237">
        <f>HKna!AB9</f>
        <v>0</v>
      </c>
      <c r="AJ54" s="237">
        <f>HKt!AB9</f>
        <v>0</v>
      </c>
      <c r="AK54" s="235"/>
      <c r="AL54" s="235"/>
      <c r="AM54" s="235"/>
      <c r="AN54" s="235"/>
      <c r="AO54" s="235"/>
      <c r="AP54" s="235"/>
      <c r="AQ54" s="235"/>
      <c r="AR54" s="235"/>
      <c r="AS54" s="235"/>
      <c r="AT54" s="235"/>
      <c r="AU54" s="235"/>
      <c r="AV54" s="235"/>
      <c r="AW54" s="235"/>
      <c r="AX54" s="235"/>
      <c r="AY54" s="235"/>
      <c r="AZ54" s="235"/>
      <c r="BA54" s="235"/>
      <c r="BB54" s="108"/>
      <c r="BC54" s="108"/>
    </row>
    <row r="55" spans="1:55" ht="16.149999999999999" customHeight="1" x14ac:dyDescent="0.2">
      <c r="A55" s="108"/>
      <c r="B55" s="60" t="str">
        <f>CenAVS!A55</f>
        <v xml:space="preserve">Aventos HK top średni       </v>
      </c>
      <c r="C55" s="60" t="str">
        <f>CenAVS!B55</f>
        <v>22K2500</v>
      </c>
      <c r="D55" s="60" t="str">
        <f>CenAVS!C55</f>
        <v>ZN</v>
      </c>
      <c r="E55" s="536">
        <f>CenAVS!D55</f>
        <v>0</v>
      </c>
      <c r="F55" s="413">
        <f t="shared" si="7"/>
        <v>0</v>
      </c>
      <c r="G55" s="58">
        <f>CenAVS!F55</f>
        <v>161.11304000000001</v>
      </c>
      <c r="H55" s="104">
        <f t="shared" si="8"/>
        <v>0</v>
      </c>
      <c r="I55" s="65"/>
      <c r="J55" s="59">
        <f>CenAVS!I55</f>
        <v>1069731</v>
      </c>
      <c r="K55" s="59">
        <f>CenAVS!J55</f>
        <v>347811</v>
      </c>
      <c r="L55" s="943">
        <f t="shared" si="4"/>
        <v>0</v>
      </c>
      <c r="M55" s="60">
        <f t="shared" si="5"/>
        <v>0</v>
      </c>
      <c r="N55" s="236"/>
      <c r="O55" s="236"/>
      <c r="P55" s="236"/>
      <c r="Q55" s="236"/>
      <c r="R55" s="236"/>
      <c r="S55" s="236"/>
      <c r="T55" s="236"/>
      <c r="U55" s="236"/>
      <c r="V55" s="236"/>
      <c r="W55" s="235"/>
      <c r="X55" s="235"/>
      <c r="Y55" s="235"/>
      <c r="Z55" s="235"/>
      <c r="AA55" s="235"/>
      <c r="AB55" s="235"/>
      <c r="AC55" s="235"/>
      <c r="AD55" s="235"/>
      <c r="AE55" s="235"/>
      <c r="AF55" s="235"/>
      <c r="AG55" s="237">
        <f>HKw!AB10</f>
        <v>0</v>
      </c>
      <c r="AH55" s="237">
        <f>HKwa!AB10</f>
        <v>0</v>
      </c>
      <c r="AI55" s="237">
        <f>HKna!AB10</f>
        <v>0</v>
      </c>
      <c r="AJ55" s="237">
        <f>HKt!AB10</f>
        <v>0</v>
      </c>
      <c r="AK55" s="235"/>
      <c r="AL55" s="235"/>
      <c r="AM55" s="235"/>
      <c r="AN55" s="235"/>
      <c r="AO55" s="235"/>
      <c r="AP55" s="235"/>
      <c r="AQ55" s="235"/>
      <c r="AR55" s="235"/>
      <c r="AS55" s="235"/>
      <c r="AT55" s="235"/>
      <c r="AU55" s="235"/>
      <c r="AV55" s="235"/>
      <c r="AW55" s="235"/>
      <c r="AX55" s="235"/>
      <c r="AY55" s="235"/>
      <c r="AZ55" s="235"/>
      <c r="BA55" s="235"/>
      <c r="BB55" s="108"/>
      <c r="BC55" s="108"/>
    </row>
    <row r="56" spans="1:55" ht="16.149999999999999" customHeight="1" x14ac:dyDescent="0.2">
      <c r="A56" s="108"/>
      <c r="B56" s="60" t="str">
        <f>CenAVS!A56</f>
        <v xml:space="preserve">Aventos HK top mocny       </v>
      </c>
      <c r="C56" s="60" t="str">
        <f>CenAVS!B56</f>
        <v>22K2700</v>
      </c>
      <c r="D56" s="60" t="str">
        <f>CenAVS!C56</f>
        <v>ZN</v>
      </c>
      <c r="E56" s="536">
        <f>CenAVS!D56</f>
        <v>0</v>
      </c>
      <c r="F56" s="413">
        <f t="shared" si="7"/>
        <v>0</v>
      </c>
      <c r="G56" s="58">
        <f>CenAVS!F56</f>
        <v>161.90012999999999</v>
      </c>
      <c r="H56" s="104">
        <f t="shared" si="8"/>
        <v>0</v>
      </c>
      <c r="I56" s="65"/>
      <c r="J56" s="59">
        <f>CenAVS!I56</f>
        <v>8762537</v>
      </c>
      <c r="K56" s="59">
        <f>CenAVS!J56</f>
        <v>347812</v>
      </c>
      <c r="L56" s="943">
        <f t="shared" si="4"/>
        <v>0</v>
      </c>
      <c r="M56" s="60">
        <f t="shared" si="5"/>
        <v>0</v>
      </c>
      <c r="N56" s="236"/>
      <c r="O56" s="236"/>
      <c r="P56" s="236"/>
      <c r="Q56" s="236"/>
      <c r="R56" s="236"/>
      <c r="S56" s="236"/>
      <c r="T56" s="236"/>
      <c r="U56" s="236"/>
      <c r="V56" s="236"/>
      <c r="W56" s="235"/>
      <c r="X56" s="235"/>
      <c r="Y56" s="235"/>
      <c r="Z56" s="235"/>
      <c r="AA56" s="235"/>
      <c r="AB56" s="235"/>
      <c r="AC56" s="235"/>
      <c r="AD56" s="235"/>
      <c r="AE56" s="235"/>
      <c r="AF56" s="235"/>
      <c r="AG56" s="237">
        <f>HKw!AB11</f>
        <v>0</v>
      </c>
      <c r="AH56" s="237">
        <f>HKwa!AB11</f>
        <v>0</v>
      </c>
      <c r="AI56" s="237">
        <f>HKna!AB11</f>
        <v>0</v>
      </c>
      <c r="AJ56" s="237">
        <f>HKt!AB11</f>
        <v>0</v>
      </c>
      <c r="AK56" s="235"/>
      <c r="AL56" s="235"/>
      <c r="AM56" s="235"/>
      <c r="AN56" s="235"/>
      <c r="AO56" s="235"/>
      <c r="AP56" s="235"/>
      <c r="AQ56" s="235"/>
      <c r="AR56" s="235"/>
      <c r="AS56" s="235"/>
      <c r="AT56" s="235"/>
      <c r="AU56" s="235"/>
      <c r="AV56" s="235"/>
      <c r="AW56" s="235"/>
      <c r="AX56" s="235"/>
      <c r="AY56" s="235"/>
      <c r="AZ56" s="235"/>
      <c r="BA56" s="235"/>
      <c r="BB56" s="108"/>
      <c r="BC56" s="108"/>
    </row>
    <row r="57" spans="1:55" ht="16.149999999999999" customHeight="1" x14ac:dyDescent="0.2">
      <c r="A57" s="108"/>
      <c r="B57" s="60" t="str">
        <f>CenAVS!A57</f>
        <v xml:space="preserve">Aventos HK top najmocnieszy       </v>
      </c>
      <c r="C57" s="60" t="str">
        <f>CenAVS!B57</f>
        <v>22K2900</v>
      </c>
      <c r="D57" s="60" t="str">
        <f>CenAVS!C57</f>
        <v>ZN</v>
      </c>
      <c r="E57" s="536">
        <f>CenAVS!D57</f>
        <v>0</v>
      </c>
      <c r="F57" s="413">
        <f t="shared" si="7"/>
        <v>0</v>
      </c>
      <c r="G57" s="58">
        <f>CenAVS!F57</f>
        <v>189.43150000000003</v>
      </c>
      <c r="H57" s="104">
        <f t="shared" si="8"/>
        <v>0</v>
      </c>
      <c r="I57" s="65"/>
      <c r="J57" s="59">
        <f>CenAVS!I57</f>
        <v>6635469</v>
      </c>
      <c r="K57" s="59">
        <f>CenAVS!J57</f>
        <v>347813</v>
      </c>
      <c r="L57" s="943">
        <f t="shared" si="4"/>
        <v>0</v>
      </c>
      <c r="M57" s="60">
        <f t="shared" si="5"/>
        <v>0</v>
      </c>
      <c r="N57" s="236"/>
      <c r="O57" s="236"/>
      <c r="P57" s="236"/>
      <c r="Q57" s="236"/>
      <c r="R57" s="236"/>
      <c r="S57" s="236"/>
      <c r="T57" s="236"/>
      <c r="U57" s="236"/>
      <c r="V57" s="236"/>
      <c r="W57" s="235"/>
      <c r="X57" s="235"/>
      <c r="Y57" s="235"/>
      <c r="Z57" s="235"/>
      <c r="AA57" s="235"/>
      <c r="AB57" s="235"/>
      <c r="AC57" s="235"/>
      <c r="AD57" s="235"/>
      <c r="AE57" s="235"/>
      <c r="AF57" s="235"/>
      <c r="AG57" s="237">
        <f>HKw!AB12</f>
        <v>0</v>
      </c>
      <c r="AH57" s="237">
        <f>HKwa!AB12</f>
        <v>0</v>
      </c>
      <c r="AI57" s="237">
        <f>HKna!AB12</f>
        <v>0</v>
      </c>
      <c r="AJ57" s="237">
        <f>HKt!AB12</f>
        <v>0</v>
      </c>
      <c r="AK57" s="235"/>
      <c r="AL57" s="235"/>
      <c r="AM57" s="235"/>
      <c r="AN57" s="235"/>
      <c r="AO57" s="235"/>
      <c r="AP57" s="235"/>
      <c r="AQ57" s="235"/>
      <c r="AR57" s="235"/>
      <c r="AS57" s="235"/>
      <c r="AT57" s="235"/>
      <c r="AU57" s="235"/>
      <c r="AV57" s="235"/>
      <c r="AW57" s="235"/>
      <c r="AX57" s="235"/>
      <c r="AY57" s="235"/>
      <c r="AZ57" s="235"/>
      <c r="BA57" s="235"/>
      <c r="BB57" s="108"/>
      <c r="BC57" s="108"/>
    </row>
    <row r="58" spans="1:55" ht="16.149999999999999" customHeight="1" x14ac:dyDescent="0.2">
      <c r="A58" s="108"/>
      <c r="B58" s="60" t="str">
        <f>CenAVS!A58</f>
        <v xml:space="preserve">Aventos HK top słaby z eurowkrętami     </v>
      </c>
      <c r="C58" s="60" t="str">
        <f>CenAVS!B58</f>
        <v>22K2310</v>
      </c>
      <c r="D58" s="60" t="str">
        <f>CenAVS!C58</f>
        <v>ZN</v>
      </c>
      <c r="E58" s="536">
        <f>CenAVS!D58</f>
        <v>0</v>
      </c>
      <c r="F58" s="413">
        <f t="shared" si="7"/>
        <v>0</v>
      </c>
      <c r="G58" s="58">
        <f>CenAVS!F58</f>
        <v>176.89797999999999</v>
      </c>
      <c r="H58" s="104">
        <f t="shared" si="8"/>
        <v>0</v>
      </c>
      <c r="I58" s="65"/>
      <c r="J58" s="59">
        <f>CenAVS!I58</f>
        <v>8508486</v>
      </c>
      <c r="K58" s="59">
        <f>CenAVS!J58</f>
        <v>378189</v>
      </c>
      <c r="L58" s="943">
        <f t="shared" si="4"/>
        <v>0</v>
      </c>
      <c r="M58" s="60">
        <f t="shared" si="5"/>
        <v>0</v>
      </c>
      <c r="N58" s="236"/>
      <c r="O58" s="236"/>
      <c r="P58" s="236"/>
      <c r="Q58" s="236"/>
      <c r="R58" s="236"/>
      <c r="S58" s="236"/>
      <c r="T58" s="236"/>
      <c r="U58" s="236"/>
      <c r="V58" s="236"/>
      <c r="W58" s="235"/>
      <c r="X58" s="235"/>
      <c r="Y58" s="235"/>
      <c r="Z58" s="235"/>
      <c r="AA58" s="235"/>
      <c r="AB58" s="235"/>
      <c r="AC58" s="235"/>
      <c r="AD58" s="235"/>
      <c r="AE58" s="235"/>
      <c r="AF58" s="235"/>
      <c r="AG58" s="237">
        <f>HKw!AB13</f>
        <v>0</v>
      </c>
      <c r="AH58" s="237">
        <f>HKwa!AB13</f>
        <v>0</v>
      </c>
      <c r="AI58" s="237">
        <f>HKna!AB13</f>
        <v>0</v>
      </c>
      <c r="AJ58" s="237">
        <f>HKt!AB13</f>
        <v>0</v>
      </c>
      <c r="AK58" s="235"/>
      <c r="AL58" s="235"/>
      <c r="AM58" s="235"/>
      <c r="AN58" s="235"/>
      <c r="AO58" s="235"/>
      <c r="AP58" s="235"/>
      <c r="AQ58" s="235"/>
      <c r="AR58" s="235"/>
      <c r="AS58" s="235"/>
      <c r="AT58" s="235"/>
      <c r="AU58" s="235"/>
      <c r="AV58" s="235"/>
      <c r="AW58" s="235"/>
      <c r="AX58" s="235"/>
      <c r="AY58" s="235"/>
      <c r="AZ58" s="235"/>
      <c r="BA58" s="235"/>
      <c r="BB58" s="108"/>
      <c r="BC58" s="108"/>
    </row>
    <row r="59" spans="1:55" ht="16.149999999999999" customHeight="1" x14ac:dyDescent="0.2">
      <c r="A59" s="108"/>
      <c r="B59" s="60" t="str">
        <f>CenAVS!A59</f>
        <v xml:space="preserve">Aventos HK top średni z eurowkrętami     </v>
      </c>
      <c r="C59" s="60" t="str">
        <f>CenAVS!B59</f>
        <v>22K2510</v>
      </c>
      <c r="D59" s="60" t="str">
        <f>CenAVS!C59</f>
        <v>ZN</v>
      </c>
      <c r="E59" s="536">
        <f>CenAVS!D59</f>
        <v>0</v>
      </c>
      <c r="F59" s="413">
        <f t="shared" si="7"/>
        <v>0</v>
      </c>
      <c r="G59" s="58">
        <f>CenAVS!F59</f>
        <v>176.89797999999999</v>
      </c>
      <c r="H59" s="104">
        <f t="shared" si="8"/>
        <v>0</v>
      </c>
      <c r="I59" s="65"/>
      <c r="J59" s="59">
        <f>CenAVS!I59</f>
        <v>7690323</v>
      </c>
      <c r="K59" s="59">
        <f>CenAVS!J59</f>
        <v>378190</v>
      </c>
      <c r="L59" s="943">
        <f t="shared" si="4"/>
        <v>0</v>
      </c>
      <c r="M59" s="60">
        <f t="shared" si="5"/>
        <v>0</v>
      </c>
      <c r="N59" s="236"/>
      <c r="O59" s="236"/>
      <c r="P59" s="236"/>
      <c r="Q59" s="236"/>
      <c r="R59" s="236"/>
      <c r="S59" s="236"/>
      <c r="T59" s="236"/>
      <c r="U59" s="236"/>
      <c r="V59" s="236"/>
      <c r="W59" s="235"/>
      <c r="X59" s="235"/>
      <c r="Y59" s="235"/>
      <c r="Z59" s="235"/>
      <c r="AA59" s="235"/>
      <c r="AB59" s="235"/>
      <c r="AC59" s="235"/>
      <c r="AD59" s="235"/>
      <c r="AE59" s="235"/>
      <c r="AF59" s="235"/>
      <c r="AG59" s="237">
        <f>HKw!AB14</f>
        <v>0</v>
      </c>
      <c r="AH59" s="237">
        <f>HKwa!AB14</f>
        <v>0</v>
      </c>
      <c r="AI59" s="237">
        <f>HKna!AB14</f>
        <v>0</v>
      </c>
      <c r="AJ59" s="237">
        <f>HKt!AB14</f>
        <v>0</v>
      </c>
      <c r="AK59" s="235"/>
      <c r="AL59" s="235"/>
      <c r="AM59" s="235"/>
      <c r="AN59" s="235"/>
      <c r="AO59" s="235"/>
      <c r="AP59" s="235"/>
      <c r="AQ59" s="235"/>
      <c r="AR59" s="235"/>
      <c r="AS59" s="235"/>
      <c r="AT59" s="235"/>
      <c r="AU59" s="235"/>
      <c r="AV59" s="235"/>
      <c r="AW59" s="235"/>
      <c r="AX59" s="235"/>
      <c r="AY59" s="235"/>
      <c r="AZ59" s="235"/>
      <c r="BA59" s="235"/>
      <c r="BB59" s="108"/>
      <c r="BC59" s="108"/>
    </row>
    <row r="60" spans="1:55" ht="16.149999999999999" customHeight="1" x14ac:dyDescent="0.2">
      <c r="A60" s="108"/>
      <c r="B60" s="60" t="str">
        <f>CenAVS!A60</f>
        <v xml:space="preserve">Aventos HK top mocny z eurowkrętami     </v>
      </c>
      <c r="C60" s="60" t="str">
        <f>CenAVS!B60</f>
        <v>22K2710</v>
      </c>
      <c r="D60" s="60" t="str">
        <f>CenAVS!C60</f>
        <v>ZN</v>
      </c>
      <c r="E60" s="536">
        <f>CenAVS!D60</f>
        <v>0</v>
      </c>
      <c r="F60" s="413">
        <f t="shared" si="7"/>
        <v>0</v>
      </c>
      <c r="G60" s="58">
        <f>CenAVS!F60</f>
        <v>177.76220000000001</v>
      </c>
      <c r="H60" s="104">
        <f t="shared" si="8"/>
        <v>0</v>
      </c>
      <c r="I60" s="65"/>
      <c r="J60" s="59">
        <f>CenAVS!I60</f>
        <v>1388111</v>
      </c>
      <c r="K60" s="59">
        <f>CenAVS!J60</f>
        <v>378191</v>
      </c>
      <c r="L60" s="943">
        <f t="shared" si="4"/>
        <v>0</v>
      </c>
      <c r="M60" s="60">
        <f t="shared" si="5"/>
        <v>0</v>
      </c>
      <c r="N60" s="236"/>
      <c r="O60" s="236"/>
      <c r="P60" s="236"/>
      <c r="Q60" s="236"/>
      <c r="R60" s="236"/>
      <c r="S60" s="236"/>
      <c r="T60" s="236"/>
      <c r="U60" s="236"/>
      <c r="V60" s="236"/>
      <c r="W60" s="235"/>
      <c r="X60" s="235"/>
      <c r="Y60" s="235"/>
      <c r="Z60" s="235"/>
      <c r="AA60" s="235"/>
      <c r="AB60" s="235"/>
      <c r="AC60" s="235"/>
      <c r="AD60" s="235"/>
      <c r="AE60" s="235"/>
      <c r="AF60" s="235"/>
      <c r="AG60" s="237">
        <f>HKw!AB15</f>
        <v>0</v>
      </c>
      <c r="AH60" s="237">
        <f>HKwa!AB15</f>
        <v>0</v>
      </c>
      <c r="AI60" s="237">
        <f>HKna!AB15</f>
        <v>0</v>
      </c>
      <c r="AJ60" s="237">
        <f>HKt!AB15</f>
        <v>0</v>
      </c>
      <c r="AK60" s="235"/>
      <c r="AL60" s="235"/>
      <c r="AM60" s="235"/>
      <c r="AN60" s="235"/>
      <c r="AO60" s="235"/>
      <c r="AP60" s="235"/>
      <c r="AQ60" s="235"/>
      <c r="AR60" s="235"/>
      <c r="AS60" s="235"/>
      <c r="AT60" s="235"/>
      <c r="AU60" s="235"/>
      <c r="AV60" s="235"/>
      <c r="AW60" s="235"/>
      <c r="AX60" s="235"/>
      <c r="AY60" s="235"/>
      <c r="AZ60" s="235"/>
      <c r="BA60" s="235"/>
      <c r="BB60" s="108"/>
      <c r="BC60" s="108"/>
    </row>
    <row r="61" spans="1:55" ht="16.149999999999999" customHeight="1" x14ac:dyDescent="0.2">
      <c r="A61" s="108"/>
      <c r="B61" s="60" t="str">
        <f>CenAVS!A61</f>
        <v xml:space="preserve">Aventos HK top najmocniejszy z eurowkrętami     </v>
      </c>
      <c r="C61" s="60" t="str">
        <f>CenAVS!B61</f>
        <v>22K2910</v>
      </c>
      <c r="D61" s="60" t="str">
        <f>CenAVS!C61</f>
        <v>ZN</v>
      </c>
      <c r="E61" s="536">
        <f>CenAVS!D61</f>
        <v>0</v>
      </c>
      <c r="F61" s="413">
        <f t="shared" si="7"/>
        <v>0</v>
      </c>
      <c r="G61" s="58">
        <f>CenAVS!F61</f>
        <v>207.99098000000001</v>
      </c>
      <c r="H61" s="104">
        <f t="shared" si="8"/>
        <v>0</v>
      </c>
      <c r="I61" s="65"/>
      <c r="J61" s="59">
        <f>CenAVS!I61</f>
        <v>5482270</v>
      </c>
      <c r="K61" s="59">
        <f>CenAVS!J61</f>
        <v>378193</v>
      </c>
      <c r="L61" s="943">
        <f t="shared" si="4"/>
        <v>0</v>
      </c>
      <c r="M61" s="60">
        <f t="shared" si="5"/>
        <v>0</v>
      </c>
      <c r="N61" s="236"/>
      <c r="O61" s="236"/>
      <c r="P61" s="236"/>
      <c r="Q61" s="236"/>
      <c r="R61" s="236"/>
      <c r="S61" s="236"/>
      <c r="T61" s="236"/>
      <c r="U61" s="236"/>
      <c r="V61" s="236"/>
      <c r="W61" s="235"/>
      <c r="X61" s="235"/>
      <c r="Y61" s="235"/>
      <c r="Z61" s="235"/>
      <c r="AA61" s="235"/>
      <c r="AB61" s="235"/>
      <c r="AC61" s="235"/>
      <c r="AD61" s="235"/>
      <c r="AE61" s="235"/>
      <c r="AF61" s="235"/>
      <c r="AG61" s="237">
        <f>HKw!AB16</f>
        <v>0</v>
      </c>
      <c r="AH61" s="237">
        <f>HKwa!AB16</f>
        <v>0</v>
      </c>
      <c r="AI61" s="237">
        <f>HKna!AB16</f>
        <v>0</v>
      </c>
      <c r="AJ61" s="237">
        <f>HKt!AB16</f>
        <v>0</v>
      </c>
      <c r="AK61" s="235"/>
      <c r="AL61" s="235"/>
      <c r="AM61" s="235"/>
      <c r="AN61" s="235"/>
      <c r="AO61" s="235"/>
      <c r="AP61" s="235"/>
      <c r="AQ61" s="235"/>
      <c r="AR61" s="235"/>
      <c r="AS61" s="235"/>
      <c r="AT61" s="235"/>
      <c r="AU61" s="235"/>
      <c r="AV61" s="235"/>
      <c r="AW61" s="235"/>
      <c r="AX61" s="235"/>
      <c r="AY61" s="235"/>
      <c r="AZ61" s="235"/>
      <c r="BA61" s="235"/>
      <c r="BB61" s="108"/>
      <c r="BC61" s="108"/>
    </row>
    <row r="62" spans="1:55" ht="16.149999999999999" customHeight="1" x14ac:dyDescent="0.2">
      <c r="A62" s="108"/>
      <c r="B62" s="60" t="str">
        <f>CenAVS!A62</f>
        <v xml:space="preserve">zaślepki HK top bez S-D szare     </v>
      </c>
      <c r="C62" s="60" t="str">
        <f>CenAVS!B62</f>
        <v>22K8000</v>
      </c>
      <c r="D62" s="60" t="str">
        <f>CenAVS!C62</f>
        <v xml:space="preserve">HG </v>
      </c>
      <c r="E62" s="536">
        <f>CenAVS!D62</f>
        <v>0</v>
      </c>
      <c r="F62" s="413">
        <f t="shared" si="7"/>
        <v>0</v>
      </c>
      <c r="G62" s="58">
        <f>CenAVS!F62</f>
        <v>23.190790000000003</v>
      </c>
      <c r="H62" s="104">
        <f t="shared" si="8"/>
        <v>0</v>
      </c>
      <c r="I62" s="65"/>
      <c r="J62" s="59">
        <f>CenAVS!I62</f>
        <v>7985876</v>
      </c>
      <c r="K62" s="59">
        <f>CenAVS!J62</f>
        <v>347833</v>
      </c>
      <c r="L62" s="943">
        <f t="shared" si="4"/>
        <v>0</v>
      </c>
      <c r="M62" s="60">
        <f t="shared" si="5"/>
        <v>0</v>
      </c>
      <c r="N62" s="236"/>
      <c r="O62" s="236"/>
      <c r="P62" s="236"/>
      <c r="Q62" s="236"/>
      <c r="R62" s="236"/>
      <c r="S62" s="236"/>
      <c r="T62" s="236"/>
      <c r="U62" s="236"/>
      <c r="V62" s="236"/>
      <c r="W62" s="235"/>
      <c r="X62" s="235"/>
      <c r="Y62" s="235"/>
      <c r="Z62" s="235"/>
      <c r="AA62" s="235"/>
      <c r="AB62" s="235"/>
      <c r="AC62" s="235"/>
      <c r="AD62" s="235"/>
      <c r="AE62" s="235"/>
      <c r="AF62" s="235"/>
      <c r="AG62" s="237">
        <f>HKw!AB17</f>
        <v>0</v>
      </c>
      <c r="AH62" s="237">
        <f>HKwa!AB17</f>
        <v>0</v>
      </c>
      <c r="AI62" s="237">
        <f>HKna!AB17</f>
        <v>0</v>
      </c>
      <c r="AJ62" s="237">
        <f>HKt!AB17</f>
        <v>0</v>
      </c>
      <c r="AK62" s="235"/>
      <c r="AL62" s="235"/>
      <c r="AM62" s="235"/>
      <c r="AN62" s="235"/>
      <c r="AO62" s="235"/>
      <c r="AP62" s="235"/>
      <c r="AQ62" s="235"/>
      <c r="AR62" s="235"/>
      <c r="AS62" s="235"/>
      <c r="AT62" s="235"/>
      <c r="AU62" s="235"/>
      <c r="AV62" s="235"/>
      <c r="AW62" s="235"/>
      <c r="AX62" s="235"/>
      <c r="AY62" s="235"/>
      <c r="AZ62" s="235"/>
      <c r="BA62" s="235"/>
      <c r="BB62" s="108"/>
      <c r="BC62" s="108"/>
    </row>
    <row r="63" spans="1:55" ht="16.149999999999999" customHeight="1" x14ac:dyDescent="0.2">
      <c r="A63" s="108"/>
      <c r="B63" s="60" t="str">
        <f>CenAVS!A63</f>
        <v xml:space="preserve">zaślepki HK top bez S-D ciemnoszare metalowe    </v>
      </c>
      <c r="C63" s="60" t="str">
        <f>CenAVS!B63</f>
        <v>22K8000</v>
      </c>
      <c r="D63" s="60" t="str">
        <f>CenAVS!C63</f>
        <v>TGR</v>
      </c>
      <c r="E63" s="536">
        <f>CenAVS!D63</f>
        <v>0</v>
      </c>
      <c r="F63" s="413">
        <f t="shared" si="7"/>
        <v>0</v>
      </c>
      <c r="G63" s="58">
        <f>CenAVS!F63</f>
        <v>25.393930000000001</v>
      </c>
      <c r="H63" s="104">
        <f t="shared" si="8"/>
        <v>0</v>
      </c>
      <c r="I63" s="65"/>
      <c r="J63" s="59">
        <f>CenAVS!I63</f>
        <v>7926396</v>
      </c>
      <c r="K63" s="59">
        <f>CenAVS!J63</f>
        <v>347835</v>
      </c>
      <c r="L63" s="943">
        <f t="shared" si="4"/>
        <v>0</v>
      </c>
      <c r="M63" s="60">
        <f t="shared" si="5"/>
        <v>0</v>
      </c>
      <c r="N63" s="236"/>
      <c r="O63" s="236"/>
      <c r="P63" s="236"/>
      <c r="Q63" s="236"/>
      <c r="R63" s="236"/>
      <c r="S63" s="236"/>
      <c r="T63" s="236"/>
      <c r="U63" s="236"/>
      <c r="V63" s="236"/>
      <c r="W63" s="235"/>
      <c r="X63" s="235"/>
      <c r="Y63" s="235"/>
      <c r="Z63" s="235"/>
      <c r="AA63" s="235"/>
      <c r="AB63" s="235"/>
      <c r="AC63" s="235"/>
      <c r="AD63" s="235"/>
      <c r="AE63" s="235"/>
      <c r="AF63" s="235"/>
      <c r="AG63" s="237">
        <f>HKw!AB18</f>
        <v>0</v>
      </c>
      <c r="AH63" s="237">
        <f>HKwa!AB18</f>
        <v>0</v>
      </c>
      <c r="AI63" s="237">
        <f>HKna!AB18</f>
        <v>0</v>
      </c>
      <c r="AJ63" s="237">
        <f>HKt!AB18</f>
        <v>0</v>
      </c>
      <c r="AK63" s="235"/>
      <c r="AL63" s="235"/>
      <c r="AM63" s="235"/>
      <c r="AN63" s="235"/>
      <c r="AO63" s="235"/>
      <c r="AP63" s="235"/>
      <c r="AQ63" s="235"/>
      <c r="AR63" s="235"/>
      <c r="AS63" s="235"/>
      <c r="AT63" s="235"/>
      <c r="AU63" s="235"/>
      <c r="AV63" s="235"/>
      <c r="AW63" s="235"/>
      <c r="AX63" s="235"/>
      <c r="AY63" s="235"/>
      <c r="AZ63" s="235"/>
      <c r="BA63" s="235"/>
      <c r="BB63" s="108"/>
      <c r="BC63" s="108"/>
    </row>
    <row r="64" spans="1:55" ht="16.149999999999999" customHeight="1" x14ac:dyDescent="0.2">
      <c r="A64" s="108"/>
      <c r="B64" s="60" t="str">
        <f>CenAVS!A64</f>
        <v xml:space="preserve">zaślepki HK top bez S-D jedwabiście białe    </v>
      </c>
      <c r="C64" s="60" t="str">
        <f>CenAVS!B64</f>
        <v>22K8000</v>
      </c>
      <c r="D64" s="60" t="str">
        <f>CenAVS!C64</f>
        <v xml:space="preserve">SW </v>
      </c>
      <c r="E64" s="536">
        <f>CenAVS!D64</f>
        <v>0</v>
      </c>
      <c r="F64" s="413">
        <f t="shared" si="7"/>
        <v>0</v>
      </c>
      <c r="G64" s="58">
        <f>CenAVS!F64</f>
        <v>25.393930000000001</v>
      </c>
      <c r="H64" s="104">
        <f t="shared" si="8"/>
        <v>0</v>
      </c>
      <c r="I64" s="65"/>
      <c r="J64" s="59">
        <f>CenAVS!I64</f>
        <v>4824637</v>
      </c>
      <c r="K64" s="59">
        <f>CenAVS!J64</f>
        <v>347834</v>
      </c>
      <c r="L64" s="943">
        <f t="shared" si="4"/>
        <v>0</v>
      </c>
      <c r="M64" s="60">
        <f t="shared" si="5"/>
        <v>0</v>
      </c>
      <c r="N64" s="236"/>
      <c r="O64" s="236"/>
      <c r="P64" s="236"/>
      <c r="Q64" s="236"/>
      <c r="R64" s="236"/>
      <c r="S64" s="236"/>
      <c r="T64" s="236"/>
      <c r="U64" s="236"/>
      <c r="V64" s="236"/>
      <c r="W64" s="235"/>
      <c r="X64" s="235"/>
      <c r="Y64" s="235"/>
      <c r="Z64" s="235"/>
      <c r="AA64" s="235"/>
      <c r="AB64" s="235"/>
      <c r="AC64" s="235"/>
      <c r="AD64" s="235"/>
      <c r="AE64" s="235"/>
      <c r="AF64" s="235"/>
      <c r="AG64" s="237">
        <f>HKw!AB19</f>
        <v>0</v>
      </c>
      <c r="AH64" s="237">
        <f>HKwa!AB19</f>
        <v>0</v>
      </c>
      <c r="AI64" s="237">
        <f>HKna!AB19</f>
        <v>0</v>
      </c>
      <c r="AJ64" s="237">
        <f>HKt!AB19</f>
        <v>0</v>
      </c>
      <c r="AK64" s="235"/>
      <c r="AL64" s="235"/>
      <c r="AM64" s="235"/>
      <c r="AN64" s="235"/>
      <c r="AO64" s="235"/>
      <c r="AP64" s="235"/>
      <c r="AQ64" s="235"/>
      <c r="AR64" s="235"/>
      <c r="AS64" s="235"/>
      <c r="AT64" s="235"/>
      <c r="AU64" s="235"/>
      <c r="AV64" s="235"/>
      <c r="AW64" s="235"/>
      <c r="AX64" s="235"/>
      <c r="AY64" s="235"/>
      <c r="AZ64" s="235"/>
      <c r="BA64" s="235"/>
      <c r="BB64" s="108"/>
      <c r="BC64" s="108"/>
    </row>
    <row r="65" spans="1:55" ht="16.149999999999999" customHeight="1" x14ac:dyDescent="0.2">
      <c r="A65" s="108"/>
      <c r="B65" s="60" t="str">
        <f>CenAVS!A65</f>
        <v xml:space="preserve">zaślepki HK top do S-D jasnoszare     </v>
      </c>
      <c r="C65" s="60" t="str">
        <f>CenAVS!B65</f>
        <v>23K8000</v>
      </c>
      <c r="D65" s="60" t="str">
        <f>CenAVS!C65</f>
        <v xml:space="preserve">HG </v>
      </c>
      <c r="E65" s="536">
        <f>CenAVS!D65</f>
        <v>0</v>
      </c>
      <c r="F65" s="413">
        <f t="shared" si="7"/>
        <v>0</v>
      </c>
      <c r="G65" s="58">
        <f>CenAVS!F65</f>
        <v>273.56473</v>
      </c>
      <c r="H65" s="104">
        <f t="shared" si="8"/>
        <v>0</v>
      </c>
      <c r="I65" s="65"/>
      <c r="J65" s="59">
        <f>CenAVS!I65</f>
        <v>2111215</v>
      </c>
      <c r="K65" s="59">
        <f>CenAVS!J65</f>
        <v>347836</v>
      </c>
      <c r="L65" s="943">
        <f t="shared" si="4"/>
        <v>0</v>
      </c>
      <c r="M65" s="60">
        <f t="shared" si="5"/>
        <v>0</v>
      </c>
      <c r="N65" s="236"/>
      <c r="O65" s="236"/>
      <c r="P65" s="236"/>
      <c r="Q65" s="236"/>
      <c r="R65" s="236"/>
      <c r="S65" s="236"/>
      <c r="T65" s="236"/>
      <c r="U65" s="236"/>
      <c r="V65" s="236"/>
      <c r="W65" s="235"/>
      <c r="X65" s="235"/>
      <c r="Y65" s="235"/>
      <c r="Z65" s="235"/>
      <c r="AA65" s="235"/>
      <c r="AB65" s="235"/>
      <c r="AC65" s="235"/>
      <c r="AD65" s="235"/>
      <c r="AE65" s="235"/>
      <c r="AF65" s="235"/>
      <c r="AG65" s="237">
        <f>HKw!AB20</f>
        <v>0</v>
      </c>
      <c r="AH65" s="237">
        <f>HKwa!AB20</f>
        <v>0</v>
      </c>
      <c r="AI65" s="237">
        <f>HKna!AB20</f>
        <v>0</v>
      </c>
      <c r="AJ65" s="237">
        <f>HKt!AB20</f>
        <v>0</v>
      </c>
      <c r="AK65" s="235"/>
      <c r="AL65" s="235"/>
      <c r="AM65" s="235"/>
      <c r="AN65" s="235"/>
      <c r="AO65" s="235"/>
      <c r="AP65" s="235"/>
      <c r="AQ65" s="235"/>
      <c r="AR65" s="235"/>
      <c r="AS65" s="235"/>
      <c r="AT65" s="235"/>
      <c r="AU65" s="235"/>
      <c r="AV65" s="235"/>
      <c r="AW65" s="235"/>
      <c r="AX65" s="235"/>
      <c r="AY65" s="235"/>
      <c r="AZ65" s="235"/>
      <c r="BA65" s="235"/>
      <c r="BB65" s="108"/>
      <c r="BC65" s="108"/>
    </row>
    <row r="66" spans="1:55" ht="16.149999999999999" customHeight="1" x14ac:dyDescent="0.2">
      <c r="A66" s="108"/>
      <c r="B66" s="60" t="str">
        <f>CenAVS!A66</f>
        <v xml:space="preserve">zaślepki HK top do S-D ciemnoszare metalowe    </v>
      </c>
      <c r="C66" s="60" t="str">
        <f>CenAVS!B66</f>
        <v>23K8000</v>
      </c>
      <c r="D66" s="60" t="str">
        <f>CenAVS!C66</f>
        <v>TGR</v>
      </c>
      <c r="E66" s="536">
        <f>CenAVS!D66</f>
        <v>0</v>
      </c>
      <c r="F66" s="413">
        <f t="shared" si="7"/>
        <v>0</v>
      </c>
      <c r="G66" s="58">
        <f>CenAVS!F66</f>
        <v>284.75036999999998</v>
      </c>
      <c r="H66" s="104">
        <f t="shared" si="8"/>
        <v>0</v>
      </c>
      <c r="I66" s="65"/>
      <c r="J66" s="59">
        <f>CenAVS!I66</f>
        <v>8732964</v>
      </c>
      <c r="K66" s="59">
        <f>CenAVS!J66</f>
        <v>347838</v>
      </c>
      <c r="L66" s="943">
        <f t="shared" si="4"/>
        <v>0</v>
      </c>
      <c r="M66" s="60">
        <f t="shared" si="5"/>
        <v>0</v>
      </c>
      <c r="N66" s="236"/>
      <c r="O66" s="236"/>
      <c r="P66" s="236"/>
      <c r="Q66" s="236"/>
      <c r="R66" s="236"/>
      <c r="S66" s="236"/>
      <c r="T66" s="236"/>
      <c r="U66" s="236"/>
      <c r="V66" s="236"/>
      <c r="W66" s="235"/>
      <c r="X66" s="235"/>
      <c r="Y66" s="235"/>
      <c r="Z66" s="235"/>
      <c r="AA66" s="235"/>
      <c r="AB66" s="235"/>
      <c r="AC66" s="235"/>
      <c r="AD66" s="235"/>
      <c r="AE66" s="235"/>
      <c r="AF66" s="235"/>
      <c r="AG66" s="237">
        <f>HKw!AB21</f>
        <v>0</v>
      </c>
      <c r="AH66" s="237">
        <f>HKwa!AB21</f>
        <v>0</v>
      </c>
      <c r="AI66" s="237">
        <f>HKna!AB21</f>
        <v>0</v>
      </c>
      <c r="AJ66" s="237">
        <f>HKt!AB21</f>
        <v>0</v>
      </c>
      <c r="AK66" s="235"/>
      <c r="AL66" s="235"/>
      <c r="AM66" s="235"/>
      <c r="AN66" s="235"/>
      <c r="AO66" s="235"/>
      <c r="AP66" s="235"/>
      <c r="AQ66" s="235"/>
      <c r="AR66" s="235"/>
      <c r="AS66" s="235"/>
      <c r="AT66" s="235"/>
      <c r="AU66" s="235"/>
      <c r="AV66" s="235"/>
      <c r="AW66" s="235"/>
      <c r="AX66" s="235"/>
      <c r="AY66" s="235"/>
      <c r="AZ66" s="235"/>
      <c r="BA66" s="235"/>
      <c r="BB66" s="108"/>
      <c r="BC66" s="108"/>
    </row>
    <row r="67" spans="1:55" ht="16.149999999999999" customHeight="1" x14ac:dyDescent="0.2">
      <c r="A67" s="108"/>
      <c r="B67" s="60" t="str">
        <f>CenAVS!A67</f>
        <v xml:space="preserve">zaślepki HK top do S-D jedwabiście białe    </v>
      </c>
      <c r="C67" s="60" t="str">
        <f>CenAVS!B67</f>
        <v>23K8000</v>
      </c>
      <c r="D67" s="60" t="str">
        <f>CenAVS!C67</f>
        <v xml:space="preserve">SW </v>
      </c>
      <c r="E67" s="536">
        <f>CenAVS!D67</f>
        <v>0</v>
      </c>
      <c r="F67" s="413">
        <f t="shared" si="7"/>
        <v>0</v>
      </c>
      <c r="G67" s="58">
        <f>CenAVS!F67</f>
        <v>284.75036999999998</v>
      </c>
      <c r="H67" s="104">
        <f t="shared" si="8"/>
        <v>0</v>
      </c>
      <c r="I67" s="65"/>
      <c r="J67" s="59">
        <f>CenAVS!I67</f>
        <v>1065531</v>
      </c>
      <c r="K67" s="59">
        <f>CenAVS!J67</f>
        <v>347837</v>
      </c>
      <c r="L67" s="943">
        <f t="shared" si="4"/>
        <v>0</v>
      </c>
      <c r="M67" s="60">
        <f t="shared" si="5"/>
        <v>0</v>
      </c>
      <c r="N67" s="236"/>
      <c r="O67" s="236"/>
      <c r="P67" s="236"/>
      <c r="Q67" s="236"/>
      <c r="R67" s="236"/>
      <c r="S67" s="236"/>
      <c r="T67" s="236"/>
      <c r="U67" s="236"/>
      <c r="V67" s="236"/>
      <c r="W67" s="235"/>
      <c r="X67" s="235"/>
      <c r="Y67" s="235"/>
      <c r="Z67" s="235"/>
      <c r="AA67" s="235"/>
      <c r="AB67" s="235"/>
      <c r="AC67" s="235"/>
      <c r="AD67" s="235"/>
      <c r="AE67" s="235"/>
      <c r="AF67" s="235"/>
      <c r="AG67" s="237">
        <f>HKw!AB22</f>
        <v>0</v>
      </c>
      <c r="AH67" s="237">
        <f>HKwa!AB22</f>
        <v>0</v>
      </c>
      <c r="AI67" s="237">
        <f>HKna!AB22</f>
        <v>0</v>
      </c>
      <c r="AJ67" s="237">
        <f>HKt!AB22</f>
        <v>0</v>
      </c>
      <c r="AK67" s="235"/>
      <c r="AL67" s="235"/>
      <c r="AM67" s="235"/>
      <c r="AN67" s="235"/>
      <c r="AO67" s="235"/>
      <c r="AP67" s="235"/>
      <c r="AQ67" s="235"/>
      <c r="AR67" s="235"/>
      <c r="AS67" s="235"/>
      <c r="AT67" s="235"/>
      <c r="AU67" s="235"/>
      <c r="AV67" s="235"/>
      <c r="AW67" s="235"/>
      <c r="AX67" s="235"/>
      <c r="AY67" s="235"/>
      <c r="AZ67" s="235"/>
      <c r="BA67" s="235"/>
      <c r="BB67" s="108"/>
      <c r="BC67" s="108"/>
    </row>
    <row r="68" spans="1:55" ht="16.149999999999999" customHeight="1" x14ac:dyDescent="0.2">
      <c r="A68" s="108"/>
      <c r="B68" s="60" t="str">
        <f>CenAVS!A68</f>
        <v xml:space="preserve">          </v>
      </c>
      <c r="C68" s="60">
        <f>CenAVS!B68</f>
        <v>0</v>
      </c>
      <c r="D68" s="60">
        <f>CenAVS!C68</f>
        <v>0</v>
      </c>
      <c r="E68" s="536">
        <f>CenAVS!D68</f>
        <v>0</v>
      </c>
      <c r="F68" s="413">
        <f t="shared" si="7"/>
        <v>0</v>
      </c>
      <c r="G68" s="58">
        <f>CenAVS!F68</f>
        <v>0</v>
      </c>
      <c r="H68" s="104">
        <f t="shared" si="8"/>
        <v>0</v>
      </c>
      <c r="I68" s="65"/>
      <c r="J68" s="59">
        <f>CenAVS!I68</f>
        <v>0</v>
      </c>
      <c r="K68" s="59">
        <f>CenAVS!J68</f>
        <v>0</v>
      </c>
      <c r="L68" s="943">
        <f t="shared" ref="L68:L152" si="13">IF(I68="x",0,IF(I68&gt;0,I68,F68))</f>
        <v>0</v>
      </c>
      <c r="M68" s="60">
        <f t="shared" ref="M68:M152" si="14">PRODUCT(L68,G68)</f>
        <v>0</v>
      </c>
      <c r="N68" s="236"/>
      <c r="O68" s="236"/>
      <c r="P68" s="236"/>
      <c r="Q68" s="236"/>
      <c r="R68" s="236"/>
      <c r="S68" s="236"/>
      <c r="T68" s="236"/>
      <c r="U68" s="236"/>
      <c r="V68" s="236"/>
      <c r="W68" s="235"/>
      <c r="X68" s="235"/>
      <c r="Y68" s="235"/>
      <c r="Z68" s="235"/>
      <c r="AA68" s="235"/>
      <c r="AB68" s="235"/>
      <c r="AC68" s="235"/>
      <c r="AD68" s="235"/>
      <c r="AE68" s="235"/>
      <c r="AF68" s="235"/>
      <c r="AG68" s="235"/>
      <c r="AH68" s="235"/>
      <c r="AI68" s="235"/>
      <c r="AJ68" s="235"/>
      <c r="AK68" s="235"/>
      <c r="AL68" s="235"/>
      <c r="AM68" s="235"/>
      <c r="AN68" s="235"/>
      <c r="AO68" s="235"/>
      <c r="AP68" s="235"/>
      <c r="AQ68" s="235"/>
      <c r="AR68" s="235"/>
      <c r="AS68" s="235"/>
      <c r="AT68" s="235"/>
      <c r="AU68" s="235"/>
      <c r="AV68" s="235"/>
      <c r="AW68" s="235"/>
      <c r="AX68" s="235"/>
      <c r="AY68" s="235"/>
      <c r="AZ68" s="235"/>
      <c r="BA68" s="235"/>
      <c r="BB68" s="108"/>
      <c r="BC68" s="108"/>
    </row>
    <row r="69" spans="1:55" ht="16.149999999999999" customHeight="1" x14ac:dyDescent="0.2">
      <c r="A69" s="108"/>
      <c r="B69" s="60" t="str">
        <f>CenAVS!A69</f>
        <v xml:space="preserve">Aventos HK top słaby Tip-on      </v>
      </c>
      <c r="C69" s="60" t="str">
        <f>CenAVS!B69</f>
        <v>22K2300T</v>
      </c>
      <c r="D69" s="60" t="str">
        <f>CenAVS!C69</f>
        <v>ZN</v>
      </c>
      <c r="E69" s="536">
        <f>CenAVS!D69</f>
        <v>0</v>
      </c>
      <c r="F69" s="413">
        <f t="shared" si="7"/>
        <v>0</v>
      </c>
      <c r="G69" s="58">
        <f>CenAVS!F69</f>
        <v>172.91319999999999</v>
      </c>
      <c r="H69" s="104">
        <f t="shared" si="8"/>
        <v>0</v>
      </c>
      <c r="I69" s="65"/>
      <c r="J69" s="59">
        <f>CenAVS!I69</f>
        <v>4205572</v>
      </c>
      <c r="K69" s="59">
        <f>CenAVS!J69</f>
        <v>347814</v>
      </c>
      <c r="L69" s="943">
        <f t="shared" si="13"/>
        <v>0</v>
      </c>
      <c r="M69" s="60">
        <f t="shared" si="14"/>
        <v>0</v>
      </c>
      <c r="N69" s="236"/>
      <c r="O69" s="236"/>
      <c r="P69" s="236"/>
      <c r="Q69" s="236"/>
      <c r="R69" s="236"/>
      <c r="S69" s="236"/>
      <c r="T69" s="236"/>
      <c r="U69" s="236"/>
      <c r="V69" s="236"/>
      <c r="W69" s="235"/>
      <c r="X69" s="235"/>
      <c r="Y69" s="235"/>
      <c r="Z69" s="235"/>
      <c r="AA69" s="235"/>
      <c r="AB69" s="235"/>
      <c r="AC69" s="235"/>
      <c r="AD69" s="235"/>
      <c r="AE69" s="235"/>
      <c r="AF69" s="235"/>
      <c r="AG69" s="237">
        <f>HKw!AB24</f>
        <v>0</v>
      </c>
      <c r="AH69" s="237">
        <f>HKwa!AB24</f>
        <v>0</v>
      </c>
      <c r="AI69" s="237">
        <f>HKna!AB24</f>
        <v>0</v>
      </c>
      <c r="AJ69" s="237">
        <f>HKt!AB24</f>
        <v>0</v>
      </c>
      <c r="AK69" s="235"/>
      <c r="AL69" s="235"/>
      <c r="AM69" s="235"/>
      <c r="AN69" s="235"/>
      <c r="AO69" s="235"/>
      <c r="AP69" s="235"/>
      <c r="AQ69" s="235"/>
      <c r="AR69" s="235"/>
      <c r="AS69" s="235"/>
      <c r="AT69" s="235"/>
      <c r="AU69" s="235"/>
      <c r="AV69" s="235"/>
      <c r="AW69" s="235"/>
      <c r="AX69" s="235"/>
      <c r="AY69" s="235"/>
      <c r="AZ69" s="235"/>
      <c r="BA69" s="235"/>
      <c r="BB69" s="108"/>
      <c r="BC69" s="108"/>
    </row>
    <row r="70" spans="1:55" ht="16.149999999999999" customHeight="1" x14ac:dyDescent="0.2">
      <c r="A70" s="108"/>
      <c r="B70" s="60" t="str">
        <f>CenAVS!A70</f>
        <v xml:space="preserve">Aventos HK top średni Tip-on      </v>
      </c>
      <c r="C70" s="60" t="str">
        <f>CenAVS!B70</f>
        <v>22K2500T</v>
      </c>
      <c r="D70" s="60" t="str">
        <f>CenAVS!C70</f>
        <v>ZN</v>
      </c>
      <c r="E70" s="536">
        <f>CenAVS!D70</f>
        <v>0</v>
      </c>
      <c r="F70" s="413">
        <f t="shared" si="7"/>
        <v>0</v>
      </c>
      <c r="G70" s="58">
        <f>CenAVS!F70</f>
        <v>172.91319999999999</v>
      </c>
      <c r="H70" s="104">
        <f t="shared" si="8"/>
        <v>0</v>
      </c>
      <c r="I70" s="65"/>
      <c r="J70" s="59">
        <f>CenAVS!I70</f>
        <v>2753075</v>
      </c>
      <c r="K70" s="59">
        <f>CenAVS!J70</f>
        <v>347826</v>
      </c>
      <c r="L70" s="943">
        <f t="shared" si="13"/>
        <v>0</v>
      </c>
      <c r="M70" s="60">
        <f t="shared" si="14"/>
        <v>0</v>
      </c>
      <c r="N70" s="236"/>
      <c r="O70" s="236"/>
      <c r="P70" s="236"/>
      <c r="Q70" s="236"/>
      <c r="R70" s="236"/>
      <c r="S70" s="236"/>
      <c r="T70" s="236"/>
      <c r="U70" s="236"/>
      <c r="V70" s="236"/>
      <c r="W70" s="235"/>
      <c r="X70" s="235"/>
      <c r="Y70" s="235"/>
      <c r="Z70" s="235"/>
      <c r="AA70" s="235"/>
      <c r="AB70" s="235"/>
      <c r="AC70" s="235"/>
      <c r="AD70" s="235"/>
      <c r="AE70" s="235"/>
      <c r="AF70" s="235"/>
      <c r="AG70" s="237">
        <f>HKw!AB25</f>
        <v>0</v>
      </c>
      <c r="AH70" s="237">
        <f>HKwa!AB25</f>
        <v>0</v>
      </c>
      <c r="AI70" s="237">
        <f>HKna!AB25</f>
        <v>0</v>
      </c>
      <c r="AJ70" s="237">
        <f>HKt!AB25</f>
        <v>0</v>
      </c>
      <c r="AK70" s="235"/>
      <c r="AL70" s="235"/>
      <c r="AM70" s="235"/>
      <c r="AN70" s="235"/>
      <c r="AO70" s="235"/>
      <c r="AP70" s="235"/>
      <c r="AQ70" s="235"/>
      <c r="AR70" s="235"/>
      <c r="AS70" s="235"/>
      <c r="AT70" s="235"/>
      <c r="AU70" s="235"/>
      <c r="AV70" s="235"/>
      <c r="AW70" s="235"/>
      <c r="AX70" s="235"/>
      <c r="AY70" s="235"/>
      <c r="AZ70" s="235"/>
      <c r="BA70" s="235"/>
      <c r="BB70" s="108"/>
      <c r="BC70" s="108"/>
    </row>
    <row r="71" spans="1:55" ht="16.149999999999999" customHeight="1" x14ac:dyDescent="0.2">
      <c r="A71" s="108"/>
      <c r="B71" s="60" t="str">
        <f>CenAVS!A71</f>
        <v xml:space="preserve">Aventos HK top mocny Tip-on      </v>
      </c>
      <c r="C71" s="60" t="str">
        <f>CenAVS!B71</f>
        <v>22K2700T</v>
      </c>
      <c r="D71" s="60" t="str">
        <f>CenAVS!C71</f>
        <v>ZN</v>
      </c>
      <c r="E71" s="536">
        <f>CenAVS!D71</f>
        <v>0</v>
      </c>
      <c r="F71" s="413">
        <f t="shared" si="7"/>
        <v>0</v>
      </c>
      <c r="G71" s="58">
        <f>CenAVS!F71</f>
        <v>183.9254</v>
      </c>
      <c r="H71" s="104">
        <f t="shared" si="8"/>
        <v>0</v>
      </c>
      <c r="I71" s="65"/>
      <c r="J71" s="59">
        <f>CenAVS!I71</f>
        <v>2855682</v>
      </c>
      <c r="K71" s="59">
        <f>CenAVS!J71</f>
        <v>347827</v>
      </c>
      <c r="L71" s="943">
        <f t="shared" si="13"/>
        <v>0</v>
      </c>
      <c r="M71" s="60">
        <f t="shared" si="14"/>
        <v>0</v>
      </c>
      <c r="N71" s="236"/>
      <c r="O71" s="236"/>
      <c r="P71" s="236"/>
      <c r="Q71" s="236"/>
      <c r="R71" s="236"/>
      <c r="S71" s="236"/>
      <c r="T71" s="236"/>
      <c r="U71" s="236"/>
      <c r="V71" s="236"/>
      <c r="W71" s="235"/>
      <c r="X71" s="235"/>
      <c r="Y71" s="235"/>
      <c r="Z71" s="235"/>
      <c r="AA71" s="235"/>
      <c r="AB71" s="235"/>
      <c r="AC71" s="235"/>
      <c r="AD71" s="235"/>
      <c r="AE71" s="235"/>
      <c r="AF71" s="235"/>
      <c r="AG71" s="237">
        <f>HKw!AB26</f>
        <v>0</v>
      </c>
      <c r="AH71" s="237">
        <f>HKwa!AB26</f>
        <v>0</v>
      </c>
      <c r="AI71" s="237">
        <f>HKna!AB26</f>
        <v>0</v>
      </c>
      <c r="AJ71" s="237">
        <f>HKt!AB26</f>
        <v>0</v>
      </c>
      <c r="AK71" s="235"/>
      <c r="AL71" s="235"/>
      <c r="AM71" s="235"/>
      <c r="AN71" s="235"/>
      <c r="AO71" s="235"/>
      <c r="AP71" s="235"/>
      <c r="AQ71" s="235"/>
      <c r="AR71" s="235"/>
      <c r="AS71" s="235"/>
      <c r="AT71" s="235"/>
      <c r="AU71" s="235"/>
      <c r="AV71" s="235"/>
      <c r="AW71" s="235"/>
      <c r="AX71" s="235"/>
      <c r="AY71" s="235"/>
      <c r="AZ71" s="235"/>
      <c r="BA71" s="235"/>
      <c r="BB71" s="108"/>
      <c r="BC71" s="108"/>
    </row>
    <row r="72" spans="1:55" ht="16.149999999999999" customHeight="1" x14ac:dyDescent="0.2">
      <c r="A72" s="108"/>
      <c r="B72" s="60" t="str">
        <f>CenAVS!A72</f>
        <v xml:space="preserve">Aventos HK top najmocniejszy Tip-on      </v>
      </c>
      <c r="C72" s="60" t="str">
        <f>CenAVS!B72</f>
        <v>22K2900T</v>
      </c>
      <c r="D72" s="60" t="str">
        <f>CenAVS!C72</f>
        <v>ZN</v>
      </c>
      <c r="E72" s="536">
        <f>CenAVS!D72</f>
        <v>0</v>
      </c>
      <c r="F72" s="413">
        <f t="shared" si="7"/>
        <v>0</v>
      </c>
      <c r="G72" s="58">
        <f>CenAVS!F72</f>
        <v>211.45676</v>
      </c>
      <c r="H72" s="104">
        <f t="shared" si="8"/>
        <v>0</v>
      </c>
      <c r="I72" s="65"/>
      <c r="J72" s="59">
        <f>CenAVS!I72</f>
        <v>8220095</v>
      </c>
      <c r="K72" s="59">
        <f>CenAVS!J72</f>
        <v>347828</v>
      </c>
      <c r="L72" s="943">
        <f t="shared" si="13"/>
        <v>0</v>
      </c>
      <c r="M72" s="60">
        <f t="shared" si="14"/>
        <v>0</v>
      </c>
      <c r="N72" s="236"/>
      <c r="O72" s="236"/>
      <c r="P72" s="236"/>
      <c r="Q72" s="236"/>
      <c r="R72" s="236"/>
      <c r="S72" s="236"/>
      <c r="T72" s="236"/>
      <c r="U72" s="236"/>
      <c r="V72" s="236"/>
      <c r="W72" s="235"/>
      <c r="X72" s="235"/>
      <c r="Y72" s="235"/>
      <c r="Z72" s="235"/>
      <c r="AA72" s="235"/>
      <c r="AB72" s="235"/>
      <c r="AC72" s="235"/>
      <c r="AD72" s="235"/>
      <c r="AE72" s="235"/>
      <c r="AF72" s="235"/>
      <c r="AG72" s="237">
        <f>HKw!AB27</f>
        <v>0</v>
      </c>
      <c r="AH72" s="237">
        <f>HKwa!AB27</f>
        <v>0</v>
      </c>
      <c r="AI72" s="237">
        <f>HKna!AB27</f>
        <v>0</v>
      </c>
      <c r="AJ72" s="237">
        <f>HKt!AB27</f>
        <v>0</v>
      </c>
      <c r="AK72" s="235"/>
      <c r="AL72" s="235"/>
      <c r="AM72" s="235"/>
      <c r="AN72" s="235"/>
      <c r="AO72" s="235"/>
      <c r="AP72" s="235"/>
      <c r="AQ72" s="235"/>
      <c r="AR72" s="235"/>
      <c r="AS72" s="235"/>
      <c r="AT72" s="235"/>
      <c r="AU72" s="235"/>
      <c r="AV72" s="235"/>
      <c r="AW72" s="235"/>
      <c r="AX72" s="235"/>
      <c r="AY72" s="235"/>
      <c r="AZ72" s="235"/>
      <c r="BA72" s="235"/>
      <c r="BB72" s="108"/>
      <c r="BC72" s="108"/>
    </row>
    <row r="73" spans="1:55" ht="16.149999999999999" customHeight="1" x14ac:dyDescent="0.2">
      <c r="A73" s="108"/>
      <c r="B73" s="60" t="str">
        <f>CenAVS!A73</f>
        <v xml:space="preserve">Aventos HK top słaby Tip-on z eurowkrętami    </v>
      </c>
      <c r="C73" s="60" t="str">
        <f>CenAVS!B73</f>
        <v>22K2310T</v>
      </c>
      <c r="D73" s="60" t="str">
        <f>CenAVS!C73</f>
        <v>ZN</v>
      </c>
      <c r="E73" s="536">
        <f>CenAVS!D73</f>
        <v>0</v>
      </c>
      <c r="F73" s="413">
        <f t="shared" si="7"/>
        <v>0</v>
      </c>
      <c r="G73" s="58">
        <f>CenAVS!F73</f>
        <v>189.85409999999999</v>
      </c>
      <c r="H73" s="104">
        <f t="shared" si="8"/>
        <v>0</v>
      </c>
      <c r="I73" s="65"/>
      <c r="J73" s="59">
        <f>CenAVS!I73</f>
        <v>9708169</v>
      </c>
      <c r="K73" s="59">
        <f>CenAVS!J73</f>
        <v>378200</v>
      </c>
      <c r="L73" s="943">
        <f t="shared" si="13"/>
        <v>0</v>
      </c>
      <c r="M73" s="60">
        <f t="shared" si="14"/>
        <v>0</v>
      </c>
      <c r="N73" s="236"/>
      <c r="O73" s="236"/>
      <c r="P73" s="236"/>
      <c r="Q73" s="236"/>
      <c r="R73" s="236"/>
      <c r="S73" s="236"/>
      <c r="T73" s="236"/>
      <c r="U73" s="236"/>
      <c r="V73" s="236"/>
      <c r="W73" s="235"/>
      <c r="X73" s="235"/>
      <c r="Y73" s="235"/>
      <c r="Z73" s="235"/>
      <c r="AA73" s="235"/>
      <c r="AB73" s="235"/>
      <c r="AC73" s="235"/>
      <c r="AD73" s="235"/>
      <c r="AE73" s="235"/>
      <c r="AF73" s="235"/>
      <c r="AG73" s="237">
        <f>HKw!AB28</f>
        <v>0</v>
      </c>
      <c r="AH73" s="237">
        <f>HKwa!AB28</f>
        <v>0</v>
      </c>
      <c r="AI73" s="237">
        <f>HKna!AB28</f>
        <v>0</v>
      </c>
      <c r="AJ73" s="237">
        <f>HKt!AB28</f>
        <v>0</v>
      </c>
      <c r="AK73" s="235"/>
      <c r="AL73" s="235"/>
      <c r="AM73" s="235"/>
      <c r="AN73" s="235"/>
      <c r="AO73" s="235"/>
      <c r="AP73" s="235"/>
      <c r="AQ73" s="235"/>
      <c r="AR73" s="235"/>
      <c r="AS73" s="235"/>
      <c r="AT73" s="235"/>
      <c r="AU73" s="235"/>
      <c r="AV73" s="235"/>
      <c r="AW73" s="235"/>
      <c r="AX73" s="235"/>
      <c r="AY73" s="235"/>
      <c r="AZ73" s="235"/>
      <c r="BA73" s="235"/>
      <c r="BB73" s="108"/>
      <c r="BC73" s="108"/>
    </row>
    <row r="74" spans="1:55" ht="16.149999999999999" customHeight="1" x14ac:dyDescent="0.2">
      <c r="A74" s="108"/>
      <c r="B74" s="60" t="str">
        <f>CenAVS!A74</f>
        <v xml:space="preserve">Aventos HK top średni Tip-on z eurowkrętami    </v>
      </c>
      <c r="C74" s="60" t="str">
        <f>CenAVS!B74</f>
        <v>22K2510T</v>
      </c>
      <c r="D74" s="60" t="str">
        <f>CenAVS!C74</f>
        <v>ZN</v>
      </c>
      <c r="E74" s="536">
        <f>CenAVS!D74</f>
        <v>0</v>
      </c>
      <c r="F74" s="413">
        <f t="shared" si="7"/>
        <v>0</v>
      </c>
      <c r="G74" s="58">
        <f>CenAVS!F74</f>
        <v>189.85409999999999</v>
      </c>
      <c r="H74" s="104">
        <f t="shared" si="8"/>
        <v>0</v>
      </c>
      <c r="I74" s="65"/>
      <c r="J74" s="59">
        <f>CenAVS!I74</f>
        <v>2414504</v>
      </c>
      <c r="K74" s="59">
        <f>CenAVS!J74</f>
        <v>378202</v>
      </c>
      <c r="L74" s="943">
        <f t="shared" si="13"/>
        <v>0</v>
      </c>
      <c r="M74" s="60">
        <f t="shared" si="14"/>
        <v>0</v>
      </c>
      <c r="N74" s="236"/>
      <c r="O74" s="236"/>
      <c r="P74" s="236"/>
      <c r="Q74" s="236"/>
      <c r="R74" s="236"/>
      <c r="S74" s="236"/>
      <c r="T74" s="236"/>
      <c r="U74" s="236"/>
      <c r="V74" s="236"/>
      <c r="W74" s="235"/>
      <c r="X74" s="235"/>
      <c r="Y74" s="235"/>
      <c r="Z74" s="235"/>
      <c r="AA74" s="235"/>
      <c r="AB74" s="235"/>
      <c r="AC74" s="235"/>
      <c r="AD74" s="235"/>
      <c r="AE74" s="235"/>
      <c r="AF74" s="235"/>
      <c r="AG74" s="237">
        <f>HKw!AB29</f>
        <v>0</v>
      </c>
      <c r="AH74" s="237">
        <f>HKwa!AB29</f>
        <v>0</v>
      </c>
      <c r="AI74" s="237">
        <f>HKna!AB29</f>
        <v>0</v>
      </c>
      <c r="AJ74" s="237">
        <f>HKt!AB29</f>
        <v>0</v>
      </c>
      <c r="AK74" s="235"/>
      <c r="AL74" s="235"/>
      <c r="AM74" s="235"/>
      <c r="AN74" s="235"/>
      <c r="AO74" s="235"/>
      <c r="AP74" s="235"/>
      <c r="AQ74" s="235"/>
      <c r="AR74" s="235"/>
      <c r="AS74" s="235"/>
      <c r="AT74" s="235"/>
      <c r="AU74" s="235"/>
      <c r="AV74" s="235"/>
      <c r="AW74" s="235"/>
      <c r="AX74" s="235"/>
      <c r="AY74" s="235"/>
      <c r="AZ74" s="235"/>
      <c r="BA74" s="235"/>
      <c r="BB74" s="108"/>
      <c r="BC74" s="108"/>
    </row>
    <row r="75" spans="1:55" ht="16.149999999999999" customHeight="1" x14ac:dyDescent="0.2">
      <c r="A75" s="108"/>
      <c r="B75" s="60" t="str">
        <f>CenAVS!A75</f>
        <v xml:space="preserve">Aventos HK top mocny Tip-on z eurowkrętami    </v>
      </c>
      <c r="C75" s="60" t="str">
        <f>CenAVS!B75</f>
        <v>22K2710T</v>
      </c>
      <c r="D75" s="60" t="str">
        <f>CenAVS!C75</f>
        <v>ZN</v>
      </c>
      <c r="E75" s="536">
        <f>CenAVS!D75</f>
        <v>0</v>
      </c>
      <c r="F75" s="413">
        <f t="shared" si="7"/>
        <v>0</v>
      </c>
      <c r="G75" s="58">
        <f>CenAVS!F75</f>
        <v>201.94534999999999</v>
      </c>
      <c r="H75" s="104">
        <f t="shared" si="8"/>
        <v>0</v>
      </c>
      <c r="I75" s="65"/>
      <c r="J75" s="59">
        <f>CenAVS!I75</f>
        <v>1422889</v>
      </c>
      <c r="K75" s="59">
        <f>CenAVS!J75</f>
        <v>378203</v>
      </c>
      <c r="L75" s="943">
        <f t="shared" si="13"/>
        <v>0</v>
      </c>
      <c r="M75" s="60">
        <f t="shared" si="14"/>
        <v>0</v>
      </c>
      <c r="N75" s="236"/>
      <c r="O75" s="236"/>
      <c r="P75" s="236"/>
      <c r="Q75" s="236"/>
      <c r="R75" s="236"/>
      <c r="S75" s="236"/>
      <c r="T75" s="236"/>
      <c r="U75" s="236"/>
      <c r="V75" s="236"/>
      <c r="W75" s="235"/>
      <c r="X75" s="235"/>
      <c r="Y75" s="235"/>
      <c r="Z75" s="235"/>
      <c r="AA75" s="235"/>
      <c r="AB75" s="235"/>
      <c r="AC75" s="235"/>
      <c r="AD75" s="235"/>
      <c r="AE75" s="235"/>
      <c r="AF75" s="235"/>
      <c r="AG75" s="237">
        <f>HKw!AB30</f>
        <v>0</v>
      </c>
      <c r="AH75" s="237">
        <f>HKwa!AB30</f>
        <v>0</v>
      </c>
      <c r="AI75" s="237">
        <f>HKna!AB30</f>
        <v>0</v>
      </c>
      <c r="AJ75" s="237">
        <f>HKt!AB30</f>
        <v>0</v>
      </c>
      <c r="AK75" s="235"/>
      <c r="AL75" s="235"/>
      <c r="AM75" s="235"/>
      <c r="AN75" s="235"/>
      <c r="AO75" s="235"/>
      <c r="AP75" s="235"/>
      <c r="AQ75" s="235"/>
      <c r="AR75" s="235"/>
      <c r="AS75" s="235"/>
      <c r="AT75" s="235"/>
      <c r="AU75" s="235"/>
      <c r="AV75" s="235"/>
      <c r="AW75" s="235"/>
      <c r="AX75" s="235"/>
      <c r="AY75" s="235"/>
      <c r="AZ75" s="235"/>
      <c r="BA75" s="235"/>
      <c r="BB75" s="108"/>
      <c r="BC75" s="108"/>
    </row>
    <row r="76" spans="1:55" ht="16.149999999999999" customHeight="1" x14ac:dyDescent="0.2">
      <c r="A76" s="108"/>
      <c r="B76" s="60" t="str">
        <f>CenAVS!A76</f>
        <v xml:space="preserve">Aventos HK top najmocniejszy Tip-on z eurowkrętami    </v>
      </c>
      <c r="C76" s="60" t="str">
        <f>CenAVS!B76</f>
        <v>22K2910T</v>
      </c>
      <c r="D76" s="60" t="str">
        <f>CenAVS!C76</f>
        <v>ZN</v>
      </c>
      <c r="E76" s="536">
        <f>CenAVS!D76</f>
        <v>0</v>
      </c>
      <c r="F76" s="413">
        <f t="shared" si="7"/>
        <v>0</v>
      </c>
      <c r="G76" s="58">
        <f>CenAVS!F76</f>
        <v>232.17408</v>
      </c>
      <c r="H76" s="104">
        <f t="shared" si="8"/>
        <v>0</v>
      </c>
      <c r="I76" s="65"/>
      <c r="J76" s="59">
        <f>CenAVS!I76</f>
        <v>7716804</v>
      </c>
      <c r="K76" s="59">
        <f>CenAVS!J76</f>
        <v>378204</v>
      </c>
      <c r="L76" s="943">
        <f t="shared" si="13"/>
        <v>0</v>
      </c>
      <c r="M76" s="60">
        <f t="shared" si="14"/>
        <v>0</v>
      </c>
      <c r="N76" s="236"/>
      <c r="O76" s="236"/>
      <c r="P76" s="236"/>
      <c r="Q76" s="236"/>
      <c r="R76" s="236"/>
      <c r="S76" s="236"/>
      <c r="T76" s="236"/>
      <c r="U76" s="236"/>
      <c r="V76" s="236"/>
      <c r="W76" s="235"/>
      <c r="X76" s="235"/>
      <c r="Y76" s="235"/>
      <c r="Z76" s="235"/>
      <c r="AA76" s="235"/>
      <c r="AB76" s="235"/>
      <c r="AC76" s="235"/>
      <c r="AD76" s="235"/>
      <c r="AE76" s="235"/>
      <c r="AF76" s="235"/>
      <c r="AG76" s="237">
        <f>HKw!AB31</f>
        <v>0</v>
      </c>
      <c r="AH76" s="237">
        <f>HKwa!AB31</f>
        <v>0</v>
      </c>
      <c r="AI76" s="237">
        <f>HKna!AB31</f>
        <v>0</v>
      </c>
      <c r="AJ76" s="237">
        <f>HKt!AB31</f>
        <v>0</v>
      </c>
      <c r="AK76" s="235"/>
      <c r="AL76" s="235"/>
      <c r="AM76" s="235"/>
      <c r="AN76" s="235"/>
      <c r="AO76" s="235"/>
      <c r="AP76" s="235"/>
      <c r="AQ76" s="235"/>
      <c r="AR76" s="235"/>
      <c r="AS76" s="235"/>
      <c r="AT76" s="235"/>
      <c r="AU76" s="235"/>
      <c r="AV76" s="235"/>
      <c r="AW76" s="235"/>
      <c r="AX76" s="235"/>
      <c r="AY76" s="235"/>
      <c r="AZ76" s="235"/>
      <c r="BA76" s="235"/>
      <c r="BB76" s="108"/>
      <c r="BC76" s="108"/>
    </row>
    <row r="77" spans="1:55" ht="16.149999999999999" customHeight="1" x14ac:dyDescent="0.2">
      <c r="A77" s="108"/>
      <c r="B77" s="60" t="str">
        <f>CenAVS!A77</f>
        <v xml:space="preserve">          </v>
      </c>
      <c r="C77" s="60">
        <f>CenAVS!B77</f>
        <v>0</v>
      </c>
      <c r="D77" s="60">
        <f>CenAVS!C77</f>
        <v>0</v>
      </c>
      <c r="E77" s="536">
        <f>CenAVS!D77</f>
        <v>0</v>
      </c>
      <c r="F77" s="413">
        <f t="shared" si="7"/>
        <v>0</v>
      </c>
      <c r="G77" s="58">
        <f>CenAVS!F77</f>
        <v>0</v>
      </c>
      <c r="H77" s="104">
        <f t="shared" si="8"/>
        <v>0</v>
      </c>
      <c r="I77" s="65"/>
      <c r="J77" s="59">
        <f>CenAVS!I77</f>
        <v>0</v>
      </c>
      <c r="K77" s="59">
        <f>CenAVS!J77</f>
        <v>0</v>
      </c>
      <c r="L77" s="943">
        <f t="shared" si="13"/>
        <v>0</v>
      </c>
      <c r="M77" s="60">
        <f t="shared" si="14"/>
        <v>0</v>
      </c>
      <c r="N77" s="236"/>
      <c r="O77" s="236"/>
      <c r="P77" s="236"/>
      <c r="Q77" s="236"/>
      <c r="R77" s="236"/>
      <c r="S77" s="236"/>
      <c r="T77" s="236"/>
      <c r="U77" s="236"/>
      <c r="V77" s="236"/>
      <c r="W77" s="235"/>
      <c r="X77" s="235"/>
      <c r="Y77" s="235"/>
      <c r="Z77" s="235"/>
      <c r="AA77" s="235"/>
      <c r="AB77" s="235"/>
      <c r="AC77" s="235"/>
      <c r="AD77" s="235"/>
      <c r="AE77" s="235"/>
      <c r="AF77" s="235"/>
      <c r="AG77" s="235"/>
      <c r="AH77" s="235"/>
      <c r="AI77" s="235"/>
      <c r="AJ77" s="235"/>
      <c r="AK77" s="235"/>
      <c r="AL77" s="235"/>
      <c r="AM77" s="235"/>
      <c r="AN77" s="235"/>
      <c r="AO77" s="235"/>
      <c r="AP77" s="235"/>
      <c r="AQ77" s="235"/>
      <c r="AR77" s="235"/>
      <c r="AS77" s="235"/>
      <c r="AT77" s="235"/>
      <c r="AU77" s="235"/>
      <c r="AV77" s="235"/>
      <c r="AW77" s="235"/>
      <c r="AX77" s="235"/>
      <c r="AY77" s="235"/>
      <c r="AZ77" s="235"/>
      <c r="BA77" s="239"/>
      <c r="BB77" s="108"/>
      <c r="BC77" s="108"/>
    </row>
    <row r="78" spans="1:55" ht="16.149999999999999" customHeight="1" x14ac:dyDescent="0.2">
      <c r="A78" s="108"/>
      <c r="B78" s="60" t="str">
        <f>CenAVS!A78</f>
        <v xml:space="preserve">mocowanie frontu do HK Top, HS/Top, HL/Top    </v>
      </c>
      <c r="C78" s="60" t="str">
        <f>CenAVS!B78</f>
        <v>20S4200</v>
      </c>
      <c r="D78" s="60" t="str">
        <f>CenAVS!C78</f>
        <v>NI</v>
      </c>
      <c r="E78" s="536">
        <f>CenAVS!D78</f>
        <v>0</v>
      </c>
      <c r="F78" s="413">
        <f t="shared" si="7"/>
        <v>0</v>
      </c>
      <c r="G78" s="58">
        <f>CenAVS!F78</f>
        <v>9.9925899999999999</v>
      </c>
      <c r="H78" s="104">
        <f t="shared" si="8"/>
        <v>0</v>
      </c>
      <c r="I78" s="65"/>
      <c r="J78" s="59">
        <f>CenAVS!I78</f>
        <v>7241746</v>
      </c>
      <c r="K78" s="59">
        <f>CenAVS!J78</f>
        <v>13781</v>
      </c>
      <c r="L78" s="943">
        <f t="shared" si="13"/>
        <v>0</v>
      </c>
      <c r="M78" s="60">
        <f t="shared" si="14"/>
        <v>0</v>
      </c>
      <c r="N78" s="236"/>
      <c r="O78" s="236"/>
      <c r="P78" s="236"/>
      <c r="Q78" s="236"/>
      <c r="R78" s="236"/>
      <c r="S78" s="236"/>
      <c r="T78" s="236"/>
      <c r="U78" s="236"/>
      <c r="V78" s="236"/>
      <c r="W78" s="237">
        <f>HSw!AB29</f>
        <v>0</v>
      </c>
      <c r="X78" s="237">
        <f>HSwa!AB29</f>
        <v>0</v>
      </c>
      <c r="Y78" s="235"/>
      <c r="Z78" s="235"/>
      <c r="AA78" s="235"/>
      <c r="AB78" s="237">
        <f>HLw!$AB32</f>
        <v>0</v>
      </c>
      <c r="AC78" s="237">
        <f>HLwa!$AB32</f>
        <v>0</v>
      </c>
      <c r="AD78" s="235"/>
      <c r="AE78" s="235"/>
      <c r="AF78" s="235"/>
      <c r="AG78" s="237">
        <f>HKw!$AB33</f>
        <v>0</v>
      </c>
      <c r="AH78" s="237">
        <f>HKwa!$AB33</f>
        <v>0</v>
      </c>
      <c r="AI78" s="235"/>
      <c r="AJ78" s="235"/>
      <c r="AK78" s="235"/>
      <c r="AL78" s="235"/>
      <c r="AM78" s="235"/>
      <c r="AN78" s="235"/>
      <c r="AO78" s="235"/>
      <c r="AP78" s="235"/>
      <c r="AQ78" s="235"/>
      <c r="AR78" s="235"/>
      <c r="AS78" s="235"/>
      <c r="AT78" s="235"/>
      <c r="AU78" s="235"/>
      <c r="AV78" s="235"/>
      <c r="AW78" s="235"/>
      <c r="AX78" s="235"/>
      <c r="AY78" s="235"/>
      <c r="AZ78" s="235"/>
      <c r="BA78" s="239"/>
      <c r="BB78" s="108"/>
      <c r="BC78" s="108"/>
    </row>
    <row r="79" spans="1:55" ht="16.149999999999999" customHeight="1" x14ac:dyDescent="0.2">
      <c r="A79" s="108"/>
      <c r="B79" s="60" t="str">
        <f>CenAVS!A79</f>
        <v xml:space="preserve">mocowanie frontu HS, HK top, HL Expando    </v>
      </c>
      <c r="C79" s="60" t="str">
        <f>CenAVS!B79</f>
        <v>20S42E1</v>
      </c>
      <c r="D79" s="60" t="str">
        <f>CenAVS!C79</f>
        <v>NI</v>
      </c>
      <c r="E79" s="536">
        <f>CenAVS!D79</f>
        <v>0</v>
      </c>
      <c r="F79" s="413">
        <f t="shared" si="7"/>
        <v>0</v>
      </c>
      <c r="G79" s="58">
        <f>CenAVS!F79</f>
        <v>6.2138699999999991</v>
      </c>
      <c r="H79" s="104">
        <f t="shared" si="8"/>
        <v>0</v>
      </c>
      <c r="I79" s="65"/>
      <c r="J79" s="59">
        <f>CenAVS!I79</f>
        <v>8860933</v>
      </c>
      <c r="K79" s="59">
        <f>CenAVS!J79</f>
        <v>23789</v>
      </c>
      <c r="L79" s="943">
        <f t="shared" si="13"/>
        <v>0</v>
      </c>
      <c r="M79" s="60">
        <f t="shared" si="14"/>
        <v>0</v>
      </c>
      <c r="N79" s="236"/>
      <c r="O79" s="236"/>
      <c r="P79" s="236"/>
      <c r="Q79" s="236"/>
      <c r="R79" s="236"/>
      <c r="S79" s="236"/>
      <c r="T79" s="236"/>
      <c r="U79" s="236"/>
      <c r="V79" s="236"/>
      <c r="W79" s="237">
        <f>HSw!AB30</f>
        <v>0</v>
      </c>
      <c r="X79" s="235"/>
      <c r="Y79" s="235"/>
      <c r="Z79" s="235"/>
      <c r="AA79" s="235"/>
      <c r="AB79" s="237">
        <f>HLw!$AB33</f>
        <v>0</v>
      </c>
      <c r="AC79" s="235"/>
      <c r="AD79" s="235"/>
      <c r="AE79" s="235"/>
      <c r="AF79" s="235"/>
      <c r="AG79" s="237">
        <f>HKw!$AB34</f>
        <v>0</v>
      </c>
      <c r="AH79" s="235"/>
      <c r="AI79" s="235"/>
      <c r="AJ79" s="235"/>
      <c r="AK79" s="235"/>
      <c r="AL79" s="235"/>
      <c r="AM79" s="235"/>
      <c r="AN79" s="235"/>
      <c r="AO79" s="235"/>
      <c r="AP79" s="235"/>
      <c r="AQ79" s="235"/>
      <c r="AR79" s="235"/>
      <c r="AS79" s="235"/>
      <c r="AT79" s="235"/>
      <c r="AU79" s="235"/>
      <c r="AV79" s="235"/>
      <c r="AW79" s="235"/>
      <c r="AX79" s="235"/>
      <c r="AY79" s="235"/>
      <c r="AZ79" s="235"/>
      <c r="BA79" s="235"/>
      <c r="BB79" s="108"/>
      <c r="BC79" s="108"/>
    </row>
    <row r="80" spans="1:55" ht="16.149999999999999" customHeight="1" x14ac:dyDescent="0.2">
      <c r="A80" s="108"/>
      <c r="B80" s="60" t="str">
        <f>CenAVS!A80</f>
        <v>mocow. frontu do cienkich materiałów Aventos HK, HL, HS, Expando T</v>
      </c>
      <c r="C80" s="60" t="str">
        <f>CenAVS!B80</f>
        <v>20S42T1</v>
      </c>
      <c r="D80" s="60" t="str">
        <f>CenAVS!C80</f>
        <v>NI</v>
      </c>
      <c r="E80" s="536">
        <f>CenAVS!D80</f>
        <v>0</v>
      </c>
      <c r="F80" s="413">
        <f t="shared" si="7"/>
        <v>0</v>
      </c>
      <c r="G80" s="58">
        <f>CenAVS!F80</f>
        <v>31.992830000000005</v>
      </c>
      <c r="H80" s="104">
        <f t="shared" si="8"/>
        <v>0</v>
      </c>
      <c r="I80" s="65"/>
      <c r="J80" s="59">
        <f>CenAVS!I80</f>
        <v>3613770</v>
      </c>
      <c r="K80" s="59">
        <f>CenAVS!J80</f>
        <v>347993</v>
      </c>
      <c r="L80" s="943">
        <f t="shared" si="13"/>
        <v>0</v>
      </c>
      <c r="M80" s="60">
        <f t="shared" si="14"/>
        <v>0</v>
      </c>
      <c r="N80" s="236"/>
      <c r="O80" s="236"/>
      <c r="P80" s="236"/>
      <c r="Q80" s="236"/>
      <c r="R80" s="236"/>
      <c r="S80" s="236"/>
      <c r="T80" s="236"/>
      <c r="U80" s="236"/>
      <c r="V80" s="236"/>
      <c r="W80" s="235"/>
      <c r="X80" s="235"/>
      <c r="Y80" s="235"/>
      <c r="Z80" s="237">
        <f>HSt!AB31</f>
        <v>0</v>
      </c>
      <c r="AA80" s="235"/>
      <c r="AB80" s="235"/>
      <c r="AC80" s="235"/>
      <c r="AD80" s="235"/>
      <c r="AE80" s="237">
        <f>HLt!AB34</f>
        <v>0</v>
      </c>
      <c r="AF80" s="235"/>
      <c r="AG80" s="235"/>
      <c r="AH80" s="235"/>
      <c r="AI80" s="235"/>
      <c r="AJ80" s="237">
        <f>HKt!$AB35</f>
        <v>0</v>
      </c>
      <c r="AK80" s="235"/>
      <c r="AL80" s="235"/>
      <c r="AM80" s="235"/>
      <c r="AN80" s="235"/>
      <c r="AO80" s="235"/>
      <c r="AP80" s="235"/>
      <c r="AQ80" s="235"/>
      <c r="AR80" s="235"/>
      <c r="AS80" s="235"/>
      <c r="AT80" s="235"/>
      <c r="AU80" s="235"/>
      <c r="AV80" s="235"/>
      <c r="AW80" s="235"/>
      <c r="AX80" s="235"/>
      <c r="AY80" s="235"/>
      <c r="AZ80" s="235"/>
      <c r="BA80" s="235"/>
      <c r="BB80" s="108"/>
      <c r="BC80" s="108"/>
    </row>
    <row r="81" spans="1:55" ht="16.149999999999999" customHeight="1" x14ac:dyDescent="0.2">
      <c r="A81" s="108"/>
      <c r="B81" s="60" t="str">
        <f>CenAVS!A81</f>
        <v xml:space="preserve">mocowanie frontu alu HK Top, HS/Top, HL/Top    </v>
      </c>
      <c r="C81" s="60" t="str">
        <f>CenAVS!B81</f>
        <v>20S4200A</v>
      </c>
      <c r="D81" s="60" t="str">
        <f>CenAVS!C81</f>
        <v>NI</v>
      </c>
      <c r="E81" s="536">
        <f>CenAVS!D81</f>
        <v>0</v>
      </c>
      <c r="F81" s="413">
        <f t="shared" si="7"/>
        <v>0</v>
      </c>
      <c r="G81" s="58">
        <f>CenAVS!F81</f>
        <v>43.392219999999995</v>
      </c>
      <c r="H81" s="104">
        <f t="shared" si="8"/>
        <v>0</v>
      </c>
      <c r="I81" s="65"/>
      <c r="J81" s="59">
        <f>CenAVS!I81</f>
        <v>7484703</v>
      </c>
      <c r="K81" s="59">
        <f>CenAVS!J81</f>
        <v>13782</v>
      </c>
      <c r="L81" s="943">
        <f t="shared" si="13"/>
        <v>0</v>
      </c>
      <c r="M81" s="60">
        <f t="shared" si="14"/>
        <v>0</v>
      </c>
      <c r="N81" s="236"/>
      <c r="O81" s="236"/>
      <c r="P81" s="236"/>
      <c r="Q81" s="236"/>
      <c r="R81" s="236"/>
      <c r="S81" s="236"/>
      <c r="T81" s="236"/>
      <c r="U81" s="236"/>
      <c r="V81" s="236"/>
      <c r="W81" s="235"/>
      <c r="X81" s="235"/>
      <c r="Y81" s="237">
        <f>HSna!AB32</f>
        <v>0</v>
      </c>
      <c r="Z81" s="235"/>
      <c r="AA81" s="235"/>
      <c r="AB81" s="235"/>
      <c r="AC81" s="235"/>
      <c r="AD81" s="237">
        <f>HLna!AB35</f>
        <v>0</v>
      </c>
      <c r="AE81" s="235"/>
      <c r="AF81" s="235"/>
      <c r="AG81" s="235"/>
      <c r="AH81" s="235"/>
      <c r="AI81" s="237">
        <f>HKna!$AB36</f>
        <v>0</v>
      </c>
      <c r="AJ81" s="235"/>
      <c r="AK81" s="235"/>
      <c r="AL81" s="235"/>
      <c r="AM81" s="235"/>
      <c r="AN81" s="235"/>
      <c r="AO81" s="235"/>
      <c r="AP81" s="235"/>
      <c r="AQ81" s="235"/>
      <c r="AR81" s="235"/>
      <c r="AS81" s="235"/>
      <c r="AT81" s="235"/>
      <c r="AU81" s="235"/>
      <c r="AV81" s="239"/>
      <c r="AW81" s="239"/>
      <c r="AX81" s="239"/>
      <c r="AY81" s="235"/>
      <c r="AZ81" s="239"/>
      <c r="BA81" s="239"/>
      <c r="BB81" s="108"/>
      <c r="BC81" s="108"/>
    </row>
    <row r="82" spans="1:55" ht="16.149999999999999" customHeight="1" x14ac:dyDescent="0.2">
      <c r="A82" s="108"/>
      <c r="B82" s="60" t="str">
        <f>CenAVS!A82</f>
        <v xml:space="preserve">          </v>
      </c>
      <c r="C82" s="60">
        <f>CenAVS!B82</f>
        <v>0</v>
      </c>
      <c r="D82" s="60">
        <f>CenAVS!C82</f>
        <v>0</v>
      </c>
      <c r="E82" s="536">
        <f>CenAVS!D82</f>
        <v>0</v>
      </c>
      <c r="F82" s="413">
        <f t="shared" si="7"/>
        <v>0</v>
      </c>
      <c r="G82" s="58">
        <f>CenAVS!F82</f>
        <v>0</v>
      </c>
      <c r="H82" s="104">
        <f t="shared" si="8"/>
        <v>0</v>
      </c>
      <c r="I82" s="65"/>
      <c r="J82" s="59">
        <f>CenAVS!I82</f>
        <v>0</v>
      </c>
      <c r="K82" s="59">
        <f>CenAVS!J82</f>
        <v>0</v>
      </c>
      <c r="L82" s="943">
        <f t="shared" si="13"/>
        <v>0</v>
      </c>
      <c r="M82" s="60">
        <f t="shared" si="14"/>
        <v>0</v>
      </c>
      <c r="N82" s="236"/>
      <c r="O82" s="236"/>
      <c r="P82" s="236"/>
      <c r="Q82" s="236"/>
      <c r="R82" s="236"/>
      <c r="S82" s="236"/>
      <c r="T82" s="236"/>
      <c r="U82" s="236"/>
      <c r="V82" s="236"/>
      <c r="W82" s="235"/>
      <c r="X82" s="235"/>
      <c r="Y82" s="235"/>
      <c r="Z82" s="235"/>
      <c r="AA82" s="235"/>
      <c r="AB82" s="235"/>
      <c r="AC82" s="235"/>
      <c r="AD82" s="235"/>
      <c r="AE82" s="235"/>
      <c r="AF82" s="235"/>
      <c r="AG82" s="235"/>
      <c r="AH82" s="235"/>
      <c r="AI82" s="235"/>
      <c r="AJ82" s="235"/>
      <c r="AK82" s="235"/>
      <c r="AL82" s="235"/>
      <c r="AM82" s="235"/>
      <c r="AN82" s="235"/>
      <c r="AO82" s="235"/>
      <c r="AP82" s="235"/>
      <c r="AQ82" s="235"/>
      <c r="AR82" s="235"/>
      <c r="AS82" s="235"/>
      <c r="AT82" s="235"/>
      <c r="AU82" s="235"/>
      <c r="AV82" s="235"/>
      <c r="AW82" s="235"/>
      <c r="AX82" s="235"/>
      <c r="AY82" s="235"/>
      <c r="AZ82" s="235"/>
      <c r="BA82" s="235"/>
      <c r="BB82" s="108"/>
      <c r="BC82" s="108"/>
    </row>
    <row r="83" spans="1:55" ht="16.149999999999999" customHeight="1" x14ac:dyDescent="0.2">
      <c r="A83" s="108"/>
      <c r="B83" s="60" t="str">
        <f>CenAVS!A83</f>
        <v xml:space="preserve">Aventos HK-S słaby jasnoszary, zaślepka      </v>
      </c>
      <c r="C83" s="60" t="str">
        <f>CenAVS!B83</f>
        <v>20K2B00.06</v>
      </c>
      <c r="D83" s="60" t="str">
        <f>CenAVS!C83</f>
        <v>HGIG</v>
      </c>
      <c r="E83" s="536">
        <f>CenAVS!D83</f>
        <v>0</v>
      </c>
      <c r="F83" s="413">
        <f t="shared" ref="F83:F114" si="15">IF(I83&gt;0,I83,SUM(O83:BA83))</f>
        <v>0</v>
      </c>
      <c r="G83" s="58">
        <f>CenAVS!F83</f>
        <v>76.927710000000005</v>
      </c>
      <c r="H83" s="104">
        <f t="shared" si="8"/>
        <v>0</v>
      </c>
      <c r="I83" s="65"/>
      <c r="J83" s="59">
        <f>CenAVS!I83</f>
        <v>7793681</v>
      </c>
      <c r="K83" s="59">
        <f>CenAVS!J83</f>
        <v>231749</v>
      </c>
      <c r="L83" s="943">
        <f t="shared" si="13"/>
        <v>0</v>
      </c>
      <c r="M83" s="60">
        <f t="shared" si="14"/>
        <v>0</v>
      </c>
      <c r="N83" s="236"/>
      <c r="O83" s="236"/>
      <c r="P83" s="236"/>
      <c r="Q83" s="236"/>
      <c r="R83" s="236"/>
      <c r="S83" s="236"/>
      <c r="T83" s="236"/>
      <c r="U83" s="236"/>
      <c r="V83" s="236"/>
      <c r="W83" s="235"/>
      <c r="X83" s="235"/>
      <c r="Y83" s="235"/>
      <c r="Z83" s="235"/>
      <c r="AA83" s="235"/>
      <c r="AB83" s="235"/>
      <c r="AC83" s="235"/>
      <c r="AD83" s="235"/>
      <c r="AE83" s="235"/>
      <c r="AF83" s="235"/>
      <c r="AG83" s="235"/>
      <c r="AH83" s="235"/>
      <c r="AI83" s="235"/>
      <c r="AJ83" s="235"/>
      <c r="AK83" s="235"/>
      <c r="AL83" s="237">
        <f>HKSw!AB9</f>
        <v>0</v>
      </c>
      <c r="AM83" s="237">
        <f>HKSwa!AB9</f>
        <v>0</v>
      </c>
      <c r="AN83" s="237">
        <f>HKSna!AB9</f>
        <v>0</v>
      </c>
      <c r="AO83" s="237">
        <f>HKSt!AB9</f>
        <v>0</v>
      </c>
      <c r="AP83" s="235"/>
      <c r="AQ83" s="235"/>
      <c r="AR83" s="235"/>
      <c r="AS83" s="235"/>
      <c r="AT83" s="235"/>
      <c r="AU83" s="235"/>
      <c r="AV83" s="235"/>
      <c r="AW83" s="235"/>
      <c r="AX83" s="235"/>
      <c r="AY83" s="235"/>
      <c r="AZ83" s="235"/>
      <c r="BA83" s="235"/>
      <c r="BB83" s="108"/>
      <c r="BC83" s="108"/>
    </row>
    <row r="84" spans="1:55" ht="16.149999999999999" customHeight="1" x14ac:dyDescent="0.2">
      <c r="A84" s="108"/>
      <c r="B84" s="60" t="str">
        <f>CenAVS!A84</f>
        <v xml:space="preserve">Aventos HK-S słaby, szary, nowa zaślepka     </v>
      </c>
      <c r="C84" s="60" t="str">
        <f>CenAVS!B84</f>
        <v>20K2B00.06</v>
      </c>
      <c r="D84" s="60" t="str">
        <f>CenAVS!C84</f>
        <v>TGIG</v>
      </c>
      <c r="E84" s="536">
        <f>CenAVS!D84</f>
        <v>0</v>
      </c>
      <c r="F84" s="413">
        <f t="shared" si="15"/>
        <v>0</v>
      </c>
      <c r="G84" s="58">
        <f>CenAVS!F84</f>
        <v>79.448830000000001</v>
      </c>
      <c r="H84" s="104">
        <f t="shared" si="8"/>
        <v>0</v>
      </c>
      <c r="I84" s="65"/>
      <c r="J84" s="59">
        <f>CenAVS!I84</f>
        <v>1314203</v>
      </c>
      <c r="K84" s="59">
        <f>CenAVS!J84</f>
        <v>346195</v>
      </c>
      <c r="L84" s="943">
        <f t="shared" si="13"/>
        <v>0</v>
      </c>
      <c r="M84" s="60">
        <f t="shared" si="14"/>
        <v>0</v>
      </c>
      <c r="N84" s="236"/>
      <c r="O84" s="236"/>
      <c r="P84" s="236"/>
      <c r="Q84" s="236"/>
      <c r="R84" s="236"/>
      <c r="S84" s="236"/>
      <c r="T84" s="236"/>
      <c r="U84" s="236"/>
      <c r="V84" s="236"/>
      <c r="W84" s="235"/>
      <c r="X84" s="235"/>
      <c r="Y84" s="235"/>
      <c r="Z84" s="235"/>
      <c r="AA84" s="235"/>
      <c r="AB84" s="235"/>
      <c r="AC84" s="235"/>
      <c r="AD84" s="235"/>
      <c r="AE84" s="235"/>
      <c r="AF84" s="235"/>
      <c r="AG84" s="235"/>
      <c r="AH84" s="235"/>
      <c r="AI84" s="235"/>
      <c r="AJ84" s="235"/>
      <c r="AK84" s="235"/>
      <c r="AL84" s="237">
        <f>HKSw!AB10</f>
        <v>0</v>
      </c>
      <c r="AM84" s="237">
        <f>HKSwa!AB10</f>
        <v>0</v>
      </c>
      <c r="AN84" s="237">
        <f>HKSna!AB10</f>
        <v>0</v>
      </c>
      <c r="AO84" s="237">
        <f>HKSt!AB10</f>
        <v>0</v>
      </c>
      <c r="AP84" s="235"/>
      <c r="AQ84" s="235"/>
      <c r="AR84" s="235"/>
      <c r="AS84" s="235"/>
      <c r="AT84" s="235"/>
      <c r="AU84" s="235"/>
      <c r="AV84" s="235"/>
      <c r="AW84" s="235"/>
      <c r="AX84" s="235"/>
      <c r="AY84" s="235"/>
      <c r="AZ84" s="235"/>
      <c r="BA84" s="235"/>
      <c r="BB84" s="108"/>
      <c r="BC84" s="108"/>
    </row>
    <row r="85" spans="1:55" ht="16.149999999999999" customHeight="1" x14ac:dyDescent="0.2">
      <c r="A85" s="108"/>
      <c r="B85" s="60" t="str">
        <f>CenAVS!A85</f>
        <v xml:space="preserve">Aventos HK-S słaby jedwabiście biały, zaślepka     </v>
      </c>
      <c r="C85" s="60" t="str">
        <f>CenAVS!B85</f>
        <v>20K2B00.06</v>
      </c>
      <c r="D85" s="60" t="str">
        <f>CenAVS!C85</f>
        <v>SWIG</v>
      </c>
      <c r="E85" s="536">
        <f>CenAVS!D85</f>
        <v>0</v>
      </c>
      <c r="F85" s="413">
        <f t="shared" si="15"/>
        <v>0</v>
      </c>
      <c r="G85" s="58">
        <f>CenAVS!F85</f>
        <v>79.448830000000001</v>
      </c>
      <c r="H85" s="104">
        <f t="shared" si="8"/>
        <v>0</v>
      </c>
      <c r="I85" s="65"/>
      <c r="J85" s="59">
        <f>CenAVS!I85</f>
        <v>8195173</v>
      </c>
      <c r="K85" s="59">
        <f>CenAVS!J85</f>
        <v>231752</v>
      </c>
      <c r="L85" s="943">
        <f t="shared" si="13"/>
        <v>0</v>
      </c>
      <c r="M85" s="60">
        <f t="shared" si="14"/>
        <v>0</v>
      </c>
      <c r="N85" s="236"/>
      <c r="O85" s="236"/>
      <c r="P85" s="236"/>
      <c r="Q85" s="236"/>
      <c r="R85" s="236"/>
      <c r="S85" s="236"/>
      <c r="T85" s="236"/>
      <c r="U85" s="236"/>
      <c r="V85" s="236"/>
      <c r="W85" s="235"/>
      <c r="X85" s="235"/>
      <c r="Y85" s="235"/>
      <c r="Z85" s="235"/>
      <c r="AA85" s="235"/>
      <c r="AB85" s="235"/>
      <c r="AC85" s="235"/>
      <c r="AD85" s="235"/>
      <c r="AE85" s="235"/>
      <c r="AF85" s="235"/>
      <c r="AG85" s="235"/>
      <c r="AH85" s="235"/>
      <c r="AI85" s="235"/>
      <c r="AJ85" s="235"/>
      <c r="AK85" s="235"/>
      <c r="AL85" s="237">
        <f>HKSw!AB11</f>
        <v>0</v>
      </c>
      <c r="AM85" s="237">
        <f>HKSwa!AB11</f>
        <v>0</v>
      </c>
      <c r="AN85" s="237">
        <f>HKSna!AB11</f>
        <v>0</v>
      </c>
      <c r="AO85" s="237">
        <f>HKSt!AB11</f>
        <v>0</v>
      </c>
      <c r="AP85" s="235"/>
      <c r="AQ85" s="235"/>
      <c r="AR85" s="235"/>
      <c r="AS85" s="235"/>
      <c r="AT85" s="235"/>
      <c r="AU85" s="235"/>
      <c r="AV85" s="235"/>
      <c r="AW85" s="235"/>
      <c r="AX85" s="235"/>
      <c r="AY85" s="235"/>
      <c r="AZ85" s="235"/>
      <c r="BA85" s="235"/>
      <c r="BB85" s="108"/>
      <c r="BC85" s="108"/>
    </row>
    <row r="86" spans="1:55" ht="16.149999999999999" customHeight="1" x14ac:dyDescent="0.2">
      <c r="A86" s="108"/>
      <c r="B86" s="60" t="str">
        <f>CenAVS!A86</f>
        <v xml:space="preserve">Aventos HK-S średni jasnoszary, zaślepka      </v>
      </c>
      <c r="C86" s="60" t="str">
        <f>CenAVS!B86</f>
        <v>20K2C00.06</v>
      </c>
      <c r="D86" s="60" t="str">
        <f>CenAVS!C86</f>
        <v>HGIG</v>
      </c>
      <c r="E86" s="536">
        <f>CenAVS!D86</f>
        <v>0</v>
      </c>
      <c r="F86" s="413">
        <f t="shared" si="15"/>
        <v>0</v>
      </c>
      <c r="G86" s="58">
        <f>CenAVS!F86</f>
        <v>82.860640000000004</v>
      </c>
      <c r="H86" s="104">
        <f t="shared" si="8"/>
        <v>0</v>
      </c>
      <c r="I86" s="65"/>
      <c r="J86" s="59">
        <f>CenAVS!I86</f>
        <v>3472109</v>
      </c>
      <c r="K86" s="59">
        <f>CenAVS!J86</f>
        <v>231750</v>
      </c>
      <c r="L86" s="943">
        <f t="shared" si="13"/>
        <v>0</v>
      </c>
      <c r="M86" s="60">
        <f t="shared" si="14"/>
        <v>0</v>
      </c>
      <c r="N86" s="236"/>
      <c r="O86" s="236"/>
      <c r="P86" s="236"/>
      <c r="Q86" s="236"/>
      <c r="R86" s="236"/>
      <c r="S86" s="236"/>
      <c r="T86" s="236"/>
      <c r="U86" s="236"/>
      <c r="V86" s="236"/>
      <c r="W86" s="235"/>
      <c r="X86" s="235"/>
      <c r="Y86" s="235"/>
      <c r="Z86" s="235"/>
      <c r="AA86" s="235"/>
      <c r="AB86" s="235"/>
      <c r="AC86" s="235"/>
      <c r="AD86" s="235"/>
      <c r="AE86" s="235"/>
      <c r="AF86" s="235"/>
      <c r="AG86" s="235"/>
      <c r="AH86" s="235"/>
      <c r="AI86" s="235"/>
      <c r="AJ86" s="235"/>
      <c r="AK86" s="235"/>
      <c r="AL86" s="237">
        <f>HKSw!AB12</f>
        <v>0</v>
      </c>
      <c r="AM86" s="237">
        <f>HKSwa!AB12</f>
        <v>0</v>
      </c>
      <c r="AN86" s="237">
        <f>HKSna!AB12</f>
        <v>0</v>
      </c>
      <c r="AO86" s="237">
        <f>HKSt!AB12</f>
        <v>0</v>
      </c>
      <c r="AP86" s="235"/>
      <c r="AQ86" s="235"/>
      <c r="AR86" s="235"/>
      <c r="AS86" s="235"/>
      <c r="AT86" s="235"/>
      <c r="AU86" s="235"/>
      <c r="AV86" s="235"/>
      <c r="AW86" s="235"/>
      <c r="AX86" s="235"/>
      <c r="AY86" s="235"/>
      <c r="AZ86" s="235"/>
      <c r="BA86" s="235"/>
      <c r="BB86" s="108"/>
      <c r="BC86" s="108"/>
    </row>
    <row r="87" spans="1:55" ht="16.149999999999999" customHeight="1" x14ac:dyDescent="0.2">
      <c r="A87" s="108"/>
      <c r="B87" s="60" t="str">
        <f>CenAVS!A87</f>
        <v xml:space="preserve">Aventos HK-S średni, szary, zaślepka      </v>
      </c>
      <c r="C87" s="60" t="str">
        <f>CenAVS!B87</f>
        <v>20K2C00.06</v>
      </c>
      <c r="D87" s="60" t="str">
        <f>CenAVS!C87</f>
        <v>TGIG</v>
      </c>
      <c r="E87" s="536">
        <f>CenAVS!D87</f>
        <v>0</v>
      </c>
      <c r="F87" s="413">
        <f t="shared" si="15"/>
        <v>0</v>
      </c>
      <c r="G87" s="58">
        <f>CenAVS!F87</f>
        <v>85.38176</v>
      </c>
      <c r="H87" s="104">
        <f t="shared" si="8"/>
        <v>0</v>
      </c>
      <c r="I87" s="65"/>
      <c r="J87" s="59">
        <f>CenAVS!I87</f>
        <v>1834965</v>
      </c>
      <c r="K87" s="59">
        <f>CenAVS!J87</f>
        <v>346199</v>
      </c>
      <c r="L87" s="943">
        <f t="shared" si="13"/>
        <v>0</v>
      </c>
      <c r="M87" s="60">
        <f t="shared" si="14"/>
        <v>0</v>
      </c>
      <c r="N87" s="236"/>
      <c r="O87" s="236"/>
      <c r="P87" s="236"/>
      <c r="Q87" s="236"/>
      <c r="R87" s="236"/>
      <c r="S87" s="236"/>
      <c r="T87" s="236"/>
      <c r="U87" s="236"/>
      <c r="V87" s="236"/>
      <c r="W87" s="235"/>
      <c r="X87" s="235"/>
      <c r="Y87" s="235"/>
      <c r="Z87" s="235"/>
      <c r="AA87" s="235"/>
      <c r="AB87" s="235"/>
      <c r="AC87" s="235"/>
      <c r="AD87" s="235"/>
      <c r="AE87" s="235"/>
      <c r="AF87" s="235"/>
      <c r="AG87" s="235"/>
      <c r="AH87" s="235"/>
      <c r="AI87" s="235"/>
      <c r="AJ87" s="235"/>
      <c r="AK87" s="235"/>
      <c r="AL87" s="237">
        <f>HKSw!AB13</f>
        <v>0</v>
      </c>
      <c r="AM87" s="237">
        <f>HKSwa!AB13</f>
        <v>0</v>
      </c>
      <c r="AN87" s="237">
        <f>HKSna!AB13</f>
        <v>0</v>
      </c>
      <c r="AO87" s="237">
        <f>HKSt!AB13</f>
        <v>0</v>
      </c>
      <c r="AP87" s="235"/>
      <c r="AQ87" s="235"/>
      <c r="AR87" s="235"/>
      <c r="AS87" s="235"/>
      <c r="AT87" s="235"/>
      <c r="AU87" s="235"/>
      <c r="AV87" s="235"/>
      <c r="AW87" s="235"/>
      <c r="AX87" s="235"/>
      <c r="AY87" s="235"/>
      <c r="AZ87" s="235"/>
      <c r="BA87" s="235"/>
      <c r="BB87" s="108"/>
      <c r="BC87" s="108"/>
    </row>
    <row r="88" spans="1:55" ht="16.149999999999999" customHeight="1" x14ac:dyDescent="0.2">
      <c r="A88" s="108"/>
      <c r="B88" s="60" t="str">
        <f>CenAVS!A88</f>
        <v xml:space="preserve">Aventos HK-S średni jedwabiście biały, zaślepka     </v>
      </c>
      <c r="C88" s="60" t="str">
        <f>CenAVS!B88</f>
        <v>20K2C00.06</v>
      </c>
      <c r="D88" s="60" t="str">
        <f>CenAVS!C88</f>
        <v>SWIG</v>
      </c>
      <c r="E88" s="536">
        <f>CenAVS!D88</f>
        <v>0</v>
      </c>
      <c r="F88" s="413">
        <f t="shared" si="15"/>
        <v>0</v>
      </c>
      <c r="G88" s="58">
        <f>CenAVS!F88</f>
        <v>85.38176</v>
      </c>
      <c r="H88" s="104">
        <f t="shared" si="8"/>
        <v>0</v>
      </c>
      <c r="I88" s="65"/>
      <c r="J88" s="59">
        <f>CenAVS!I88</f>
        <v>6816509</v>
      </c>
      <c r="K88" s="59">
        <f>CenAVS!J88</f>
        <v>231753</v>
      </c>
      <c r="L88" s="943">
        <f t="shared" si="13"/>
        <v>0</v>
      </c>
      <c r="M88" s="60">
        <f t="shared" si="14"/>
        <v>0</v>
      </c>
      <c r="N88" s="236"/>
      <c r="O88" s="236"/>
      <c r="P88" s="236"/>
      <c r="Q88" s="236"/>
      <c r="R88" s="236"/>
      <c r="S88" s="236"/>
      <c r="T88" s="236"/>
      <c r="U88" s="236"/>
      <c r="V88" s="236"/>
      <c r="W88" s="235"/>
      <c r="X88" s="235"/>
      <c r="Y88" s="235"/>
      <c r="Z88" s="235"/>
      <c r="AA88" s="235"/>
      <c r="AB88" s="235"/>
      <c r="AC88" s="235"/>
      <c r="AD88" s="235"/>
      <c r="AE88" s="235"/>
      <c r="AF88" s="235"/>
      <c r="AG88" s="235"/>
      <c r="AH88" s="235"/>
      <c r="AI88" s="235"/>
      <c r="AJ88" s="235"/>
      <c r="AK88" s="235"/>
      <c r="AL88" s="237">
        <f>HKSw!AB14</f>
        <v>0</v>
      </c>
      <c r="AM88" s="237">
        <f>HKSwa!AB14</f>
        <v>0</v>
      </c>
      <c r="AN88" s="237">
        <f>HKSna!AB14</f>
        <v>0</v>
      </c>
      <c r="AO88" s="237">
        <f>HKSt!AB14</f>
        <v>0</v>
      </c>
      <c r="AP88" s="235"/>
      <c r="AQ88" s="235"/>
      <c r="AR88" s="235"/>
      <c r="AS88" s="235"/>
      <c r="AT88" s="235"/>
      <c r="AU88" s="235"/>
      <c r="AV88" s="235"/>
      <c r="AW88" s="235"/>
      <c r="AX88" s="235"/>
      <c r="AY88" s="235"/>
      <c r="AZ88" s="235"/>
      <c r="BA88" s="235"/>
      <c r="BB88" s="108"/>
      <c r="BC88" s="108"/>
    </row>
    <row r="89" spans="1:55" ht="16.149999999999999" customHeight="1" x14ac:dyDescent="0.2">
      <c r="A89" s="108"/>
      <c r="B89" s="60" t="str">
        <f>CenAVS!A89</f>
        <v xml:space="preserve">Aventos HK-S mocny jasnoszary, zaślepka      </v>
      </c>
      <c r="C89" s="60" t="str">
        <f>CenAVS!B89</f>
        <v>20K2E00.06</v>
      </c>
      <c r="D89" s="60" t="str">
        <f>CenAVS!C89</f>
        <v>HGIG</v>
      </c>
      <c r="E89" s="536">
        <f>CenAVS!D89</f>
        <v>0</v>
      </c>
      <c r="F89" s="413">
        <f t="shared" si="15"/>
        <v>0</v>
      </c>
      <c r="G89" s="58">
        <f>CenAVS!F89</f>
        <v>82.860640000000004</v>
      </c>
      <c r="H89" s="104">
        <f t="shared" si="8"/>
        <v>0</v>
      </c>
      <c r="I89" s="65"/>
      <c r="J89" s="59">
        <f>CenAVS!I89</f>
        <v>9851106</v>
      </c>
      <c r="K89" s="59">
        <f>CenAVS!J89</f>
        <v>231751</v>
      </c>
      <c r="L89" s="943">
        <f t="shared" si="13"/>
        <v>0</v>
      </c>
      <c r="M89" s="60">
        <f t="shared" si="14"/>
        <v>0</v>
      </c>
      <c r="N89" s="236"/>
      <c r="O89" s="236"/>
      <c r="P89" s="236"/>
      <c r="Q89" s="236"/>
      <c r="R89" s="236"/>
      <c r="S89" s="236"/>
      <c r="T89" s="236"/>
      <c r="U89" s="236"/>
      <c r="V89" s="236"/>
      <c r="W89" s="235"/>
      <c r="X89" s="235"/>
      <c r="Y89" s="235"/>
      <c r="Z89" s="235"/>
      <c r="AA89" s="235"/>
      <c r="AB89" s="235"/>
      <c r="AC89" s="235"/>
      <c r="AD89" s="235"/>
      <c r="AE89" s="235"/>
      <c r="AF89" s="235"/>
      <c r="AG89" s="235"/>
      <c r="AH89" s="235"/>
      <c r="AI89" s="235"/>
      <c r="AJ89" s="235"/>
      <c r="AK89" s="235"/>
      <c r="AL89" s="237">
        <f>HKSw!AB15</f>
        <v>0</v>
      </c>
      <c r="AM89" s="237">
        <f>HKSwa!AB15</f>
        <v>0</v>
      </c>
      <c r="AN89" s="237">
        <f>HKSna!AB15</f>
        <v>0</v>
      </c>
      <c r="AO89" s="237">
        <f>HKSt!AB15</f>
        <v>0</v>
      </c>
      <c r="AP89" s="235"/>
      <c r="AQ89" s="235"/>
      <c r="AR89" s="235"/>
      <c r="AS89" s="235"/>
      <c r="AT89" s="235"/>
      <c r="AU89" s="235"/>
      <c r="AV89" s="235"/>
      <c r="AW89" s="235"/>
      <c r="AX89" s="235"/>
      <c r="AY89" s="235"/>
      <c r="AZ89" s="235"/>
      <c r="BA89" s="235"/>
      <c r="BB89" s="108"/>
      <c r="BC89" s="108"/>
    </row>
    <row r="90" spans="1:55" ht="16.149999999999999" customHeight="1" x14ac:dyDescent="0.2">
      <c r="A90" s="108"/>
      <c r="B90" s="60" t="str">
        <f>CenAVS!A90</f>
        <v xml:space="preserve">Aventos HK-S mocny, szary, nowa zaślepka     </v>
      </c>
      <c r="C90" s="60" t="str">
        <f>CenAVS!B90</f>
        <v>20K2E00.06</v>
      </c>
      <c r="D90" s="60" t="str">
        <f>CenAVS!C90</f>
        <v>TGIG</v>
      </c>
      <c r="E90" s="536">
        <f>CenAVS!D90</f>
        <v>0</v>
      </c>
      <c r="F90" s="413">
        <f t="shared" si="15"/>
        <v>0</v>
      </c>
      <c r="G90" s="58">
        <f>CenAVS!F90</f>
        <v>85.38176</v>
      </c>
      <c r="H90" s="104">
        <f t="shared" si="8"/>
        <v>0</v>
      </c>
      <c r="I90" s="65"/>
      <c r="J90" s="59">
        <f>CenAVS!I90</f>
        <v>9248128</v>
      </c>
      <c r="K90" s="59">
        <f>CenAVS!J90</f>
        <v>346212</v>
      </c>
      <c r="L90" s="943">
        <f t="shared" si="13"/>
        <v>0</v>
      </c>
      <c r="M90" s="60">
        <f t="shared" si="14"/>
        <v>0</v>
      </c>
      <c r="N90" s="236"/>
      <c r="O90" s="236"/>
      <c r="P90" s="236"/>
      <c r="Q90" s="236"/>
      <c r="R90" s="236"/>
      <c r="S90" s="236"/>
      <c r="T90" s="236"/>
      <c r="U90" s="236"/>
      <c r="V90" s="236"/>
      <c r="W90" s="235"/>
      <c r="X90" s="235"/>
      <c r="Y90" s="235"/>
      <c r="Z90" s="235"/>
      <c r="AA90" s="235"/>
      <c r="AB90" s="235"/>
      <c r="AC90" s="235"/>
      <c r="AD90" s="235"/>
      <c r="AE90" s="235"/>
      <c r="AF90" s="235"/>
      <c r="AG90" s="235"/>
      <c r="AH90" s="235"/>
      <c r="AI90" s="235"/>
      <c r="AJ90" s="235"/>
      <c r="AK90" s="235"/>
      <c r="AL90" s="237">
        <f>HKSw!AB16</f>
        <v>0</v>
      </c>
      <c r="AM90" s="237">
        <f>HKSwa!AB16</f>
        <v>0</v>
      </c>
      <c r="AN90" s="237">
        <f>HKSna!AB16</f>
        <v>0</v>
      </c>
      <c r="AO90" s="237">
        <f>HKSt!AB16</f>
        <v>0</v>
      </c>
      <c r="AP90" s="235"/>
      <c r="AQ90" s="235"/>
      <c r="AR90" s="235"/>
      <c r="AS90" s="235"/>
      <c r="AT90" s="235"/>
      <c r="AU90" s="235"/>
      <c r="AV90" s="235"/>
      <c r="AW90" s="235"/>
      <c r="AX90" s="235"/>
      <c r="AY90" s="235"/>
      <c r="AZ90" s="235"/>
      <c r="BA90" s="235"/>
      <c r="BB90" s="108"/>
      <c r="BC90" s="108"/>
    </row>
    <row r="91" spans="1:55" ht="16.149999999999999" customHeight="1" x14ac:dyDescent="0.2">
      <c r="A91" s="108"/>
      <c r="B91" s="60" t="str">
        <f>CenAVS!A91</f>
        <v xml:space="preserve">Aventos HK-S mocny jedwabiście biały      </v>
      </c>
      <c r="C91" s="60" t="str">
        <f>CenAVS!B91</f>
        <v>20K2E00.06</v>
      </c>
      <c r="D91" s="60" t="str">
        <f>CenAVS!C91</f>
        <v>SWIG</v>
      </c>
      <c r="E91" s="536">
        <f>CenAVS!D91</f>
        <v>0</v>
      </c>
      <c r="F91" s="413">
        <f t="shared" si="15"/>
        <v>0</v>
      </c>
      <c r="G91" s="58">
        <f>CenAVS!F91</f>
        <v>85.38176</v>
      </c>
      <c r="H91" s="104">
        <f t="shared" si="8"/>
        <v>0</v>
      </c>
      <c r="I91" s="65"/>
      <c r="J91" s="59">
        <f>CenAVS!I91</f>
        <v>3420861</v>
      </c>
      <c r="K91" s="59">
        <f>CenAVS!J91</f>
        <v>231754</v>
      </c>
      <c r="L91" s="943">
        <f t="shared" si="13"/>
        <v>0</v>
      </c>
      <c r="M91" s="60">
        <f t="shared" si="14"/>
        <v>0</v>
      </c>
      <c r="N91" s="236"/>
      <c r="O91" s="236"/>
      <c r="P91" s="236"/>
      <c r="Q91" s="236"/>
      <c r="R91" s="236"/>
      <c r="S91" s="236"/>
      <c r="T91" s="236"/>
      <c r="U91" s="236"/>
      <c r="V91" s="236"/>
      <c r="W91" s="235"/>
      <c r="X91" s="235"/>
      <c r="Y91" s="235"/>
      <c r="Z91" s="235"/>
      <c r="AA91" s="235"/>
      <c r="AB91" s="235"/>
      <c r="AC91" s="235"/>
      <c r="AD91" s="235"/>
      <c r="AE91" s="235"/>
      <c r="AF91" s="235"/>
      <c r="AG91" s="235"/>
      <c r="AH91" s="235"/>
      <c r="AI91" s="235"/>
      <c r="AJ91" s="235"/>
      <c r="AK91" s="235"/>
      <c r="AL91" s="237">
        <f>HKSw!AB17</f>
        <v>0</v>
      </c>
      <c r="AM91" s="237">
        <f>HKSwa!AB17</f>
        <v>0</v>
      </c>
      <c r="AN91" s="237">
        <f>HKSna!AB17</f>
        <v>0</v>
      </c>
      <c r="AO91" s="237">
        <f>HKSt!AB17</f>
        <v>0</v>
      </c>
      <c r="AP91" s="235"/>
      <c r="AQ91" s="235"/>
      <c r="AR91" s="235"/>
      <c r="AS91" s="235"/>
      <c r="AT91" s="235"/>
      <c r="AU91" s="235"/>
      <c r="AV91" s="235"/>
      <c r="AW91" s="235"/>
      <c r="AX91" s="235"/>
      <c r="AY91" s="235"/>
      <c r="AZ91" s="235"/>
      <c r="BA91" s="235"/>
      <c r="BB91" s="108"/>
      <c r="BC91" s="108"/>
    </row>
    <row r="92" spans="1:55" ht="16.149999999999999" customHeight="1" x14ac:dyDescent="0.2">
      <c r="A92" s="108"/>
      <c r="B92" s="60" t="str">
        <f>CenAVS!A92</f>
        <v xml:space="preserve">          </v>
      </c>
      <c r="C92" s="60">
        <f>CenAVS!B92</f>
        <v>0</v>
      </c>
      <c r="D92" s="60">
        <f>CenAVS!C92</f>
        <v>0</v>
      </c>
      <c r="E92" s="536">
        <f>CenAVS!D92</f>
        <v>0</v>
      </c>
      <c r="F92" s="413">
        <f t="shared" si="15"/>
        <v>0</v>
      </c>
      <c r="G92" s="58">
        <f>CenAVS!F92</f>
        <v>0</v>
      </c>
      <c r="H92" s="104">
        <f t="shared" si="8"/>
        <v>0</v>
      </c>
      <c r="I92" s="65"/>
      <c r="J92" s="59">
        <f>CenAVS!I92</f>
        <v>0</v>
      </c>
      <c r="K92" s="59">
        <f>CenAVS!J92</f>
        <v>0</v>
      </c>
      <c r="L92" s="943">
        <f t="shared" si="13"/>
        <v>0</v>
      </c>
      <c r="M92" s="60">
        <f t="shared" si="14"/>
        <v>0</v>
      </c>
      <c r="N92" s="236"/>
      <c r="O92" s="236"/>
      <c r="P92" s="236"/>
      <c r="Q92" s="236"/>
      <c r="R92" s="236"/>
      <c r="S92" s="236"/>
      <c r="T92" s="236"/>
      <c r="U92" s="236"/>
      <c r="V92" s="236"/>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5"/>
      <c r="BA92" s="235"/>
      <c r="BB92" s="108"/>
      <c r="BC92" s="108"/>
    </row>
    <row r="93" spans="1:55" ht="16.149999999999999" customHeight="1" x14ac:dyDescent="0.2">
      <c r="A93" s="108"/>
      <c r="B93" s="60" t="str">
        <f>CenAVS!A93</f>
        <v xml:space="preserve">Aventos HK-S Tip-on słaby jasnoszary bez Tip-on krytka   </v>
      </c>
      <c r="C93" s="60" t="str">
        <f>CenAVS!B93</f>
        <v>20K2B00T06</v>
      </c>
      <c r="D93" s="60" t="str">
        <f>CenAVS!C93</f>
        <v>HGIG</v>
      </c>
      <c r="E93" s="536">
        <f>CenAVS!D93</f>
        <v>0</v>
      </c>
      <c r="F93" s="413">
        <f t="shared" si="15"/>
        <v>0</v>
      </c>
      <c r="G93" s="58">
        <f>CenAVS!F93</f>
        <v>77.645600000000002</v>
      </c>
      <c r="H93" s="104">
        <f t="shared" si="8"/>
        <v>0</v>
      </c>
      <c r="I93" s="65"/>
      <c r="J93" s="59">
        <f>CenAVS!I93</f>
        <v>2133123</v>
      </c>
      <c r="K93" s="59">
        <f>CenAVS!J93</f>
        <v>393971</v>
      </c>
      <c r="L93" s="943">
        <f t="shared" si="13"/>
        <v>0</v>
      </c>
      <c r="M93" s="60">
        <f t="shared" si="14"/>
        <v>0</v>
      </c>
      <c r="N93" s="236"/>
      <c r="O93" s="236"/>
      <c r="P93" s="236"/>
      <c r="Q93" s="236"/>
      <c r="R93" s="236"/>
      <c r="S93" s="236"/>
      <c r="T93" s="236"/>
      <c r="U93" s="236"/>
      <c r="V93" s="236"/>
      <c r="W93" s="235"/>
      <c r="X93" s="235"/>
      <c r="Y93" s="235"/>
      <c r="Z93" s="235"/>
      <c r="AA93" s="235"/>
      <c r="AB93" s="235"/>
      <c r="AC93" s="235"/>
      <c r="AD93" s="235"/>
      <c r="AE93" s="235"/>
      <c r="AF93" s="235"/>
      <c r="AG93" s="235"/>
      <c r="AH93" s="235"/>
      <c r="AI93" s="235"/>
      <c r="AJ93" s="235"/>
      <c r="AK93" s="235"/>
      <c r="AL93" s="237">
        <f>HKSw!AB19</f>
        <v>0</v>
      </c>
      <c r="AM93" s="237">
        <f>HKSwa!AB19</f>
        <v>0</v>
      </c>
      <c r="AN93" s="237">
        <f>HKSna!AB19</f>
        <v>0</v>
      </c>
      <c r="AO93" s="237">
        <f>HKSt!AB19</f>
        <v>0</v>
      </c>
      <c r="AP93" s="235"/>
      <c r="AQ93" s="235"/>
      <c r="AR93" s="235"/>
      <c r="AS93" s="235"/>
      <c r="AT93" s="235"/>
      <c r="AU93" s="235"/>
      <c r="AV93" s="235"/>
      <c r="AW93" s="235"/>
      <c r="AX93" s="235"/>
      <c r="AY93" s="235"/>
      <c r="AZ93" s="235"/>
      <c r="BA93" s="235"/>
      <c r="BB93" s="108"/>
      <c r="BC93" s="108"/>
    </row>
    <row r="94" spans="1:55" ht="16.149999999999999" customHeight="1" x14ac:dyDescent="0.2">
      <c r="A94" s="108"/>
      <c r="B94" s="60" t="str">
        <f>CenAVS!A94</f>
        <v xml:space="preserve">Aventos HK-S Tip-on słaby ciemnoszary bez Tip-on zaślepka   </v>
      </c>
      <c r="C94" s="60" t="str">
        <f>CenAVS!B94</f>
        <v>20K2B00T06</v>
      </c>
      <c r="D94" s="60" t="str">
        <f>CenAVS!C94</f>
        <v>TGIG</v>
      </c>
      <c r="E94" s="536">
        <f>CenAVS!D94</f>
        <v>0</v>
      </c>
      <c r="F94" s="413">
        <f t="shared" si="15"/>
        <v>0</v>
      </c>
      <c r="G94" s="58">
        <f>CenAVS!F94</f>
        <v>80.166719999999998</v>
      </c>
      <c r="H94" s="104">
        <f t="shared" si="8"/>
        <v>0</v>
      </c>
      <c r="I94" s="65"/>
      <c r="J94" s="59">
        <f>CenAVS!I94</f>
        <v>9870309</v>
      </c>
      <c r="K94" s="59">
        <f>CenAVS!J94</f>
        <v>393972</v>
      </c>
      <c r="L94" s="943">
        <f t="shared" si="13"/>
        <v>0</v>
      </c>
      <c r="M94" s="60">
        <f t="shared" si="14"/>
        <v>0</v>
      </c>
      <c r="N94" s="236"/>
      <c r="O94" s="236"/>
      <c r="P94" s="236"/>
      <c r="Q94" s="236"/>
      <c r="R94" s="236"/>
      <c r="S94" s="236"/>
      <c r="T94" s="236"/>
      <c r="U94" s="236"/>
      <c r="V94" s="236"/>
      <c r="W94" s="235"/>
      <c r="X94" s="235"/>
      <c r="Y94" s="235"/>
      <c r="Z94" s="235"/>
      <c r="AA94" s="235"/>
      <c r="AB94" s="235"/>
      <c r="AC94" s="235"/>
      <c r="AD94" s="235"/>
      <c r="AE94" s="235"/>
      <c r="AF94" s="235"/>
      <c r="AG94" s="235"/>
      <c r="AH94" s="235"/>
      <c r="AI94" s="235"/>
      <c r="AJ94" s="235"/>
      <c r="AK94" s="235"/>
      <c r="AL94" s="237">
        <f>HKSw!AB20</f>
        <v>0</v>
      </c>
      <c r="AM94" s="237">
        <f>HKSwa!AB20</f>
        <v>0</v>
      </c>
      <c r="AN94" s="237">
        <f>HKSna!AB20</f>
        <v>0</v>
      </c>
      <c r="AO94" s="237">
        <f>HKSt!AB20</f>
        <v>0</v>
      </c>
      <c r="AP94" s="235"/>
      <c r="AQ94" s="235"/>
      <c r="AR94" s="235"/>
      <c r="AS94" s="235"/>
      <c r="AT94" s="235"/>
      <c r="AU94" s="235"/>
      <c r="AV94" s="235"/>
      <c r="AW94" s="235"/>
      <c r="AX94" s="235"/>
      <c r="AY94" s="235"/>
      <c r="AZ94" s="235"/>
      <c r="BA94" s="235"/>
      <c r="BB94" s="108"/>
      <c r="BC94" s="108"/>
    </row>
    <row r="95" spans="1:55" ht="16.149999999999999" customHeight="1" x14ac:dyDescent="0.2">
      <c r="A95" s="108"/>
      <c r="B95" s="60" t="str">
        <f>CenAVS!A95</f>
        <v xml:space="preserve">Aventos HK-S Tip-on słaby jedwabiście biały     </v>
      </c>
      <c r="C95" s="60" t="str">
        <f>CenAVS!B95</f>
        <v>20K2B00T06</v>
      </c>
      <c r="D95" s="60" t="str">
        <f>CenAVS!C95</f>
        <v>SWIG</v>
      </c>
      <c r="E95" s="536">
        <f>CenAVS!D95</f>
        <v>0</v>
      </c>
      <c r="F95" s="413">
        <f t="shared" si="15"/>
        <v>0</v>
      </c>
      <c r="G95" s="58">
        <f>CenAVS!F95</f>
        <v>80.166719999999998</v>
      </c>
      <c r="H95" s="104">
        <f t="shared" si="8"/>
        <v>0</v>
      </c>
      <c r="I95" s="65"/>
      <c r="J95" s="59">
        <f>CenAVS!I95</f>
        <v>1449278</v>
      </c>
      <c r="K95" s="59">
        <f>CenAVS!J95</f>
        <v>393973</v>
      </c>
      <c r="L95" s="943">
        <f t="shared" si="13"/>
        <v>0</v>
      </c>
      <c r="M95" s="60">
        <f t="shared" si="14"/>
        <v>0</v>
      </c>
      <c r="N95" s="236"/>
      <c r="O95" s="236"/>
      <c r="P95" s="236"/>
      <c r="Q95" s="236"/>
      <c r="R95" s="236"/>
      <c r="S95" s="236"/>
      <c r="T95" s="236"/>
      <c r="U95" s="236"/>
      <c r="V95" s="236"/>
      <c r="W95" s="235"/>
      <c r="X95" s="235"/>
      <c r="Y95" s="235"/>
      <c r="Z95" s="235"/>
      <c r="AA95" s="235"/>
      <c r="AB95" s="235"/>
      <c r="AC95" s="235"/>
      <c r="AD95" s="235"/>
      <c r="AE95" s="235"/>
      <c r="AF95" s="235"/>
      <c r="AG95" s="235"/>
      <c r="AH95" s="235"/>
      <c r="AI95" s="235"/>
      <c r="AJ95" s="235"/>
      <c r="AK95" s="235"/>
      <c r="AL95" s="237">
        <f>HKSw!AB21</f>
        <v>0</v>
      </c>
      <c r="AM95" s="237">
        <f>HKSwa!AB21</f>
        <v>0</v>
      </c>
      <c r="AN95" s="237">
        <f>HKSna!AB21</f>
        <v>0</v>
      </c>
      <c r="AO95" s="237">
        <f>HKSt!AB21</f>
        <v>0</v>
      </c>
      <c r="AP95" s="235"/>
      <c r="AQ95" s="235"/>
      <c r="AR95" s="235"/>
      <c r="AS95" s="235"/>
      <c r="AT95" s="235"/>
      <c r="AU95" s="235"/>
      <c r="AV95" s="235"/>
      <c r="AW95" s="235"/>
      <c r="AX95" s="235"/>
      <c r="AY95" s="235"/>
      <c r="AZ95" s="235"/>
      <c r="BA95" s="235"/>
      <c r="BB95" s="108"/>
      <c r="BC95" s="108"/>
    </row>
    <row r="96" spans="1:55" ht="16.149999999999999" customHeight="1" x14ac:dyDescent="0.2">
      <c r="A96" s="108"/>
      <c r="B96" s="60" t="str">
        <f>CenAVS!A96</f>
        <v xml:space="preserve">Aventos HK-S Tip-on średni jasnoszary bez Tip-on zaślepka   </v>
      </c>
      <c r="C96" s="60" t="str">
        <f>CenAVS!B96</f>
        <v>20K2C00T06</v>
      </c>
      <c r="D96" s="60" t="str">
        <f>CenAVS!C96</f>
        <v>HGIG</v>
      </c>
      <c r="E96" s="536">
        <f>CenAVS!D96</f>
        <v>0</v>
      </c>
      <c r="F96" s="413">
        <f t="shared" si="15"/>
        <v>0</v>
      </c>
      <c r="G96" s="58">
        <f>CenAVS!F96</f>
        <v>84.296419999999998</v>
      </c>
      <c r="H96" s="104">
        <f t="shared" si="8"/>
        <v>0</v>
      </c>
      <c r="I96" s="65"/>
      <c r="J96" s="59">
        <f>CenAVS!I96</f>
        <v>6990853</v>
      </c>
      <c r="K96" s="59">
        <f>CenAVS!J96</f>
        <v>393975</v>
      </c>
      <c r="L96" s="943">
        <f t="shared" si="13"/>
        <v>0</v>
      </c>
      <c r="M96" s="60">
        <f t="shared" si="14"/>
        <v>0</v>
      </c>
      <c r="N96" s="236"/>
      <c r="O96" s="236"/>
      <c r="P96" s="236"/>
      <c r="Q96" s="236"/>
      <c r="R96" s="236"/>
      <c r="S96" s="236"/>
      <c r="T96" s="236"/>
      <c r="U96" s="236"/>
      <c r="V96" s="236"/>
      <c r="W96" s="235"/>
      <c r="X96" s="235"/>
      <c r="Y96" s="235"/>
      <c r="Z96" s="235"/>
      <c r="AA96" s="235"/>
      <c r="AB96" s="235"/>
      <c r="AC96" s="235"/>
      <c r="AD96" s="235"/>
      <c r="AE96" s="235"/>
      <c r="AF96" s="235"/>
      <c r="AG96" s="235"/>
      <c r="AH96" s="235"/>
      <c r="AI96" s="235"/>
      <c r="AJ96" s="235"/>
      <c r="AK96" s="235"/>
      <c r="AL96" s="237">
        <f>HKSw!AB22</f>
        <v>0</v>
      </c>
      <c r="AM96" s="237">
        <f>HKSwa!AB22</f>
        <v>0</v>
      </c>
      <c r="AN96" s="237">
        <f>HKSna!AB22</f>
        <v>0</v>
      </c>
      <c r="AO96" s="237">
        <f>HKSt!AB22</f>
        <v>0</v>
      </c>
      <c r="AP96" s="235"/>
      <c r="AQ96" s="235"/>
      <c r="AR96" s="235"/>
      <c r="AS96" s="235"/>
      <c r="AT96" s="235"/>
      <c r="AU96" s="235"/>
      <c r="AV96" s="235"/>
      <c r="AW96" s="235"/>
      <c r="AX96" s="235"/>
      <c r="AY96" s="235"/>
      <c r="AZ96" s="235"/>
      <c r="BA96" s="235"/>
      <c r="BB96" s="108"/>
      <c r="BC96" s="108"/>
    </row>
    <row r="97" spans="1:55" ht="16.149999999999999" customHeight="1" x14ac:dyDescent="0.2">
      <c r="A97" s="108"/>
      <c r="B97" s="60" t="str">
        <f>CenAVS!A97</f>
        <v xml:space="preserve">Aventos HK-S Tip-on średni ciemnoszary bez Tip-on zaślepka   </v>
      </c>
      <c r="C97" s="60" t="str">
        <f>CenAVS!B97</f>
        <v>20K2C00T06</v>
      </c>
      <c r="D97" s="60" t="str">
        <f>CenAVS!C97</f>
        <v>TGIG</v>
      </c>
      <c r="E97" s="536">
        <f>CenAVS!D97</f>
        <v>0</v>
      </c>
      <c r="F97" s="413">
        <f t="shared" si="15"/>
        <v>0</v>
      </c>
      <c r="G97" s="58">
        <f>CenAVS!F97</f>
        <v>86.817539999999994</v>
      </c>
      <c r="H97" s="104">
        <f t="shared" si="8"/>
        <v>0</v>
      </c>
      <c r="I97" s="65"/>
      <c r="J97" s="59">
        <f>CenAVS!I97</f>
        <v>3405617</v>
      </c>
      <c r="K97" s="59">
        <f>CenAVS!J97</f>
        <v>393976</v>
      </c>
      <c r="L97" s="943">
        <f t="shared" si="13"/>
        <v>0</v>
      </c>
      <c r="M97" s="60">
        <f t="shared" si="14"/>
        <v>0</v>
      </c>
      <c r="N97" s="236"/>
      <c r="O97" s="236"/>
      <c r="P97" s="236"/>
      <c r="Q97" s="236"/>
      <c r="R97" s="236"/>
      <c r="S97" s="236"/>
      <c r="T97" s="236"/>
      <c r="U97" s="236"/>
      <c r="V97" s="236"/>
      <c r="W97" s="235"/>
      <c r="X97" s="235"/>
      <c r="Y97" s="235"/>
      <c r="Z97" s="235"/>
      <c r="AA97" s="235"/>
      <c r="AB97" s="235"/>
      <c r="AC97" s="235"/>
      <c r="AD97" s="235"/>
      <c r="AE97" s="235"/>
      <c r="AF97" s="235"/>
      <c r="AG97" s="235"/>
      <c r="AH97" s="235"/>
      <c r="AI97" s="235"/>
      <c r="AJ97" s="235"/>
      <c r="AK97" s="235"/>
      <c r="AL97" s="237">
        <f>HKSw!AB23</f>
        <v>0</v>
      </c>
      <c r="AM97" s="237">
        <f>HKSwa!AB23</f>
        <v>0</v>
      </c>
      <c r="AN97" s="237">
        <f>HKSna!AB23</f>
        <v>0</v>
      </c>
      <c r="AO97" s="237">
        <f>HKSt!AB23</f>
        <v>0</v>
      </c>
      <c r="AP97" s="235"/>
      <c r="AQ97" s="235"/>
      <c r="AR97" s="235"/>
      <c r="AS97" s="235"/>
      <c r="AT97" s="235"/>
      <c r="AU97" s="235"/>
      <c r="AV97" s="235"/>
      <c r="AW97" s="235"/>
      <c r="AX97" s="235"/>
      <c r="AY97" s="235"/>
      <c r="AZ97" s="235"/>
      <c r="BA97" s="235"/>
      <c r="BB97" s="108"/>
      <c r="BC97" s="108"/>
    </row>
    <row r="98" spans="1:55" ht="16.149999999999999" customHeight="1" x14ac:dyDescent="0.2">
      <c r="A98" s="108"/>
      <c r="B98" s="60" t="str">
        <f>CenAVS!A98</f>
        <v xml:space="preserve">Aventos HK-S Tip-on średni biały bez Tip-On zaślepka   </v>
      </c>
      <c r="C98" s="60" t="str">
        <f>CenAVS!B98</f>
        <v>20K2C00T06</v>
      </c>
      <c r="D98" s="60" t="str">
        <f>CenAVS!C98</f>
        <v>SWIG</v>
      </c>
      <c r="E98" s="536">
        <f>CenAVS!D98</f>
        <v>0</v>
      </c>
      <c r="F98" s="413">
        <f t="shared" si="15"/>
        <v>0</v>
      </c>
      <c r="G98" s="58">
        <f>CenAVS!F98</f>
        <v>86.817539999999994</v>
      </c>
      <c r="H98" s="104">
        <f t="shared" si="8"/>
        <v>0</v>
      </c>
      <c r="I98" s="65"/>
      <c r="J98" s="59">
        <f>CenAVS!I98</f>
        <v>7769517</v>
      </c>
      <c r="K98" s="59">
        <f>CenAVS!J98</f>
        <v>393977</v>
      </c>
      <c r="L98" s="943">
        <f t="shared" si="13"/>
        <v>0</v>
      </c>
      <c r="M98" s="60">
        <f t="shared" si="14"/>
        <v>0</v>
      </c>
      <c r="N98" s="236"/>
      <c r="O98" s="236"/>
      <c r="P98" s="236"/>
      <c r="Q98" s="236"/>
      <c r="R98" s="236"/>
      <c r="S98" s="236"/>
      <c r="T98" s="236"/>
      <c r="U98" s="236"/>
      <c r="V98" s="236"/>
      <c r="W98" s="235"/>
      <c r="X98" s="235"/>
      <c r="Y98" s="235"/>
      <c r="Z98" s="235"/>
      <c r="AA98" s="235"/>
      <c r="AB98" s="235"/>
      <c r="AC98" s="235"/>
      <c r="AD98" s="235"/>
      <c r="AE98" s="235"/>
      <c r="AF98" s="235"/>
      <c r="AG98" s="235"/>
      <c r="AH98" s="235"/>
      <c r="AI98" s="235"/>
      <c r="AJ98" s="235"/>
      <c r="AK98" s="235"/>
      <c r="AL98" s="237">
        <f>HKSw!AB24</f>
        <v>0</v>
      </c>
      <c r="AM98" s="237">
        <f>HKSwa!AB24</f>
        <v>0</v>
      </c>
      <c r="AN98" s="237">
        <f>HKSna!AB24</f>
        <v>0</v>
      </c>
      <c r="AO98" s="237">
        <f>HKSt!AB24</f>
        <v>0</v>
      </c>
      <c r="AP98" s="235"/>
      <c r="AQ98" s="235"/>
      <c r="AR98" s="235"/>
      <c r="AS98" s="235"/>
      <c r="AT98" s="235"/>
      <c r="AU98" s="235"/>
      <c r="AV98" s="235"/>
      <c r="AW98" s="235"/>
      <c r="AX98" s="235"/>
      <c r="AY98" s="235"/>
      <c r="AZ98" s="235"/>
      <c r="BA98" s="235"/>
      <c r="BB98" s="108"/>
      <c r="BC98" s="108"/>
    </row>
    <row r="99" spans="1:55" ht="16.149999999999999" customHeight="1" x14ac:dyDescent="0.2">
      <c r="A99" s="108"/>
      <c r="B99" s="60" t="str">
        <f>CenAVS!A99</f>
        <v xml:space="preserve">Aventos HK-S Tip-on mocny jasnoszary bez Tip-on zaślepka   </v>
      </c>
      <c r="C99" s="60" t="str">
        <f>CenAVS!B99</f>
        <v>20K2E00T06</v>
      </c>
      <c r="D99" s="60" t="str">
        <f>CenAVS!C99</f>
        <v>HGIG</v>
      </c>
      <c r="E99" s="536">
        <f>CenAVS!D99</f>
        <v>0</v>
      </c>
      <c r="F99" s="413">
        <f t="shared" si="15"/>
        <v>0</v>
      </c>
      <c r="G99" s="58">
        <f>CenAVS!F99</f>
        <v>84.296419999999998</v>
      </c>
      <c r="H99" s="104">
        <f t="shared" si="8"/>
        <v>0</v>
      </c>
      <c r="I99" s="65"/>
      <c r="J99" s="59">
        <f>CenAVS!I99</f>
        <v>5494621</v>
      </c>
      <c r="K99" s="59">
        <f>CenAVS!J99</f>
        <v>393979</v>
      </c>
      <c r="L99" s="943">
        <f t="shared" si="13"/>
        <v>0</v>
      </c>
      <c r="M99" s="60">
        <f t="shared" si="14"/>
        <v>0</v>
      </c>
      <c r="N99" s="236"/>
      <c r="O99" s="236"/>
      <c r="P99" s="236"/>
      <c r="Q99" s="236"/>
      <c r="R99" s="236"/>
      <c r="S99" s="236"/>
      <c r="T99" s="236"/>
      <c r="U99" s="236"/>
      <c r="V99" s="236"/>
      <c r="W99" s="235"/>
      <c r="X99" s="235"/>
      <c r="Y99" s="235"/>
      <c r="Z99" s="235"/>
      <c r="AA99" s="235"/>
      <c r="AB99" s="235"/>
      <c r="AC99" s="235"/>
      <c r="AD99" s="235"/>
      <c r="AE99" s="235"/>
      <c r="AF99" s="235"/>
      <c r="AG99" s="235"/>
      <c r="AH99" s="235"/>
      <c r="AI99" s="235"/>
      <c r="AJ99" s="235"/>
      <c r="AK99" s="235"/>
      <c r="AL99" s="237">
        <f>HKSw!AB25</f>
        <v>0</v>
      </c>
      <c r="AM99" s="237">
        <f>HKSwa!AB25</f>
        <v>0</v>
      </c>
      <c r="AN99" s="237">
        <f>HKSna!AB25</f>
        <v>0</v>
      </c>
      <c r="AO99" s="237">
        <f>HKSt!AB25</f>
        <v>0</v>
      </c>
      <c r="AP99" s="235"/>
      <c r="AQ99" s="235"/>
      <c r="AR99" s="235"/>
      <c r="AS99" s="235"/>
      <c r="AT99" s="235"/>
      <c r="AU99" s="235"/>
      <c r="AV99" s="235"/>
      <c r="AW99" s="235"/>
      <c r="AX99" s="235"/>
      <c r="AY99" s="235"/>
      <c r="AZ99" s="235"/>
      <c r="BA99" s="235"/>
      <c r="BB99" s="108"/>
      <c r="BC99" s="108"/>
    </row>
    <row r="100" spans="1:55" ht="16.149999999999999" customHeight="1" x14ac:dyDescent="0.2">
      <c r="A100" s="108"/>
      <c r="B100" s="60" t="str">
        <f>CenAVS!A100</f>
        <v xml:space="preserve">Aventos HK-S Tip-on mocny ciemnoszary bez Tip-on zaślepka   </v>
      </c>
      <c r="C100" s="60" t="str">
        <f>CenAVS!B100</f>
        <v>20K2E00T06</v>
      </c>
      <c r="D100" s="60" t="str">
        <f>CenAVS!C100</f>
        <v>TGIG</v>
      </c>
      <c r="E100" s="536">
        <f>CenAVS!D100</f>
        <v>0</v>
      </c>
      <c r="F100" s="413">
        <f t="shared" si="15"/>
        <v>0</v>
      </c>
      <c r="G100" s="58">
        <f>CenAVS!F100</f>
        <v>86.817539999999994</v>
      </c>
      <c r="H100" s="104">
        <f t="shared" si="8"/>
        <v>0</v>
      </c>
      <c r="I100" s="65"/>
      <c r="J100" s="59">
        <f>CenAVS!I100</f>
        <v>9373568</v>
      </c>
      <c r="K100" s="59">
        <f>CenAVS!J100</f>
        <v>393981</v>
      </c>
      <c r="L100" s="943">
        <f t="shared" si="13"/>
        <v>0</v>
      </c>
      <c r="M100" s="60">
        <f t="shared" si="14"/>
        <v>0</v>
      </c>
      <c r="N100" s="236"/>
      <c r="O100" s="236"/>
      <c r="P100" s="236"/>
      <c r="Q100" s="236"/>
      <c r="R100" s="236"/>
      <c r="S100" s="236"/>
      <c r="T100" s="236"/>
      <c r="U100" s="236"/>
      <c r="V100" s="236"/>
      <c r="W100" s="235"/>
      <c r="X100" s="235"/>
      <c r="Y100" s="235"/>
      <c r="Z100" s="235"/>
      <c r="AA100" s="235"/>
      <c r="AB100" s="235"/>
      <c r="AC100" s="235"/>
      <c r="AD100" s="235"/>
      <c r="AE100" s="235"/>
      <c r="AF100" s="235"/>
      <c r="AG100" s="235"/>
      <c r="AH100" s="235"/>
      <c r="AI100" s="235"/>
      <c r="AJ100" s="235"/>
      <c r="AK100" s="235"/>
      <c r="AL100" s="237">
        <f>HKSw!AB26</f>
        <v>0</v>
      </c>
      <c r="AM100" s="237">
        <f>HKSwa!AB26</f>
        <v>0</v>
      </c>
      <c r="AN100" s="237">
        <f>HKSna!AB26</f>
        <v>0</v>
      </c>
      <c r="AO100" s="237">
        <f>HKSt!AB26</f>
        <v>0</v>
      </c>
      <c r="AP100" s="235"/>
      <c r="AQ100" s="235"/>
      <c r="AR100" s="235"/>
      <c r="AS100" s="235"/>
      <c r="AT100" s="235"/>
      <c r="AU100" s="235"/>
      <c r="AV100" s="239"/>
      <c r="AW100" s="239"/>
      <c r="AX100" s="239"/>
      <c r="AY100" s="235"/>
      <c r="AZ100" s="239"/>
      <c r="BA100" s="240"/>
      <c r="BB100" s="108"/>
      <c r="BC100" s="108"/>
    </row>
    <row r="101" spans="1:55" ht="16.149999999999999" customHeight="1" x14ac:dyDescent="0.2">
      <c r="A101" s="108"/>
      <c r="B101" s="60" t="str">
        <f>CenAVS!A101</f>
        <v xml:space="preserve">Aventos HK-S Tip-on mocny biały bez Tip-on zaślepka   </v>
      </c>
      <c r="C101" s="60" t="str">
        <f>CenAVS!B101</f>
        <v>20K2E00T06</v>
      </c>
      <c r="D101" s="60" t="str">
        <f>CenAVS!C101</f>
        <v>SWIG</v>
      </c>
      <c r="E101" s="536">
        <f>CenAVS!D101</f>
        <v>0</v>
      </c>
      <c r="F101" s="413">
        <f t="shared" si="15"/>
        <v>0</v>
      </c>
      <c r="G101" s="58">
        <f>CenAVS!F101</f>
        <v>86.817539999999994</v>
      </c>
      <c r="H101" s="104">
        <f t="shared" si="8"/>
        <v>0</v>
      </c>
      <c r="I101" s="65"/>
      <c r="J101" s="59">
        <f>CenAVS!I101</f>
        <v>7935712</v>
      </c>
      <c r="K101" s="59">
        <f>CenAVS!J101</f>
        <v>393982</v>
      </c>
      <c r="L101" s="943">
        <f t="shared" si="13"/>
        <v>0</v>
      </c>
      <c r="M101" s="60">
        <f t="shared" si="14"/>
        <v>0</v>
      </c>
      <c r="N101" s="236"/>
      <c r="O101" s="236"/>
      <c r="P101" s="236"/>
      <c r="Q101" s="236"/>
      <c r="R101" s="236"/>
      <c r="S101" s="236"/>
      <c r="T101" s="236"/>
      <c r="U101" s="236"/>
      <c r="V101" s="236"/>
      <c r="W101" s="235"/>
      <c r="X101" s="235"/>
      <c r="Y101" s="235"/>
      <c r="Z101" s="235"/>
      <c r="AA101" s="235"/>
      <c r="AB101" s="235"/>
      <c r="AC101" s="235"/>
      <c r="AD101" s="235"/>
      <c r="AE101" s="235"/>
      <c r="AF101" s="235"/>
      <c r="AG101" s="235"/>
      <c r="AH101" s="235"/>
      <c r="AI101" s="235"/>
      <c r="AJ101" s="235"/>
      <c r="AK101" s="235"/>
      <c r="AL101" s="237">
        <f>HKSw!AB27</f>
        <v>0</v>
      </c>
      <c r="AM101" s="237">
        <f>HKSwa!AB27</f>
        <v>0</v>
      </c>
      <c r="AN101" s="237">
        <f>HKSna!AB27</f>
        <v>0</v>
      </c>
      <c r="AO101" s="237">
        <f>HKSt!AB27</f>
        <v>0</v>
      </c>
      <c r="AP101" s="235"/>
      <c r="AQ101" s="235"/>
      <c r="AR101" s="235"/>
      <c r="AS101" s="235"/>
      <c r="AT101" s="235"/>
      <c r="AU101" s="235"/>
      <c r="AV101" s="235"/>
      <c r="AW101" s="235"/>
      <c r="AX101" s="235"/>
      <c r="AY101" s="235"/>
      <c r="AZ101" s="235"/>
      <c r="BA101" s="235"/>
      <c r="BB101" s="108"/>
      <c r="BC101" s="108"/>
    </row>
    <row r="102" spans="1:55" ht="16.149999999999999" customHeight="1" x14ac:dyDescent="0.2">
      <c r="A102" s="108"/>
      <c r="B102" s="60" t="str">
        <f>CenAVS!A102</f>
        <v xml:space="preserve">          </v>
      </c>
      <c r="C102" s="60">
        <f>CenAVS!B102</f>
        <v>0</v>
      </c>
      <c r="D102" s="60">
        <f>CenAVS!C102</f>
        <v>0</v>
      </c>
      <c r="E102" s="536">
        <f>CenAVS!D102</f>
        <v>0</v>
      </c>
      <c r="F102" s="413">
        <f t="shared" si="15"/>
        <v>0</v>
      </c>
      <c r="G102" s="58">
        <f>CenAVS!F102</f>
        <v>0</v>
      </c>
      <c r="H102" s="104">
        <f t="shared" si="8"/>
        <v>0</v>
      </c>
      <c r="I102" s="65"/>
      <c r="J102" s="59">
        <f>CenAVS!I102</f>
        <v>0</v>
      </c>
      <c r="K102" s="59">
        <f>CenAVS!J102</f>
        <v>0</v>
      </c>
      <c r="L102" s="943">
        <f t="shared" si="13"/>
        <v>0</v>
      </c>
      <c r="M102" s="60">
        <f t="shared" si="14"/>
        <v>0</v>
      </c>
      <c r="N102" s="236"/>
      <c r="O102" s="236"/>
      <c r="P102" s="236"/>
      <c r="Q102" s="236"/>
      <c r="R102" s="236"/>
      <c r="S102" s="236"/>
      <c r="T102" s="236"/>
      <c r="U102" s="236"/>
      <c r="V102" s="236"/>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9"/>
      <c r="AW102" s="239"/>
      <c r="AX102" s="239"/>
      <c r="AY102" s="235"/>
      <c r="AZ102" s="239"/>
      <c r="BA102" s="240"/>
      <c r="BB102" s="108"/>
      <c r="BC102" s="108"/>
    </row>
    <row r="103" spans="1:55" ht="16.149999999999999" customHeight="1" x14ac:dyDescent="0.2">
      <c r="A103" s="108"/>
      <c r="B103" s="60" t="str">
        <f>CenAVS!A103</f>
        <v xml:space="preserve">P+L, okucie Aventos HK-S do wąskich ALU ramek   </v>
      </c>
      <c r="C103" s="60" t="str">
        <f>CenAVS!B103</f>
        <v>20K4A00A02</v>
      </c>
      <c r="D103" s="60" t="str">
        <f>CenAVS!C103</f>
        <v>NI</v>
      </c>
      <c r="E103" s="536">
        <f>CenAVS!D103</f>
        <v>0</v>
      </c>
      <c r="F103" s="413">
        <f t="shared" si="15"/>
        <v>0</v>
      </c>
      <c r="G103" s="58">
        <f>CenAVS!F103</f>
        <v>21.740570000000002</v>
      </c>
      <c r="H103" s="104">
        <f t="shared" si="8"/>
        <v>0</v>
      </c>
      <c r="I103" s="65"/>
      <c r="J103" s="59">
        <f>CenAVS!I103</f>
        <v>7542129</v>
      </c>
      <c r="K103" s="59">
        <f>CenAVS!J103</f>
        <v>203389</v>
      </c>
      <c r="L103" s="943">
        <f t="shared" si="13"/>
        <v>0</v>
      </c>
      <c r="M103" s="60">
        <f t="shared" si="14"/>
        <v>0</v>
      </c>
      <c r="N103" s="236"/>
      <c r="O103" s="236"/>
      <c r="P103" s="236"/>
      <c r="Q103" s="236"/>
      <c r="R103" s="236"/>
      <c r="S103" s="236"/>
      <c r="T103" s="236"/>
      <c r="U103" s="236"/>
      <c r="V103" s="236"/>
      <c r="W103" s="235"/>
      <c r="X103" s="235"/>
      <c r="Y103" s="235"/>
      <c r="Z103" s="235"/>
      <c r="AA103" s="235"/>
      <c r="AB103" s="235"/>
      <c r="AC103" s="235"/>
      <c r="AD103" s="235"/>
      <c r="AE103" s="235"/>
      <c r="AF103" s="235"/>
      <c r="AG103" s="235"/>
      <c r="AH103" s="235"/>
      <c r="AI103" s="235"/>
      <c r="AJ103" s="235"/>
      <c r="AK103" s="235"/>
      <c r="AL103" s="235"/>
      <c r="AM103" s="235"/>
      <c r="AN103" s="237">
        <f>HKSna!AB29</f>
        <v>0</v>
      </c>
      <c r="AO103" s="235"/>
      <c r="AP103" s="235"/>
      <c r="AQ103" s="235"/>
      <c r="AR103" s="235"/>
      <c r="AS103" s="235"/>
      <c r="AT103" s="235"/>
      <c r="AU103" s="235"/>
      <c r="AV103" s="239"/>
      <c r="AW103" s="239"/>
      <c r="AX103" s="239"/>
      <c r="AY103" s="235"/>
      <c r="AZ103" s="239"/>
      <c r="BA103" s="240"/>
      <c r="BB103" s="108"/>
      <c r="BC103" s="108"/>
    </row>
    <row r="104" spans="1:55" ht="16.149999999999999" customHeight="1" x14ac:dyDescent="0.2">
      <c r="A104" s="108"/>
      <c r="B104" s="60" t="str">
        <f>CenAVS!A104</f>
        <v xml:space="preserve">ogranicznik na 75° do HK-S      </v>
      </c>
      <c r="C104" s="60" t="str">
        <f>CenAVS!B104</f>
        <v>20K7A11</v>
      </c>
      <c r="D104" s="60" t="str">
        <f>CenAVS!C104</f>
        <v>TGR</v>
      </c>
      <c r="E104" s="536">
        <f>CenAVS!D104</f>
        <v>0</v>
      </c>
      <c r="F104" s="413">
        <f t="shared" si="15"/>
        <v>0</v>
      </c>
      <c r="G104" s="58">
        <f>CenAVS!F104</f>
        <v>1.7642599999999999</v>
      </c>
      <c r="H104" s="104">
        <f t="shared" si="8"/>
        <v>0</v>
      </c>
      <c r="I104" s="65"/>
      <c r="J104" s="59">
        <f>CenAVS!I104</f>
        <v>8671840</v>
      </c>
      <c r="K104" s="59">
        <f>CenAVS!J104</f>
        <v>13906</v>
      </c>
      <c r="L104" s="943">
        <f t="shared" si="13"/>
        <v>0</v>
      </c>
      <c r="M104" s="60">
        <f t="shared" si="14"/>
        <v>0</v>
      </c>
      <c r="N104" s="236"/>
      <c r="O104" s="236"/>
      <c r="P104" s="236"/>
      <c r="Q104" s="236"/>
      <c r="R104" s="236"/>
      <c r="S104" s="236"/>
      <c r="T104" s="236"/>
      <c r="U104" s="236"/>
      <c r="V104" s="236"/>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9"/>
      <c r="AW104" s="239"/>
      <c r="AX104" s="239"/>
      <c r="AY104" s="235"/>
      <c r="AZ104" s="238">
        <f>AcsAVS!J15</f>
        <v>0</v>
      </c>
      <c r="BA104" s="235"/>
      <c r="BB104" s="108"/>
      <c r="BC104" s="108"/>
    </row>
    <row r="105" spans="1:55" ht="16.149999999999999" customHeight="1" x14ac:dyDescent="0.2">
      <c r="A105" s="108"/>
      <c r="B105" s="60" t="str">
        <f>CenAVS!A105</f>
        <v xml:space="preserve">ogranicznik na 100° do HK-S      </v>
      </c>
      <c r="C105" s="60" t="str">
        <f>CenAVS!B105</f>
        <v>20K7A41</v>
      </c>
      <c r="D105" s="60" t="str">
        <f>CenAVS!C105</f>
        <v>TGR</v>
      </c>
      <c r="E105" s="536">
        <f>CenAVS!D105</f>
        <v>0</v>
      </c>
      <c r="F105" s="413">
        <f t="shared" si="15"/>
        <v>0</v>
      </c>
      <c r="G105" s="58">
        <f>CenAVS!F105</f>
        <v>1.7642599999999999</v>
      </c>
      <c r="H105" s="104">
        <f t="shared" si="8"/>
        <v>0</v>
      </c>
      <c r="I105" s="65"/>
      <c r="J105" s="59">
        <f>CenAVS!I105</f>
        <v>8671910</v>
      </c>
      <c r="K105" s="59">
        <f>CenAVS!J105</f>
        <v>13905</v>
      </c>
      <c r="L105" s="943">
        <f t="shared" si="13"/>
        <v>0</v>
      </c>
      <c r="M105" s="60">
        <f t="shared" si="14"/>
        <v>0</v>
      </c>
      <c r="N105" s="236"/>
      <c r="O105" s="236"/>
      <c r="P105" s="236"/>
      <c r="Q105" s="236"/>
      <c r="R105" s="236"/>
      <c r="S105" s="236"/>
      <c r="T105" s="236"/>
      <c r="U105" s="236"/>
      <c r="V105" s="236"/>
      <c r="W105" s="235"/>
      <c r="X105" s="235"/>
      <c r="Y105" s="235"/>
      <c r="Z105" s="235"/>
      <c r="AA105" s="235"/>
      <c r="AB105" s="235"/>
      <c r="AC105" s="235"/>
      <c r="AD105" s="235"/>
      <c r="AE105" s="235"/>
      <c r="AF105" s="235"/>
      <c r="AG105" s="235"/>
      <c r="AH105" s="235"/>
      <c r="AI105" s="235"/>
      <c r="AJ105" s="235"/>
      <c r="AK105" s="235"/>
      <c r="AL105" s="235"/>
      <c r="AM105" s="235"/>
      <c r="AN105" s="235"/>
      <c r="AO105" s="235"/>
      <c r="AP105" s="235"/>
      <c r="AQ105" s="235"/>
      <c r="AR105" s="235"/>
      <c r="AS105" s="235"/>
      <c r="AT105" s="235"/>
      <c r="AU105" s="235"/>
      <c r="AV105" s="239"/>
      <c r="AW105" s="239"/>
      <c r="AX105" s="239"/>
      <c r="AY105" s="235"/>
      <c r="AZ105" s="238">
        <f>AcsAVS!J16</f>
        <v>0</v>
      </c>
      <c r="BA105" s="240"/>
      <c r="BB105" s="108"/>
      <c r="BC105" s="108"/>
    </row>
    <row r="106" spans="1:55" ht="16.149999999999999" customHeight="1" x14ac:dyDescent="0.2">
      <c r="A106" s="108"/>
      <c r="B106" s="60" t="str">
        <f>CenAVS!A168</f>
        <v xml:space="preserve">zaślepka ramienia do zawiasu nakładanego, bez logo    </v>
      </c>
      <c r="C106" s="60" t="str">
        <f>CenAVS!B168</f>
        <v> 70.1503</v>
      </c>
      <c r="D106" s="60" t="str">
        <f>CenAVS!C168</f>
        <v>NI</v>
      </c>
      <c r="E106" s="536">
        <f>CenAVS!D168</f>
        <v>0</v>
      </c>
      <c r="F106" s="413">
        <f t="shared" si="15"/>
        <v>0</v>
      </c>
      <c r="G106" s="58">
        <f>CenAVS!F168</f>
        <v>0.30003000000000002</v>
      </c>
      <c r="H106" s="104">
        <f t="shared" si="8"/>
        <v>0</v>
      </c>
      <c r="I106" s="65"/>
      <c r="J106" s="59">
        <f>CenAVS!I168</f>
        <v>3284903</v>
      </c>
      <c r="K106" s="59">
        <f>CenAVS!J168</f>
        <v>12093</v>
      </c>
      <c r="L106" s="943">
        <f t="shared" si="13"/>
        <v>0</v>
      </c>
      <c r="M106" s="60">
        <f t="shared" si="14"/>
        <v>0</v>
      </c>
      <c r="N106" s="236"/>
      <c r="O106" s="236"/>
      <c r="P106" s="236"/>
      <c r="Q106" s="236"/>
      <c r="R106" s="236"/>
      <c r="S106" s="236"/>
      <c r="T106" s="236"/>
      <c r="U106" s="236"/>
      <c r="V106" s="236"/>
      <c r="W106" s="235"/>
      <c r="X106" s="235"/>
      <c r="Y106" s="235"/>
      <c r="Z106" s="235"/>
      <c r="AA106" s="235"/>
      <c r="AB106" s="235"/>
      <c r="AC106" s="235"/>
      <c r="AD106" s="235"/>
      <c r="AE106" s="235"/>
      <c r="AF106" s="235"/>
      <c r="AG106" s="235"/>
      <c r="AH106" s="235"/>
      <c r="AI106" s="235"/>
      <c r="AJ106" s="235"/>
      <c r="AK106" s="235"/>
      <c r="AL106" s="235"/>
      <c r="AM106" s="235"/>
      <c r="AN106" s="235"/>
      <c r="AO106" s="235"/>
      <c r="AP106" s="235"/>
      <c r="AQ106" s="235"/>
      <c r="AR106" s="235"/>
      <c r="AS106" s="235"/>
      <c r="AT106" s="235"/>
      <c r="AU106" s="235"/>
      <c r="AV106" s="239"/>
      <c r="AW106" s="239"/>
      <c r="AX106" s="239"/>
      <c r="AY106" s="235"/>
      <c r="AZ106" s="239"/>
      <c r="BA106" s="240"/>
      <c r="BB106" s="108"/>
      <c r="BC106" s="108"/>
    </row>
    <row r="107" spans="1:55" ht="16.149999999999999" customHeight="1" x14ac:dyDescent="0.2">
      <c r="A107" s="108"/>
      <c r="B107" s="60" t="str">
        <f>CenAVS!A106</f>
        <v xml:space="preserve">          </v>
      </c>
      <c r="C107" s="60">
        <f>CenAVS!B106</f>
        <v>0</v>
      </c>
      <c r="D107" s="60">
        <f>CenAVS!C106</f>
        <v>0</v>
      </c>
      <c r="E107" s="536">
        <f>CenAVS!D106</f>
        <v>0</v>
      </c>
      <c r="F107" s="413">
        <f t="shared" si="15"/>
        <v>0</v>
      </c>
      <c r="G107" s="58">
        <f>CenAVS!F106</f>
        <v>0</v>
      </c>
      <c r="H107" s="104">
        <f t="shared" si="8"/>
        <v>0</v>
      </c>
      <c r="I107" s="65"/>
      <c r="J107" s="59">
        <f>CenAVS!I106</f>
        <v>0</v>
      </c>
      <c r="K107" s="59">
        <f>CenAVS!J106</f>
        <v>0</v>
      </c>
      <c r="L107" s="943">
        <f t="shared" si="13"/>
        <v>0</v>
      </c>
      <c r="M107" s="60">
        <f t="shared" si="14"/>
        <v>0</v>
      </c>
      <c r="N107" s="236"/>
      <c r="O107" s="236"/>
      <c r="P107" s="236"/>
      <c r="Q107" s="236"/>
      <c r="R107" s="236"/>
      <c r="S107" s="236"/>
      <c r="T107" s="236"/>
      <c r="U107" s="236"/>
      <c r="V107" s="236"/>
      <c r="W107" s="235"/>
      <c r="X107" s="235"/>
      <c r="Y107" s="235"/>
      <c r="Z107" s="235"/>
      <c r="AA107" s="235"/>
      <c r="AB107" s="235"/>
      <c r="AC107" s="235"/>
      <c r="AD107" s="235"/>
      <c r="AE107" s="235"/>
      <c r="AF107" s="235"/>
      <c r="AG107" s="235"/>
      <c r="AH107" s="235"/>
      <c r="AI107" s="235"/>
      <c r="AJ107" s="235"/>
      <c r="AK107" s="235"/>
      <c r="AL107" s="235"/>
      <c r="AM107" s="235"/>
      <c r="AN107" s="235"/>
      <c r="AO107" s="235"/>
      <c r="AP107" s="235"/>
      <c r="AQ107" s="235"/>
      <c r="AR107" s="235"/>
      <c r="AS107" s="235"/>
      <c r="AT107" s="235"/>
      <c r="AU107" s="235"/>
      <c r="AV107" s="235"/>
      <c r="AW107" s="235"/>
      <c r="AX107" s="235"/>
      <c r="AY107" s="235"/>
      <c r="AZ107" s="235"/>
      <c r="BA107" s="235"/>
      <c r="BB107" s="108"/>
      <c r="BC107" s="108"/>
    </row>
    <row r="108" spans="1:55" ht="16.149999999999999" customHeight="1" x14ac:dyDescent="0.2">
      <c r="A108" s="108"/>
      <c r="B108" s="60" t="str">
        <f>CenAVS!A107</f>
        <v xml:space="preserve">          </v>
      </c>
      <c r="C108" s="60">
        <f>CenAVS!B107</f>
        <v>0</v>
      </c>
      <c r="D108" s="60">
        <f>CenAVS!C107</f>
        <v>0</v>
      </c>
      <c r="E108" s="536">
        <f>CenAVS!D107</f>
        <v>0</v>
      </c>
      <c r="F108" s="413">
        <f t="shared" si="15"/>
        <v>0</v>
      </c>
      <c r="G108" s="58">
        <f>CenAVS!F107</f>
        <v>0</v>
      </c>
      <c r="H108" s="104">
        <f t="shared" si="8"/>
        <v>0</v>
      </c>
      <c r="I108" s="65"/>
      <c r="J108" s="59">
        <f>CenAVS!I107</f>
        <v>0</v>
      </c>
      <c r="K108" s="59">
        <f>CenAVS!J107</f>
        <v>0</v>
      </c>
      <c r="L108" s="943">
        <f t="shared" si="13"/>
        <v>0</v>
      </c>
      <c r="M108" s="60">
        <f t="shared" si="14"/>
        <v>0</v>
      </c>
      <c r="N108" s="236"/>
      <c r="O108" s="236"/>
      <c r="P108" s="236"/>
      <c r="Q108" s="236"/>
      <c r="R108" s="236"/>
      <c r="S108" s="236"/>
      <c r="T108" s="236"/>
      <c r="U108" s="236"/>
      <c r="V108" s="236"/>
      <c r="W108" s="235"/>
      <c r="X108" s="235"/>
      <c r="Y108" s="235"/>
      <c r="Z108" s="235"/>
      <c r="AA108" s="235"/>
      <c r="AB108" s="235"/>
      <c r="AC108" s="235"/>
      <c r="AD108" s="235"/>
      <c r="AE108" s="235"/>
      <c r="AF108" s="235"/>
      <c r="AG108" s="235"/>
      <c r="AH108" s="235"/>
      <c r="AI108" s="235"/>
      <c r="AJ108" s="235"/>
      <c r="AK108" s="235"/>
      <c r="AL108" s="235"/>
      <c r="AM108" s="235"/>
      <c r="AN108" s="235"/>
      <c r="AO108" s="235"/>
      <c r="AP108" s="235"/>
      <c r="AQ108" s="235"/>
      <c r="AR108" s="235"/>
      <c r="AS108" s="235"/>
      <c r="AT108" s="235"/>
      <c r="AU108" s="235"/>
      <c r="AV108" s="239"/>
      <c r="AW108" s="239"/>
      <c r="AX108" s="239"/>
      <c r="AY108" s="235"/>
      <c r="AZ108" s="239"/>
      <c r="BA108" s="240"/>
      <c r="BB108" s="108"/>
      <c r="BC108" s="108"/>
    </row>
    <row r="109" spans="1:55" ht="16.149999999999999" customHeight="1" x14ac:dyDescent="0.2">
      <c r="A109" s="108"/>
      <c r="B109" s="60" t="str">
        <f>CenAVS!A108</f>
        <v xml:space="preserve">Aventos HK-XS słaby        </v>
      </c>
      <c r="C109" s="60" t="str">
        <f>CenAVS!B108</f>
        <v>20K1101</v>
      </c>
      <c r="D109" s="60" t="str">
        <f>CenAVS!C108</f>
        <v>NI</v>
      </c>
      <c r="E109" s="536">
        <f>CenAVS!D108</f>
        <v>0</v>
      </c>
      <c r="F109" s="413">
        <f t="shared" si="15"/>
        <v>0</v>
      </c>
      <c r="G109" s="58">
        <f>CenAVS!F108</f>
        <v>32.283230000000003</v>
      </c>
      <c r="H109" s="104">
        <f t="shared" si="8"/>
        <v>0</v>
      </c>
      <c r="I109" s="65"/>
      <c r="J109" s="59">
        <f>CenAVS!I108</f>
        <v>8572348</v>
      </c>
      <c r="K109" s="59">
        <f>CenAVS!J108</f>
        <v>247121</v>
      </c>
      <c r="L109" s="943">
        <f t="shared" si="13"/>
        <v>0</v>
      </c>
      <c r="M109" s="60">
        <f t="shared" si="14"/>
        <v>0</v>
      </c>
      <c r="N109" s="236"/>
      <c r="O109" s="236"/>
      <c r="P109" s="236"/>
      <c r="Q109" s="236"/>
      <c r="R109" s="236"/>
      <c r="S109" s="236"/>
      <c r="T109" s="236"/>
      <c r="U109" s="236"/>
      <c r="V109" s="236"/>
      <c r="W109" s="235"/>
      <c r="X109" s="235"/>
      <c r="Y109" s="235"/>
      <c r="Z109" s="235"/>
      <c r="AA109" s="235"/>
      <c r="AB109" s="235"/>
      <c r="AC109" s="235"/>
      <c r="AD109" s="235"/>
      <c r="AE109" s="235"/>
      <c r="AF109" s="235"/>
      <c r="AG109" s="235"/>
      <c r="AH109" s="235"/>
      <c r="AI109" s="235"/>
      <c r="AJ109" s="235"/>
      <c r="AK109" s="235"/>
      <c r="AL109" s="235"/>
      <c r="AM109" s="235"/>
      <c r="AN109" s="235"/>
      <c r="AO109" s="235"/>
      <c r="AP109" s="235"/>
      <c r="AQ109" s="238">
        <f>HKXSw!$AD9</f>
        <v>0</v>
      </c>
      <c r="AR109" s="238">
        <f>HKXSwa!AD9</f>
        <v>0</v>
      </c>
      <c r="AS109" s="238">
        <f>HKXSna!AD9</f>
        <v>0</v>
      </c>
      <c r="AT109" s="238">
        <f>HKXSt!AD9</f>
        <v>0</v>
      </c>
      <c r="AU109" s="235"/>
      <c r="AV109" s="239"/>
      <c r="AW109" s="239"/>
      <c r="AX109" s="239"/>
      <c r="AY109" s="235"/>
      <c r="AZ109" s="239"/>
      <c r="BA109" s="240"/>
      <c r="BB109" s="108"/>
      <c r="BC109" s="108"/>
    </row>
    <row r="110" spans="1:55" ht="16.149999999999999" customHeight="1" x14ac:dyDescent="0.2">
      <c r="A110" s="108"/>
      <c r="B110" s="60" t="str">
        <f>CenAVS!A109</f>
        <v xml:space="preserve">Aventos HK-XS średni        </v>
      </c>
      <c r="C110" s="60" t="str">
        <f>CenAVS!B109</f>
        <v>20K1301</v>
      </c>
      <c r="D110" s="60" t="str">
        <f>CenAVS!C109</f>
        <v>NI</v>
      </c>
      <c r="E110" s="536">
        <f>CenAVS!D109</f>
        <v>0</v>
      </c>
      <c r="F110" s="413">
        <f t="shared" si="15"/>
        <v>0</v>
      </c>
      <c r="G110" s="58">
        <f>CenAVS!F109</f>
        <v>32.283230000000003</v>
      </c>
      <c r="H110" s="104">
        <f t="shared" si="8"/>
        <v>0</v>
      </c>
      <c r="I110" s="65"/>
      <c r="J110" s="59">
        <f>CenAVS!I109</f>
        <v>9330897</v>
      </c>
      <c r="K110" s="59">
        <f>CenAVS!J109</f>
        <v>247122</v>
      </c>
      <c r="L110" s="943">
        <f t="shared" si="13"/>
        <v>0</v>
      </c>
      <c r="M110" s="60">
        <f t="shared" si="14"/>
        <v>0</v>
      </c>
      <c r="N110" s="236"/>
      <c r="O110" s="236"/>
      <c r="P110" s="236"/>
      <c r="Q110" s="236"/>
      <c r="R110" s="236"/>
      <c r="S110" s="236"/>
      <c r="T110" s="236"/>
      <c r="U110" s="236"/>
      <c r="V110" s="236"/>
      <c r="W110" s="235"/>
      <c r="X110" s="235"/>
      <c r="Y110" s="235"/>
      <c r="Z110" s="235"/>
      <c r="AA110" s="235"/>
      <c r="AB110" s="235"/>
      <c r="AC110" s="235"/>
      <c r="AD110" s="235"/>
      <c r="AE110" s="235"/>
      <c r="AF110" s="235"/>
      <c r="AG110" s="235"/>
      <c r="AH110" s="235"/>
      <c r="AI110" s="235"/>
      <c r="AJ110" s="235"/>
      <c r="AK110" s="235"/>
      <c r="AL110" s="235"/>
      <c r="AM110" s="235"/>
      <c r="AN110" s="235"/>
      <c r="AO110" s="235"/>
      <c r="AP110" s="235"/>
      <c r="AQ110" s="238">
        <f>HKXSw!$AD10</f>
        <v>0</v>
      </c>
      <c r="AR110" s="238">
        <f>HKXSwa!AD10</f>
        <v>0</v>
      </c>
      <c r="AS110" s="238">
        <f>HKXSna!AD10</f>
        <v>0</v>
      </c>
      <c r="AT110" s="238">
        <f>HKXSt!AD10</f>
        <v>0</v>
      </c>
      <c r="AU110" s="235"/>
      <c r="AV110" s="239"/>
      <c r="AW110" s="239"/>
      <c r="AX110" s="239"/>
      <c r="AY110" s="235"/>
      <c r="AZ110" s="239"/>
      <c r="BA110" s="240"/>
      <c r="BB110" s="108"/>
      <c r="BC110" s="108"/>
    </row>
    <row r="111" spans="1:55" ht="16.149999999999999" customHeight="1" x14ac:dyDescent="0.2">
      <c r="A111" s="108"/>
      <c r="B111" s="60" t="str">
        <f>CenAVS!A110</f>
        <v xml:space="preserve">Aventos HK-XS mocny        </v>
      </c>
      <c r="C111" s="60" t="str">
        <f>CenAVS!B110</f>
        <v>20K1501</v>
      </c>
      <c r="D111" s="60" t="str">
        <f>CenAVS!C110</f>
        <v>NI</v>
      </c>
      <c r="E111" s="536">
        <f>CenAVS!D110</f>
        <v>0</v>
      </c>
      <c r="F111" s="413">
        <f t="shared" si="15"/>
        <v>0</v>
      </c>
      <c r="G111" s="58">
        <f>CenAVS!F110</f>
        <v>32.283230000000003</v>
      </c>
      <c r="H111" s="104">
        <f t="shared" si="8"/>
        <v>0</v>
      </c>
      <c r="I111" s="65"/>
      <c r="J111" s="59">
        <f>CenAVS!I110</f>
        <v>1615152</v>
      </c>
      <c r="K111" s="59">
        <f>CenAVS!J110</f>
        <v>247123</v>
      </c>
      <c r="L111" s="943">
        <f t="shared" si="13"/>
        <v>0</v>
      </c>
      <c r="M111" s="60">
        <f t="shared" si="14"/>
        <v>0</v>
      </c>
      <c r="N111" s="236"/>
      <c r="O111" s="236"/>
      <c r="P111" s="236"/>
      <c r="Q111" s="236"/>
      <c r="R111" s="236"/>
      <c r="S111" s="236"/>
      <c r="T111" s="236"/>
      <c r="U111" s="236"/>
      <c r="V111" s="236"/>
      <c r="W111" s="235"/>
      <c r="X111" s="235"/>
      <c r="Y111" s="235"/>
      <c r="Z111" s="235"/>
      <c r="AA111" s="235"/>
      <c r="AB111" s="235"/>
      <c r="AC111" s="235"/>
      <c r="AD111" s="235"/>
      <c r="AE111" s="235"/>
      <c r="AF111" s="235"/>
      <c r="AG111" s="235"/>
      <c r="AH111" s="235"/>
      <c r="AI111" s="235"/>
      <c r="AJ111" s="235"/>
      <c r="AK111" s="235"/>
      <c r="AL111" s="235"/>
      <c r="AM111" s="235"/>
      <c r="AN111" s="235"/>
      <c r="AO111" s="235"/>
      <c r="AP111" s="235"/>
      <c r="AQ111" s="238">
        <f>HKXSw!$AD11</f>
        <v>0</v>
      </c>
      <c r="AR111" s="238">
        <f>HKXSwa!AD11</f>
        <v>0</v>
      </c>
      <c r="AS111" s="238">
        <f>HKXSna!AD11</f>
        <v>0</v>
      </c>
      <c r="AT111" s="238">
        <f>HKXSt!AD11</f>
        <v>0</v>
      </c>
      <c r="AU111" s="235"/>
      <c r="AV111" s="239"/>
      <c r="AW111" s="239"/>
      <c r="AX111" s="239"/>
      <c r="AY111" s="235"/>
      <c r="AZ111" s="239"/>
      <c r="BA111" s="240"/>
      <c r="BB111" s="108"/>
      <c r="BC111" s="108"/>
    </row>
    <row r="112" spans="1:55" ht="16.149999999999999" customHeight="1" x14ac:dyDescent="0.2">
      <c r="A112" s="108"/>
      <c r="B112" s="60" t="str">
        <f>CenAVS!A111</f>
        <v xml:space="preserve">          </v>
      </c>
      <c r="C112" s="60">
        <f>CenAVS!B111</f>
        <v>0</v>
      </c>
      <c r="D112" s="60">
        <f>CenAVS!C111</f>
        <v>0</v>
      </c>
      <c r="E112" s="536">
        <f>CenAVS!D111</f>
        <v>0</v>
      </c>
      <c r="F112" s="413">
        <f t="shared" si="15"/>
        <v>0</v>
      </c>
      <c r="G112" s="58">
        <f>CenAVS!F111</f>
        <v>0</v>
      </c>
      <c r="H112" s="104">
        <f t="shared" si="8"/>
        <v>0</v>
      </c>
      <c r="I112" s="65"/>
      <c r="J112" s="59">
        <f>CenAVS!I111</f>
        <v>0</v>
      </c>
      <c r="K112" s="59">
        <f>CenAVS!J111</f>
        <v>0</v>
      </c>
      <c r="L112" s="943">
        <f t="shared" si="13"/>
        <v>0</v>
      </c>
      <c r="M112" s="60">
        <f t="shared" si="14"/>
        <v>0</v>
      </c>
      <c r="N112" s="236"/>
      <c r="O112" s="236"/>
      <c r="P112" s="236"/>
      <c r="Q112" s="236"/>
      <c r="R112" s="236"/>
      <c r="S112" s="236"/>
      <c r="T112" s="236"/>
      <c r="U112" s="236"/>
      <c r="V112" s="236"/>
      <c r="W112" s="235"/>
      <c r="X112" s="235"/>
      <c r="Y112" s="235"/>
      <c r="Z112" s="235"/>
      <c r="AA112" s="235"/>
      <c r="AB112" s="235"/>
      <c r="AC112" s="235"/>
      <c r="AD112" s="235"/>
      <c r="AE112" s="235"/>
      <c r="AF112" s="235"/>
      <c r="AG112" s="235"/>
      <c r="AH112" s="235"/>
      <c r="AI112" s="235"/>
      <c r="AJ112" s="235"/>
      <c r="AK112" s="235"/>
      <c r="AL112" s="235"/>
      <c r="AM112" s="235"/>
      <c r="AN112" s="235"/>
      <c r="AO112" s="235"/>
      <c r="AP112" s="235"/>
      <c r="AQ112" s="235"/>
      <c r="AR112" s="235"/>
      <c r="AS112" s="235"/>
      <c r="AT112" s="235"/>
      <c r="AU112" s="235"/>
      <c r="AV112" s="235"/>
      <c r="AW112" s="235"/>
      <c r="AX112" s="235"/>
      <c r="AY112" s="235"/>
      <c r="AZ112" s="235"/>
      <c r="BA112" s="235"/>
      <c r="BB112" s="108"/>
      <c r="BC112" s="108"/>
    </row>
    <row r="113" spans="1:55" ht="16.149999999999999" customHeight="1" x14ac:dyDescent="0.2">
      <c r="A113" s="108"/>
      <c r="B113" s="60" t="str">
        <f>CenAVS!A112</f>
        <v xml:space="preserve">Aventos HK-XS Tip-on słaby       </v>
      </c>
      <c r="C113" s="60" t="str">
        <f>CenAVS!B112</f>
        <v>20K1101T</v>
      </c>
      <c r="D113" s="60" t="str">
        <f>CenAVS!C112</f>
        <v>NI</v>
      </c>
      <c r="E113" s="536">
        <f>CenAVS!D112</f>
        <v>0</v>
      </c>
      <c r="F113" s="413">
        <f t="shared" si="15"/>
        <v>0</v>
      </c>
      <c r="G113" s="58">
        <f>CenAVS!F112</f>
        <v>34.735590000000002</v>
      </c>
      <c r="H113" s="104">
        <f t="shared" si="8"/>
        <v>0</v>
      </c>
      <c r="I113" s="65"/>
      <c r="J113" s="59">
        <f>CenAVS!I112</f>
        <v>4857465</v>
      </c>
      <c r="K113" s="59">
        <f>CenAVS!J112</f>
        <v>247124</v>
      </c>
      <c r="L113" s="943">
        <f t="shared" si="13"/>
        <v>0</v>
      </c>
      <c r="M113" s="60">
        <f t="shared" si="14"/>
        <v>0</v>
      </c>
      <c r="N113" s="236"/>
      <c r="O113" s="236"/>
      <c r="P113" s="236"/>
      <c r="Q113" s="236"/>
      <c r="R113" s="236"/>
      <c r="S113" s="236"/>
      <c r="T113" s="236"/>
      <c r="U113" s="236"/>
      <c r="V113" s="236"/>
      <c r="W113" s="235"/>
      <c r="X113" s="235"/>
      <c r="Y113" s="235"/>
      <c r="Z113" s="235"/>
      <c r="AA113" s="235"/>
      <c r="AB113" s="235"/>
      <c r="AC113" s="235"/>
      <c r="AD113" s="235"/>
      <c r="AE113" s="235"/>
      <c r="AF113" s="235"/>
      <c r="AG113" s="235"/>
      <c r="AH113" s="235"/>
      <c r="AI113" s="235"/>
      <c r="AJ113" s="235"/>
      <c r="AK113" s="235"/>
      <c r="AL113" s="235"/>
      <c r="AM113" s="235"/>
      <c r="AN113" s="235"/>
      <c r="AO113" s="235"/>
      <c r="AP113" s="235"/>
      <c r="AQ113" s="238">
        <f>HKXSw!$AD15</f>
        <v>0</v>
      </c>
      <c r="AR113" s="238">
        <f>HKXSwa!AD15</f>
        <v>0</v>
      </c>
      <c r="AS113" s="238">
        <f>HKXSna!AD15</f>
        <v>0</v>
      </c>
      <c r="AT113" s="238">
        <f>HKXSt!AD15</f>
        <v>0</v>
      </c>
      <c r="AU113" s="235"/>
      <c r="AV113" s="239"/>
      <c r="AW113" s="239"/>
      <c r="AX113" s="239"/>
      <c r="AY113" s="235"/>
      <c r="AZ113" s="239"/>
      <c r="BA113" s="235"/>
      <c r="BB113" s="108"/>
      <c r="BC113" s="108"/>
    </row>
    <row r="114" spans="1:55" ht="16.149999999999999" customHeight="1" x14ac:dyDescent="0.2">
      <c r="A114" s="108"/>
      <c r="B114" s="60" t="str">
        <f>CenAVS!A113</f>
        <v xml:space="preserve">Aventos HK-XS Tip-on średni       </v>
      </c>
      <c r="C114" s="60" t="str">
        <f>CenAVS!B113</f>
        <v>20K1301T</v>
      </c>
      <c r="D114" s="60" t="str">
        <f>CenAVS!C113</f>
        <v>NI</v>
      </c>
      <c r="E114" s="536">
        <f>CenAVS!D113</f>
        <v>0</v>
      </c>
      <c r="F114" s="413">
        <f t="shared" si="15"/>
        <v>0</v>
      </c>
      <c r="G114" s="58">
        <f>CenAVS!F113</f>
        <v>34.735590000000002</v>
      </c>
      <c r="H114" s="104">
        <f t="shared" si="8"/>
        <v>0</v>
      </c>
      <c r="I114" s="65"/>
      <c r="J114" s="59">
        <f>CenAVS!I113</f>
        <v>9519259</v>
      </c>
      <c r="K114" s="59">
        <f>CenAVS!J113</f>
        <v>247125</v>
      </c>
      <c r="L114" s="943">
        <f t="shared" si="13"/>
        <v>0</v>
      </c>
      <c r="M114" s="60">
        <f t="shared" si="14"/>
        <v>0</v>
      </c>
      <c r="N114" s="236"/>
      <c r="O114" s="236"/>
      <c r="P114" s="236"/>
      <c r="Q114" s="236"/>
      <c r="R114" s="236"/>
      <c r="S114" s="236"/>
      <c r="T114" s="236"/>
      <c r="U114" s="236"/>
      <c r="V114" s="236"/>
      <c r="W114" s="235"/>
      <c r="X114" s="235"/>
      <c r="Y114" s="235"/>
      <c r="Z114" s="235"/>
      <c r="AA114" s="235"/>
      <c r="AB114" s="235"/>
      <c r="AC114" s="235"/>
      <c r="AD114" s="235"/>
      <c r="AE114" s="235"/>
      <c r="AF114" s="235"/>
      <c r="AG114" s="235"/>
      <c r="AH114" s="235"/>
      <c r="AI114" s="235"/>
      <c r="AJ114" s="235"/>
      <c r="AK114" s="235"/>
      <c r="AL114" s="235"/>
      <c r="AM114" s="235"/>
      <c r="AN114" s="235"/>
      <c r="AO114" s="235"/>
      <c r="AP114" s="235"/>
      <c r="AQ114" s="238">
        <f>HKXSw!$AD16</f>
        <v>0</v>
      </c>
      <c r="AR114" s="238">
        <f>HKXSwa!AD16</f>
        <v>0</v>
      </c>
      <c r="AS114" s="238">
        <f>HKXSna!AD16</f>
        <v>0</v>
      </c>
      <c r="AT114" s="238">
        <f>HKXSt!AD16</f>
        <v>0</v>
      </c>
      <c r="AU114" s="235"/>
      <c r="AV114" s="239"/>
      <c r="AW114" s="239"/>
      <c r="AX114" s="239"/>
      <c r="AY114" s="235"/>
      <c r="AZ114" s="239"/>
      <c r="BA114" s="235"/>
      <c r="BB114" s="108"/>
      <c r="BC114" s="108"/>
    </row>
    <row r="115" spans="1:55" ht="16.149999999999999" customHeight="1" x14ac:dyDescent="0.2">
      <c r="A115" s="108"/>
      <c r="B115" s="60" t="str">
        <f>CenAVS!A114</f>
        <v xml:space="preserve">Aventos HK-XS Tip-on mocny       </v>
      </c>
      <c r="C115" s="60" t="str">
        <f>CenAVS!B114</f>
        <v>20K1501T</v>
      </c>
      <c r="D115" s="60" t="str">
        <f>CenAVS!C114</f>
        <v>NI</v>
      </c>
      <c r="E115" s="536">
        <f>CenAVS!D114</f>
        <v>0</v>
      </c>
      <c r="F115" s="413">
        <f t="shared" ref="F115:F122" si="16">IF(I115&gt;0,I115,SUM(O115:BA115))</f>
        <v>0</v>
      </c>
      <c r="G115" s="58">
        <f>CenAVS!F114</f>
        <v>34.735590000000002</v>
      </c>
      <c r="H115" s="104">
        <f t="shared" ref="H115:H163" si="17">M115</f>
        <v>0</v>
      </c>
      <c r="I115" s="65"/>
      <c r="J115" s="59">
        <f>CenAVS!I114</f>
        <v>8041284</v>
      </c>
      <c r="K115" s="59">
        <f>CenAVS!J114</f>
        <v>247126</v>
      </c>
      <c r="L115" s="943">
        <f t="shared" si="13"/>
        <v>0</v>
      </c>
      <c r="M115" s="60">
        <f t="shared" si="14"/>
        <v>0</v>
      </c>
      <c r="N115" s="236"/>
      <c r="O115" s="236"/>
      <c r="P115" s="236"/>
      <c r="Q115" s="236"/>
      <c r="R115" s="236"/>
      <c r="S115" s="236"/>
      <c r="T115" s="236"/>
      <c r="U115" s="236"/>
      <c r="V115" s="236"/>
      <c r="W115" s="235"/>
      <c r="X115" s="235"/>
      <c r="Y115" s="235"/>
      <c r="Z115" s="235"/>
      <c r="AA115" s="235"/>
      <c r="AB115" s="235"/>
      <c r="AC115" s="235"/>
      <c r="AD115" s="235"/>
      <c r="AE115" s="235"/>
      <c r="AF115" s="235"/>
      <c r="AG115" s="235"/>
      <c r="AH115" s="235"/>
      <c r="AI115" s="235"/>
      <c r="AJ115" s="235"/>
      <c r="AK115" s="235"/>
      <c r="AL115" s="235"/>
      <c r="AM115" s="235"/>
      <c r="AN115" s="235"/>
      <c r="AO115" s="235"/>
      <c r="AP115" s="235"/>
      <c r="AQ115" s="238">
        <f>HKXSw!$AD17</f>
        <v>0</v>
      </c>
      <c r="AR115" s="238">
        <f>HKXSwa!AD17</f>
        <v>0</v>
      </c>
      <c r="AS115" s="238">
        <f>HKXSna!AD17</f>
        <v>0</v>
      </c>
      <c r="AT115" s="238">
        <f>HKXSt!AD17</f>
        <v>0</v>
      </c>
      <c r="AU115" s="235"/>
      <c r="AV115" s="239"/>
      <c r="AW115" s="239"/>
      <c r="AX115" s="239"/>
      <c r="AY115" s="235"/>
      <c r="AZ115" s="239"/>
      <c r="BA115" s="235"/>
      <c r="BB115" s="108"/>
      <c r="BC115" s="108"/>
    </row>
    <row r="116" spans="1:55" ht="16.149999999999999" customHeight="1" x14ac:dyDescent="0.2">
      <c r="A116" s="108"/>
      <c r="B116" s="60" t="str">
        <f>CenAVS!A115</f>
        <v xml:space="preserve">          </v>
      </c>
      <c r="C116" s="60">
        <f>CenAVS!B115</f>
        <v>0</v>
      </c>
      <c r="D116" s="60">
        <f>CenAVS!C115</f>
        <v>0</v>
      </c>
      <c r="E116" s="536">
        <f>CenAVS!D115</f>
        <v>0</v>
      </c>
      <c r="F116" s="413">
        <f t="shared" si="16"/>
        <v>0</v>
      </c>
      <c r="G116" s="58">
        <f>CenAVS!F115</f>
        <v>0</v>
      </c>
      <c r="H116" s="104">
        <f t="shared" si="17"/>
        <v>0</v>
      </c>
      <c r="I116" s="65"/>
      <c r="J116" s="59">
        <f>CenAVS!I115</f>
        <v>0</v>
      </c>
      <c r="K116" s="59">
        <f>CenAVS!J115</f>
        <v>0</v>
      </c>
      <c r="L116" s="943">
        <f t="shared" si="13"/>
        <v>0</v>
      </c>
      <c r="M116" s="60">
        <f t="shared" si="14"/>
        <v>0</v>
      </c>
      <c r="N116" s="236"/>
      <c r="O116" s="236"/>
      <c r="P116" s="236"/>
      <c r="Q116" s="236"/>
      <c r="R116" s="236"/>
      <c r="S116" s="236"/>
      <c r="T116" s="236"/>
      <c r="U116" s="236"/>
      <c r="V116" s="236"/>
      <c r="W116" s="235"/>
      <c r="X116" s="235"/>
      <c r="Y116" s="235"/>
      <c r="Z116" s="235"/>
      <c r="AA116" s="235"/>
      <c r="AB116" s="235"/>
      <c r="AC116" s="235"/>
      <c r="AD116" s="235"/>
      <c r="AE116" s="235"/>
      <c r="AF116" s="235"/>
      <c r="AG116" s="235"/>
      <c r="AH116" s="235"/>
      <c r="AI116" s="235"/>
      <c r="AJ116" s="235"/>
      <c r="AK116" s="235"/>
      <c r="AL116" s="235"/>
      <c r="AM116" s="235"/>
      <c r="AN116" s="235"/>
      <c r="AO116" s="235"/>
      <c r="AP116" s="235"/>
      <c r="AQ116" s="235"/>
      <c r="AR116" s="235"/>
      <c r="AS116" s="235"/>
      <c r="AT116" s="235"/>
      <c r="AU116" s="235"/>
      <c r="AV116" s="239"/>
      <c r="AW116" s="239"/>
      <c r="AX116" s="239"/>
      <c r="AY116" s="235"/>
      <c r="AZ116" s="239"/>
      <c r="BA116" s="239"/>
      <c r="BB116" s="108"/>
      <c r="BC116" s="108"/>
    </row>
    <row r="117" spans="1:55" ht="16.149999999999999" customHeight="1" x14ac:dyDescent="0.2">
      <c r="A117" s="108"/>
      <c r="B117" s="60" t="str">
        <f>CenAVS!A116</f>
        <v xml:space="preserve">czop boczny do korpusu HK-XS wkręt     </v>
      </c>
      <c r="C117" s="60" t="str">
        <f>CenAVS!B116</f>
        <v>20K5101</v>
      </c>
      <c r="D117" s="60" t="str">
        <f>CenAVS!C116</f>
        <v>NI</v>
      </c>
      <c r="E117" s="536">
        <f>CenAVS!D116</f>
        <v>0</v>
      </c>
      <c r="F117" s="413">
        <f t="shared" si="16"/>
        <v>0</v>
      </c>
      <c r="G117" s="58">
        <f>CenAVS!F116</f>
        <v>2.0432700000000001</v>
      </c>
      <c r="H117" s="104">
        <f t="shared" si="17"/>
        <v>0</v>
      </c>
      <c r="I117" s="65"/>
      <c r="J117" s="59">
        <f>CenAVS!I116</f>
        <v>1409446</v>
      </c>
      <c r="K117" s="59">
        <f>CenAVS!J116</f>
        <v>247127</v>
      </c>
      <c r="L117" s="943">
        <f t="shared" si="13"/>
        <v>0</v>
      </c>
      <c r="M117" s="60">
        <f t="shared" si="14"/>
        <v>0</v>
      </c>
      <c r="N117" s="236"/>
      <c r="O117" s="236"/>
      <c r="P117" s="236"/>
      <c r="Q117" s="236"/>
      <c r="R117" s="236"/>
      <c r="S117" s="236"/>
      <c r="T117" s="236"/>
      <c r="U117" s="236"/>
      <c r="V117" s="236"/>
      <c r="W117" s="235"/>
      <c r="X117" s="235"/>
      <c r="Y117" s="235"/>
      <c r="Z117" s="235"/>
      <c r="AA117" s="235"/>
      <c r="AB117" s="235"/>
      <c r="AC117" s="235"/>
      <c r="AD117" s="235"/>
      <c r="AE117" s="235"/>
      <c r="AF117" s="235"/>
      <c r="AG117" s="235"/>
      <c r="AH117" s="235"/>
      <c r="AI117" s="235"/>
      <c r="AJ117" s="235"/>
      <c r="AK117" s="235"/>
      <c r="AL117" s="235"/>
      <c r="AM117" s="235"/>
      <c r="AN117" s="235"/>
      <c r="AO117" s="235"/>
      <c r="AP117" s="235"/>
      <c r="AQ117" s="238">
        <f>HKXSw!$AD19</f>
        <v>0</v>
      </c>
      <c r="AR117" s="238">
        <f>HKXSwa!AD19</f>
        <v>0</v>
      </c>
      <c r="AS117" s="238">
        <f>HKXSna!AD19</f>
        <v>0</v>
      </c>
      <c r="AT117" s="238">
        <f>HKXSt!AD19</f>
        <v>0</v>
      </c>
      <c r="AU117" s="235"/>
      <c r="AV117" s="239"/>
      <c r="AW117" s="239"/>
      <c r="AX117" s="239"/>
      <c r="AY117" s="235"/>
      <c r="AZ117" s="239"/>
      <c r="BA117" s="239"/>
      <c r="BB117" s="108"/>
      <c r="BC117" s="108"/>
    </row>
    <row r="118" spans="1:55" ht="16.149999999999999" customHeight="1" x14ac:dyDescent="0.2">
      <c r="A118" s="108"/>
      <c r="B118" s="60" t="str">
        <f>CenAVS!A117</f>
        <v xml:space="preserve">czop boczny do korpusu HK-XS Exp     </v>
      </c>
      <c r="C118" s="60" t="str">
        <f>CenAVS!B117</f>
        <v>20K51E1</v>
      </c>
      <c r="D118" s="60" t="str">
        <f>CenAVS!C117</f>
        <v>NI</v>
      </c>
      <c r="E118" s="536">
        <f>CenAVS!D117</f>
        <v>0</v>
      </c>
      <c r="F118" s="413">
        <f t="shared" si="16"/>
        <v>0</v>
      </c>
      <c r="G118" s="58">
        <f>CenAVS!F117</f>
        <v>2.7593999999999999</v>
      </c>
      <c r="H118" s="104">
        <f t="shared" si="17"/>
        <v>0</v>
      </c>
      <c r="I118" s="65"/>
      <c r="J118" s="59">
        <f>CenAVS!I117</f>
        <v>5296642</v>
      </c>
      <c r="K118" s="59">
        <f>CenAVS!J117</f>
        <v>247128</v>
      </c>
      <c r="L118" s="943">
        <f t="shared" si="13"/>
        <v>0</v>
      </c>
      <c r="M118" s="60">
        <f t="shared" si="14"/>
        <v>0</v>
      </c>
      <c r="N118" s="236"/>
      <c r="O118" s="236"/>
      <c r="P118" s="236"/>
      <c r="Q118" s="236"/>
      <c r="R118" s="236"/>
      <c r="S118" s="236"/>
      <c r="T118" s="236"/>
      <c r="U118" s="236"/>
      <c r="V118" s="236"/>
      <c r="W118" s="235"/>
      <c r="X118" s="235"/>
      <c r="Y118" s="235"/>
      <c r="Z118" s="235"/>
      <c r="AA118" s="235"/>
      <c r="AB118" s="235"/>
      <c r="AC118" s="235"/>
      <c r="AD118" s="235"/>
      <c r="AE118" s="235"/>
      <c r="AF118" s="235"/>
      <c r="AG118" s="235"/>
      <c r="AH118" s="235"/>
      <c r="AI118" s="235"/>
      <c r="AJ118" s="235"/>
      <c r="AK118" s="235"/>
      <c r="AL118" s="235"/>
      <c r="AM118" s="235"/>
      <c r="AN118" s="235"/>
      <c r="AO118" s="235"/>
      <c r="AP118" s="235"/>
      <c r="AQ118" s="238">
        <f>HKXSw!$AD20</f>
        <v>0</v>
      </c>
      <c r="AR118" s="238">
        <f>HKXSwa!AD20</f>
        <v>0</v>
      </c>
      <c r="AS118" s="238">
        <f>HKXSna!AD20</f>
        <v>0</v>
      </c>
      <c r="AT118" s="238">
        <f>HKXSt!AD20</f>
        <v>0</v>
      </c>
      <c r="AU118" s="235"/>
      <c r="AV118" s="239"/>
      <c r="AW118" s="239"/>
      <c r="AX118" s="239"/>
      <c r="AY118" s="235"/>
      <c r="AZ118" s="239"/>
      <c r="BA118" s="239"/>
      <c r="BB118" s="108"/>
      <c r="BC118" s="108"/>
    </row>
    <row r="119" spans="1:55" ht="16.149999999999999" customHeight="1" x14ac:dyDescent="0.2">
      <c r="A119" s="108"/>
      <c r="B119" s="60" t="str">
        <f>CenAVS!A118</f>
        <v xml:space="preserve">          </v>
      </c>
      <c r="C119" s="60">
        <f>CenAVS!B118</f>
        <v>0</v>
      </c>
      <c r="D119" s="60">
        <f>CenAVS!C118</f>
        <v>0</v>
      </c>
      <c r="E119" s="536">
        <f>CenAVS!D118</f>
        <v>0</v>
      </c>
      <c r="F119" s="413">
        <f t="shared" si="16"/>
        <v>0</v>
      </c>
      <c r="G119" s="58">
        <f>CenAVS!F118</f>
        <v>0</v>
      </c>
      <c r="H119" s="104">
        <f t="shared" si="17"/>
        <v>0</v>
      </c>
      <c r="I119" s="65"/>
      <c r="J119" s="59">
        <f>CenAVS!I118</f>
        <v>0</v>
      </c>
      <c r="K119" s="59">
        <f>CenAVS!J118</f>
        <v>0</v>
      </c>
      <c r="L119" s="943">
        <f t="shared" si="13"/>
        <v>0</v>
      </c>
      <c r="M119" s="60">
        <f t="shared" si="14"/>
        <v>0</v>
      </c>
      <c r="N119" s="236"/>
      <c r="O119" s="236"/>
      <c r="P119" s="236"/>
      <c r="Q119" s="236"/>
      <c r="R119" s="236"/>
      <c r="S119" s="236"/>
      <c r="T119" s="236"/>
      <c r="U119" s="236"/>
      <c r="V119" s="236"/>
      <c r="W119" s="235"/>
      <c r="X119" s="235"/>
      <c r="Y119" s="235"/>
      <c r="Z119" s="235"/>
      <c r="AA119" s="235"/>
      <c r="AB119" s="235"/>
      <c r="AC119" s="235"/>
      <c r="AD119" s="235"/>
      <c r="AE119" s="235"/>
      <c r="AF119" s="235"/>
      <c r="AG119" s="235"/>
      <c r="AH119" s="235"/>
      <c r="AI119" s="235"/>
      <c r="AJ119" s="235"/>
      <c r="AK119" s="235"/>
      <c r="AL119" s="235"/>
      <c r="AM119" s="235"/>
      <c r="AN119" s="235"/>
      <c r="AO119" s="235"/>
      <c r="AP119" s="235"/>
      <c r="AQ119" s="235"/>
      <c r="AR119" s="235"/>
      <c r="AS119" s="235"/>
      <c r="AT119" s="235"/>
      <c r="AU119" s="235"/>
      <c r="AV119" s="239"/>
      <c r="AW119" s="239"/>
      <c r="AX119" s="239"/>
      <c r="AY119" s="235"/>
      <c r="AZ119" s="239"/>
      <c r="BA119" s="239"/>
      <c r="BB119" s="108"/>
      <c r="BC119" s="108"/>
    </row>
    <row r="120" spans="1:55" ht="16.149999999999999" customHeight="1" x14ac:dyDescent="0.2">
      <c r="A120" s="108"/>
      <c r="B120" s="60" t="str">
        <f>CenAVS!A119</f>
        <v xml:space="preserve">mocowanie frontu HK-XS wkręt       </v>
      </c>
      <c r="C120" s="60" t="str">
        <f>CenAVS!B119</f>
        <v>20K4101</v>
      </c>
      <c r="D120" s="60" t="str">
        <f>CenAVS!C119</f>
        <v>NI</v>
      </c>
      <c r="E120" s="536">
        <f>CenAVS!D119</f>
        <v>0</v>
      </c>
      <c r="F120" s="413">
        <f t="shared" si="16"/>
        <v>0</v>
      </c>
      <c r="G120" s="58">
        <f>CenAVS!F119</f>
        <v>1.38934</v>
      </c>
      <c r="H120" s="104">
        <f t="shared" si="17"/>
        <v>0</v>
      </c>
      <c r="I120" s="65"/>
      <c r="J120" s="59">
        <f>CenAVS!I119</f>
        <v>8910604</v>
      </c>
      <c r="K120" s="59">
        <f>CenAVS!J119</f>
        <v>247129</v>
      </c>
      <c r="L120" s="943">
        <f t="shared" si="13"/>
        <v>0</v>
      </c>
      <c r="M120" s="60">
        <f t="shared" si="14"/>
        <v>0</v>
      </c>
      <c r="N120" s="236"/>
      <c r="O120" s="236"/>
      <c r="P120" s="236"/>
      <c r="Q120" s="236"/>
      <c r="R120" s="236"/>
      <c r="S120" s="236"/>
      <c r="T120" s="236"/>
      <c r="U120" s="236"/>
      <c r="V120" s="236"/>
      <c r="W120" s="235"/>
      <c r="X120" s="235"/>
      <c r="Y120" s="235"/>
      <c r="Z120" s="235"/>
      <c r="AA120" s="235"/>
      <c r="AB120" s="235"/>
      <c r="AC120" s="235"/>
      <c r="AD120" s="235"/>
      <c r="AE120" s="235"/>
      <c r="AF120" s="235"/>
      <c r="AG120" s="235"/>
      <c r="AH120" s="235"/>
      <c r="AI120" s="235"/>
      <c r="AJ120" s="235"/>
      <c r="AK120" s="235"/>
      <c r="AL120" s="235"/>
      <c r="AM120" s="235"/>
      <c r="AN120" s="235"/>
      <c r="AO120" s="235"/>
      <c r="AP120" s="235"/>
      <c r="AQ120" s="238">
        <f>HKXSw!$AD22</f>
        <v>0</v>
      </c>
      <c r="AR120" s="238">
        <f>HKXSwa!AD22</f>
        <v>0</v>
      </c>
      <c r="AS120" s="235"/>
      <c r="AT120" s="238">
        <f>HKXSt!AD22</f>
        <v>0</v>
      </c>
      <c r="AU120" s="235"/>
      <c r="AV120" s="239"/>
      <c r="AW120" s="239"/>
      <c r="AX120" s="239"/>
      <c r="AY120" s="235"/>
      <c r="AZ120" s="239"/>
      <c r="BA120" s="239"/>
      <c r="BB120" s="108"/>
      <c r="BC120" s="108"/>
    </row>
    <row r="121" spans="1:55" ht="16.149999999999999" customHeight="1" x14ac:dyDescent="0.2">
      <c r="A121" s="108"/>
      <c r="B121" s="60" t="str">
        <f>CenAVS!A120</f>
        <v xml:space="preserve">mocowanie frontu HK-XS Expando       </v>
      </c>
      <c r="C121" s="60" t="str">
        <f>CenAVS!B120</f>
        <v>20K41E1</v>
      </c>
      <c r="D121" s="60" t="str">
        <f>CenAVS!C120</f>
        <v>NI</v>
      </c>
      <c r="E121" s="536">
        <f>CenAVS!D120</f>
        <v>0</v>
      </c>
      <c r="F121" s="413">
        <f t="shared" si="16"/>
        <v>0</v>
      </c>
      <c r="G121" s="58">
        <f>CenAVS!F120</f>
        <v>2.10547</v>
      </c>
      <c r="H121" s="104">
        <f t="shared" si="17"/>
        <v>0</v>
      </c>
      <c r="I121" s="65"/>
      <c r="J121" s="59">
        <f>CenAVS!I120</f>
        <v>5697170</v>
      </c>
      <c r="K121" s="59">
        <f>CenAVS!J120</f>
        <v>247130</v>
      </c>
      <c r="L121" s="943">
        <f t="shared" si="13"/>
        <v>0</v>
      </c>
      <c r="M121" s="60">
        <f t="shared" si="14"/>
        <v>0</v>
      </c>
      <c r="N121" s="236"/>
      <c r="O121" s="236"/>
      <c r="P121" s="236"/>
      <c r="Q121" s="236"/>
      <c r="R121" s="236"/>
      <c r="S121" s="236"/>
      <c r="T121" s="236"/>
      <c r="U121" s="236"/>
      <c r="V121" s="236"/>
      <c r="W121" s="235"/>
      <c r="X121" s="235"/>
      <c r="Y121" s="235"/>
      <c r="Z121" s="235"/>
      <c r="AA121" s="235"/>
      <c r="AB121" s="235"/>
      <c r="AC121" s="235"/>
      <c r="AD121" s="235"/>
      <c r="AE121" s="235"/>
      <c r="AF121" s="235"/>
      <c r="AG121" s="235"/>
      <c r="AH121" s="235"/>
      <c r="AI121" s="235"/>
      <c r="AJ121" s="235"/>
      <c r="AK121" s="235"/>
      <c r="AL121" s="235"/>
      <c r="AM121" s="235"/>
      <c r="AN121" s="235"/>
      <c r="AO121" s="235"/>
      <c r="AP121" s="235"/>
      <c r="AQ121" s="238">
        <f>HKXSw!$AD23</f>
        <v>0</v>
      </c>
      <c r="AR121" s="235"/>
      <c r="AS121" s="235"/>
      <c r="AT121" s="235"/>
      <c r="AU121" s="235"/>
      <c r="AV121" s="239"/>
      <c r="AW121" s="239"/>
      <c r="AX121" s="239"/>
      <c r="AY121" s="235"/>
      <c r="AZ121" s="239"/>
      <c r="BA121" s="239"/>
      <c r="BB121" s="108"/>
      <c r="BC121" s="108"/>
    </row>
    <row r="122" spans="1:55" ht="16.149999999999999" customHeight="1" x14ac:dyDescent="0.2">
      <c r="A122" s="108"/>
      <c r="B122" s="60" t="str">
        <f>CenAVS!A121</f>
        <v xml:space="preserve">mocowanie frontu HK-XS alu ramka      </v>
      </c>
      <c r="C122" s="60" t="str">
        <f>CenAVS!B121</f>
        <v>20K4101A</v>
      </c>
      <c r="D122" s="60" t="str">
        <f>CenAVS!C121</f>
        <v>NI</v>
      </c>
      <c r="E122" s="536">
        <f>CenAVS!D121</f>
        <v>0</v>
      </c>
      <c r="F122" s="413">
        <f t="shared" si="16"/>
        <v>0</v>
      </c>
      <c r="G122" s="58">
        <f>CenAVS!F121</f>
        <v>10.277819999999998</v>
      </c>
      <c r="H122" s="104">
        <f t="shared" si="17"/>
        <v>0</v>
      </c>
      <c r="I122" s="65"/>
      <c r="J122" s="59">
        <f>CenAVS!I121</f>
        <v>1452554</v>
      </c>
      <c r="K122" s="59">
        <f>CenAVS!J121</f>
        <v>247131</v>
      </c>
      <c r="L122" s="943">
        <f t="shared" si="13"/>
        <v>0</v>
      </c>
      <c r="M122" s="60">
        <f t="shared" si="14"/>
        <v>0</v>
      </c>
      <c r="N122" s="236"/>
      <c r="O122" s="236"/>
      <c r="P122" s="236"/>
      <c r="Q122" s="236"/>
      <c r="R122" s="236"/>
      <c r="S122" s="236"/>
      <c r="T122" s="236"/>
      <c r="U122" s="236"/>
      <c r="V122" s="236"/>
      <c r="W122" s="235"/>
      <c r="X122" s="235"/>
      <c r="Y122" s="235"/>
      <c r="Z122" s="235"/>
      <c r="AA122" s="235"/>
      <c r="AB122" s="235"/>
      <c r="AC122" s="235"/>
      <c r="AD122" s="235"/>
      <c r="AE122" s="235"/>
      <c r="AF122" s="235"/>
      <c r="AG122" s="235"/>
      <c r="AH122" s="235"/>
      <c r="AI122" s="235"/>
      <c r="AJ122" s="235"/>
      <c r="AK122" s="235"/>
      <c r="AL122" s="235"/>
      <c r="AM122" s="235"/>
      <c r="AN122" s="235"/>
      <c r="AO122" s="235"/>
      <c r="AP122" s="235"/>
      <c r="AQ122" s="235"/>
      <c r="AR122" s="235"/>
      <c r="AS122" s="238">
        <f>HKXSna!AD26</f>
        <v>0</v>
      </c>
      <c r="AT122" s="235"/>
      <c r="AU122" s="235"/>
      <c r="AV122" s="239"/>
      <c r="AW122" s="239"/>
      <c r="AX122" s="239"/>
      <c r="AY122" s="235"/>
      <c r="AZ122" s="239"/>
      <c r="BA122" s="239"/>
      <c r="BB122" s="108"/>
      <c r="BC122" s="108"/>
    </row>
    <row r="123" spans="1:55" ht="16.149999999999999" customHeight="1" x14ac:dyDescent="0.2">
      <c r="A123" s="108"/>
      <c r="B123" s="60" t="str">
        <f>CenAVS!A122</f>
        <v xml:space="preserve">          </v>
      </c>
      <c r="C123" s="60">
        <f>CenAVS!B122</f>
        <v>0</v>
      </c>
      <c r="D123" s="60">
        <f>CenAVS!C122</f>
        <v>0</v>
      </c>
      <c r="E123" s="536">
        <f>CenAVS!D122</f>
        <v>0</v>
      </c>
      <c r="F123" s="413">
        <f>IF(I123&gt;0,I123,SUM(O123:BA123))</f>
        <v>0</v>
      </c>
      <c r="G123" s="58">
        <f>CenAVS!F122</f>
        <v>0</v>
      </c>
      <c r="H123" s="104">
        <f>M123</f>
        <v>0</v>
      </c>
      <c r="I123" s="65"/>
      <c r="J123" s="59">
        <f>CenAVS!I122</f>
        <v>0</v>
      </c>
      <c r="K123" s="59">
        <f>CenAVS!J122</f>
        <v>0</v>
      </c>
      <c r="L123" s="943">
        <f>IF(I123="x",0,IF(I123&gt;0,I123,F123))</f>
        <v>0</v>
      </c>
      <c r="M123" s="60">
        <f>PRODUCT(L123,G123)</f>
        <v>0</v>
      </c>
      <c r="N123" s="236"/>
      <c r="O123" s="236"/>
      <c r="P123" s="236"/>
      <c r="Q123" s="236"/>
      <c r="R123" s="236"/>
      <c r="S123" s="236"/>
      <c r="T123" s="236"/>
      <c r="U123" s="236"/>
      <c r="V123" s="236"/>
      <c r="W123" s="235"/>
      <c r="X123" s="235"/>
      <c r="Y123" s="235"/>
      <c r="Z123" s="235"/>
      <c r="AA123" s="235"/>
      <c r="AB123" s="235"/>
      <c r="AC123" s="235"/>
      <c r="AD123" s="235"/>
      <c r="AE123" s="235"/>
      <c r="AF123" s="235"/>
      <c r="AG123" s="235"/>
      <c r="AH123" s="235"/>
      <c r="AI123" s="235"/>
      <c r="AJ123" s="235"/>
      <c r="AK123" s="235"/>
      <c r="AL123" s="235"/>
      <c r="AM123" s="235"/>
      <c r="AN123" s="235"/>
      <c r="AO123" s="235"/>
      <c r="AP123" s="235"/>
      <c r="AQ123" s="235"/>
      <c r="AR123" s="235"/>
      <c r="AS123" s="235"/>
      <c r="AT123" s="235"/>
      <c r="AU123" s="235"/>
      <c r="AV123" s="239"/>
      <c r="AW123" s="239"/>
      <c r="AX123" s="239"/>
      <c r="AY123" s="235"/>
      <c r="AZ123" s="239"/>
      <c r="BA123" s="239"/>
      <c r="BB123" s="108"/>
      <c r="BC123" s="108"/>
    </row>
    <row r="124" spans="1:55" ht="16.149999999999999" customHeight="1" x14ac:dyDescent="0.2">
      <c r="A124" s="108"/>
      <c r="B124" s="60" t="str">
        <f>CenAVS!A125</f>
        <v xml:space="preserve">Aventos HKi słaby Blumotion Onyx      </v>
      </c>
      <c r="C124" s="60" t="str">
        <f>CenAVS!B125</f>
        <v>24K2300</v>
      </c>
      <c r="D124" s="60" t="str">
        <f>CenAVS!C125</f>
        <v>OS</v>
      </c>
      <c r="E124" s="536">
        <f>CenAVS!D125</f>
        <v>0</v>
      </c>
      <c r="F124" s="413">
        <f>IF(I124&gt;0,I124,SUM(O124:BA124))</f>
        <v>0</v>
      </c>
      <c r="G124" s="58">
        <f>CenAVS!F125</f>
        <v>879.54648999999995</v>
      </c>
      <c r="H124" s="104">
        <f>M124</f>
        <v>0</v>
      </c>
      <c r="I124" s="65"/>
      <c r="J124" s="59">
        <f>CenAVS!I125</f>
        <v>9375108</v>
      </c>
      <c r="K124" s="59">
        <f>CenAVS!J125</f>
        <v>497327</v>
      </c>
      <c r="L124" s="943">
        <f>IF(I124="x",0,IF(I124&gt;0,I124,F124))</f>
        <v>0</v>
      </c>
      <c r="M124" s="60">
        <f>PRODUCT(L124,G124)</f>
        <v>0</v>
      </c>
      <c r="N124" s="236"/>
      <c r="O124" s="236"/>
      <c r="P124" s="236"/>
      <c r="Q124" s="236"/>
      <c r="R124" s="236"/>
      <c r="S124" s="236"/>
      <c r="T124" s="236"/>
      <c r="U124" s="236"/>
      <c r="V124" s="236"/>
      <c r="W124" s="235"/>
      <c r="X124" s="235"/>
      <c r="Y124" s="235"/>
      <c r="Z124" s="235"/>
      <c r="AA124" s="235"/>
      <c r="AB124" s="235"/>
      <c r="AC124" s="235"/>
      <c r="AD124" s="235"/>
      <c r="AE124" s="235"/>
      <c r="AF124" s="235"/>
      <c r="AG124" s="235"/>
      <c r="AH124" s="235"/>
      <c r="AI124" s="235"/>
      <c r="AJ124" s="235"/>
      <c r="AK124" s="235"/>
      <c r="AL124" s="235"/>
      <c r="AM124" s="235"/>
      <c r="AN124" s="235"/>
      <c r="AO124" s="235"/>
      <c r="AP124" s="235"/>
      <c r="AQ124" s="235"/>
      <c r="AR124" s="235"/>
      <c r="AS124" s="235"/>
      <c r="AT124" s="235"/>
      <c r="AU124" s="235"/>
      <c r="AV124" s="238">
        <f>HKiw!AB9</f>
        <v>0</v>
      </c>
      <c r="AW124" s="238">
        <f>HKiwa!AB9</f>
        <v>0</v>
      </c>
      <c r="AX124" s="238">
        <f>HKina!AB9</f>
        <v>0</v>
      </c>
      <c r="AY124" s="235"/>
      <c r="AZ124" s="239"/>
      <c r="BA124" s="239"/>
      <c r="BB124" s="108"/>
      <c r="BC124" s="108"/>
    </row>
    <row r="125" spans="1:55" ht="16.149999999999999" customHeight="1" x14ac:dyDescent="0.2">
      <c r="A125" s="108"/>
      <c r="B125" s="60" t="str">
        <f>CenAVS!A126</f>
        <v xml:space="preserve">Aventos HKi średni Blumotion Onyx      </v>
      </c>
      <c r="C125" s="60" t="str">
        <f>CenAVS!B126</f>
        <v>24K2500</v>
      </c>
      <c r="D125" s="60" t="str">
        <f>CenAVS!C126</f>
        <v>OS</v>
      </c>
      <c r="E125" s="536">
        <f>CenAVS!D126</f>
        <v>0</v>
      </c>
      <c r="F125" s="413">
        <f t="shared" ref="F125:F141" si="18">IF(I125&gt;0,I125,SUM(O125:BA125))</f>
        <v>0</v>
      </c>
      <c r="G125" s="58">
        <f>CenAVS!F126</f>
        <v>879.54648999999995</v>
      </c>
      <c r="H125" s="104">
        <f t="shared" ref="H125:H141" si="19">M125</f>
        <v>0</v>
      </c>
      <c r="I125" s="65"/>
      <c r="J125" s="59">
        <f>CenAVS!I126</f>
        <v>4333468</v>
      </c>
      <c r="K125" s="59">
        <f>CenAVS!J126</f>
        <v>497328</v>
      </c>
      <c r="L125" s="943">
        <f t="shared" ref="L125:L141" si="20">IF(I125="x",0,IF(I125&gt;0,I125,F125))</f>
        <v>0</v>
      </c>
      <c r="M125" s="60">
        <f t="shared" ref="M125:M141" si="21">PRODUCT(L125,G125)</f>
        <v>0</v>
      </c>
      <c r="N125" s="236"/>
      <c r="O125" s="236"/>
      <c r="P125" s="236"/>
      <c r="Q125" s="236"/>
      <c r="R125" s="236"/>
      <c r="S125" s="236"/>
      <c r="T125" s="236"/>
      <c r="U125" s="236"/>
      <c r="V125" s="236"/>
      <c r="W125" s="235"/>
      <c r="X125" s="235"/>
      <c r="Y125" s="235"/>
      <c r="Z125" s="235"/>
      <c r="AA125" s="235"/>
      <c r="AB125" s="235"/>
      <c r="AC125" s="235"/>
      <c r="AD125" s="235"/>
      <c r="AE125" s="235"/>
      <c r="AF125" s="235"/>
      <c r="AG125" s="235"/>
      <c r="AH125" s="235"/>
      <c r="AI125" s="235"/>
      <c r="AJ125" s="235"/>
      <c r="AK125" s="235"/>
      <c r="AL125" s="235"/>
      <c r="AM125" s="235"/>
      <c r="AN125" s="235"/>
      <c r="AO125" s="235"/>
      <c r="AP125" s="235"/>
      <c r="AQ125" s="235"/>
      <c r="AR125" s="235"/>
      <c r="AS125" s="235"/>
      <c r="AT125" s="235"/>
      <c r="AU125" s="235"/>
      <c r="AV125" s="238">
        <f>HKiw!AB10</f>
        <v>0</v>
      </c>
      <c r="AW125" s="238">
        <f>HKiwa!AB10</f>
        <v>0</v>
      </c>
      <c r="AX125" s="238">
        <f>HKina!AB10</f>
        <v>0</v>
      </c>
      <c r="AY125" s="235"/>
      <c r="AZ125" s="239"/>
      <c r="BA125" s="239"/>
      <c r="BB125" s="108"/>
      <c r="BC125" s="108"/>
    </row>
    <row r="126" spans="1:55" ht="16.149999999999999" customHeight="1" x14ac:dyDescent="0.2">
      <c r="A126" s="108"/>
      <c r="B126" s="60" t="str">
        <f>CenAVS!A127</f>
        <v xml:space="preserve">Aventos HKi mocny Blumotion Onyx      </v>
      </c>
      <c r="C126" s="60" t="str">
        <f>CenAVS!B127</f>
        <v>24K2700</v>
      </c>
      <c r="D126" s="60" t="str">
        <f>CenAVS!C127</f>
        <v>OS</v>
      </c>
      <c r="E126" s="536">
        <f>CenAVS!D127</f>
        <v>0</v>
      </c>
      <c r="F126" s="413">
        <f t="shared" si="18"/>
        <v>0</v>
      </c>
      <c r="G126" s="58">
        <f>CenAVS!F127</f>
        <v>894.84276</v>
      </c>
      <c r="H126" s="104">
        <f t="shared" si="19"/>
        <v>0</v>
      </c>
      <c r="I126" s="65"/>
      <c r="J126" s="59">
        <f>CenAVS!I127</f>
        <v>3327428</v>
      </c>
      <c r="K126" s="59">
        <f>CenAVS!J127</f>
        <v>497329</v>
      </c>
      <c r="L126" s="943">
        <f t="shared" si="20"/>
        <v>0</v>
      </c>
      <c r="M126" s="60">
        <f t="shared" si="21"/>
        <v>0</v>
      </c>
      <c r="N126" s="236"/>
      <c r="O126" s="236"/>
      <c r="P126" s="236"/>
      <c r="Q126" s="236"/>
      <c r="R126" s="236"/>
      <c r="S126" s="236"/>
      <c r="T126" s="236"/>
      <c r="U126" s="236"/>
      <c r="V126" s="236"/>
      <c r="W126" s="235"/>
      <c r="X126" s="235"/>
      <c r="Y126" s="235"/>
      <c r="Z126" s="235"/>
      <c r="AA126" s="235"/>
      <c r="AB126" s="235"/>
      <c r="AC126" s="235"/>
      <c r="AD126" s="235"/>
      <c r="AE126" s="235"/>
      <c r="AF126" s="235"/>
      <c r="AG126" s="235"/>
      <c r="AH126" s="235"/>
      <c r="AI126" s="235"/>
      <c r="AJ126" s="235"/>
      <c r="AK126" s="235"/>
      <c r="AL126" s="235"/>
      <c r="AM126" s="235"/>
      <c r="AN126" s="235"/>
      <c r="AO126" s="235"/>
      <c r="AP126" s="235"/>
      <c r="AQ126" s="235"/>
      <c r="AR126" s="235"/>
      <c r="AS126" s="235"/>
      <c r="AT126" s="235"/>
      <c r="AU126" s="235"/>
      <c r="AV126" s="238">
        <f>HKiw!AB11</f>
        <v>0</v>
      </c>
      <c r="AW126" s="238">
        <f>HKiwa!AB11</f>
        <v>0</v>
      </c>
      <c r="AX126" s="238">
        <f>HKina!AB11</f>
        <v>0</v>
      </c>
      <c r="AY126" s="235"/>
      <c r="AZ126" s="239"/>
      <c r="BA126" s="239"/>
      <c r="BB126" s="108"/>
      <c r="BC126" s="108"/>
    </row>
    <row r="127" spans="1:55" ht="16.149999999999999" customHeight="1" x14ac:dyDescent="0.2">
      <c r="A127" s="108"/>
      <c r="B127" s="60" t="str">
        <f>CenAVS!A128</f>
        <v xml:space="preserve">Aventos HKi najmocniejszy Blumotion Onyx      </v>
      </c>
      <c r="C127" s="60" t="str">
        <f>CenAVS!B128</f>
        <v>24K2800</v>
      </c>
      <c r="D127" s="60" t="str">
        <f>CenAVS!C128</f>
        <v>OS</v>
      </c>
      <c r="E127" s="536">
        <f>CenAVS!D128</f>
        <v>0</v>
      </c>
      <c r="F127" s="413">
        <f t="shared" si="18"/>
        <v>0</v>
      </c>
      <c r="G127" s="58">
        <f>CenAVS!F128</f>
        <v>933.08410000000003</v>
      </c>
      <c r="H127" s="104">
        <f t="shared" si="19"/>
        <v>0</v>
      </c>
      <c r="I127" s="65"/>
      <c r="J127" s="59">
        <f>CenAVS!I128</f>
        <v>9445829</v>
      </c>
      <c r="K127" s="59">
        <f>CenAVS!J128</f>
        <v>497330</v>
      </c>
      <c r="L127" s="943">
        <f t="shared" si="20"/>
        <v>0</v>
      </c>
      <c r="M127" s="60">
        <f t="shared" si="21"/>
        <v>0</v>
      </c>
      <c r="N127" s="236"/>
      <c r="O127" s="236"/>
      <c r="P127" s="236"/>
      <c r="Q127" s="236"/>
      <c r="R127" s="236"/>
      <c r="S127" s="236"/>
      <c r="T127" s="236"/>
      <c r="U127" s="236"/>
      <c r="V127" s="236"/>
      <c r="W127" s="235"/>
      <c r="X127" s="235"/>
      <c r="Y127" s="235"/>
      <c r="Z127" s="235"/>
      <c r="AA127" s="235"/>
      <c r="AB127" s="235"/>
      <c r="AC127" s="235"/>
      <c r="AD127" s="235"/>
      <c r="AE127" s="235"/>
      <c r="AF127" s="235"/>
      <c r="AG127" s="235"/>
      <c r="AH127" s="235"/>
      <c r="AI127" s="235"/>
      <c r="AJ127" s="235"/>
      <c r="AK127" s="235"/>
      <c r="AL127" s="235"/>
      <c r="AM127" s="235"/>
      <c r="AN127" s="235"/>
      <c r="AO127" s="235"/>
      <c r="AP127" s="235"/>
      <c r="AQ127" s="235"/>
      <c r="AR127" s="235"/>
      <c r="AS127" s="235"/>
      <c r="AT127" s="235"/>
      <c r="AU127" s="235"/>
      <c r="AV127" s="238">
        <f>HKiw!AB12</f>
        <v>0</v>
      </c>
      <c r="AW127" s="238">
        <f>HKiwa!AB12</f>
        <v>0</v>
      </c>
      <c r="AX127" s="238">
        <f>HKina!AB12</f>
        <v>0</v>
      </c>
      <c r="AY127" s="235"/>
      <c r="AZ127" s="239"/>
      <c r="BA127" s="239"/>
      <c r="BB127" s="108"/>
      <c r="BC127" s="108"/>
    </row>
    <row r="128" spans="1:55" ht="16.149999999999999" customHeight="1" x14ac:dyDescent="0.2">
      <c r="A128" s="108"/>
      <c r="B128" s="60" t="str">
        <f>CenAVS!A129</f>
        <v xml:space="preserve">          </v>
      </c>
      <c r="C128" s="60">
        <f>CenAVS!B129</f>
        <v>0</v>
      </c>
      <c r="D128" s="60">
        <f>CenAVS!C129</f>
        <v>0</v>
      </c>
      <c r="E128" s="536">
        <f>CenAVS!D129</f>
        <v>0</v>
      </c>
      <c r="F128" s="413">
        <f t="shared" si="18"/>
        <v>0</v>
      </c>
      <c r="G128" s="58">
        <f>CenAVS!F129</f>
        <v>0</v>
      </c>
      <c r="H128" s="104">
        <f t="shared" si="19"/>
        <v>0</v>
      </c>
      <c r="I128" s="65"/>
      <c r="J128" s="59">
        <f>CenAVS!I129</f>
        <v>0</v>
      </c>
      <c r="K128" s="59">
        <f>CenAVS!J129</f>
        <v>0</v>
      </c>
      <c r="L128" s="943">
        <f t="shared" si="20"/>
        <v>0</v>
      </c>
      <c r="M128" s="60">
        <f t="shared" si="21"/>
        <v>0</v>
      </c>
      <c r="N128" s="236"/>
      <c r="O128" s="236"/>
      <c r="P128" s="236"/>
      <c r="Q128" s="236"/>
      <c r="R128" s="236"/>
      <c r="S128" s="236"/>
      <c r="T128" s="236"/>
      <c r="U128" s="236"/>
      <c r="V128" s="236"/>
      <c r="W128" s="235"/>
      <c r="X128" s="235"/>
      <c r="Y128" s="235"/>
      <c r="Z128" s="235"/>
      <c r="AA128" s="235"/>
      <c r="AB128" s="235"/>
      <c r="AC128" s="235"/>
      <c r="AD128" s="235"/>
      <c r="AE128" s="235"/>
      <c r="AF128" s="235"/>
      <c r="AG128" s="235"/>
      <c r="AH128" s="235"/>
      <c r="AI128" s="235"/>
      <c r="AJ128" s="235"/>
      <c r="AK128" s="235"/>
      <c r="AL128" s="235"/>
      <c r="AM128" s="235"/>
      <c r="AN128" s="235"/>
      <c r="AO128" s="235"/>
      <c r="AP128" s="235"/>
      <c r="AQ128" s="235"/>
      <c r="AR128" s="235"/>
      <c r="AS128" s="235"/>
      <c r="AT128" s="235"/>
      <c r="AU128" s="235"/>
      <c r="AV128" s="239"/>
      <c r="AW128" s="239"/>
      <c r="AX128" s="239"/>
      <c r="AY128" s="235"/>
      <c r="AZ128" s="239"/>
      <c r="BA128" s="239"/>
      <c r="BB128" s="108"/>
      <c r="BC128" s="108"/>
    </row>
    <row r="129" spans="1:55" ht="16.149999999999999" customHeight="1" x14ac:dyDescent="0.2">
      <c r="A129" s="108"/>
      <c r="B129" s="60" t="str">
        <f>CenAVS!A130</f>
        <v xml:space="preserve">Aventos HKi słaby Tip-on Onyx      </v>
      </c>
      <c r="C129" s="60" t="str">
        <f>CenAVS!B130</f>
        <v>24K2300T</v>
      </c>
      <c r="D129" s="60" t="str">
        <f>CenAVS!C130</f>
        <v>OS</v>
      </c>
      <c r="E129" s="536">
        <f>CenAVS!D130</f>
        <v>0</v>
      </c>
      <c r="F129" s="413">
        <f t="shared" si="18"/>
        <v>0</v>
      </c>
      <c r="G129" s="58">
        <f>CenAVS!F130</f>
        <v>891.34664000000009</v>
      </c>
      <c r="H129" s="104">
        <f t="shared" si="19"/>
        <v>0</v>
      </c>
      <c r="I129" s="65"/>
      <c r="J129" s="59">
        <f>CenAVS!I130</f>
        <v>9348915</v>
      </c>
      <c r="K129" s="59">
        <f>CenAVS!J130</f>
        <v>497331</v>
      </c>
      <c r="L129" s="943">
        <f t="shared" si="20"/>
        <v>0</v>
      </c>
      <c r="M129" s="60">
        <f t="shared" si="21"/>
        <v>0</v>
      </c>
      <c r="N129" s="236"/>
      <c r="O129" s="236"/>
      <c r="P129" s="236"/>
      <c r="Q129" s="236"/>
      <c r="R129" s="236"/>
      <c r="S129" s="236"/>
      <c r="T129" s="236"/>
      <c r="U129" s="236"/>
      <c r="V129" s="236"/>
      <c r="W129" s="235"/>
      <c r="X129" s="235"/>
      <c r="Y129" s="235"/>
      <c r="Z129" s="235"/>
      <c r="AA129" s="235"/>
      <c r="AB129" s="235"/>
      <c r="AC129" s="235"/>
      <c r="AD129" s="235"/>
      <c r="AE129" s="235"/>
      <c r="AF129" s="235"/>
      <c r="AG129" s="235"/>
      <c r="AH129" s="235"/>
      <c r="AI129" s="235"/>
      <c r="AJ129" s="235"/>
      <c r="AK129" s="235"/>
      <c r="AL129" s="235"/>
      <c r="AM129" s="235"/>
      <c r="AN129" s="235"/>
      <c r="AO129" s="235"/>
      <c r="AP129" s="235"/>
      <c r="AQ129" s="235"/>
      <c r="AR129" s="235"/>
      <c r="AS129" s="235"/>
      <c r="AT129" s="235"/>
      <c r="AU129" s="235"/>
      <c r="AV129" s="238">
        <f>HKiw!AB14</f>
        <v>0</v>
      </c>
      <c r="AW129" s="238">
        <f>HKiwa!AB14</f>
        <v>0</v>
      </c>
      <c r="AX129" s="238">
        <f>HKina!AB14</f>
        <v>0</v>
      </c>
      <c r="AY129" s="235"/>
      <c r="AZ129" s="239"/>
      <c r="BA129" s="239"/>
      <c r="BB129" s="108"/>
      <c r="BC129" s="108"/>
    </row>
    <row r="130" spans="1:55" ht="16.149999999999999" customHeight="1" x14ac:dyDescent="0.2">
      <c r="A130" s="108"/>
      <c r="B130" s="60" t="str">
        <f>CenAVS!A131</f>
        <v xml:space="preserve">Aventos HKi średni Tip-on Onyx      </v>
      </c>
      <c r="C130" s="60" t="str">
        <f>CenAVS!B131</f>
        <v>24K2500T</v>
      </c>
      <c r="D130" s="60" t="str">
        <f>CenAVS!C131</f>
        <v>OS</v>
      </c>
      <c r="E130" s="536">
        <f>CenAVS!D131</f>
        <v>0</v>
      </c>
      <c r="F130" s="413">
        <f t="shared" si="18"/>
        <v>0</v>
      </c>
      <c r="G130" s="58">
        <f>CenAVS!F131</f>
        <v>891.34664000000009</v>
      </c>
      <c r="H130" s="104">
        <f t="shared" si="19"/>
        <v>0</v>
      </c>
      <c r="I130" s="65"/>
      <c r="J130" s="59">
        <f>CenAVS!I131</f>
        <v>3988041</v>
      </c>
      <c r="K130" s="59">
        <f>CenAVS!J131</f>
        <v>497332</v>
      </c>
      <c r="L130" s="943">
        <f t="shared" si="20"/>
        <v>0</v>
      </c>
      <c r="M130" s="60">
        <f t="shared" si="21"/>
        <v>0</v>
      </c>
      <c r="N130" s="236"/>
      <c r="O130" s="236"/>
      <c r="P130" s="236"/>
      <c r="Q130" s="236"/>
      <c r="R130" s="236"/>
      <c r="S130" s="236"/>
      <c r="T130" s="236"/>
      <c r="U130" s="236"/>
      <c r="V130" s="236"/>
      <c r="W130" s="235"/>
      <c r="X130" s="235"/>
      <c r="Y130" s="235"/>
      <c r="Z130" s="235"/>
      <c r="AA130" s="235"/>
      <c r="AB130" s="235"/>
      <c r="AC130" s="235"/>
      <c r="AD130" s="235"/>
      <c r="AE130" s="235"/>
      <c r="AF130" s="235"/>
      <c r="AG130" s="235"/>
      <c r="AH130" s="235"/>
      <c r="AI130" s="235"/>
      <c r="AJ130" s="235"/>
      <c r="AK130" s="235"/>
      <c r="AL130" s="235"/>
      <c r="AM130" s="235"/>
      <c r="AN130" s="235"/>
      <c r="AO130" s="235"/>
      <c r="AP130" s="235"/>
      <c r="AQ130" s="235"/>
      <c r="AR130" s="235"/>
      <c r="AS130" s="235"/>
      <c r="AT130" s="235"/>
      <c r="AU130" s="235"/>
      <c r="AV130" s="238">
        <f>HKiw!AB15</f>
        <v>0</v>
      </c>
      <c r="AW130" s="238">
        <f>HKiwa!AB15</f>
        <v>0</v>
      </c>
      <c r="AX130" s="238">
        <f>HKina!AB15</f>
        <v>0</v>
      </c>
      <c r="AY130" s="235"/>
      <c r="AZ130" s="239"/>
      <c r="BA130" s="239"/>
      <c r="BB130" s="108"/>
      <c r="BC130" s="108"/>
    </row>
    <row r="131" spans="1:55" ht="16.149999999999999" customHeight="1" x14ac:dyDescent="0.2">
      <c r="A131" s="108"/>
      <c r="B131" s="60" t="str">
        <f>CenAVS!A132</f>
        <v xml:space="preserve">Aventos HKi silny Tip-on Onyx      </v>
      </c>
      <c r="C131" s="60" t="str">
        <f>CenAVS!B132</f>
        <v>24K2700T</v>
      </c>
      <c r="D131" s="60" t="str">
        <f>CenAVS!C132</f>
        <v>OS</v>
      </c>
      <c r="E131" s="536">
        <f>CenAVS!D132</f>
        <v>0</v>
      </c>
      <c r="F131" s="413">
        <f t="shared" si="18"/>
        <v>0</v>
      </c>
      <c r="G131" s="58">
        <f>CenAVS!F132</f>
        <v>916.86846999999989</v>
      </c>
      <c r="H131" s="104">
        <f t="shared" si="19"/>
        <v>0</v>
      </c>
      <c r="I131" s="65"/>
      <c r="J131" s="59">
        <f>CenAVS!I132</f>
        <v>3401692</v>
      </c>
      <c r="K131" s="59">
        <f>CenAVS!J132</f>
        <v>497333</v>
      </c>
      <c r="L131" s="943">
        <f t="shared" si="20"/>
        <v>0</v>
      </c>
      <c r="M131" s="60">
        <f t="shared" si="21"/>
        <v>0</v>
      </c>
      <c r="N131" s="236"/>
      <c r="O131" s="236"/>
      <c r="P131" s="236"/>
      <c r="Q131" s="236"/>
      <c r="R131" s="236"/>
      <c r="S131" s="236"/>
      <c r="T131" s="236"/>
      <c r="U131" s="236"/>
      <c r="V131" s="236"/>
      <c r="W131" s="235"/>
      <c r="X131" s="235"/>
      <c r="Y131" s="235"/>
      <c r="Z131" s="235"/>
      <c r="AA131" s="235"/>
      <c r="AB131" s="235"/>
      <c r="AC131" s="235"/>
      <c r="AD131" s="235"/>
      <c r="AE131" s="235"/>
      <c r="AF131" s="235"/>
      <c r="AG131" s="235"/>
      <c r="AH131" s="235"/>
      <c r="AI131" s="235"/>
      <c r="AJ131" s="235"/>
      <c r="AK131" s="235"/>
      <c r="AL131" s="235"/>
      <c r="AM131" s="235"/>
      <c r="AN131" s="235"/>
      <c r="AO131" s="235"/>
      <c r="AP131" s="235"/>
      <c r="AQ131" s="235"/>
      <c r="AR131" s="235"/>
      <c r="AS131" s="235"/>
      <c r="AT131" s="235"/>
      <c r="AU131" s="235"/>
      <c r="AV131" s="238">
        <f>HKiw!AB16</f>
        <v>0</v>
      </c>
      <c r="AW131" s="238">
        <f>HKiwa!AB16</f>
        <v>0</v>
      </c>
      <c r="AX131" s="238">
        <f>HKina!AB16</f>
        <v>0</v>
      </c>
      <c r="AY131" s="235"/>
      <c r="AZ131" s="239"/>
      <c r="BA131" s="239"/>
      <c r="BB131" s="108"/>
      <c r="BC131" s="108"/>
    </row>
    <row r="132" spans="1:55" ht="16.149999999999999" customHeight="1" x14ac:dyDescent="0.2">
      <c r="A132" s="108"/>
      <c r="B132" s="60" t="str">
        <f>CenAVS!A133</f>
        <v xml:space="preserve">Aventos HKi najsilniejszy Tip-on Onyx      </v>
      </c>
      <c r="C132" s="60" t="str">
        <f>CenAVS!B133</f>
        <v>24K2800T</v>
      </c>
      <c r="D132" s="60" t="str">
        <f>CenAVS!C133</f>
        <v>OS</v>
      </c>
      <c r="E132" s="536">
        <f>CenAVS!D133</f>
        <v>0</v>
      </c>
      <c r="F132" s="413">
        <f t="shared" si="18"/>
        <v>0</v>
      </c>
      <c r="G132" s="58">
        <f>CenAVS!F133</f>
        <v>955.10937000000001</v>
      </c>
      <c r="H132" s="104">
        <f t="shared" si="19"/>
        <v>0</v>
      </c>
      <c r="I132" s="65"/>
      <c r="J132" s="59">
        <f>CenAVS!I133</f>
        <v>3061597</v>
      </c>
      <c r="K132" s="59">
        <f>CenAVS!J133</f>
        <v>497334</v>
      </c>
      <c r="L132" s="943">
        <f t="shared" si="20"/>
        <v>0</v>
      </c>
      <c r="M132" s="60">
        <f t="shared" si="21"/>
        <v>0</v>
      </c>
      <c r="N132" s="236"/>
      <c r="O132" s="236"/>
      <c r="P132" s="236"/>
      <c r="Q132" s="236"/>
      <c r="R132" s="236"/>
      <c r="S132" s="236"/>
      <c r="T132" s="236"/>
      <c r="U132" s="236"/>
      <c r="V132" s="236"/>
      <c r="W132" s="235"/>
      <c r="X132" s="235"/>
      <c r="Y132" s="235"/>
      <c r="Z132" s="235"/>
      <c r="AA132" s="235"/>
      <c r="AB132" s="235"/>
      <c r="AC132" s="235"/>
      <c r="AD132" s="235"/>
      <c r="AE132" s="235"/>
      <c r="AF132" s="235"/>
      <c r="AG132" s="235"/>
      <c r="AH132" s="235"/>
      <c r="AI132" s="235"/>
      <c r="AJ132" s="235"/>
      <c r="AK132" s="235"/>
      <c r="AL132" s="235"/>
      <c r="AM132" s="235"/>
      <c r="AN132" s="235"/>
      <c r="AO132" s="235"/>
      <c r="AP132" s="235"/>
      <c r="AQ132" s="235"/>
      <c r="AR132" s="235"/>
      <c r="AS132" s="235"/>
      <c r="AT132" s="235"/>
      <c r="AU132" s="235"/>
      <c r="AV132" s="238">
        <f>HKiw!AB17</f>
        <v>0</v>
      </c>
      <c r="AW132" s="238">
        <f>HKiwa!AB17</f>
        <v>0</v>
      </c>
      <c r="AX132" s="238">
        <f>HKina!AB17</f>
        <v>0</v>
      </c>
      <c r="AY132" s="235"/>
      <c r="AZ132" s="239"/>
      <c r="BA132" s="239"/>
      <c r="BB132" s="108"/>
      <c r="BC132" s="108"/>
    </row>
    <row r="133" spans="1:55" ht="16.149999999999999" customHeight="1" x14ac:dyDescent="0.2">
      <c r="A133" s="108"/>
      <c r="B133" s="60" t="str">
        <f>CenAVS!A134</f>
        <v xml:space="preserve">          </v>
      </c>
      <c r="C133" s="60">
        <f>CenAVS!B134</f>
        <v>0</v>
      </c>
      <c r="D133" s="60">
        <f>CenAVS!C134</f>
        <v>0</v>
      </c>
      <c r="E133" s="536">
        <f>CenAVS!D134</f>
        <v>0</v>
      </c>
      <c r="F133" s="413">
        <f t="shared" si="18"/>
        <v>0</v>
      </c>
      <c r="G133" s="58">
        <f>CenAVS!F134</f>
        <v>0</v>
      </c>
      <c r="H133" s="104">
        <f t="shared" si="19"/>
        <v>0</v>
      </c>
      <c r="I133" s="65"/>
      <c r="J133" s="59">
        <f>CenAVS!I134</f>
        <v>0</v>
      </c>
      <c r="K133" s="59">
        <f>CenAVS!J134</f>
        <v>0</v>
      </c>
      <c r="L133" s="943">
        <f t="shared" si="20"/>
        <v>0</v>
      </c>
      <c r="M133" s="60">
        <f t="shared" si="21"/>
        <v>0</v>
      </c>
      <c r="N133" s="236"/>
      <c r="O133" s="236"/>
      <c r="P133" s="236"/>
      <c r="Q133" s="236"/>
      <c r="R133" s="236"/>
      <c r="S133" s="236"/>
      <c r="T133" s="236"/>
      <c r="U133" s="236"/>
      <c r="V133" s="236"/>
      <c r="W133" s="235"/>
      <c r="X133" s="235"/>
      <c r="Y133" s="235"/>
      <c r="Z133" s="235"/>
      <c r="AA133" s="235"/>
      <c r="AB133" s="235"/>
      <c r="AC133" s="235"/>
      <c r="AD133" s="235"/>
      <c r="AE133" s="235"/>
      <c r="AF133" s="235"/>
      <c r="AG133" s="235"/>
      <c r="AH133" s="235"/>
      <c r="AI133" s="235"/>
      <c r="AJ133" s="235"/>
      <c r="AK133" s="235"/>
      <c r="AL133" s="235"/>
      <c r="AM133" s="235"/>
      <c r="AN133" s="235"/>
      <c r="AO133" s="235"/>
      <c r="AP133" s="235"/>
      <c r="AQ133" s="235"/>
      <c r="AR133" s="235"/>
      <c r="AS133" s="235"/>
      <c r="AT133" s="235"/>
      <c r="AU133" s="235"/>
      <c r="AV133" s="239"/>
      <c r="AW133" s="239"/>
      <c r="AX133" s="239"/>
      <c r="AY133" s="235"/>
      <c r="AZ133" s="239"/>
      <c r="BA133" s="239"/>
      <c r="BB133" s="108"/>
      <c r="BC133" s="108"/>
    </row>
    <row r="134" spans="1:55" ht="16.149999999999999" customHeight="1" x14ac:dyDescent="0.2">
      <c r="A134" s="108"/>
      <c r="B134" s="60" t="str">
        <f>CenAVS!A135</f>
        <v xml:space="preserve">Aventos HKi mocowanie frontu Expando Onyx     </v>
      </c>
      <c r="C134" s="60" t="str">
        <f>CenAVS!B135</f>
        <v>24K42E1</v>
      </c>
      <c r="D134" s="60" t="str">
        <f>CenAVS!C135</f>
        <v>OS</v>
      </c>
      <c r="E134" s="536">
        <f>CenAVS!D135</f>
        <v>0</v>
      </c>
      <c r="F134" s="413">
        <f t="shared" si="18"/>
        <v>0</v>
      </c>
      <c r="G134" s="58">
        <f>CenAVS!F135</f>
        <v>22.944630000000004</v>
      </c>
      <c r="H134" s="104">
        <f t="shared" si="19"/>
        <v>0</v>
      </c>
      <c r="I134" s="65"/>
      <c r="J134" s="59">
        <f>CenAVS!I135</f>
        <v>4845277</v>
      </c>
      <c r="K134" s="59">
        <f>CenAVS!J135</f>
        <v>497336</v>
      </c>
      <c r="L134" s="943">
        <f t="shared" si="20"/>
        <v>0</v>
      </c>
      <c r="M134" s="60">
        <f t="shared" si="21"/>
        <v>0</v>
      </c>
      <c r="N134" s="236"/>
      <c r="O134" s="236"/>
      <c r="P134" s="236"/>
      <c r="Q134" s="236"/>
      <c r="R134" s="236"/>
      <c r="S134" s="236"/>
      <c r="T134" s="236"/>
      <c r="U134" s="236"/>
      <c r="V134" s="236"/>
      <c r="W134" s="235"/>
      <c r="X134" s="235"/>
      <c r="Y134" s="235"/>
      <c r="Z134" s="235"/>
      <c r="AA134" s="235"/>
      <c r="AB134" s="235"/>
      <c r="AC134" s="235"/>
      <c r="AD134" s="235"/>
      <c r="AE134" s="235"/>
      <c r="AF134" s="235"/>
      <c r="AG134" s="235"/>
      <c r="AH134" s="235"/>
      <c r="AI134" s="235"/>
      <c r="AJ134" s="235"/>
      <c r="AK134" s="235"/>
      <c r="AL134" s="235"/>
      <c r="AM134" s="235"/>
      <c r="AN134" s="235"/>
      <c r="AO134" s="235"/>
      <c r="AP134" s="235"/>
      <c r="AQ134" s="235"/>
      <c r="AR134" s="235"/>
      <c r="AS134" s="235"/>
      <c r="AT134" s="235"/>
      <c r="AU134" s="235"/>
      <c r="AV134" s="238">
        <f>HKiw!AB19</f>
        <v>0</v>
      </c>
      <c r="AW134" s="239"/>
      <c r="AX134" s="239"/>
      <c r="AY134" s="235"/>
      <c r="AZ134" s="239"/>
      <c r="BA134" s="239"/>
      <c r="BB134" s="108"/>
      <c r="BC134" s="108"/>
    </row>
    <row r="135" spans="1:55" ht="16.149999999999999" customHeight="1" x14ac:dyDescent="0.2">
      <c r="A135" s="108"/>
      <c r="B135" s="60" t="str">
        <f>CenAVS!A136</f>
        <v xml:space="preserve">Aventos HKi mocowanie frontu alu ramki Onyx    </v>
      </c>
      <c r="C135" s="60" t="str">
        <f>CenAVS!B136</f>
        <v>24K4201A</v>
      </c>
      <c r="D135" s="60" t="str">
        <f>CenAVS!C136</f>
        <v>OS</v>
      </c>
      <c r="E135" s="536">
        <f>CenAVS!D136</f>
        <v>0</v>
      </c>
      <c r="F135" s="413">
        <f t="shared" si="18"/>
        <v>0</v>
      </c>
      <c r="G135" s="58">
        <f>CenAVS!F136</f>
        <v>25.238869999999999</v>
      </c>
      <c r="H135" s="104">
        <f t="shared" si="19"/>
        <v>0</v>
      </c>
      <c r="I135" s="65"/>
      <c r="J135" s="59">
        <f>CenAVS!I136</f>
        <v>2551910</v>
      </c>
      <c r="K135" s="59">
        <f>CenAVS!J136</f>
        <v>497337</v>
      </c>
      <c r="L135" s="943">
        <f t="shared" si="20"/>
        <v>0</v>
      </c>
      <c r="M135" s="60">
        <f t="shared" si="21"/>
        <v>0</v>
      </c>
      <c r="N135" s="236"/>
      <c r="O135" s="236"/>
      <c r="P135" s="236"/>
      <c r="Q135" s="236"/>
      <c r="R135" s="236"/>
      <c r="S135" s="236"/>
      <c r="T135" s="236"/>
      <c r="U135" s="236"/>
      <c r="V135" s="236"/>
      <c r="W135" s="235"/>
      <c r="X135" s="235"/>
      <c r="Y135" s="235"/>
      <c r="Z135" s="235"/>
      <c r="AA135" s="235"/>
      <c r="AB135" s="235"/>
      <c r="AC135" s="235"/>
      <c r="AD135" s="235"/>
      <c r="AE135" s="235"/>
      <c r="AF135" s="235"/>
      <c r="AG135" s="235"/>
      <c r="AH135" s="235"/>
      <c r="AI135" s="235"/>
      <c r="AJ135" s="235"/>
      <c r="AK135" s="235"/>
      <c r="AL135" s="235"/>
      <c r="AM135" s="235"/>
      <c r="AN135" s="235"/>
      <c r="AO135" s="235"/>
      <c r="AP135" s="235"/>
      <c r="AQ135" s="235"/>
      <c r="AR135" s="235"/>
      <c r="AS135" s="235"/>
      <c r="AT135" s="235"/>
      <c r="AU135" s="235"/>
      <c r="AV135" s="239"/>
      <c r="AW135" s="238">
        <f>HKiwa!AB20</f>
        <v>0</v>
      </c>
      <c r="AX135" s="238">
        <f>HKina!AB20</f>
        <v>0</v>
      </c>
      <c r="AY135" s="235"/>
      <c r="AZ135" s="239"/>
      <c r="BA135" s="239"/>
      <c r="BB135" s="108"/>
      <c r="BC135" s="108"/>
    </row>
    <row r="136" spans="1:55" ht="16.149999999999999" customHeight="1" x14ac:dyDescent="0.2">
      <c r="A136" s="108"/>
      <c r="B136" s="60" t="str">
        <f>CenAVS!A137</f>
        <v xml:space="preserve">          </v>
      </c>
      <c r="C136" s="60">
        <f>CenAVS!B137</f>
        <v>0</v>
      </c>
      <c r="D136" s="60">
        <f>CenAVS!C137</f>
        <v>0</v>
      </c>
      <c r="E136" s="536">
        <f>CenAVS!D137</f>
        <v>0</v>
      </c>
      <c r="F136" s="413">
        <f t="shared" si="18"/>
        <v>0</v>
      </c>
      <c r="G136" s="58">
        <f>CenAVS!F137</f>
        <v>0</v>
      </c>
      <c r="H136" s="104">
        <f t="shared" si="19"/>
        <v>0</v>
      </c>
      <c r="I136" s="65"/>
      <c r="J136" s="59">
        <f>CenAVS!I137</f>
        <v>0</v>
      </c>
      <c r="K136" s="59">
        <f>CenAVS!J137</f>
        <v>0</v>
      </c>
      <c r="L136" s="943">
        <f t="shared" si="20"/>
        <v>0</v>
      </c>
      <c r="M136" s="60">
        <f t="shared" si="21"/>
        <v>0</v>
      </c>
      <c r="N136" s="236"/>
      <c r="O136" s="236"/>
      <c r="P136" s="236"/>
      <c r="Q136" s="236"/>
      <c r="R136" s="236"/>
      <c r="S136" s="236"/>
      <c r="T136" s="236"/>
      <c r="U136" s="236"/>
      <c r="V136" s="236"/>
      <c r="W136" s="235"/>
      <c r="X136" s="235"/>
      <c r="Y136" s="235"/>
      <c r="Z136" s="235"/>
      <c r="AA136" s="235"/>
      <c r="AB136" s="235"/>
      <c r="AC136" s="235"/>
      <c r="AD136" s="235"/>
      <c r="AE136" s="235"/>
      <c r="AF136" s="235"/>
      <c r="AG136" s="235"/>
      <c r="AH136" s="235"/>
      <c r="AI136" s="235"/>
      <c r="AJ136" s="235"/>
      <c r="AK136" s="235"/>
      <c r="AL136" s="235"/>
      <c r="AM136" s="235"/>
      <c r="AN136" s="235"/>
      <c r="AO136" s="235"/>
      <c r="AP136" s="235"/>
      <c r="AQ136" s="235"/>
      <c r="AR136" s="235"/>
      <c r="AS136" s="235"/>
      <c r="AT136" s="235"/>
      <c r="AU136" s="235"/>
      <c r="AV136" s="239"/>
      <c r="AW136" s="239"/>
      <c r="AX136" s="239"/>
      <c r="AY136" s="235"/>
      <c r="AZ136" s="239"/>
      <c r="BA136" s="239"/>
      <c r="BB136" s="108"/>
      <c r="BC136" s="108"/>
    </row>
    <row r="137" spans="1:55" ht="16.149999999999999" customHeight="1" x14ac:dyDescent="0.2">
      <c r="A137" s="108"/>
      <c r="B137" s="60" t="str">
        <f>CenAVS!A138</f>
        <v xml:space="preserve">Aventos HKi zestaw zaślepek jedwabiście biały SW    </v>
      </c>
      <c r="C137" s="60" t="str">
        <f>CenAVS!B138</f>
        <v>24K8000</v>
      </c>
      <c r="D137" s="60" t="str">
        <f>CenAVS!C138</f>
        <v>SW</v>
      </c>
      <c r="E137" s="536">
        <f>CenAVS!D138</f>
        <v>0</v>
      </c>
      <c r="F137" s="413">
        <f t="shared" si="18"/>
        <v>0</v>
      </c>
      <c r="G137" s="58">
        <f>CenAVS!F138</f>
        <v>75.625519999999995</v>
      </c>
      <c r="H137" s="104">
        <f t="shared" si="19"/>
        <v>0</v>
      </c>
      <c r="I137" s="65"/>
      <c r="J137" s="59">
        <f>CenAVS!I138</f>
        <v>6690522</v>
      </c>
      <c r="K137" s="59">
        <f>CenAVS!J138</f>
        <v>497339</v>
      </c>
      <c r="L137" s="943">
        <f t="shared" si="20"/>
        <v>0</v>
      </c>
      <c r="M137" s="60">
        <f t="shared" si="21"/>
        <v>0</v>
      </c>
      <c r="N137" s="236"/>
      <c r="O137" s="236"/>
      <c r="P137" s="236"/>
      <c r="Q137" s="236"/>
      <c r="R137" s="236"/>
      <c r="S137" s="236"/>
      <c r="T137" s="236"/>
      <c r="U137" s="236"/>
      <c r="V137" s="236"/>
      <c r="W137" s="235"/>
      <c r="X137" s="235"/>
      <c r="Y137" s="235"/>
      <c r="Z137" s="235"/>
      <c r="AA137" s="235"/>
      <c r="AB137" s="235"/>
      <c r="AC137" s="235"/>
      <c r="AD137" s="235"/>
      <c r="AE137" s="235"/>
      <c r="AF137" s="235"/>
      <c r="AG137" s="235"/>
      <c r="AH137" s="235"/>
      <c r="AI137" s="235"/>
      <c r="AJ137" s="235"/>
      <c r="AK137" s="235"/>
      <c r="AL137" s="235"/>
      <c r="AM137" s="235"/>
      <c r="AN137" s="235"/>
      <c r="AO137" s="235"/>
      <c r="AP137" s="235"/>
      <c r="AQ137" s="235"/>
      <c r="AR137" s="235"/>
      <c r="AS137" s="235"/>
      <c r="AT137" s="235"/>
      <c r="AU137" s="235"/>
      <c r="AV137" s="238">
        <f>HKiw!AB22</f>
        <v>0</v>
      </c>
      <c r="AW137" s="238">
        <f>HKiwa!AB22</f>
        <v>0</v>
      </c>
      <c r="AX137" s="238">
        <f>HKina!AB22</f>
        <v>0</v>
      </c>
      <c r="AY137" s="235"/>
      <c r="AZ137" s="239"/>
      <c r="BA137" s="239"/>
      <c r="BB137" s="108"/>
      <c r="BC137" s="108"/>
    </row>
    <row r="138" spans="1:55" ht="16.149999999999999" customHeight="1" x14ac:dyDescent="0.2">
      <c r="A138" s="108"/>
      <c r="B138" s="60" t="str">
        <f>CenAVS!A139</f>
        <v xml:space="preserve">Aventos HKi zestaw zaślepek szary HG     </v>
      </c>
      <c r="C138" s="60" t="str">
        <f>CenAVS!B139</f>
        <v>24K8000</v>
      </c>
      <c r="D138" s="60" t="str">
        <f>CenAVS!C139</f>
        <v>HGR</v>
      </c>
      <c r="E138" s="536">
        <f>CenAVS!D139</f>
        <v>0</v>
      </c>
      <c r="F138" s="413">
        <f t="shared" si="18"/>
        <v>0</v>
      </c>
      <c r="G138" s="58">
        <f>CenAVS!F139</f>
        <v>73.422380000000004</v>
      </c>
      <c r="H138" s="104">
        <f t="shared" si="19"/>
        <v>0</v>
      </c>
      <c r="I138" s="65"/>
      <c r="J138" s="59">
        <f>CenAVS!I139</f>
        <v>2627505</v>
      </c>
      <c r="K138" s="59">
        <f>CenAVS!J139</f>
        <v>497340</v>
      </c>
      <c r="L138" s="943">
        <f t="shared" si="20"/>
        <v>0</v>
      </c>
      <c r="M138" s="60">
        <f t="shared" si="21"/>
        <v>0</v>
      </c>
      <c r="N138" s="236"/>
      <c r="O138" s="236"/>
      <c r="P138" s="236"/>
      <c r="Q138" s="236"/>
      <c r="R138" s="236"/>
      <c r="S138" s="236"/>
      <c r="T138" s="236"/>
      <c r="U138" s="236"/>
      <c r="V138" s="236"/>
      <c r="W138" s="235"/>
      <c r="X138" s="235"/>
      <c r="Y138" s="235"/>
      <c r="Z138" s="235"/>
      <c r="AA138" s="235"/>
      <c r="AB138" s="235"/>
      <c r="AC138" s="235"/>
      <c r="AD138" s="235"/>
      <c r="AE138" s="235"/>
      <c r="AF138" s="235"/>
      <c r="AG138" s="235"/>
      <c r="AH138" s="235"/>
      <c r="AI138" s="235"/>
      <c r="AJ138" s="235"/>
      <c r="AK138" s="235"/>
      <c r="AL138" s="235"/>
      <c r="AM138" s="235"/>
      <c r="AN138" s="235"/>
      <c r="AO138" s="235"/>
      <c r="AP138" s="235"/>
      <c r="AQ138" s="235"/>
      <c r="AR138" s="235"/>
      <c r="AS138" s="235"/>
      <c r="AT138" s="235"/>
      <c r="AU138" s="235"/>
      <c r="AV138" s="238">
        <f>HKiw!AB23</f>
        <v>0</v>
      </c>
      <c r="AW138" s="238">
        <f>HKiwa!AB23</f>
        <v>0</v>
      </c>
      <c r="AX138" s="238">
        <f>HKina!AB23</f>
        <v>0</v>
      </c>
      <c r="AY138" s="235"/>
      <c r="AZ138" s="239"/>
      <c r="BA138" s="239"/>
      <c r="BB138" s="108"/>
      <c r="BC138" s="108"/>
    </row>
    <row r="139" spans="1:55" ht="16.149999999999999" customHeight="1" x14ac:dyDescent="0.2">
      <c r="A139" s="108"/>
      <c r="B139" s="60" t="str">
        <f>CenAVS!A140</f>
        <v xml:space="preserve">24K8000 Aventos Hki zestaw zaślepek ciemnoszary TG    </v>
      </c>
      <c r="C139" s="60" t="str">
        <f>CenAVS!B140</f>
        <v>24K8000</v>
      </c>
      <c r="D139" s="60" t="str">
        <f>CenAVS!C140</f>
        <v>TGR</v>
      </c>
      <c r="E139" s="536">
        <f>CenAVS!D140</f>
        <v>0</v>
      </c>
      <c r="F139" s="413">
        <f t="shared" si="18"/>
        <v>0</v>
      </c>
      <c r="G139" s="58">
        <f>CenAVS!F140</f>
        <v>75.625519999999995</v>
      </c>
      <c r="H139" s="104">
        <f t="shared" si="19"/>
        <v>0</v>
      </c>
      <c r="I139" s="65"/>
      <c r="J139" s="59">
        <f>CenAVS!I140</f>
        <v>4948789</v>
      </c>
      <c r="K139" s="59">
        <f>CenAVS!J140</f>
        <v>497341</v>
      </c>
      <c r="L139" s="943">
        <f t="shared" si="20"/>
        <v>0</v>
      </c>
      <c r="M139" s="60">
        <f t="shared" si="21"/>
        <v>0</v>
      </c>
      <c r="N139" s="236"/>
      <c r="O139" s="236"/>
      <c r="P139" s="236"/>
      <c r="Q139" s="236"/>
      <c r="R139" s="236"/>
      <c r="S139" s="236"/>
      <c r="T139" s="236"/>
      <c r="U139" s="236"/>
      <c r="V139" s="236"/>
      <c r="W139" s="235"/>
      <c r="X139" s="235"/>
      <c r="Y139" s="235"/>
      <c r="Z139" s="235"/>
      <c r="AA139" s="235"/>
      <c r="AB139" s="235"/>
      <c r="AC139" s="235"/>
      <c r="AD139" s="235"/>
      <c r="AE139" s="235"/>
      <c r="AF139" s="235"/>
      <c r="AG139" s="235"/>
      <c r="AH139" s="235"/>
      <c r="AI139" s="235"/>
      <c r="AJ139" s="235"/>
      <c r="AK139" s="235"/>
      <c r="AL139" s="235"/>
      <c r="AM139" s="235"/>
      <c r="AN139" s="235"/>
      <c r="AO139" s="235"/>
      <c r="AP139" s="235"/>
      <c r="AQ139" s="235"/>
      <c r="AR139" s="235"/>
      <c r="AS139" s="235"/>
      <c r="AT139" s="235"/>
      <c r="AU139" s="235"/>
      <c r="AV139" s="238">
        <f>HKiw!AB24</f>
        <v>0</v>
      </c>
      <c r="AW139" s="238">
        <f>HKiwa!AB24</f>
        <v>0</v>
      </c>
      <c r="AX139" s="238">
        <f>HKina!AB24</f>
        <v>0</v>
      </c>
      <c r="AY139" s="235"/>
      <c r="AZ139" s="239"/>
      <c r="BA139" s="239"/>
      <c r="BB139" s="108"/>
      <c r="BC139" s="108"/>
    </row>
    <row r="140" spans="1:55" ht="16.149999999999999" customHeight="1" x14ac:dyDescent="0.2">
      <c r="A140" s="108"/>
      <c r="B140" s="60" t="str">
        <f>CenAVS!A141</f>
        <v xml:space="preserve">          </v>
      </c>
      <c r="C140" s="60">
        <f>CenAVS!B141</f>
        <v>0</v>
      </c>
      <c r="D140" s="60">
        <f>CenAVS!C141</f>
        <v>0</v>
      </c>
      <c r="E140" s="536">
        <f>CenAVS!D141</f>
        <v>0</v>
      </c>
      <c r="F140" s="413">
        <f t="shared" si="18"/>
        <v>0</v>
      </c>
      <c r="G140" s="58">
        <f>CenAVS!F141</f>
        <v>0</v>
      </c>
      <c r="H140" s="104">
        <f t="shared" si="19"/>
        <v>0</v>
      </c>
      <c r="I140" s="65"/>
      <c r="J140" s="59">
        <f>CenAVS!I141</f>
        <v>0</v>
      </c>
      <c r="K140" s="59">
        <f>CenAVS!J141</f>
        <v>0</v>
      </c>
      <c r="L140" s="943">
        <f t="shared" si="20"/>
        <v>0</v>
      </c>
      <c r="M140" s="60">
        <f t="shared" si="21"/>
        <v>0</v>
      </c>
      <c r="N140" s="236"/>
      <c r="O140" s="236"/>
      <c r="P140" s="236"/>
      <c r="Q140" s="236"/>
      <c r="R140" s="236"/>
      <c r="S140" s="236"/>
      <c r="T140" s="236"/>
      <c r="U140" s="236"/>
      <c r="V140" s="236"/>
      <c r="W140" s="235"/>
      <c r="X140" s="235"/>
      <c r="Y140" s="235"/>
      <c r="Z140" s="235"/>
      <c r="AA140" s="235"/>
      <c r="AB140" s="235"/>
      <c r="AC140" s="235"/>
      <c r="AD140" s="235"/>
      <c r="AE140" s="235"/>
      <c r="AF140" s="235"/>
      <c r="AG140" s="235"/>
      <c r="AH140" s="235"/>
      <c r="AI140" s="235"/>
      <c r="AJ140" s="235"/>
      <c r="AK140" s="235"/>
      <c r="AL140" s="235"/>
      <c r="AM140" s="235"/>
      <c r="AN140" s="235"/>
      <c r="AO140" s="235"/>
      <c r="AP140" s="235"/>
      <c r="AQ140" s="235"/>
      <c r="AR140" s="235"/>
      <c r="AS140" s="235"/>
      <c r="AT140" s="235"/>
      <c r="AU140" s="235"/>
      <c r="AV140" s="239"/>
      <c r="AW140" s="239"/>
      <c r="AX140" s="239"/>
      <c r="AY140" s="235"/>
      <c r="AZ140" s="239"/>
      <c r="BA140" s="239"/>
      <c r="BB140" s="108"/>
      <c r="BC140" s="108"/>
    </row>
    <row r="141" spans="1:55" ht="16.149999999999999" customHeight="1" x14ac:dyDescent="0.2">
      <c r="A141" s="108"/>
      <c r="B141" s="60" t="str">
        <f>CenAVS!A144</f>
        <v xml:space="preserve">Zestaw wstępnie wyfrezowanych półfabrykatów HKi      </v>
      </c>
      <c r="C141" s="60" t="str">
        <f>CenAVS!B144</f>
        <v>24K7100</v>
      </c>
      <c r="D141" s="60" t="str">
        <f>CenAVS!C144</f>
        <v>NA</v>
      </c>
      <c r="E141" s="536">
        <f>CenAVS!D144</f>
        <v>0</v>
      </c>
      <c r="F141" s="413">
        <f t="shared" si="18"/>
        <v>0</v>
      </c>
      <c r="G141" s="58">
        <f>CenAVS!F144</f>
        <v>314.61586999999997</v>
      </c>
      <c r="H141" s="104">
        <f t="shared" si="19"/>
        <v>0</v>
      </c>
      <c r="I141" s="65"/>
      <c r="J141" s="59">
        <f>CenAVS!I144</f>
        <v>6883114</v>
      </c>
      <c r="K141" s="59">
        <f>CenAVS!J144</f>
        <v>503313</v>
      </c>
      <c r="L141" s="943">
        <f t="shared" si="20"/>
        <v>0</v>
      </c>
      <c r="M141" s="60">
        <f t="shared" si="21"/>
        <v>0</v>
      </c>
      <c r="N141" s="236"/>
      <c r="O141" s="236"/>
      <c r="P141" s="236"/>
      <c r="Q141" s="236"/>
      <c r="R141" s="236"/>
      <c r="S141" s="236"/>
      <c r="T141" s="236"/>
      <c r="U141" s="236"/>
      <c r="V141" s="236"/>
      <c r="W141" s="235"/>
      <c r="X141" s="235"/>
      <c r="Y141" s="235"/>
      <c r="Z141" s="235"/>
      <c r="AA141" s="235"/>
      <c r="AB141" s="235"/>
      <c r="AC141" s="235"/>
      <c r="AD141" s="235"/>
      <c r="AE141" s="235"/>
      <c r="AF141" s="235"/>
      <c r="AG141" s="235"/>
      <c r="AH141" s="235"/>
      <c r="AI141" s="235"/>
      <c r="AJ141" s="235"/>
      <c r="AK141" s="235"/>
      <c r="AL141" s="235"/>
      <c r="AM141" s="235"/>
      <c r="AN141" s="235"/>
      <c r="AO141" s="235"/>
      <c r="AP141" s="235"/>
      <c r="AQ141" s="235"/>
      <c r="AR141" s="235"/>
      <c r="AS141" s="235"/>
      <c r="AT141" s="235"/>
      <c r="AU141" s="235"/>
      <c r="AV141" s="235"/>
      <c r="AW141" s="235"/>
      <c r="AX141" s="235"/>
      <c r="AY141" s="235"/>
      <c r="AZ141" s="238">
        <f>AcsAVS!W31</f>
        <v>0</v>
      </c>
      <c r="BA141" s="239"/>
      <c r="BB141" s="108"/>
      <c r="BC141" s="108"/>
    </row>
    <row r="142" spans="1:55" ht="16.149999999999999" customHeight="1" x14ac:dyDescent="0.2">
      <c r="A142" s="108"/>
      <c r="B142" s="60" t="str">
        <f>CenAVS!A145</f>
        <v xml:space="preserve">Podkładka do Aventos HKi       </v>
      </c>
      <c r="C142" s="60" t="str">
        <f>CenAVS!B145</f>
        <v>M45.1010</v>
      </c>
      <c r="D142" s="60" t="str">
        <f>CenAVS!C145</f>
        <v>NA</v>
      </c>
      <c r="E142" s="536">
        <f>CenAVS!D145</f>
        <v>0</v>
      </c>
      <c r="F142" s="413">
        <f>IF(I142&gt;0,I142,SUM(O142:BA142))</f>
        <v>0</v>
      </c>
      <c r="G142" s="58">
        <f>CenAVS!F145</f>
        <v>94.213800000000006</v>
      </c>
      <c r="H142" s="104">
        <f>M142</f>
        <v>0</v>
      </c>
      <c r="I142" s="65"/>
      <c r="J142" s="59">
        <f>CenAVS!I145</f>
        <v>7376602</v>
      </c>
      <c r="K142" s="59">
        <f>CenAVS!J145</f>
        <v>503317</v>
      </c>
      <c r="L142" s="943">
        <f>IF(I142="x",0,IF(I142&gt;0,I142,F142))</f>
        <v>0</v>
      </c>
      <c r="M142" s="60">
        <f>PRODUCT(L142,G142)</f>
        <v>0</v>
      </c>
      <c r="N142" s="236"/>
      <c r="O142" s="236"/>
      <c r="P142" s="236"/>
      <c r="Q142" s="236"/>
      <c r="R142" s="236"/>
      <c r="S142" s="236"/>
      <c r="T142" s="236"/>
      <c r="U142" s="236"/>
      <c r="V142" s="236"/>
      <c r="W142" s="235"/>
      <c r="X142" s="235"/>
      <c r="Y142" s="235"/>
      <c r="Z142" s="235"/>
      <c r="AA142" s="235"/>
      <c r="AB142" s="235"/>
      <c r="AC142" s="235"/>
      <c r="AD142" s="235"/>
      <c r="AE142" s="235"/>
      <c r="AF142" s="235"/>
      <c r="AG142" s="235"/>
      <c r="AH142" s="235"/>
      <c r="AI142" s="235"/>
      <c r="AJ142" s="235"/>
      <c r="AK142" s="235"/>
      <c r="AL142" s="235"/>
      <c r="AM142" s="235"/>
      <c r="AN142" s="235"/>
      <c r="AO142" s="235"/>
      <c r="AP142" s="235"/>
      <c r="AQ142" s="235"/>
      <c r="AR142" s="235"/>
      <c r="AS142" s="235"/>
      <c r="AT142" s="235"/>
      <c r="AU142" s="235"/>
      <c r="AV142" s="235"/>
      <c r="AW142" s="235"/>
      <c r="AX142" s="235"/>
      <c r="AY142" s="235"/>
      <c r="AZ142" s="238">
        <f>AcsAVS!W32</f>
        <v>0</v>
      </c>
      <c r="BA142" s="239"/>
      <c r="BB142" s="108"/>
      <c r="BC142" s="108"/>
    </row>
    <row r="143" spans="1:55" ht="16.149999999999999" customHeight="1" x14ac:dyDescent="0.2">
      <c r="A143" s="108"/>
      <c r="B143" s="60"/>
      <c r="C143" s="60"/>
      <c r="D143" s="60"/>
      <c r="E143" s="536"/>
      <c r="F143" s="413"/>
      <c r="G143" s="58"/>
      <c r="H143" s="104"/>
      <c r="I143" s="65"/>
      <c r="J143" s="59"/>
      <c r="K143" s="59"/>
      <c r="L143" s="943"/>
      <c r="M143" s="60"/>
      <c r="N143" s="236"/>
      <c r="O143" s="236"/>
      <c r="P143" s="236"/>
      <c r="Q143" s="236"/>
      <c r="R143" s="236"/>
      <c r="S143" s="236"/>
      <c r="T143" s="236"/>
      <c r="U143" s="236"/>
      <c r="V143" s="236"/>
      <c r="W143" s="235"/>
      <c r="X143" s="235"/>
      <c r="Y143" s="235"/>
      <c r="Z143" s="235"/>
      <c r="AA143" s="235"/>
      <c r="AB143" s="235"/>
      <c r="AC143" s="235"/>
      <c r="AD143" s="235"/>
      <c r="AE143" s="235"/>
      <c r="AF143" s="235"/>
      <c r="AG143" s="235"/>
      <c r="AH143" s="235"/>
      <c r="AI143" s="235"/>
      <c r="AJ143" s="235"/>
      <c r="AK143" s="235"/>
      <c r="AL143" s="235"/>
      <c r="AM143" s="235"/>
      <c r="AN143" s="235"/>
      <c r="AO143" s="235"/>
      <c r="AP143" s="235"/>
      <c r="AQ143" s="235"/>
      <c r="AR143" s="235"/>
      <c r="AS143" s="235"/>
      <c r="AT143" s="235"/>
      <c r="AU143" s="235"/>
      <c r="AV143" s="239"/>
      <c r="AW143" s="239"/>
      <c r="AX143" s="239"/>
      <c r="AY143" s="235"/>
      <c r="AZ143" s="239"/>
      <c r="BA143" s="239"/>
      <c r="BB143" s="108"/>
      <c r="BC143" s="108"/>
    </row>
    <row r="144" spans="1:55" ht="16.149999999999999" customHeight="1" x14ac:dyDescent="0.2">
      <c r="A144" s="108"/>
      <c r="B144" s="60" t="str">
        <f>CenAVS!A148</f>
        <v xml:space="preserve">nakładany z tłumieniem wkręt 110°      </v>
      </c>
      <c r="C144" s="60" t="str">
        <f>CenAVS!B148</f>
        <v> 71B3550</v>
      </c>
      <c r="D144" s="60" t="str">
        <f>CenAVS!C148</f>
        <v>NI</v>
      </c>
      <c r="E144" s="536">
        <f>CenAVS!D148</f>
        <v>0</v>
      </c>
      <c r="F144" s="413">
        <f t="shared" ref="F144:F175" si="22">IF(I144&gt;0,I144,SUM(O144:BA144))</f>
        <v>0</v>
      </c>
      <c r="G144" s="58">
        <f>CenAVS!F148</f>
        <v>10.385860000000001</v>
      </c>
      <c r="H144" s="104">
        <f t="shared" si="17"/>
        <v>0</v>
      </c>
      <c r="I144" s="65"/>
      <c r="J144" s="59">
        <f>CenAVS!I148</f>
        <v>8884623</v>
      </c>
      <c r="K144" s="59">
        <f>CenAVS!J148</f>
        <v>12047</v>
      </c>
      <c r="L144" s="943">
        <f t="shared" si="13"/>
        <v>0</v>
      </c>
      <c r="M144" s="60">
        <f t="shared" si="14"/>
        <v>0</v>
      </c>
      <c r="N144" s="236"/>
      <c r="O144" s="236"/>
      <c r="P144" s="236"/>
      <c r="Q144" s="236"/>
      <c r="R144" s="236"/>
      <c r="S144" s="236"/>
      <c r="T144" s="236"/>
      <c r="U144" s="236"/>
      <c r="V144" s="236"/>
      <c r="W144" s="235"/>
      <c r="X144" s="235"/>
      <c r="Y144" s="235"/>
      <c r="Z144" s="235"/>
      <c r="AA144" s="235"/>
      <c r="AB144" s="235"/>
      <c r="AC144" s="235"/>
      <c r="AD144" s="235"/>
      <c r="AE144" s="235"/>
      <c r="AF144" s="235"/>
      <c r="AG144" s="235"/>
      <c r="AH144" s="235"/>
      <c r="AI144" s="235"/>
      <c r="AJ144" s="235"/>
      <c r="AK144" s="235"/>
      <c r="AL144" s="235"/>
      <c r="AM144" s="235"/>
      <c r="AN144" s="235"/>
      <c r="AO144" s="235"/>
      <c r="AP144" s="235"/>
      <c r="AQ144" s="238">
        <f>HKXSw!$AD28</f>
        <v>0</v>
      </c>
      <c r="AR144" s="238">
        <f>HKXSwa!AD28</f>
        <v>0</v>
      </c>
      <c r="AS144" s="235"/>
      <c r="AT144" s="235"/>
      <c r="AU144" s="235"/>
      <c r="AV144" s="239"/>
      <c r="AW144" s="239"/>
      <c r="AX144" s="239"/>
      <c r="AY144" s="235"/>
      <c r="AZ144" s="239"/>
      <c r="BA144" s="239"/>
      <c r="BB144" s="108"/>
      <c r="BC144" s="108"/>
    </row>
    <row r="145" spans="1:55" ht="16.149999999999999" customHeight="1" x14ac:dyDescent="0.2">
      <c r="A145" s="108"/>
      <c r="B145" s="60" t="str">
        <f>CenAVS!A149</f>
        <v xml:space="preserve">nakładany z tłumieniem Expando 110°      </v>
      </c>
      <c r="C145" s="60" t="str">
        <f>CenAVS!B149</f>
        <v> 71B358E</v>
      </c>
      <c r="D145" s="60" t="str">
        <f>CenAVS!C149</f>
        <v>NI</v>
      </c>
      <c r="E145" s="536">
        <f>CenAVS!D149</f>
        <v>0</v>
      </c>
      <c r="F145" s="413">
        <f t="shared" si="22"/>
        <v>0</v>
      </c>
      <c r="G145" s="58">
        <f>CenAVS!F149</f>
        <v>10.731</v>
      </c>
      <c r="H145" s="104">
        <f t="shared" si="17"/>
        <v>0</v>
      </c>
      <c r="I145" s="65"/>
      <c r="J145" s="59">
        <f>CenAVS!I149</f>
        <v>8885233</v>
      </c>
      <c r="K145" s="59">
        <f>CenAVS!J149</f>
        <v>12064</v>
      </c>
      <c r="L145" s="943">
        <f t="shared" si="13"/>
        <v>0</v>
      </c>
      <c r="M145" s="60">
        <f t="shared" si="14"/>
        <v>0</v>
      </c>
      <c r="N145" s="236"/>
      <c r="O145" s="236"/>
      <c r="P145" s="236"/>
      <c r="Q145" s="236"/>
      <c r="R145" s="236"/>
      <c r="S145" s="236"/>
      <c r="T145" s="236"/>
      <c r="U145" s="236"/>
      <c r="V145" s="236"/>
      <c r="W145" s="235"/>
      <c r="X145" s="235"/>
      <c r="Y145" s="235"/>
      <c r="Z145" s="235"/>
      <c r="AA145" s="235"/>
      <c r="AB145" s="235"/>
      <c r="AC145" s="235"/>
      <c r="AD145" s="235"/>
      <c r="AE145" s="235"/>
      <c r="AF145" s="235"/>
      <c r="AG145" s="235"/>
      <c r="AH145" s="235"/>
      <c r="AI145" s="235"/>
      <c r="AJ145" s="235"/>
      <c r="AK145" s="235"/>
      <c r="AL145" s="235"/>
      <c r="AM145" s="235"/>
      <c r="AN145" s="235"/>
      <c r="AO145" s="235"/>
      <c r="AP145" s="235"/>
      <c r="AQ145" s="238">
        <f>HKXSw!$AD29</f>
        <v>0</v>
      </c>
      <c r="AR145" s="235"/>
      <c r="AS145" s="235"/>
      <c r="AT145" s="235"/>
      <c r="AU145" s="235"/>
      <c r="AV145" s="239"/>
      <c r="AW145" s="239"/>
      <c r="AX145" s="239"/>
      <c r="AY145" s="235"/>
      <c r="AZ145" s="239"/>
      <c r="BA145" s="239"/>
      <c r="BB145" s="108"/>
      <c r="BC145" s="108"/>
    </row>
    <row r="146" spans="1:55" ht="16.149999999999999" customHeight="1" x14ac:dyDescent="0.2">
      <c r="A146" s="108"/>
      <c r="B146" s="60" t="str">
        <f>CenAVS!A150</f>
        <v xml:space="preserve">nakładany Tip-on wkręt 110°       </v>
      </c>
      <c r="C146" s="60" t="str">
        <f>CenAVS!B150</f>
        <v> 70T3550.TL</v>
      </c>
      <c r="D146" s="60" t="str">
        <f>CenAVS!C150</f>
        <v>NI</v>
      </c>
      <c r="E146" s="536">
        <f>CenAVS!D150</f>
        <v>0</v>
      </c>
      <c r="F146" s="413">
        <f t="shared" si="22"/>
        <v>0</v>
      </c>
      <c r="G146" s="58">
        <f>CenAVS!F150</f>
        <v>5.6034400000000009</v>
      </c>
      <c r="H146" s="104">
        <f t="shared" si="17"/>
        <v>0</v>
      </c>
      <c r="I146" s="65"/>
      <c r="J146" s="59">
        <f>CenAVS!I150</f>
        <v>9001883</v>
      </c>
      <c r="K146" s="59">
        <f>CenAVS!J150</f>
        <v>226668</v>
      </c>
      <c r="L146" s="943">
        <f t="shared" si="13"/>
        <v>0</v>
      </c>
      <c r="M146" s="60">
        <f t="shared" si="14"/>
        <v>0</v>
      </c>
      <c r="N146" s="236"/>
      <c r="O146" s="236"/>
      <c r="P146" s="236"/>
      <c r="Q146" s="236"/>
      <c r="R146" s="236"/>
      <c r="S146" s="236"/>
      <c r="T146" s="236"/>
      <c r="U146" s="236"/>
      <c r="V146" s="236"/>
      <c r="W146" s="235"/>
      <c r="X146" s="235"/>
      <c r="Y146" s="235"/>
      <c r="Z146" s="235"/>
      <c r="AA146" s="235"/>
      <c r="AB146" s="235"/>
      <c r="AC146" s="235"/>
      <c r="AD146" s="235"/>
      <c r="AE146" s="235"/>
      <c r="AF146" s="235"/>
      <c r="AG146" s="235"/>
      <c r="AH146" s="235"/>
      <c r="AI146" s="235"/>
      <c r="AJ146" s="235"/>
      <c r="AK146" s="235"/>
      <c r="AL146" s="235"/>
      <c r="AM146" s="235"/>
      <c r="AN146" s="235"/>
      <c r="AO146" s="235"/>
      <c r="AP146" s="235"/>
      <c r="AQ146" s="238">
        <f>HKXSw!$AD30</f>
        <v>0</v>
      </c>
      <c r="AR146" s="238">
        <f>HKXSwa!AD30</f>
        <v>0</v>
      </c>
      <c r="AS146" s="235"/>
      <c r="AT146" s="235"/>
      <c r="AU146" s="235"/>
      <c r="AV146" s="239"/>
      <c r="AW146" s="239"/>
      <c r="AX146" s="239"/>
      <c r="AY146" s="235"/>
      <c r="AZ146" s="239"/>
      <c r="BA146" s="239"/>
      <c r="BB146" s="108"/>
      <c r="BC146" s="108"/>
    </row>
    <row r="147" spans="1:55" ht="16.149999999999999" customHeight="1" x14ac:dyDescent="0.2">
      <c r="A147" s="108"/>
      <c r="B147" s="60" t="str">
        <f>CenAVS!A151</f>
        <v xml:space="preserve">nakładany Tip-on Expando 110°       </v>
      </c>
      <c r="C147" s="60" t="str">
        <f>CenAVS!B151</f>
        <v> 70T358E.TL</v>
      </c>
      <c r="D147" s="60" t="str">
        <f>CenAVS!C151</f>
        <v>NI</v>
      </c>
      <c r="E147" s="536">
        <f>CenAVS!D151</f>
        <v>0</v>
      </c>
      <c r="F147" s="413">
        <f t="shared" si="22"/>
        <v>0</v>
      </c>
      <c r="G147" s="58">
        <f>CenAVS!F151</f>
        <v>5.5332499999999989</v>
      </c>
      <c r="H147" s="104">
        <f t="shared" si="17"/>
        <v>0</v>
      </c>
      <c r="I147" s="65"/>
      <c r="J147" s="59">
        <f>CenAVS!I151</f>
        <v>9295093</v>
      </c>
      <c r="K147" s="59">
        <f>CenAVS!J151</f>
        <v>226669</v>
      </c>
      <c r="L147" s="943">
        <f t="shared" si="13"/>
        <v>0</v>
      </c>
      <c r="M147" s="60">
        <f t="shared" si="14"/>
        <v>0</v>
      </c>
      <c r="N147" s="236"/>
      <c r="O147" s="236"/>
      <c r="P147" s="236"/>
      <c r="Q147" s="236"/>
      <c r="R147" s="236"/>
      <c r="S147" s="236"/>
      <c r="T147" s="236"/>
      <c r="U147" s="236"/>
      <c r="V147" s="236"/>
      <c r="W147" s="235"/>
      <c r="X147" s="235"/>
      <c r="Y147" s="235"/>
      <c r="Z147" s="235"/>
      <c r="AA147" s="235"/>
      <c r="AB147" s="235"/>
      <c r="AC147" s="235"/>
      <c r="AD147" s="235"/>
      <c r="AE147" s="235"/>
      <c r="AF147" s="235"/>
      <c r="AG147" s="235"/>
      <c r="AH147" s="235"/>
      <c r="AI147" s="235"/>
      <c r="AJ147" s="235"/>
      <c r="AK147" s="235"/>
      <c r="AL147" s="235"/>
      <c r="AM147" s="235"/>
      <c r="AN147" s="235"/>
      <c r="AO147" s="235"/>
      <c r="AP147" s="235"/>
      <c r="AQ147" s="238">
        <f>HKXSw!$AD31</f>
        <v>0</v>
      </c>
      <c r="AR147" s="235"/>
      <c r="AS147" s="235"/>
      <c r="AT147" s="235"/>
      <c r="AU147" s="235"/>
      <c r="AV147" s="239"/>
      <c r="AW147" s="239"/>
      <c r="AX147" s="239"/>
      <c r="AY147" s="235"/>
      <c r="AZ147" s="239"/>
      <c r="BA147" s="235"/>
      <c r="BB147" s="108"/>
      <c r="BC147" s="108"/>
    </row>
    <row r="148" spans="1:55" ht="16.149999999999999" customHeight="1" x14ac:dyDescent="0.2">
      <c r="A148" s="108"/>
      <c r="B148" s="60" t="str">
        <f>CenAVS!A152</f>
        <v xml:space="preserve">Zawias do cieńkich materiałów z Blumotion, Expando T, 110°  </v>
      </c>
      <c r="C148" s="60" t="str">
        <f>CenAVS!B152</f>
        <v xml:space="preserve"> 71B453T</v>
      </c>
      <c r="D148" s="60" t="str">
        <f>CenAVS!C152</f>
        <v>NI</v>
      </c>
      <c r="E148" s="536">
        <f>CenAVS!D152</f>
        <v>0</v>
      </c>
      <c r="F148" s="413">
        <f t="shared" si="22"/>
        <v>0</v>
      </c>
      <c r="G148" s="58">
        <f>CenAVS!F152</f>
        <v>41.185140000000004</v>
      </c>
      <c r="H148" s="104">
        <f>M148</f>
        <v>0</v>
      </c>
      <c r="I148" s="65"/>
      <c r="J148" s="59">
        <f>CenAVS!I152</f>
        <v>7021363</v>
      </c>
      <c r="K148" s="59">
        <f>CenAVS!J152</f>
        <v>347988</v>
      </c>
      <c r="L148" s="943">
        <f>IF(I148="x",0,IF(I148&gt;0,I148,F148))</f>
        <v>0</v>
      </c>
      <c r="M148" s="60">
        <f>PRODUCT(L148,G148)</f>
        <v>0</v>
      </c>
      <c r="N148" s="236"/>
      <c r="O148" s="236"/>
      <c r="P148" s="236"/>
      <c r="Q148" s="236"/>
      <c r="R148" s="236"/>
      <c r="S148" s="236"/>
      <c r="T148" s="236"/>
      <c r="U148" s="236"/>
      <c r="V148" s="236"/>
      <c r="W148" s="235"/>
      <c r="X148" s="235"/>
      <c r="Y148" s="235"/>
      <c r="Z148" s="235"/>
      <c r="AA148" s="235"/>
      <c r="AB148" s="235"/>
      <c r="AC148" s="235"/>
      <c r="AD148" s="235"/>
      <c r="AE148" s="235"/>
      <c r="AF148" s="235"/>
      <c r="AG148" s="235"/>
      <c r="AH148" s="235"/>
      <c r="AI148" s="235"/>
      <c r="AJ148" s="235"/>
      <c r="AK148" s="235"/>
      <c r="AL148" s="235"/>
      <c r="AM148" s="235"/>
      <c r="AN148" s="235"/>
      <c r="AO148" s="235"/>
      <c r="AP148" s="235"/>
      <c r="AQ148" s="235"/>
      <c r="AR148" s="235"/>
      <c r="AS148" s="235"/>
      <c r="AT148" s="238">
        <f>HKXSt!AD32</f>
        <v>0</v>
      </c>
      <c r="AU148" s="235"/>
      <c r="AV148" s="239"/>
      <c r="AW148" s="239"/>
      <c r="AX148" s="239"/>
      <c r="AY148" s="235"/>
      <c r="AZ148" s="239"/>
      <c r="BA148" s="235"/>
      <c r="BB148" s="108"/>
      <c r="BC148" s="108"/>
    </row>
    <row r="149" spans="1:55" ht="16.149999999999999" customHeight="1" x14ac:dyDescent="0.2">
      <c r="A149" s="108"/>
      <c r="B149" s="60" t="str">
        <f>CenAVS!A153</f>
        <v xml:space="preserve">Zawias do cieńkich materiałów, Expando T, 110°    </v>
      </c>
      <c r="C149" s="60" t="str">
        <f>CenAVS!B153</f>
        <v xml:space="preserve"> 70T453T.TL</v>
      </c>
      <c r="D149" s="60" t="str">
        <f>CenAVS!C153</f>
        <v>NI</v>
      </c>
      <c r="E149" s="536">
        <f>CenAVS!D153</f>
        <v>0</v>
      </c>
      <c r="F149" s="413">
        <f t="shared" si="22"/>
        <v>0</v>
      </c>
      <c r="G149" s="58">
        <f>CenAVS!F153</f>
        <v>35.323819999999998</v>
      </c>
      <c r="H149" s="104">
        <f>M149</f>
        <v>0</v>
      </c>
      <c r="I149" s="65"/>
      <c r="J149" s="59">
        <f>CenAVS!I153</f>
        <v>1524002</v>
      </c>
      <c r="K149" s="59">
        <f>CenAVS!J153</f>
        <v>347989</v>
      </c>
      <c r="L149" s="943">
        <f>IF(I149="x",0,IF(I149&gt;0,I149,F149))</f>
        <v>0</v>
      </c>
      <c r="M149" s="60">
        <f>PRODUCT(L149,G149)</f>
        <v>0</v>
      </c>
      <c r="N149" s="236"/>
      <c r="O149" s="236"/>
      <c r="P149" s="236"/>
      <c r="Q149" s="236"/>
      <c r="R149" s="236"/>
      <c r="S149" s="236"/>
      <c r="T149" s="236"/>
      <c r="U149" s="236"/>
      <c r="V149" s="236"/>
      <c r="W149" s="235"/>
      <c r="X149" s="235"/>
      <c r="Y149" s="235"/>
      <c r="Z149" s="235"/>
      <c r="AA149" s="235"/>
      <c r="AB149" s="235"/>
      <c r="AC149" s="235"/>
      <c r="AD149" s="235"/>
      <c r="AE149" s="235"/>
      <c r="AF149" s="235"/>
      <c r="AG149" s="235"/>
      <c r="AH149" s="235"/>
      <c r="AI149" s="235"/>
      <c r="AJ149" s="235"/>
      <c r="AK149" s="235"/>
      <c r="AL149" s="235"/>
      <c r="AM149" s="235"/>
      <c r="AN149" s="235"/>
      <c r="AO149" s="235"/>
      <c r="AP149" s="235"/>
      <c r="AQ149" s="235"/>
      <c r="AR149" s="235"/>
      <c r="AS149" s="235"/>
      <c r="AT149" s="238">
        <f>HKXSt!AD33</f>
        <v>0</v>
      </c>
      <c r="AU149" s="235"/>
      <c r="AV149" s="239"/>
      <c r="AW149" s="239"/>
      <c r="AX149" s="239"/>
      <c r="AY149" s="235"/>
      <c r="AZ149" s="239"/>
      <c r="BA149" s="235"/>
      <c r="BB149" s="108"/>
      <c r="BC149" s="108"/>
    </row>
    <row r="150" spans="1:55" ht="16.149999999999999" customHeight="1" x14ac:dyDescent="0.2">
      <c r="A150" s="108"/>
      <c r="B150" s="60" t="str">
        <f>CenAVS!A154</f>
        <v xml:space="preserve">alu nakładany z tłumieniem 95°      </v>
      </c>
      <c r="C150" s="60" t="str">
        <f>CenAVS!B154</f>
        <v> 71B950A</v>
      </c>
      <c r="D150" s="60" t="str">
        <f>CenAVS!C154</f>
        <v>NI</v>
      </c>
      <c r="E150" s="536">
        <f>CenAVS!D154</f>
        <v>0</v>
      </c>
      <c r="F150" s="413">
        <f t="shared" si="22"/>
        <v>0</v>
      </c>
      <c r="G150" s="58">
        <f>CenAVS!F154</f>
        <v>19.826509999999999</v>
      </c>
      <c r="H150" s="104">
        <f t="shared" si="17"/>
        <v>0</v>
      </c>
      <c r="I150" s="65"/>
      <c r="J150" s="59">
        <f>CenAVS!I154</f>
        <v>9350813</v>
      </c>
      <c r="K150" s="59">
        <f>CenAVS!J154</f>
        <v>118033</v>
      </c>
      <c r="L150" s="943">
        <f t="shared" si="13"/>
        <v>0</v>
      </c>
      <c r="M150" s="60">
        <f t="shared" si="14"/>
        <v>0</v>
      </c>
      <c r="N150" s="236"/>
      <c r="O150" s="236"/>
      <c r="P150" s="236"/>
      <c r="Q150" s="236"/>
      <c r="R150" s="236"/>
      <c r="S150" s="236"/>
      <c r="T150" s="236"/>
      <c r="U150" s="236"/>
      <c r="V150" s="236"/>
      <c r="W150" s="235"/>
      <c r="X150" s="235"/>
      <c r="Y150" s="235"/>
      <c r="Z150" s="235"/>
      <c r="AA150" s="235"/>
      <c r="AB150" s="235"/>
      <c r="AC150" s="235"/>
      <c r="AD150" s="235"/>
      <c r="AE150" s="235"/>
      <c r="AF150" s="235"/>
      <c r="AG150" s="235"/>
      <c r="AH150" s="235"/>
      <c r="AI150" s="235"/>
      <c r="AJ150" s="235"/>
      <c r="AK150" s="235"/>
      <c r="AL150" s="235"/>
      <c r="AM150" s="235"/>
      <c r="AN150" s="235"/>
      <c r="AO150" s="235"/>
      <c r="AP150" s="235"/>
      <c r="AQ150" s="235"/>
      <c r="AR150" s="235"/>
      <c r="AS150" s="238">
        <f>HKXSna!AD34</f>
        <v>0</v>
      </c>
      <c r="AT150" s="235"/>
      <c r="AU150" s="235"/>
      <c r="AV150" s="239"/>
      <c r="AW150" s="239"/>
      <c r="AX150" s="239"/>
      <c r="AY150" s="235"/>
      <c r="AZ150" s="239"/>
      <c r="BA150" s="235"/>
      <c r="BB150" s="108"/>
      <c r="BC150" s="108"/>
    </row>
    <row r="151" spans="1:55" ht="16.149999999999999" customHeight="1" x14ac:dyDescent="0.2">
      <c r="A151" s="108"/>
      <c r="B151" s="60" t="str">
        <f>CenAVS!A123</f>
        <v xml:space="preserve">specjalne wkręty 3.53x9.5mm do szerokich ramek     </v>
      </c>
      <c r="C151" s="60" t="str">
        <f>CenAVS!B123</f>
        <v>660.0950</v>
      </c>
      <c r="D151" s="60" t="str">
        <f>CenAVS!C123</f>
        <v>NI</v>
      </c>
      <c r="E151" s="536">
        <f>CenAVS!D123</f>
        <v>0</v>
      </c>
      <c r="F151" s="413">
        <f t="shared" si="22"/>
        <v>0</v>
      </c>
      <c r="G151" s="58">
        <f>CenAVS!F123</f>
        <v>0.18570999999999999</v>
      </c>
      <c r="H151" s="104">
        <f t="shared" si="17"/>
        <v>0</v>
      </c>
      <c r="I151" s="65"/>
      <c r="J151" s="59">
        <f>CenAVS!I123</f>
        <v>8385455</v>
      </c>
      <c r="K151" s="59">
        <f>CenAVS!J123</f>
        <v>13681</v>
      </c>
      <c r="L151" s="943">
        <f t="shared" si="13"/>
        <v>0</v>
      </c>
      <c r="M151" s="60">
        <f t="shared" si="14"/>
        <v>0</v>
      </c>
      <c r="N151" s="236"/>
      <c r="O151" s="236"/>
      <c r="P151" s="236"/>
      <c r="Q151" s="236"/>
      <c r="R151" s="236"/>
      <c r="S151" s="236"/>
      <c r="T151" s="236"/>
      <c r="U151" s="236"/>
      <c r="V151" s="236"/>
      <c r="W151" s="235"/>
      <c r="X151" s="235"/>
      <c r="Y151" s="235"/>
      <c r="Z151" s="235"/>
      <c r="AA151" s="235"/>
      <c r="AB151" s="235"/>
      <c r="AC151" s="235"/>
      <c r="AD151" s="235"/>
      <c r="AE151" s="235"/>
      <c r="AF151" s="235"/>
      <c r="AG151" s="235"/>
      <c r="AH151" s="235"/>
      <c r="AI151" s="235"/>
      <c r="AJ151" s="235"/>
      <c r="AK151" s="235"/>
      <c r="AL151" s="235"/>
      <c r="AM151" s="235"/>
      <c r="AN151" s="235"/>
      <c r="AO151" s="235"/>
      <c r="AP151" s="235"/>
      <c r="AQ151" s="235"/>
      <c r="AR151" s="238">
        <f>HKXSwa!AD36</f>
        <v>0</v>
      </c>
      <c r="AS151" s="235"/>
      <c r="AT151" s="235"/>
      <c r="AU151" s="235"/>
      <c r="AV151" s="239"/>
      <c r="AW151" s="239"/>
      <c r="AX151" s="239"/>
      <c r="AY151" s="235"/>
      <c r="AZ151" s="238">
        <f>AcsAVS!J25</f>
        <v>0</v>
      </c>
      <c r="BA151" s="235"/>
      <c r="BB151" s="108"/>
      <c r="BC151" s="108"/>
    </row>
    <row r="152" spans="1:55" ht="16.149999999999999" customHeight="1" x14ac:dyDescent="0.2">
      <c r="A152" s="108"/>
      <c r="B152" s="60" t="str">
        <f>CenAVS!A155</f>
        <v xml:space="preserve">ogranicznik na 86° do 71B3xxx      </v>
      </c>
      <c r="C152" s="60" t="str">
        <f>CenAVS!B155</f>
        <v> 70T3553</v>
      </c>
      <c r="D152" s="60" t="str">
        <f>CenAVS!C155</f>
        <v>S</v>
      </c>
      <c r="E152" s="536">
        <f>CenAVS!D155</f>
        <v>0</v>
      </c>
      <c r="F152" s="413">
        <f t="shared" si="22"/>
        <v>0</v>
      </c>
      <c r="G152" s="58">
        <f>CenAVS!F155</f>
        <v>1.5719799999999997</v>
      </c>
      <c r="H152" s="104">
        <f t="shared" si="17"/>
        <v>0</v>
      </c>
      <c r="I152" s="65"/>
      <c r="J152" s="59">
        <f>CenAVS!I155</f>
        <v>9048274</v>
      </c>
      <c r="K152" s="59">
        <f>CenAVS!J155</f>
        <v>12039</v>
      </c>
      <c r="L152" s="943">
        <f t="shared" si="13"/>
        <v>0</v>
      </c>
      <c r="M152" s="60">
        <f t="shared" si="14"/>
        <v>0</v>
      </c>
      <c r="N152" s="236"/>
      <c r="O152" s="236"/>
      <c r="P152" s="236"/>
      <c r="Q152" s="236"/>
      <c r="R152" s="236"/>
      <c r="S152" s="236"/>
      <c r="T152" s="236"/>
      <c r="U152" s="236"/>
      <c r="V152" s="236"/>
      <c r="W152" s="235"/>
      <c r="X152" s="235"/>
      <c r="Y152" s="235"/>
      <c r="Z152" s="235"/>
      <c r="AA152" s="235"/>
      <c r="AB152" s="235"/>
      <c r="AC152" s="235"/>
      <c r="AD152" s="235"/>
      <c r="AE152" s="235"/>
      <c r="AF152" s="235"/>
      <c r="AG152" s="235"/>
      <c r="AH152" s="235"/>
      <c r="AI152" s="235"/>
      <c r="AJ152" s="235"/>
      <c r="AK152" s="235"/>
      <c r="AL152" s="235"/>
      <c r="AM152" s="235"/>
      <c r="AN152" s="235"/>
      <c r="AO152" s="235"/>
      <c r="AP152" s="235"/>
      <c r="AQ152" s="235"/>
      <c r="AR152" s="235"/>
      <c r="AS152" s="235"/>
      <c r="AT152" s="235"/>
      <c r="AU152" s="235"/>
      <c r="AV152" s="239"/>
      <c r="AW152" s="239"/>
      <c r="AX152" s="239"/>
      <c r="AY152" s="235"/>
      <c r="AZ152" s="238">
        <f>AcsAVS!J18</f>
        <v>0</v>
      </c>
      <c r="BA152" s="235"/>
      <c r="BB152" s="108"/>
      <c r="BC152" s="108"/>
    </row>
    <row r="153" spans="1:55" ht="16.149999999999999" customHeight="1" x14ac:dyDescent="0.2">
      <c r="A153" s="108"/>
      <c r="B153" s="60" t="str">
        <f>CenAVS!A156</f>
        <v xml:space="preserve">          </v>
      </c>
      <c r="C153" s="60">
        <f>CenAVS!B156</f>
        <v>0</v>
      </c>
      <c r="D153" s="60">
        <f>CenAVS!C156</f>
        <v>0</v>
      </c>
      <c r="E153" s="536">
        <f>CenAVS!D156</f>
        <v>0</v>
      </c>
      <c r="F153" s="413">
        <f t="shared" si="22"/>
        <v>0</v>
      </c>
      <c r="G153" s="58">
        <f>CenAVS!F156</f>
        <v>0</v>
      </c>
      <c r="H153" s="104">
        <f t="shared" si="17"/>
        <v>0</v>
      </c>
      <c r="I153" s="65"/>
      <c r="J153" s="59">
        <f>CenAVS!I156</f>
        <v>0</v>
      </c>
      <c r="K153" s="59">
        <f>CenAVS!J156</f>
        <v>0</v>
      </c>
      <c r="L153" s="943">
        <f t="shared" ref="L153:L187" si="23">IF(I153="x",0,IF(I153&gt;0,I153,F153))</f>
        <v>0</v>
      </c>
      <c r="M153" s="60">
        <f t="shared" ref="M153:M187" si="24">PRODUCT(L153,G153)</f>
        <v>0</v>
      </c>
      <c r="N153" s="236"/>
      <c r="O153" s="236"/>
      <c r="P153" s="236"/>
      <c r="Q153" s="236"/>
      <c r="R153" s="236"/>
      <c r="S153" s="236"/>
      <c r="T153" s="236"/>
      <c r="U153" s="236"/>
      <c r="V153" s="236"/>
      <c r="W153" s="235"/>
      <c r="X153" s="235"/>
      <c r="Y153" s="235"/>
      <c r="Z153" s="235"/>
      <c r="AA153" s="235"/>
      <c r="AB153" s="235"/>
      <c r="AC153" s="235"/>
      <c r="AD153" s="235"/>
      <c r="AE153" s="235"/>
      <c r="AF153" s="235"/>
      <c r="AG153" s="235"/>
      <c r="AH153" s="235"/>
      <c r="AI153" s="235"/>
      <c r="AJ153" s="235"/>
      <c r="AK153" s="235"/>
      <c r="AL153" s="235"/>
      <c r="AM153" s="235"/>
      <c r="AN153" s="235"/>
      <c r="AO153" s="235"/>
      <c r="AP153" s="235"/>
      <c r="AQ153" s="235"/>
      <c r="AR153" s="235"/>
      <c r="AS153" s="235"/>
      <c r="AT153" s="235"/>
      <c r="AU153" s="235"/>
      <c r="AV153" s="235"/>
      <c r="AW153" s="235"/>
      <c r="AX153" s="235"/>
      <c r="AY153" s="235"/>
      <c r="AZ153" s="235"/>
      <c r="BA153" s="235"/>
      <c r="BB153" s="108"/>
      <c r="BC153" s="108"/>
    </row>
    <row r="154" spans="1:55" ht="16.149999999999999" customHeight="1" x14ac:dyDescent="0.2">
      <c r="A154" s="108"/>
      <c r="B154" s="60" t="str">
        <f>CenAVS!A171</f>
        <v xml:space="preserve">Aventos HF/HL/HS - Top Servo-Drive      </v>
      </c>
      <c r="C154" s="60" t="str">
        <f>CenAVS!B171</f>
        <v>23.A000</v>
      </c>
      <c r="D154" s="60" t="str">
        <f>CenAVS!C171</f>
        <v>R7037</v>
      </c>
      <c r="E154" s="536">
        <f>CenAVS!D171</f>
        <v>0</v>
      </c>
      <c r="F154" s="413">
        <f t="shared" si="22"/>
        <v>0</v>
      </c>
      <c r="G154" s="58">
        <f>CenAVS!F171</f>
        <v>905.30219999999997</v>
      </c>
      <c r="H154" s="104">
        <f t="shared" si="17"/>
        <v>0</v>
      </c>
      <c r="I154" s="65"/>
      <c r="J154" s="59">
        <f>CenAVS!I171</f>
        <v>5362207</v>
      </c>
      <c r="K154" s="59">
        <f>CenAVS!J171</f>
        <v>507349</v>
      </c>
      <c r="L154" s="943">
        <f t="shared" si="23"/>
        <v>0</v>
      </c>
      <c r="M154" s="60">
        <f t="shared" si="24"/>
        <v>0</v>
      </c>
      <c r="N154" s="236"/>
      <c r="O154" s="238">
        <f>HFw!$AB45</f>
        <v>0</v>
      </c>
      <c r="P154" s="238">
        <f>HFwa!$AB45</f>
        <v>0</v>
      </c>
      <c r="Q154" s="238">
        <f>HFw_wa!$AB45</f>
        <v>0</v>
      </c>
      <c r="R154" s="238">
        <f>HFwa_w!$AB45</f>
        <v>0</v>
      </c>
      <c r="S154" s="238">
        <f>HFna!$AB45</f>
        <v>0</v>
      </c>
      <c r="T154" s="238">
        <f>HFw_na!$AB45</f>
        <v>0</v>
      </c>
      <c r="U154" s="238">
        <f>HFna_w!$AB45</f>
        <v>0</v>
      </c>
      <c r="V154" s="236"/>
      <c r="W154" s="238">
        <f>HSw!$AB43</f>
        <v>0</v>
      </c>
      <c r="X154" s="238">
        <f>HSwa!$AB43</f>
        <v>0</v>
      </c>
      <c r="Y154" s="238">
        <f>HSna!$AB43</f>
        <v>0</v>
      </c>
      <c r="Z154" s="238">
        <f>HSt!$AB43</f>
        <v>0</v>
      </c>
      <c r="AA154" s="235"/>
      <c r="AB154" s="238">
        <f>HLw!$AB37</f>
        <v>0</v>
      </c>
      <c r="AC154" s="238">
        <f>HLwa!$AB37</f>
        <v>0</v>
      </c>
      <c r="AD154" s="238">
        <f>HLna!$AB37</f>
        <v>0</v>
      </c>
      <c r="AE154" s="238">
        <f>HLt!$AB37</f>
        <v>0</v>
      </c>
      <c r="AF154" s="235"/>
      <c r="AG154" s="235"/>
      <c r="AH154" s="235"/>
      <c r="AI154" s="235"/>
      <c r="AJ154" s="235"/>
      <c r="AK154" s="235"/>
      <c r="AL154" s="235"/>
      <c r="AM154" s="235"/>
      <c r="AN154" s="235"/>
      <c r="AO154" s="235"/>
      <c r="AP154" s="235"/>
      <c r="AQ154" s="235"/>
      <c r="AR154" s="235"/>
      <c r="AS154" s="235"/>
      <c r="AT154" s="235"/>
      <c r="AU154" s="235"/>
      <c r="AV154" s="235"/>
      <c r="AW154" s="235"/>
      <c r="AX154" s="235"/>
      <c r="AY154" s="235"/>
      <c r="AZ154" s="235"/>
      <c r="BA154" s="235"/>
      <c r="BB154" s="108"/>
      <c r="BC154" s="108"/>
    </row>
    <row r="155" spans="1:55" ht="16.149999999999999" customHeight="1" x14ac:dyDescent="0.2">
      <c r="A155" s="108"/>
      <c r="B155" s="60" t="str">
        <f>CenAVS!A172</f>
        <v xml:space="preserve">Aventos Servo-drive do HK top      </v>
      </c>
      <c r="C155" s="60" t="str">
        <f>CenAVS!B172</f>
        <v>23KA000</v>
      </c>
      <c r="D155" s="60" t="str">
        <f>CenAVS!C172</f>
        <v>R7037</v>
      </c>
      <c r="E155" s="536">
        <f>CenAVS!D172</f>
        <v>0</v>
      </c>
      <c r="F155" s="413">
        <f t="shared" si="22"/>
        <v>0</v>
      </c>
      <c r="G155" s="58">
        <f>CenAVS!F172</f>
        <v>905.30219999999997</v>
      </c>
      <c r="H155" s="104">
        <f t="shared" si="17"/>
        <v>0</v>
      </c>
      <c r="I155" s="65"/>
      <c r="J155" s="59">
        <f>CenAVS!I172</f>
        <v>9961208</v>
      </c>
      <c r="K155" s="59">
        <f>CenAVS!J172</f>
        <v>347839</v>
      </c>
      <c r="L155" s="943">
        <f t="shared" si="23"/>
        <v>0</v>
      </c>
      <c r="M155" s="60">
        <f t="shared" si="24"/>
        <v>0</v>
      </c>
      <c r="N155" s="236"/>
      <c r="O155" s="236"/>
      <c r="P155" s="236"/>
      <c r="Q155" s="236"/>
      <c r="R155" s="236"/>
      <c r="S155" s="236"/>
      <c r="T155" s="236"/>
      <c r="U155" s="236"/>
      <c r="V155" s="236"/>
      <c r="W155" s="235"/>
      <c r="X155" s="235"/>
      <c r="Y155" s="235"/>
      <c r="Z155" s="235"/>
      <c r="AA155" s="235"/>
      <c r="AB155" s="235"/>
      <c r="AC155" s="235"/>
      <c r="AD155" s="235"/>
      <c r="AE155" s="235"/>
      <c r="AF155" s="235"/>
      <c r="AG155" s="238">
        <f>HKw!$AB46</f>
        <v>0</v>
      </c>
      <c r="AH155" s="238">
        <f>HKwa!$AB46</f>
        <v>0</v>
      </c>
      <c r="AI155" s="238">
        <f>HKna!$AB46</f>
        <v>0</v>
      </c>
      <c r="AJ155" s="238">
        <f>HKt!$AB46</f>
        <v>0</v>
      </c>
      <c r="AK155" s="235"/>
      <c r="AL155" s="235"/>
      <c r="AM155" s="235"/>
      <c r="AN155" s="235"/>
      <c r="AO155" s="235"/>
      <c r="AP155" s="235"/>
      <c r="AQ155" s="235"/>
      <c r="AR155" s="235"/>
      <c r="AS155" s="235"/>
      <c r="AT155" s="235"/>
      <c r="AU155" s="235"/>
      <c r="AV155" s="235"/>
      <c r="AW155" s="235"/>
      <c r="AX155" s="235"/>
      <c r="AY155" s="235"/>
      <c r="AZ155" s="235"/>
      <c r="BA155" s="235"/>
      <c r="BB155" s="108"/>
      <c r="BC155" s="108"/>
    </row>
    <row r="156" spans="1:55" ht="16.149999999999999" customHeight="1" x14ac:dyDescent="0.2">
      <c r="A156" s="108"/>
      <c r="B156" s="60" t="str">
        <f>CenAVS!A157</f>
        <v xml:space="preserve">          </v>
      </c>
      <c r="C156" s="60">
        <f>CenAVS!B157</f>
        <v>0</v>
      </c>
      <c r="D156" s="60">
        <f>CenAVS!C157</f>
        <v>0</v>
      </c>
      <c r="E156" s="536">
        <f>CenAVS!D157</f>
        <v>0</v>
      </c>
      <c r="F156" s="413">
        <f t="shared" si="22"/>
        <v>0</v>
      </c>
      <c r="G156" s="58">
        <f>CenAVS!F157</f>
        <v>0</v>
      </c>
      <c r="H156" s="104">
        <f t="shared" si="17"/>
        <v>0</v>
      </c>
      <c r="I156" s="65"/>
      <c r="J156" s="59">
        <f>CenAVS!I157</f>
        <v>0</v>
      </c>
      <c r="K156" s="59">
        <f>CenAVS!J157</f>
        <v>0</v>
      </c>
      <c r="L156" s="943">
        <f t="shared" si="23"/>
        <v>0</v>
      </c>
      <c r="M156" s="60">
        <f t="shared" si="24"/>
        <v>0</v>
      </c>
      <c r="N156" s="236"/>
      <c r="O156" s="236"/>
      <c r="P156" s="236"/>
      <c r="Q156" s="236"/>
      <c r="R156" s="236"/>
      <c r="S156" s="236"/>
      <c r="T156" s="236"/>
      <c r="U156" s="236"/>
      <c r="V156" s="236"/>
      <c r="W156" s="235"/>
      <c r="X156" s="235"/>
      <c r="Y156" s="235"/>
      <c r="Z156" s="235"/>
      <c r="AA156" s="235"/>
      <c r="AB156" s="235"/>
      <c r="AC156" s="235"/>
      <c r="AD156" s="235"/>
      <c r="AE156" s="235"/>
      <c r="AF156" s="235"/>
      <c r="AG156" s="235"/>
      <c r="AH156" s="235"/>
      <c r="AI156" s="235"/>
      <c r="AJ156" s="235"/>
      <c r="AK156" s="235"/>
      <c r="AL156" s="235"/>
      <c r="AM156" s="235"/>
      <c r="AN156" s="235"/>
      <c r="AO156" s="235"/>
      <c r="AP156" s="235"/>
      <c r="AQ156" s="235"/>
      <c r="AR156" s="235"/>
      <c r="AS156" s="235"/>
      <c r="AT156" s="235"/>
      <c r="AU156" s="235"/>
      <c r="AV156" s="235"/>
      <c r="AW156" s="235"/>
      <c r="AX156" s="235"/>
      <c r="AY156" s="235"/>
      <c r="AZ156" s="235"/>
      <c r="BA156" s="235"/>
      <c r="BB156" s="108"/>
      <c r="BC156" s="108"/>
    </row>
    <row r="157" spans="1:55" ht="16.149999999999999" customHeight="1" x14ac:dyDescent="0.2">
      <c r="A157" s="108"/>
      <c r="B157" s="60" t="str">
        <f>CenAVS!A143</f>
        <v xml:space="preserve">Szablon do znakowania z kołkami do HK Top   </v>
      </c>
      <c r="C157" s="60" t="str">
        <f>CenAVS!B143</f>
        <v>ZML.2200</v>
      </c>
      <c r="D157" s="60" t="str">
        <f>CenAVS!C143</f>
        <v>OR</v>
      </c>
      <c r="E157" s="536">
        <f>CenAVS!D143</f>
        <v>0</v>
      </c>
      <c r="F157" s="413">
        <f t="shared" si="22"/>
        <v>0</v>
      </c>
      <c r="G157" s="58">
        <f>CenAVS!F143</f>
        <v>106.17119999999998</v>
      </c>
      <c r="H157" s="104">
        <f t="shared" si="17"/>
        <v>0</v>
      </c>
      <c r="I157" s="65"/>
      <c r="J157" s="59">
        <f>CenAVS!I143</f>
        <v>4719614</v>
      </c>
      <c r="K157" s="59">
        <f>CenAVS!J143</f>
        <v>393783</v>
      </c>
      <c r="L157" s="943">
        <f t="shared" si="23"/>
        <v>0</v>
      </c>
      <c r="M157" s="60">
        <f t="shared" si="24"/>
        <v>0</v>
      </c>
      <c r="N157" s="236"/>
      <c r="O157" s="236"/>
      <c r="P157" s="236"/>
      <c r="Q157" s="236"/>
      <c r="R157" s="236"/>
      <c r="S157" s="236"/>
      <c r="T157" s="236"/>
      <c r="U157" s="236"/>
      <c r="V157" s="236"/>
      <c r="W157" s="235"/>
      <c r="X157" s="235"/>
      <c r="Y157" s="235"/>
      <c r="Z157" s="235"/>
      <c r="AA157" s="235"/>
      <c r="AB157" s="235"/>
      <c r="AC157" s="235"/>
      <c r="AD157" s="235"/>
      <c r="AE157" s="235"/>
      <c r="AF157" s="235"/>
      <c r="AG157" s="235"/>
      <c r="AH157" s="235"/>
      <c r="AI157" s="235"/>
      <c r="AJ157" s="235"/>
      <c r="AK157" s="235"/>
      <c r="AL157" s="235"/>
      <c r="AM157" s="235"/>
      <c r="AN157" s="235"/>
      <c r="AO157" s="235"/>
      <c r="AP157" s="235"/>
      <c r="AQ157" s="235"/>
      <c r="AR157" s="235"/>
      <c r="AS157" s="235"/>
      <c r="AT157" s="235"/>
      <c r="AU157" s="235"/>
      <c r="AV157" s="235"/>
      <c r="AW157" s="235"/>
      <c r="AX157" s="235"/>
      <c r="AY157" s="235"/>
      <c r="AZ157" s="235"/>
      <c r="BA157" s="235"/>
      <c r="BB157" s="108"/>
      <c r="BC157" s="108"/>
    </row>
    <row r="158" spans="1:55" ht="16.149999999999999" customHeight="1" x14ac:dyDescent="0.2">
      <c r="A158" s="108"/>
      <c r="B158" s="60" t="str">
        <f>CenAVS!A158</f>
        <v xml:space="preserve">kołek Expando T        </v>
      </c>
      <c r="C158" s="60" t="str">
        <f>CenAVS!B158</f>
        <v>70T4532T</v>
      </c>
      <c r="D158" s="60" t="str">
        <f>CenAVS!C158</f>
        <v>DGR</v>
      </c>
      <c r="E158" s="536">
        <f>CenAVS!D158</f>
        <v>0</v>
      </c>
      <c r="F158" s="413">
        <f t="shared" si="22"/>
        <v>0</v>
      </c>
      <c r="G158" s="58">
        <f>CenAVS!F158</f>
        <v>6.9475599999999993</v>
      </c>
      <c r="H158" s="104">
        <f>M158</f>
        <v>0</v>
      </c>
      <c r="I158" s="65"/>
      <c r="J158" s="59">
        <f>CenAVS!I158</f>
        <v>4958478</v>
      </c>
      <c r="K158" s="59">
        <f>CenAVS!J158</f>
        <v>347999</v>
      </c>
      <c r="L158" s="943">
        <f>IF(I158="x",0,IF(I158&gt;0,I158,F158))</f>
        <v>0</v>
      </c>
      <c r="M158" s="60">
        <f>PRODUCT(L158,G158)</f>
        <v>0</v>
      </c>
      <c r="N158" s="236"/>
      <c r="O158" s="236"/>
      <c r="P158" s="236"/>
      <c r="Q158" s="236"/>
      <c r="R158" s="236"/>
      <c r="S158" s="236"/>
      <c r="T158" s="236"/>
      <c r="U158" s="236"/>
      <c r="V158" s="236"/>
      <c r="W158" s="235"/>
      <c r="X158" s="235"/>
      <c r="Y158" s="235"/>
      <c r="Z158" s="235"/>
      <c r="AA158" s="235"/>
      <c r="AB158" s="235"/>
      <c r="AC158" s="235"/>
      <c r="AD158" s="235"/>
      <c r="AE158" s="235"/>
      <c r="AF158" s="235"/>
      <c r="AG158" s="235"/>
      <c r="AH158" s="235"/>
      <c r="AI158" s="235"/>
      <c r="AJ158" s="235"/>
      <c r="AK158" s="235"/>
      <c r="AL158" s="235"/>
      <c r="AM158" s="235"/>
      <c r="AN158" s="235"/>
      <c r="AO158" s="238">
        <f>HKSt!AB32</f>
        <v>0</v>
      </c>
      <c r="AP158" s="235"/>
      <c r="AQ158" s="235"/>
      <c r="AR158" s="235"/>
      <c r="AS158" s="235"/>
      <c r="AT158" s="238">
        <f>HKXSt!AD37</f>
        <v>0</v>
      </c>
      <c r="AU158" s="235"/>
      <c r="AV158" s="239"/>
      <c r="AW158" s="239"/>
      <c r="AX158" s="239"/>
      <c r="AY158" s="235"/>
      <c r="AZ158" s="238">
        <f>AcsAVS!J26</f>
        <v>0</v>
      </c>
      <c r="BA158" s="235"/>
      <c r="BB158" s="108"/>
      <c r="BC158" s="108"/>
    </row>
    <row r="159" spans="1:55" ht="16.149999999999999" customHeight="1" x14ac:dyDescent="0.2">
      <c r="A159" s="108"/>
      <c r="B159" s="60" t="str">
        <f>CenAVS!A159</f>
        <v xml:space="preserve">          </v>
      </c>
      <c r="C159" s="60">
        <f>CenAVS!B159</f>
        <v>0</v>
      </c>
      <c r="D159" s="60">
        <f>CenAVS!C159</f>
        <v>0</v>
      </c>
      <c r="E159" s="536">
        <f>CenAVS!D159</f>
        <v>0</v>
      </c>
      <c r="F159" s="413">
        <f t="shared" si="22"/>
        <v>0</v>
      </c>
      <c r="G159" s="58">
        <f>CenAVS!F159</f>
        <v>0</v>
      </c>
      <c r="H159" s="104">
        <f t="shared" si="17"/>
        <v>0</v>
      </c>
      <c r="I159" s="65"/>
      <c r="J159" s="59">
        <f>CenAVS!I159</f>
        <v>0</v>
      </c>
      <c r="K159" s="59">
        <f>CenAVS!J159</f>
        <v>0</v>
      </c>
      <c r="L159" s="943">
        <f t="shared" si="23"/>
        <v>0</v>
      </c>
      <c r="M159" s="60">
        <f t="shared" si="24"/>
        <v>0</v>
      </c>
      <c r="N159" s="236"/>
      <c r="O159" s="236"/>
      <c r="P159" s="236"/>
      <c r="Q159" s="236"/>
      <c r="R159" s="236"/>
      <c r="S159" s="236"/>
      <c r="T159" s="236"/>
      <c r="U159" s="236"/>
      <c r="V159" s="236"/>
      <c r="W159" s="235"/>
      <c r="X159" s="235"/>
      <c r="Y159" s="235"/>
      <c r="Z159" s="235"/>
      <c r="AA159" s="235"/>
      <c r="AB159" s="235"/>
      <c r="AC159" s="235"/>
      <c r="AD159" s="235"/>
      <c r="AE159" s="235"/>
      <c r="AF159" s="235"/>
      <c r="AG159" s="235"/>
      <c r="AH159" s="235"/>
      <c r="AI159" s="235"/>
      <c r="AJ159" s="235"/>
      <c r="AK159" s="235"/>
      <c r="AL159" s="235"/>
      <c r="AM159" s="235"/>
      <c r="AN159" s="235"/>
      <c r="AO159" s="235"/>
      <c r="AP159" s="235"/>
      <c r="AQ159" s="235"/>
      <c r="AR159" s="235"/>
      <c r="AS159" s="235"/>
      <c r="AT159" s="235"/>
      <c r="AU159" s="235"/>
      <c r="AV159" s="235"/>
      <c r="AW159" s="235"/>
      <c r="AX159" s="235"/>
      <c r="AY159" s="235"/>
      <c r="AZ159" s="235"/>
      <c r="BA159" s="235"/>
      <c r="BB159" s="108"/>
      <c r="BC159" s="108"/>
    </row>
    <row r="160" spans="1:55" ht="16.149999999999999" customHeight="1" x14ac:dyDescent="0.2">
      <c r="A160" s="108"/>
      <c r="B160" s="60" t="str">
        <f>CenAVS!A160</f>
        <v xml:space="preserve">prowadnik krzyżakowy, wkręt 8,5mm       </v>
      </c>
      <c r="C160" s="60" t="str">
        <f>CenAVS!B160</f>
        <v>173L6100</v>
      </c>
      <c r="D160" s="60" t="str">
        <f>CenAVS!C160</f>
        <v>NI</v>
      </c>
      <c r="E160" s="536">
        <f>CenAVS!D160</f>
        <v>0</v>
      </c>
      <c r="F160" s="413">
        <f t="shared" si="22"/>
        <v>0</v>
      </c>
      <c r="G160" s="58">
        <f>CenAVS!F160</f>
        <v>0.68708000000000002</v>
      </c>
      <c r="H160" s="104">
        <f t="shared" si="17"/>
        <v>0</v>
      </c>
      <c r="I160" s="65"/>
      <c r="J160" s="59">
        <f>CenAVS!I160</f>
        <v>7480175</v>
      </c>
      <c r="K160" s="59">
        <f>CenAVS!J160</f>
        <v>12306</v>
      </c>
      <c r="L160" s="943">
        <f t="shared" si="23"/>
        <v>0</v>
      </c>
      <c r="M160" s="60">
        <f t="shared" si="24"/>
        <v>0</v>
      </c>
      <c r="N160" s="236"/>
      <c r="O160" s="236"/>
      <c r="P160" s="236"/>
      <c r="Q160" s="236"/>
      <c r="R160" s="236"/>
      <c r="S160" s="236"/>
      <c r="T160" s="236"/>
      <c r="U160" s="236"/>
      <c r="V160" s="236"/>
      <c r="W160" s="235"/>
      <c r="X160" s="235"/>
      <c r="Y160" s="235"/>
      <c r="Z160" s="235"/>
      <c r="AA160" s="235"/>
      <c r="AB160" s="235"/>
      <c r="AC160" s="235"/>
      <c r="AD160" s="235"/>
      <c r="AE160" s="235"/>
      <c r="AF160" s="235"/>
      <c r="AG160" s="235"/>
      <c r="AH160" s="235"/>
      <c r="AI160" s="235"/>
      <c r="AJ160" s="235"/>
      <c r="AK160" s="235"/>
      <c r="AL160" s="235"/>
      <c r="AM160" s="235"/>
      <c r="AN160" s="235"/>
      <c r="AO160" s="235"/>
      <c r="AP160" s="235"/>
      <c r="AQ160" s="235"/>
      <c r="AR160" s="235"/>
      <c r="AS160" s="235"/>
      <c r="AT160" s="235"/>
      <c r="AU160" s="235"/>
      <c r="AV160" s="235"/>
      <c r="AW160" s="235"/>
      <c r="AX160" s="235"/>
      <c r="AY160" s="235"/>
      <c r="AZ160" s="235"/>
      <c r="BA160" s="235"/>
      <c r="BB160" s="108"/>
      <c r="BC160" s="108"/>
    </row>
    <row r="161" spans="1:55" ht="16.149999999999999" customHeight="1" x14ac:dyDescent="0.2">
      <c r="A161" s="108"/>
      <c r="B161" s="60" t="str">
        <f>CenAVS!A161</f>
        <v xml:space="preserve">prowadnik Expando 8 5mm -5      </v>
      </c>
      <c r="C161" s="60" t="str">
        <f>CenAVS!B161</f>
        <v>174E6100.01</v>
      </c>
      <c r="D161" s="60" t="str">
        <f>CenAVS!C161</f>
        <v>NI</v>
      </c>
      <c r="E161" s="536">
        <f>CenAVS!D161</f>
        <v>0</v>
      </c>
      <c r="F161" s="413">
        <f t="shared" si="22"/>
        <v>0</v>
      </c>
      <c r="G161" s="58">
        <f>CenAVS!F161</f>
        <v>1.0634600000000001</v>
      </c>
      <c r="H161" s="104">
        <f t="shared" si="17"/>
        <v>0</v>
      </c>
      <c r="I161" s="65"/>
      <c r="J161" s="59">
        <f>CenAVS!I161</f>
        <v>9120278</v>
      </c>
      <c r="K161" s="59">
        <f>CenAVS!J161</f>
        <v>12302</v>
      </c>
      <c r="L161" s="943">
        <f t="shared" si="23"/>
        <v>0</v>
      </c>
      <c r="M161" s="60">
        <f t="shared" si="24"/>
        <v>0</v>
      </c>
      <c r="N161" s="236"/>
      <c r="O161" s="236"/>
      <c r="P161" s="236"/>
      <c r="Q161" s="236"/>
      <c r="R161" s="236"/>
      <c r="S161" s="236"/>
      <c r="T161" s="236"/>
      <c r="U161" s="236"/>
      <c r="V161" s="236"/>
      <c r="W161" s="235"/>
      <c r="X161" s="235"/>
      <c r="Y161" s="235"/>
      <c r="Z161" s="235"/>
      <c r="AA161" s="235"/>
      <c r="AB161" s="235"/>
      <c r="AC161" s="235"/>
      <c r="AD161" s="235"/>
      <c r="AE161" s="235"/>
      <c r="AF161" s="235"/>
      <c r="AG161" s="235"/>
      <c r="AH161" s="235"/>
      <c r="AI161" s="235"/>
      <c r="AJ161" s="235"/>
      <c r="AK161" s="235"/>
      <c r="AL161" s="235"/>
      <c r="AM161" s="235"/>
      <c r="AN161" s="235"/>
      <c r="AO161" s="235"/>
      <c r="AP161" s="235"/>
      <c r="AQ161" s="235"/>
      <c r="AR161" s="235"/>
      <c r="AS161" s="235"/>
      <c r="AT161" s="235"/>
      <c r="AU161" s="235"/>
      <c r="AV161" s="235"/>
      <c r="AW161" s="235"/>
      <c r="AX161" s="235"/>
      <c r="AY161" s="235"/>
      <c r="AZ161" s="235"/>
      <c r="BA161" s="235"/>
      <c r="BB161" s="108"/>
      <c r="BC161" s="108"/>
    </row>
    <row r="162" spans="1:55" ht="16.149999999999999" customHeight="1" x14ac:dyDescent="0.2">
      <c r="A162" s="108"/>
      <c r="B162" s="60" t="str">
        <f>CenAVS!A162</f>
        <v xml:space="preserve">prowadnik krzyżakowy mimośród wkręt 8 5mm     </v>
      </c>
      <c r="C162" s="60" t="str">
        <f>CenAVS!B162</f>
        <v>173H7100</v>
      </c>
      <c r="D162" s="60" t="str">
        <f>CenAVS!C162</f>
        <v>NI</v>
      </c>
      <c r="E162" s="536">
        <f>CenAVS!D162</f>
        <v>0</v>
      </c>
      <c r="F162" s="413">
        <f t="shared" si="22"/>
        <v>0</v>
      </c>
      <c r="G162" s="58">
        <f>CenAVS!F162</f>
        <v>1.7393000000000001</v>
      </c>
      <c r="H162" s="104">
        <f t="shared" si="17"/>
        <v>0</v>
      </c>
      <c r="I162" s="65"/>
      <c r="J162" s="59">
        <f>CenAVS!I162</f>
        <v>8748653</v>
      </c>
      <c r="K162" s="59">
        <f>CenAVS!J162</f>
        <v>12340</v>
      </c>
      <c r="L162" s="943">
        <f t="shared" si="23"/>
        <v>0</v>
      </c>
      <c r="M162" s="60">
        <f t="shared" si="24"/>
        <v>0</v>
      </c>
      <c r="N162" s="236"/>
      <c r="O162" s="236"/>
      <c r="P162" s="238">
        <f>HFwa!$AB36</f>
        <v>0</v>
      </c>
      <c r="Q162" s="236"/>
      <c r="R162" s="238">
        <f>HFwa_w!$AB36</f>
        <v>0</v>
      </c>
      <c r="S162" s="236"/>
      <c r="T162" s="236"/>
      <c r="U162" s="236"/>
      <c r="V162" s="236"/>
      <c r="W162" s="235"/>
      <c r="X162" s="235"/>
      <c r="Y162" s="235"/>
      <c r="Z162" s="235"/>
      <c r="AA162" s="235"/>
      <c r="AB162" s="235"/>
      <c r="AC162" s="235"/>
      <c r="AD162" s="235"/>
      <c r="AE162" s="235"/>
      <c r="AF162" s="235"/>
      <c r="AG162" s="235"/>
      <c r="AH162" s="235"/>
      <c r="AI162" s="235"/>
      <c r="AJ162" s="235"/>
      <c r="AK162" s="235"/>
      <c r="AL162" s="235"/>
      <c r="AM162" s="235"/>
      <c r="AN162" s="235"/>
      <c r="AO162" s="235"/>
      <c r="AP162" s="235"/>
      <c r="AQ162" s="235"/>
      <c r="AR162" s="235"/>
      <c r="AS162" s="235"/>
      <c r="AT162" s="235"/>
      <c r="AU162" s="235"/>
      <c r="AV162" s="235"/>
      <c r="AW162" s="235"/>
      <c r="AX162" s="235"/>
      <c r="AY162" s="235"/>
      <c r="AZ162" s="235"/>
      <c r="BA162" s="235"/>
      <c r="BB162" s="108"/>
      <c r="BC162" s="108"/>
    </row>
    <row r="163" spans="1:55" ht="16.149999999999999" customHeight="1" x14ac:dyDescent="0.2">
      <c r="A163" s="108"/>
      <c r="B163" s="60" t="str">
        <f>CenAVS!A163</f>
        <v xml:space="preserve">prowadnik krzyżakowy mimośród Expando 8 5mm     </v>
      </c>
      <c r="C163" s="60" t="str">
        <f>CenAVS!B163</f>
        <v>174H7100E </v>
      </c>
      <c r="D163" s="60" t="str">
        <f>CenAVS!C163</f>
        <v>NI</v>
      </c>
      <c r="E163" s="536">
        <f>CenAVS!D163</f>
        <v>0</v>
      </c>
      <c r="F163" s="413">
        <f t="shared" si="22"/>
        <v>0</v>
      </c>
      <c r="G163" s="58">
        <f>CenAVS!F163</f>
        <v>2.1260500000000002</v>
      </c>
      <c r="H163" s="104">
        <f t="shared" si="17"/>
        <v>0</v>
      </c>
      <c r="I163" s="65"/>
      <c r="J163" s="59">
        <f>CenAVS!I163</f>
        <v>9340977</v>
      </c>
      <c r="K163" s="59">
        <f>CenAVS!J163</f>
        <v>12312</v>
      </c>
      <c r="L163" s="943">
        <f t="shared" si="23"/>
        <v>0</v>
      </c>
      <c r="M163" s="60">
        <f t="shared" si="24"/>
        <v>0</v>
      </c>
      <c r="N163" s="236"/>
      <c r="O163" s="236"/>
      <c r="P163" s="236"/>
      <c r="Q163" s="236"/>
      <c r="R163" s="236"/>
      <c r="S163" s="236"/>
      <c r="T163" s="236"/>
      <c r="U163" s="236"/>
      <c r="V163" s="236"/>
      <c r="W163" s="235"/>
      <c r="X163" s="235"/>
      <c r="Y163" s="235"/>
      <c r="Z163" s="235"/>
      <c r="AA163" s="235"/>
      <c r="AB163" s="235"/>
      <c r="AC163" s="235"/>
      <c r="AD163" s="235"/>
      <c r="AE163" s="235"/>
      <c r="AF163" s="235"/>
      <c r="AG163" s="235"/>
      <c r="AH163" s="235"/>
      <c r="AI163" s="235"/>
      <c r="AJ163" s="235"/>
      <c r="AK163" s="235"/>
      <c r="AL163" s="235"/>
      <c r="AM163" s="235"/>
      <c r="AN163" s="235"/>
      <c r="AO163" s="235"/>
      <c r="AP163" s="235"/>
      <c r="AQ163" s="235"/>
      <c r="AR163" s="235"/>
      <c r="AS163" s="235"/>
      <c r="AT163" s="235"/>
      <c r="AU163" s="235"/>
      <c r="AV163" s="235"/>
      <c r="AW163" s="235"/>
      <c r="AX163" s="235"/>
      <c r="AY163" s="235"/>
      <c r="AZ163" s="235"/>
      <c r="BA163" s="235"/>
      <c r="BB163" s="108"/>
      <c r="BC163" s="108"/>
    </row>
    <row r="164" spans="1:55" ht="16.149999999999999" customHeight="1" x14ac:dyDescent="0.2">
      <c r="A164" s="108"/>
      <c r="B164" s="60" t="str">
        <f>CenAVS!A166</f>
        <v xml:space="preserve">prowadnik prosty wkręt 8 5mm stal     </v>
      </c>
      <c r="C164" s="60" t="str">
        <f>CenAVS!B166</f>
        <v>175H3100</v>
      </c>
      <c r="D164" s="60" t="str">
        <f>CenAVS!C166</f>
        <v>NI</v>
      </c>
      <c r="E164" s="536">
        <f>CenAVS!D166</f>
        <v>0</v>
      </c>
      <c r="F164" s="413">
        <f t="shared" si="22"/>
        <v>0</v>
      </c>
      <c r="G164" s="58">
        <f>CenAVS!F166</f>
        <v>1.65564</v>
      </c>
      <c r="H164" s="104">
        <f t="shared" ref="H164:H180" si="25">M164</f>
        <v>0</v>
      </c>
      <c r="I164" s="65"/>
      <c r="J164" s="59">
        <f>CenAVS!I166</f>
        <v>5891994</v>
      </c>
      <c r="K164" s="59">
        <f>CenAVS!J166</f>
        <v>203387</v>
      </c>
      <c r="L164" s="943">
        <f t="shared" si="23"/>
        <v>0</v>
      </c>
      <c r="M164" s="60">
        <f t="shared" si="24"/>
        <v>0</v>
      </c>
      <c r="N164" s="236"/>
      <c r="O164" s="238">
        <f>HFw!$AB42</f>
        <v>0</v>
      </c>
      <c r="P164" s="238">
        <f>HFwa!$AB42</f>
        <v>0</v>
      </c>
      <c r="Q164" s="238">
        <f>HFw_wa!$AB42</f>
        <v>0</v>
      </c>
      <c r="R164" s="238">
        <f>HFwa_w!$AB42</f>
        <v>0</v>
      </c>
      <c r="S164" s="238">
        <f>HFna!$AB42</f>
        <v>0</v>
      </c>
      <c r="T164" s="238">
        <f>HFw_na!$AB42</f>
        <v>0</v>
      </c>
      <c r="U164" s="238">
        <f>HFna_w!$AB42</f>
        <v>0</v>
      </c>
      <c r="V164" s="236"/>
      <c r="W164" s="235"/>
      <c r="X164" s="235"/>
      <c r="Y164" s="235"/>
      <c r="Z164" s="235"/>
      <c r="AA164" s="235"/>
      <c r="AB164" s="235"/>
      <c r="AC164" s="235"/>
      <c r="AD164" s="235"/>
      <c r="AE164" s="235"/>
      <c r="AF164" s="235"/>
      <c r="AG164" s="36"/>
      <c r="AH164" s="36"/>
      <c r="AI164" s="235"/>
      <c r="AJ164" s="235"/>
      <c r="AK164" s="235"/>
      <c r="AL164" s="238">
        <f>HKSw!AB30</f>
        <v>0</v>
      </c>
      <c r="AM164" s="238">
        <f>HKSwa!AB30</f>
        <v>0</v>
      </c>
      <c r="AN164" s="235"/>
      <c r="AO164" s="238">
        <f>HKSt!AB30</f>
        <v>0</v>
      </c>
      <c r="AP164" s="235"/>
      <c r="AQ164" s="238">
        <f>HKXSw!$AD39</f>
        <v>0</v>
      </c>
      <c r="AR164" s="238">
        <f>HKXSwa!AD39</f>
        <v>0</v>
      </c>
      <c r="AS164" s="238">
        <f>HKXSna!AD39</f>
        <v>0</v>
      </c>
      <c r="AT164" s="238">
        <f>HKXSt!AD39</f>
        <v>0</v>
      </c>
      <c r="AU164" s="235"/>
      <c r="AV164" s="235"/>
      <c r="AW164" s="235"/>
      <c r="AX164" s="235"/>
      <c r="AY164" s="235"/>
      <c r="AZ164" s="235"/>
      <c r="BA164" s="235"/>
      <c r="BB164" s="108"/>
      <c r="BC164" s="108"/>
    </row>
    <row r="165" spans="1:55" ht="16.149999999999999" customHeight="1" x14ac:dyDescent="0.2">
      <c r="A165" s="108"/>
      <c r="B165" s="60" t="str">
        <f>CenAVS!A167</f>
        <v xml:space="preserve">prowadnik prosty Expando 8 5mm stal     </v>
      </c>
      <c r="C165" s="60" t="str">
        <f>CenAVS!B167</f>
        <v>177H3100E </v>
      </c>
      <c r="D165" s="60" t="str">
        <f>CenAVS!C167</f>
        <v>NI</v>
      </c>
      <c r="E165" s="536">
        <f>CenAVS!D167</f>
        <v>0</v>
      </c>
      <c r="F165" s="413">
        <f t="shared" si="22"/>
        <v>0</v>
      </c>
      <c r="G165" s="58">
        <f>CenAVS!F167</f>
        <v>1.8724499999999999</v>
      </c>
      <c r="H165" s="104">
        <f t="shared" si="25"/>
        <v>0</v>
      </c>
      <c r="I165" s="65"/>
      <c r="J165" s="59">
        <f>CenAVS!I167</f>
        <v>4787251</v>
      </c>
      <c r="K165" s="59">
        <f>CenAVS!J167</f>
        <v>211476</v>
      </c>
      <c r="L165" s="943">
        <f t="shared" si="23"/>
        <v>0</v>
      </c>
      <c r="M165" s="60">
        <f t="shared" si="24"/>
        <v>0</v>
      </c>
      <c r="N165" s="236"/>
      <c r="O165" s="238">
        <f>HFw!$AB43</f>
        <v>0</v>
      </c>
      <c r="P165" s="238">
        <f>HFwa!$AB43</f>
        <v>0</v>
      </c>
      <c r="Q165" s="238">
        <f>HFw_wa!$AB43</f>
        <v>0</v>
      </c>
      <c r="R165" s="238">
        <f>HFwa_w!$AB43</f>
        <v>0</v>
      </c>
      <c r="S165" s="238">
        <f>HFna!$AB43</f>
        <v>0</v>
      </c>
      <c r="T165" s="238">
        <f>HFw_na!$AB43</f>
        <v>0</v>
      </c>
      <c r="U165" s="238">
        <f>HFna_w!$AB43</f>
        <v>0</v>
      </c>
      <c r="V165" s="236"/>
      <c r="W165" s="235"/>
      <c r="X165" s="235"/>
      <c r="Y165" s="235"/>
      <c r="Z165" s="235"/>
      <c r="AA165" s="235"/>
      <c r="AB165" s="235"/>
      <c r="AC165" s="235"/>
      <c r="AD165" s="235"/>
      <c r="AE165" s="235"/>
      <c r="AF165" s="235"/>
      <c r="AG165" s="36"/>
      <c r="AH165" s="36"/>
      <c r="AI165" s="235"/>
      <c r="AJ165" s="235"/>
      <c r="AK165" s="235"/>
      <c r="AL165" s="238">
        <f>HKSw!AB31</f>
        <v>0</v>
      </c>
      <c r="AM165" s="235"/>
      <c r="AN165" s="235"/>
      <c r="AO165" s="235"/>
      <c r="AP165" s="235"/>
      <c r="AQ165" s="238">
        <f>HKXSw!$AD40</f>
        <v>0</v>
      </c>
      <c r="AR165" s="238">
        <f>HKXSwa!AD40</f>
        <v>0</v>
      </c>
      <c r="AS165" s="238">
        <f>HKXSna!AD40</f>
        <v>0</v>
      </c>
      <c r="AT165" s="238">
        <f>HKXSt!AD40</f>
        <v>0</v>
      </c>
      <c r="AU165" s="235"/>
      <c r="AV165" s="235"/>
      <c r="AW165" s="235"/>
      <c r="AX165" s="235"/>
      <c r="AY165" s="235"/>
      <c r="AZ165" s="235"/>
      <c r="BA165" s="235"/>
      <c r="BB165" s="108"/>
      <c r="BC165" s="108"/>
    </row>
    <row r="166" spans="1:55" ht="16.149999999999999" customHeight="1" x14ac:dyDescent="0.2">
      <c r="A166" s="108"/>
      <c r="B166" s="60">
        <f>CenAVS!A169</f>
        <v>0</v>
      </c>
      <c r="C166" s="60">
        <f>CenAVS!B169</f>
        <v>0</v>
      </c>
      <c r="D166" s="60">
        <f>CenAVS!C169</f>
        <v>0</v>
      </c>
      <c r="E166" s="536">
        <f>CenAVS!D169</f>
        <v>0</v>
      </c>
      <c r="F166" s="413">
        <f t="shared" si="22"/>
        <v>0</v>
      </c>
      <c r="G166" s="58">
        <f>CenAVS!F169</f>
        <v>0</v>
      </c>
      <c r="H166" s="104">
        <f t="shared" si="25"/>
        <v>0</v>
      </c>
      <c r="I166" s="65"/>
      <c r="J166" s="59">
        <f>CenAVS!I169</f>
        <v>0</v>
      </c>
      <c r="K166" s="59">
        <f>CenAVS!J169</f>
        <v>0</v>
      </c>
      <c r="L166" s="943">
        <f t="shared" si="23"/>
        <v>0</v>
      </c>
      <c r="M166" s="60">
        <f t="shared" si="24"/>
        <v>0</v>
      </c>
      <c r="N166" s="236"/>
      <c r="O166" s="236"/>
      <c r="P166" s="236"/>
      <c r="Q166" s="236"/>
      <c r="R166" s="236"/>
      <c r="S166" s="236"/>
      <c r="T166" s="236"/>
      <c r="U166" s="236"/>
      <c r="V166" s="236"/>
      <c r="W166" s="235"/>
      <c r="X166" s="235"/>
      <c r="Y166" s="235"/>
      <c r="Z166" s="235"/>
      <c r="AA166" s="235"/>
      <c r="AB166" s="235"/>
      <c r="AC166" s="235"/>
      <c r="AD166" s="235"/>
      <c r="AE166" s="235"/>
      <c r="AF166" s="235"/>
      <c r="AG166" s="235"/>
      <c r="AH166" s="235"/>
      <c r="AI166" s="235"/>
      <c r="AJ166" s="235"/>
      <c r="AK166" s="235"/>
      <c r="AL166" s="235"/>
      <c r="AM166" s="235"/>
      <c r="AN166" s="235"/>
      <c r="AO166" s="235"/>
      <c r="AP166" s="235"/>
      <c r="AQ166" s="235"/>
      <c r="AR166" s="235"/>
      <c r="AS166" s="235"/>
      <c r="AT166" s="235"/>
      <c r="AU166" s="235"/>
      <c r="AV166" s="235"/>
      <c r="AW166" s="235"/>
      <c r="AX166" s="235"/>
      <c r="AY166" s="235"/>
      <c r="AZ166" s="235"/>
      <c r="BA166" s="235"/>
      <c r="BB166" s="108"/>
      <c r="BC166" s="108"/>
    </row>
    <row r="167" spans="1:55" ht="16.149999999999999" customHeight="1" x14ac:dyDescent="0.2">
      <c r="A167" s="108"/>
      <c r="B167" s="60">
        <f>CenAVS!A184</f>
        <v>0</v>
      </c>
      <c r="C167" s="60">
        <f>CenAVS!B184</f>
        <v>0</v>
      </c>
      <c r="D167" s="60">
        <f>CenAVS!C184</f>
        <v>0</v>
      </c>
      <c r="E167" s="536">
        <f>CenAVS!D184</f>
        <v>0</v>
      </c>
      <c r="F167" s="413">
        <f t="shared" si="22"/>
        <v>0</v>
      </c>
      <c r="G167" s="58">
        <f>CenAVS!F184</f>
        <v>0</v>
      </c>
      <c r="H167" s="104">
        <f t="shared" si="25"/>
        <v>0</v>
      </c>
      <c r="I167" s="65"/>
      <c r="J167" s="59">
        <f>CenAVS!I184</f>
        <v>0</v>
      </c>
      <c r="K167" s="59">
        <f>CenAVS!J184</f>
        <v>0</v>
      </c>
      <c r="L167" s="943">
        <f t="shared" si="23"/>
        <v>0</v>
      </c>
      <c r="M167" s="60">
        <f t="shared" si="24"/>
        <v>0</v>
      </c>
      <c r="N167" s="236"/>
      <c r="O167" s="236"/>
      <c r="P167" s="236"/>
      <c r="Q167" s="236"/>
      <c r="R167" s="236"/>
      <c r="S167" s="236"/>
      <c r="T167" s="236"/>
      <c r="U167" s="236"/>
      <c r="V167" s="236"/>
      <c r="W167" s="235"/>
      <c r="X167" s="235"/>
      <c r="Y167" s="235"/>
      <c r="Z167" s="235"/>
      <c r="AA167" s="235"/>
      <c r="AB167" s="235"/>
      <c r="AC167" s="235"/>
      <c r="AD167" s="235"/>
      <c r="AE167" s="235"/>
      <c r="AF167" s="235"/>
      <c r="AG167" s="235"/>
      <c r="AH167" s="235"/>
      <c r="AI167" s="235"/>
      <c r="AJ167" s="235"/>
      <c r="AK167" s="235"/>
      <c r="AL167" s="235"/>
      <c r="AM167" s="235"/>
      <c r="AN167" s="235"/>
      <c r="AO167" s="235"/>
      <c r="AP167" s="235"/>
      <c r="AQ167" s="235"/>
      <c r="AR167" s="235"/>
      <c r="AS167" s="235"/>
      <c r="AT167" s="235"/>
      <c r="AU167" s="235"/>
      <c r="AV167" s="235"/>
      <c r="AW167" s="235"/>
      <c r="AX167" s="235"/>
      <c r="AY167" s="235"/>
      <c r="AZ167" s="235"/>
      <c r="BA167" s="235"/>
      <c r="BB167" s="108"/>
      <c r="BC167" s="108"/>
    </row>
    <row r="168" spans="1:55" ht="16.149999999999999" customHeight="1" x14ac:dyDescent="0.2">
      <c r="A168" s="108"/>
      <c r="B168" s="60" t="str">
        <f>CenAVS!A185</f>
        <v xml:space="preserve">Tip-on do zawiasu 50mm PG, szary     </v>
      </c>
      <c r="C168" s="60" t="str">
        <f>CenAVS!B185</f>
        <v>956.1004</v>
      </c>
      <c r="D168" s="60" t="str">
        <f>CenAVS!C185</f>
        <v>R7036</v>
      </c>
      <c r="E168" s="536">
        <f>CenAVS!D185</f>
        <v>0</v>
      </c>
      <c r="F168" s="413">
        <f t="shared" si="22"/>
        <v>0</v>
      </c>
      <c r="G168" s="58">
        <f>CenAVS!F185</f>
        <v>12.830769999999999</v>
      </c>
      <c r="H168" s="104">
        <f t="shared" si="25"/>
        <v>0</v>
      </c>
      <c r="I168" s="65"/>
      <c r="J168" s="59">
        <f>CenAVS!I185</f>
        <v>9638374</v>
      </c>
      <c r="K168" s="59">
        <f>CenAVS!J185</f>
        <v>250827</v>
      </c>
      <c r="L168" s="943">
        <f t="shared" si="23"/>
        <v>0</v>
      </c>
      <c r="M168" s="60">
        <f t="shared" si="24"/>
        <v>0</v>
      </c>
      <c r="N168" s="236"/>
      <c r="O168" s="236"/>
      <c r="P168" s="236"/>
      <c r="Q168" s="236"/>
      <c r="R168" s="236"/>
      <c r="S168" s="236"/>
      <c r="T168" s="236"/>
      <c r="U168" s="236"/>
      <c r="V168" s="236"/>
      <c r="W168" s="235"/>
      <c r="X168" s="235"/>
      <c r="Y168" s="235"/>
      <c r="Z168" s="235"/>
      <c r="AA168" s="235"/>
      <c r="AB168" s="235"/>
      <c r="AC168" s="235"/>
      <c r="AD168" s="235"/>
      <c r="AE168" s="235"/>
      <c r="AF168" s="235"/>
      <c r="AG168" s="238">
        <f>HKw!$AB38</f>
        <v>0</v>
      </c>
      <c r="AH168" s="238">
        <f>HKwa!$AB38</f>
        <v>0</v>
      </c>
      <c r="AI168" s="238">
        <f>HKna!$AB38</f>
        <v>0</v>
      </c>
      <c r="AJ168" s="238">
        <f>HKt!$AB38</f>
        <v>0</v>
      </c>
      <c r="AK168" s="235"/>
      <c r="AL168" s="238">
        <f>HKSw!$AB35</f>
        <v>0</v>
      </c>
      <c r="AM168" s="238">
        <f>HKSwa!$AB35</f>
        <v>0</v>
      </c>
      <c r="AN168" s="238">
        <f>HKSna!$AB35</f>
        <v>0</v>
      </c>
      <c r="AO168" s="238">
        <f>HKSt!$AB35</f>
        <v>0</v>
      </c>
      <c r="AP168" s="235"/>
      <c r="AQ168" s="238">
        <f>HKXSw!$AD42</f>
        <v>0</v>
      </c>
      <c r="AR168" s="238">
        <f>HKXSwa!$AD42</f>
        <v>0</v>
      </c>
      <c r="AS168" s="238">
        <f>HKXSna!$AD42</f>
        <v>0</v>
      </c>
      <c r="AT168" s="238">
        <f>HKXSt!$AD42</f>
        <v>0</v>
      </c>
      <c r="AU168" s="235"/>
      <c r="AV168" s="238">
        <f>HKiw!AB38</f>
        <v>0</v>
      </c>
      <c r="AW168" s="238">
        <f>HKiwa!AB38</f>
        <v>0</v>
      </c>
      <c r="AX168" s="238">
        <f>HKina!AB38</f>
        <v>0</v>
      </c>
      <c r="AY168" s="235"/>
      <c r="AZ168" s="238">
        <f>AcsAVS!J37</f>
        <v>0</v>
      </c>
      <c r="BA168" s="235"/>
      <c r="BB168" s="108"/>
      <c r="BC168" s="108"/>
    </row>
    <row r="169" spans="1:55" ht="16.149999999999999" customHeight="1" x14ac:dyDescent="0.2">
      <c r="A169" s="108"/>
      <c r="B169" s="60" t="str">
        <f>CenAVS!A186</f>
        <v xml:space="preserve">Tip-on do zawiasu 50mm SW, biały     </v>
      </c>
      <c r="C169" s="60" t="str">
        <f>CenAVS!B186</f>
        <v>956.1004</v>
      </c>
      <c r="D169" s="60" t="str">
        <f>CenAVS!C186</f>
        <v>SW</v>
      </c>
      <c r="E169" s="536">
        <f>CenAVS!D186</f>
        <v>0</v>
      </c>
      <c r="F169" s="413">
        <f t="shared" si="22"/>
        <v>0</v>
      </c>
      <c r="G169" s="58">
        <f>CenAVS!F186</f>
        <v>12.830769999999999</v>
      </c>
      <c r="H169" s="104">
        <f t="shared" si="25"/>
        <v>0</v>
      </c>
      <c r="I169" s="65"/>
      <c r="J169" s="59">
        <f>CenAVS!I186</f>
        <v>5425480</v>
      </c>
      <c r="K169" s="59">
        <f>CenAVS!J186</f>
        <v>250826</v>
      </c>
      <c r="L169" s="943">
        <f t="shared" si="23"/>
        <v>0</v>
      </c>
      <c r="M169" s="60">
        <f t="shared" si="24"/>
        <v>0</v>
      </c>
      <c r="N169" s="236"/>
      <c r="O169" s="236"/>
      <c r="P169" s="236"/>
      <c r="Q169" s="236"/>
      <c r="R169" s="236"/>
      <c r="S169" s="236"/>
      <c r="T169" s="236"/>
      <c r="U169" s="236"/>
      <c r="V169" s="236"/>
      <c r="W169" s="235"/>
      <c r="X169" s="235"/>
      <c r="Y169" s="235"/>
      <c r="Z169" s="235"/>
      <c r="AA169" s="235"/>
      <c r="AB169" s="235"/>
      <c r="AC169" s="235"/>
      <c r="AD169" s="235"/>
      <c r="AE169" s="235"/>
      <c r="AF169" s="235"/>
      <c r="AG169" s="238">
        <f>HKw!$AB39</f>
        <v>0</v>
      </c>
      <c r="AH169" s="238">
        <f>HKwa!$AB39</f>
        <v>0</v>
      </c>
      <c r="AI169" s="238">
        <f>HKna!$AB39</f>
        <v>0</v>
      </c>
      <c r="AJ169" s="238">
        <f>HKt!$AB39</f>
        <v>0</v>
      </c>
      <c r="AK169" s="235"/>
      <c r="AL169" s="238">
        <f>HKSw!$AB36</f>
        <v>0</v>
      </c>
      <c r="AM169" s="238">
        <f>HKSwa!$AB36</f>
        <v>0</v>
      </c>
      <c r="AN169" s="238">
        <f>HKSna!$AB36</f>
        <v>0</v>
      </c>
      <c r="AO169" s="238">
        <f>HKSt!$AB36</f>
        <v>0</v>
      </c>
      <c r="AP169" s="235"/>
      <c r="AQ169" s="238">
        <f>HKXSw!$AD43</f>
        <v>0</v>
      </c>
      <c r="AR169" s="238">
        <f>HKXSwa!$AD43</f>
        <v>0</v>
      </c>
      <c r="AS169" s="238">
        <f>HKXSna!$AD43</f>
        <v>0</v>
      </c>
      <c r="AT169" s="238">
        <f>HKXSt!$AD43</f>
        <v>0</v>
      </c>
      <c r="AU169" s="235"/>
      <c r="AV169" s="238">
        <f>HKiw!AB39</f>
        <v>0</v>
      </c>
      <c r="AW169" s="238">
        <f>HKiwa!AB39</f>
        <v>0</v>
      </c>
      <c r="AX169" s="238">
        <f>HKina!AB39</f>
        <v>0</v>
      </c>
      <c r="AY169" s="235"/>
      <c r="AZ169" s="238">
        <f>AcsAVS!J38</f>
        <v>0</v>
      </c>
      <c r="BA169" s="235"/>
      <c r="BB169" s="108"/>
      <c r="BC169" s="108"/>
    </row>
    <row r="170" spans="1:55" ht="16.149999999999999" customHeight="1" x14ac:dyDescent="0.2">
      <c r="A170" s="108"/>
      <c r="B170" s="60" t="str">
        <f>CenAVS!A187</f>
        <v xml:space="preserve">Tip-on do zawiasu krótki 50mm z magnesem,komplet, karbon czarny CS </v>
      </c>
      <c r="C170" s="60" t="str">
        <f>CenAVS!B187</f>
        <v>956.1004</v>
      </c>
      <c r="D170" s="60" t="str">
        <f>CenAVS!C187</f>
        <v>CS</v>
      </c>
      <c r="E170" s="536">
        <f>CenAVS!D187</f>
        <v>0</v>
      </c>
      <c r="F170" s="413">
        <f t="shared" si="22"/>
        <v>0</v>
      </c>
      <c r="G170" s="58">
        <f>CenAVS!F187</f>
        <v>12.830769999999999</v>
      </c>
      <c r="H170" s="104">
        <f t="shared" si="25"/>
        <v>0</v>
      </c>
      <c r="I170" s="65"/>
      <c r="J170" s="59">
        <f>CenAVS!I187</f>
        <v>8847603</v>
      </c>
      <c r="K170" s="59">
        <f>CenAVS!J187</f>
        <v>497006</v>
      </c>
      <c r="L170" s="943">
        <f t="shared" si="23"/>
        <v>0</v>
      </c>
      <c r="M170" s="60">
        <f t="shared" si="24"/>
        <v>0</v>
      </c>
      <c r="N170" s="236"/>
      <c r="O170" s="236"/>
      <c r="P170" s="236"/>
      <c r="Q170" s="236"/>
      <c r="R170" s="236"/>
      <c r="S170" s="236"/>
      <c r="T170" s="236"/>
      <c r="U170" s="236"/>
      <c r="V170" s="236"/>
      <c r="W170" s="235"/>
      <c r="X170" s="235"/>
      <c r="Y170" s="235"/>
      <c r="Z170" s="235"/>
      <c r="AA170" s="235"/>
      <c r="AB170" s="235"/>
      <c r="AC170" s="235"/>
      <c r="AD170" s="235"/>
      <c r="AE170" s="235"/>
      <c r="AF170" s="235"/>
      <c r="AG170" s="235"/>
      <c r="AH170" s="235"/>
      <c r="AI170" s="235"/>
      <c r="AJ170" s="235"/>
      <c r="AK170" s="235"/>
      <c r="AL170" s="235"/>
      <c r="AM170" s="235"/>
      <c r="AN170" s="235"/>
      <c r="AO170" s="235"/>
      <c r="AP170" s="235"/>
      <c r="AQ170" s="235"/>
      <c r="AR170" s="235"/>
      <c r="AS170" s="235"/>
      <c r="AT170" s="235"/>
      <c r="AU170" s="235"/>
      <c r="AV170" s="238">
        <f>HKiw!AB40</f>
        <v>0</v>
      </c>
      <c r="AW170" s="238">
        <f>HKiwa!AB40</f>
        <v>0</v>
      </c>
      <c r="AX170" s="238">
        <f>HKina!AB40</f>
        <v>0</v>
      </c>
      <c r="AY170" s="235"/>
      <c r="AZ170" s="238">
        <f>AcsAVS!J39</f>
        <v>0</v>
      </c>
      <c r="BA170" s="235"/>
      <c r="BB170" s="108"/>
      <c r="BC170" s="108"/>
    </row>
    <row r="171" spans="1:55" ht="16.149999999999999" customHeight="1" x14ac:dyDescent="0.2">
      <c r="A171" s="108"/>
      <c r="B171" s="60" t="str">
        <f>CenAVS!A188</f>
        <v xml:space="preserve">Tip-on do zawiasu 76mm, PG, szary     </v>
      </c>
      <c r="C171" s="60" t="str">
        <f>CenAVS!B188</f>
        <v>956A1004</v>
      </c>
      <c r="D171" s="60" t="str">
        <f>CenAVS!C188</f>
        <v>R7036</v>
      </c>
      <c r="E171" s="536">
        <f>CenAVS!D188</f>
        <v>0</v>
      </c>
      <c r="F171" s="413">
        <f t="shared" si="22"/>
        <v>0</v>
      </c>
      <c r="G171" s="58">
        <f>CenAVS!F188</f>
        <v>16.100000000000001</v>
      </c>
      <c r="H171" s="104">
        <f t="shared" si="25"/>
        <v>0</v>
      </c>
      <c r="I171" s="65"/>
      <c r="J171" s="59">
        <f>CenAVS!I188</f>
        <v>3156257</v>
      </c>
      <c r="K171" s="59">
        <f>CenAVS!J188</f>
        <v>250833</v>
      </c>
      <c r="L171" s="943">
        <f t="shared" si="23"/>
        <v>0</v>
      </c>
      <c r="M171" s="60">
        <f t="shared" si="24"/>
        <v>0</v>
      </c>
      <c r="N171" s="236"/>
      <c r="O171" s="236"/>
      <c r="P171" s="236"/>
      <c r="Q171" s="236"/>
      <c r="R171" s="236"/>
      <c r="S171" s="236"/>
      <c r="T171" s="236"/>
      <c r="U171" s="236"/>
      <c r="V171" s="236"/>
      <c r="W171" s="235"/>
      <c r="X171" s="235"/>
      <c r="Y171" s="235"/>
      <c r="Z171" s="235"/>
      <c r="AA171" s="235"/>
      <c r="AB171" s="235"/>
      <c r="AC171" s="235"/>
      <c r="AD171" s="235"/>
      <c r="AE171" s="235"/>
      <c r="AF171" s="235"/>
      <c r="AG171" s="238">
        <f>HKw!$AB41</f>
        <v>0</v>
      </c>
      <c r="AH171" s="238">
        <f>HKwa!$AB41</f>
        <v>0</v>
      </c>
      <c r="AI171" s="238">
        <f>HKna!$AB41</f>
        <v>0</v>
      </c>
      <c r="AJ171" s="238">
        <f>HKt!$AB41</f>
        <v>0</v>
      </c>
      <c r="AK171" s="235"/>
      <c r="AL171" s="235"/>
      <c r="AM171" s="235"/>
      <c r="AN171" s="235"/>
      <c r="AO171" s="235"/>
      <c r="AP171" s="235"/>
      <c r="AQ171" s="235"/>
      <c r="AR171" s="235"/>
      <c r="AS171" s="235"/>
      <c r="AT171" s="235"/>
      <c r="AU171" s="235"/>
      <c r="AV171" s="235"/>
      <c r="AW171" s="235"/>
      <c r="AX171" s="235"/>
      <c r="AY171" s="235"/>
      <c r="AZ171" s="238">
        <f>AcsAVS!J40</f>
        <v>0</v>
      </c>
      <c r="BA171" s="235"/>
      <c r="BB171" s="108"/>
      <c r="BC171" s="108"/>
    </row>
    <row r="172" spans="1:55" ht="16.149999999999999" customHeight="1" x14ac:dyDescent="0.2">
      <c r="A172" s="108"/>
      <c r="B172" s="60" t="str">
        <f>CenAVS!A189</f>
        <v xml:space="preserve">Tip-on do zawiasu 76mm, SW, biały     </v>
      </c>
      <c r="C172" s="60" t="str">
        <f>CenAVS!B189</f>
        <v>956A1004</v>
      </c>
      <c r="D172" s="60" t="str">
        <f>CenAVS!C189</f>
        <v>WA</v>
      </c>
      <c r="E172" s="536">
        <f>CenAVS!D189</f>
        <v>0</v>
      </c>
      <c r="F172" s="413">
        <f t="shared" si="22"/>
        <v>0</v>
      </c>
      <c r="G172" s="58">
        <f>CenAVS!F189</f>
        <v>16.100000000000001</v>
      </c>
      <c r="H172" s="104">
        <f t="shared" si="25"/>
        <v>0</v>
      </c>
      <c r="I172" s="65"/>
      <c r="J172" s="59">
        <f>CenAVS!I189</f>
        <v>7156066</v>
      </c>
      <c r="K172" s="59">
        <f>CenAVS!J189</f>
        <v>250831</v>
      </c>
      <c r="L172" s="943">
        <f t="shared" si="23"/>
        <v>0</v>
      </c>
      <c r="M172" s="60">
        <f t="shared" si="24"/>
        <v>0</v>
      </c>
      <c r="N172" s="236"/>
      <c r="O172" s="236"/>
      <c r="P172" s="236"/>
      <c r="Q172" s="236"/>
      <c r="R172" s="236"/>
      <c r="S172" s="236"/>
      <c r="T172" s="236"/>
      <c r="U172" s="236"/>
      <c r="V172" s="236"/>
      <c r="W172" s="235"/>
      <c r="X172" s="235"/>
      <c r="Y172" s="235"/>
      <c r="Z172" s="235"/>
      <c r="AA172" s="235"/>
      <c r="AB172" s="235"/>
      <c r="AC172" s="235"/>
      <c r="AD172" s="235"/>
      <c r="AE172" s="235"/>
      <c r="AF172" s="235"/>
      <c r="AG172" s="238">
        <f>HKw!$AB42</f>
        <v>0</v>
      </c>
      <c r="AH172" s="238">
        <f>HKwa!$AB42</f>
        <v>0</v>
      </c>
      <c r="AI172" s="238">
        <f>HKna!$AB42</f>
        <v>0</v>
      </c>
      <c r="AJ172" s="238">
        <f>HKt!$AB42</f>
        <v>0</v>
      </c>
      <c r="AK172" s="235"/>
      <c r="AL172" s="235"/>
      <c r="AM172" s="235"/>
      <c r="AN172" s="235"/>
      <c r="AO172" s="235"/>
      <c r="AP172" s="235"/>
      <c r="AQ172" s="235"/>
      <c r="AR172" s="235"/>
      <c r="AS172" s="235"/>
      <c r="AT172" s="235"/>
      <c r="AU172" s="235"/>
      <c r="AV172" s="235"/>
      <c r="AW172" s="235"/>
      <c r="AX172" s="235"/>
      <c r="AY172" s="235"/>
      <c r="AZ172" s="238">
        <f>AcsAVS!J41</f>
        <v>0</v>
      </c>
      <c r="BA172" s="235"/>
      <c r="BB172" s="108"/>
      <c r="BC172" s="108"/>
    </row>
    <row r="173" spans="1:55" ht="16.149999999999999" customHeight="1" x14ac:dyDescent="0.2">
      <c r="A173" s="108"/>
      <c r="B173" s="60" t="str">
        <f>CenAVS!A190</f>
        <v>Tip-on do zawiasu długi 76mm z magnesem, komplet, karbon czarny CS</v>
      </c>
      <c r="C173" s="60" t="str">
        <f>CenAVS!B190</f>
        <v>956A1004</v>
      </c>
      <c r="D173" s="60" t="str">
        <f>CenAVS!C190</f>
        <v>CS</v>
      </c>
      <c r="E173" s="536">
        <f>CenAVS!D190</f>
        <v>0</v>
      </c>
      <c r="F173" s="413">
        <f t="shared" si="22"/>
        <v>0</v>
      </c>
      <c r="G173" s="58">
        <f>CenAVS!F190</f>
        <v>16.100000000000001</v>
      </c>
      <c r="H173" s="104">
        <f t="shared" si="25"/>
        <v>0</v>
      </c>
      <c r="I173" s="65"/>
      <c r="J173" s="59">
        <f>CenAVS!I190</f>
        <v>4284886</v>
      </c>
      <c r="K173" s="59">
        <f>CenAVS!J190</f>
        <v>497007</v>
      </c>
      <c r="L173" s="943">
        <f t="shared" si="23"/>
        <v>0</v>
      </c>
      <c r="M173" s="60">
        <f t="shared" si="24"/>
        <v>0</v>
      </c>
      <c r="N173" s="236"/>
      <c r="O173" s="236"/>
      <c r="P173" s="236"/>
      <c r="Q173" s="236"/>
      <c r="R173" s="236"/>
      <c r="S173" s="236"/>
      <c r="T173" s="236"/>
      <c r="U173" s="236"/>
      <c r="V173" s="236"/>
      <c r="W173" s="235"/>
      <c r="X173" s="235"/>
      <c r="Y173" s="235"/>
      <c r="Z173" s="235"/>
      <c r="AA173" s="235"/>
      <c r="AB173" s="235"/>
      <c r="AC173" s="235"/>
      <c r="AD173" s="235"/>
      <c r="AE173" s="235"/>
      <c r="AF173" s="235"/>
      <c r="AG173" s="235"/>
      <c r="AH173" s="235"/>
      <c r="AI173" s="235"/>
      <c r="AJ173" s="235"/>
      <c r="AK173" s="235"/>
      <c r="AL173" s="235"/>
      <c r="AM173" s="235"/>
      <c r="AN173" s="235"/>
      <c r="AO173" s="235"/>
      <c r="AP173" s="235"/>
      <c r="AQ173" s="235"/>
      <c r="AR173" s="235"/>
      <c r="AS173" s="235"/>
      <c r="AT173" s="235"/>
      <c r="AU173" s="235"/>
      <c r="AV173" s="235"/>
      <c r="AW173" s="235"/>
      <c r="AX173" s="235"/>
      <c r="AY173" s="235"/>
      <c r="AZ173" s="238">
        <f>AcsAVS!J42</f>
        <v>0</v>
      </c>
      <c r="BA173" s="235"/>
      <c r="BB173" s="108"/>
      <c r="BC173" s="108"/>
    </row>
    <row r="174" spans="1:55" ht="16.149999999999999" customHeight="1" x14ac:dyDescent="0.2">
      <c r="A174" s="108"/>
      <c r="B174" s="60" t="str">
        <f>CenAVS!A191</f>
        <v xml:space="preserve">Tip-on adapter prosty 50mm, szary      </v>
      </c>
      <c r="C174" s="60" t="str">
        <f>CenAVS!B191</f>
        <v>956.1201</v>
      </c>
      <c r="D174" s="60" t="str">
        <f>CenAVS!C191</f>
        <v>R7036</v>
      </c>
      <c r="E174" s="536">
        <f>CenAVS!D191</f>
        <v>0</v>
      </c>
      <c r="F174" s="413">
        <f t="shared" si="22"/>
        <v>0</v>
      </c>
      <c r="G174" s="58">
        <f>CenAVS!F191</f>
        <v>2.8605800000000001</v>
      </c>
      <c r="H174" s="104">
        <f>M174</f>
        <v>0</v>
      </c>
      <c r="I174" s="65"/>
      <c r="J174" s="59">
        <f>CenAVS!I191</f>
        <v>3913370</v>
      </c>
      <c r="K174" s="59">
        <f>CenAVS!J191</f>
        <v>250839</v>
      </c>
      <c r="L174" s="943">
        <f>IF(I174="x",0,IF(I174&gt;0,I174,F174))</f>
        <v>0</v>
      </c>
      <c r="M174" s="60">
        <f>PRODUCT(L174,G174)</f>
        <v>0</v>
      </c>
      <c r="N174" s="236"/>
      <c r="O174" s="236"/>
      <c r="P174" s="236"/>
      <c r="Q174" s="236"/>
      <c r="R174" s="236"/>
      <c r="S174" s="236"/>
      <c r="T174" s="236"/>
      <c r="U174" s="236"/>
      <c r="V174" s="236"/>
      <c r="W174" s="235"/>
      <c r="X174" s="235"/>
      <c r="Y174" s="235"/>
      <c r="Z174" s="235"/>
      <c r="AA174" s="235"/>
      <c r="AB174" s="235"/>
      <c r="AC174" s="235"/>
      <c r="AD174" s="235"/>
      <c r="AE174" s="235"/>
      <c r="AF174" s="235"/>
      <c r="AG174" s="235"/>
      <c r="AH174" s="235"/>
      <c r="AI174" s="235"/>
      <c r="AJ174" s="235"/>
      <c r="AK174" s="235"/>
      <c r="AL174" s="235"/>
      <c r="AM174" s="235"/>
      <c r="AN174" s="235"/>
      <c r="AO174" s="235"/>
      <c r="AP174" s="235"/>
      <c r="AQ174" s="235"/>
      <c r="AR174" s="235"/>
      <c r="AS174" s="235"/>
      <c r="AT174" s="235"/>
      <c r="AU174" s="235"/>
      <c r="AV174" s="235"/>
      <c r="AW174" s="235"/>
      <c r="AX174" s="235"/>
      <c r="AY174" s="235"/>
      <c r="AZ174" s="238">
        <f>AcsAVS!J43</f>
        <v>0</v>
      </c>
      <c r="BA174" s="235"/>
      <c r="BB174" s="108"/>
      <c r="BC174" s="108"/>
    </row>
    <row r="175" spans="1:55" ht="16.149999999999999" customHeight="1" x14ac:dyDescent="0.2">
      <c r="A175" s="108"/>
      <c r="B175" s="60" t="str">
        <f>CenAVS!A192</f>
        <v xml:space="preserve">Tip-on adapter prosty, 50mm, biały      </v>
      </c>
      <c r="C175" s="60" t="str">
        <f>CenAVS!B192</f>
        <v>956.1201</v>
      </c>
      <c r="D175" s="60" t="str">
        <f>CenAVS!C192</f>
        <v>SW</v>
      </c>
      <c r="E175" s="536">
        <f>CenAVS!D192</f>
        <v>0</v>
      </c>
      <c r="F175" s="413">
        <f t="shared" si="22"/>
        <v>0</v>
      </c>
      <c r="G175" s="58">
        <f>CenAVS!F192</f>
        <v>2.8605800000000001</v>
      </c>
      <c r="H175" s="104">
        <f>M175</f>
        <v>0</v>
      </c>
      <c r="I175" s="65"/>
      <c r="J175" s="59">
        <f>CenAVS!I192</f>
        <v>2988448</v>
      </c>
      <c r="K175" s="59">
        <f>CenAVS!J192</f>
        <v>250838</v>
      </c>
      <c r="L175" s="943">
        <f>IF(I175="x",0,IF(I175&gt;0,I175,F175))</f>
        <v>0</v>
      </c>
      <c r="M175" s="60">
        <f>PRODUCT(L175,G175)</f>
        <v>0</v>
      </c>
      <c r="N175" s="236"/>
      <c r="O175" s="236"/>
      <c r="P175" s="236"/>
      <c r="Q175" s="236"/>
      <c r="R175" s="236"/>
      <c r="S175" s="236"/>
      <c r="T175" s="236"/>
      <c r="U175" s="236"/>
      <c r="V175" s="236"/>
      <c r="W175" s="235"/>
      <c r="X175" s="235"/>
      <c r="Y175" s="235"/>
      <c r="Z175" s="235"/>
      <c r="AA175" s="235"/>
      <c r="AB175" s="235"/>
      <c r="AC175" s="235"/>
      <c r="AD175" s="235"/>
      <c r="AE175" s="235"/>
      <c r="AF175" s="235"/>
      <c r="AG175" s="235"/>
      <c r="AH175" s="235"/>
      <c r="AI175" s="235"/>
      <c r="AJ175" s="235"/>
      <c r="AK175" s="235"/>
      <c r="AL175" s="235"/>
      <c r="AM175" s="235"/>
      <c r="AN175" s="235"/>
      <c r="AO175" s="235"/>
      <c r="AP175" s="235"/>
      <c r="AQ175" s="235"/>
      <c r="AR175" s="235"/>
      <c r="AS175" s="235"/>
      <c r="AT175" s="235"/>
      <c r="AU175" s="235"/>
      <c r="AV175" s="235"/>
      <c r="AW175" s="235"/>
      <c r="AX175" s="235"/>
      <c r="AY175" s="235"/>
      <c r="AZ175" s="238">
        <f>AcsAVS!J44</f>
        <v>0</v>
      </c>
      <c r="BA175" s="235"/>
      <c r="BB175" s="108"/>
      <c r="BC175" s="108"/>
    </row>
    <row r="176" spans="1:55" ht="16.149999999999999" customHeight="1" x14ac:dyDescent="0.2">
      <c r="A176" s="108"/>
      <c r="B176" s="60" t="str">
        <f>CenAVS!A193</f>
        <v xml:space="preserve">adapter prosty do Tip-on krótki, wkręt, karbon czarny CS  </v>
      </c>
      <c r="C176" s="60" t="str">
        <f>CenAVS!B193</f>
        <v>956.1201</v>
      </c>
      <c r="D176" s="60" t="str">
        <f>CenAVS!C193</f>
        <v>CS</v>
      </c>
      <c r="E176" s="536">
        <f>CenAVS!D193</f>
        <v>0</v>
      </c>
      <c r="F176" s="413">
        <f t="shared" ref="F176:F192" si="26">IF(I176&gt;0,I176,SUM(O176:BA176))</f>
        <v>0</v>
      </c>
      <c r="G176" s="58">
        <f>CenAVS!F193</f>
        <v>3.1715599999999999</v>
      </c>
      <c r="H176" s="104">
        <f>M176</f>
        <v>0</v>
      </c>
      <c r="I176" s="65"/>
      <c r="J176" s="59">
        <f>CenAVS!I193</f>
        <v>8711715</v>
      </c>
      <c r="K176" s="59">
        <f>CenAVS!J193</f>
        <v>497009</v>
      </c>
      <c r="L176" s="943">
        <f>IF(I176="x",0,IF(I176&gt;0,I176,F176))</f>
        <v>0</v>
      </c>
      <c r="M176" s="60">
        <f>PRODUCT(L176,G176)</f>
        <v>0</v>
      </c>
      <c r="N176" s="236"/>
      <c r="O176" s="236"/>
      <c r="P176" s="236"/>
      <c r="Q176" s="236"/>
      <c r="R176" s="236"/>
      <c r="S176" s="236"/>
      <c r="T176" s="236"/>
      <c r="U176" s="236"/>
      <c r="V176" s="236"/>
      <c r="W176" s="235"/>
      <c r="X176" s="235"/>
      <c r="Y176" s="235"/>
      <c r="Z176" s="235"/>
      <c r="AA176" s="235"/>
      <c r="AB176" s="235"/>
      <c r="AC176" s="235"/>
      <c r="AD176" s="235"/>
      <c r="AE176" s="235"/>
      <c r="AF176" s="235"/>
      <c r="AG176" s="235"/>
      <c r="AH176" s="235"/>
      <c r="AI176" s="235"/>
      <c r="AJ176" s="235"/>
      <c r="AK176" s="235"/>
      <c r="AL176" s="235"/>
      <c r="AM176" s="235"/>
      <c r="AN176" s="235"/>
      <c r="AO176" s="235"/>
      <c r="AP176" s="235"/>
      <c r="AQ176" s="235"/>
      <c r="AR176" s="235"/>
      <c r="AS176" s="235"/>
      <c r="AT176" s="235"/>
      <c r="AU176" s="235"/>
      <c r="AV176" s="235"/>
      <c r="AW176" s="235"/>
      <c r="AX176" s="235"/>
      <c r="AY176" s="235"/>
      <c r="AZ176" s="238">
        <f>AcsAVS!J45</f>
        <v>0</v>
      </c>
      <c r="BA176" s="235"/>
      <c r="BB176" s="108"/>
      <c r="BC176" s="108"/>
    </row>
    <row r="177" spans="1:55" ht="16.149999999999999" customHeight="1" x14ac:dyDescent="0.2">
      <c r="A177" s="108"/>
      <c r="B177" s="60" t="str">
        <f>CenAVS!A194</f>
        <v xml:space="preserve">Tip-on adapter prosty, 76mm, szary      </v>
      </c>
      <c r="C177" s="60" t="str">
        <f>CenAVS!B194</f>
        <v>956A1201</v>
      </c>
      <c r="D177" s="60" t="str">
        <f>CenAVS!C194</f>
        <v>R7036</v>
      </c>
      <c r="E177" s="536">
        <f>CenAVS!D194</f>
        <v>0</v>
      </c>
      <c r="F177" s="413">
        <f t="shared" si="26"/>
        <v>0</v>
      </c>
      <c r="G177" s="58">
        <f>CenAVS!F194</f>
        <v>2.8605800000000001</v>
      </c>
      <c r="H177" s="104">
        <f t="shared" si="25"/>
        <v>0</v>
      </c>
      <c r="I177" s="65"/>
      <c r="J177" s="59">
        <f>CenAVS!I194</f>
        <v>1743112</v>
      </c>
      <c r="K177" s="59">
        <f>CenAVS!J194</f>
        <v>250842</v>
      </c>
      <c r="L177" s="943">
        <f t="shared" si="23"/>
        <v>0</v>
      </c>
      <c r="M177" s="60">
        <f t="shared" si="24"/>
        <v>0</v>
      </c>
      <c r="N177" s="236"/>
      <c r="O177" s="236"/>
      <c r="P177" s="236"/>
      <c r="Q177" s="236"/>
      <c r="R177" s="236"/>
      <c r="S177" s="236"/>
      <c r="T177" s="236"/>
      <c r="U177" s="236"/>
      <c r="V177" s="236"/>
      <c r="W177" s="235"/>
      <c r="X177" s="235"/>
      <c r="Y177" s="235"/>
      <c r="Z177" s="235"/>
      <c r="AA177" s="235"/>
      <c r="AB177" s="235"/>
      <c r="AC177" s="235"/>
      <c r="AD177" s="235"/>
      <c r="AE177" s="235"/>
      <c r="AF177" s="235"/>
      <c r="AG177" s="235"/>
      <c r="AH177" s="235"/>
      <c r="AI177" s="235"/>
      <c r="AJ177" s="235"/>
      <c r="AK177" s="235"/>
      <c r="AL177" s="235"/>
      <c r="AM177" s="235"/>
      <c r="AN177" s="235"/>
      <c r="AO177" s="235"/>
      <c r="AP177" s="235"/>
      <c r="AQ177" s="235"/>
      <c r="AR177" s="235"/>
      <c r="AS177" s="235"/>
      <c r="AT177" s="235"/>
      <c r="AU177" s="235"/>
      <c r="AV177" s="235"/>
      <c r="AW177" s="235"/>
      <c r="AX177" s="235"/>
      <c r="AY177" s="235"/>
      <c r="AZ177" s="238">
        <f>AcsAVS!J46</f>
        <v>0</v>
      </c>
      <c r="BA177" s="235"/>
      <c r="BB177" s="108"/>
      <c r="BC177" s="108"/>
    </row>
    <row r="178" spans="1:55" ht="16.149999999999999" customHeight="1" x14ac:dyDescent="0.2">
      <c r="A178" s="108"/>
      <c r="B178" s="60" t="str">
        <f>CenAVS!A195</f>
        <v xml:space="preserve">Tip-on adapter prosty, 76mm, biały      </v>
      </c>
      <c r="C178" s="60" t="str">
        <f>CenAVS!B195</f>
        <v>956A1201</v>
      </c>
      <c r="D178" s="60" t="str">
        <f>CenAVS!C195</f>
        <v>WA</v>
      </c>
      <c r="E178" s="536">
        <f>CenAVS!D195</f>
        <v>0</v>
      </c>
      <c r="F178" s="413">
        <f t="shared" si="26"/>
        <v>0</v>
      </c>
      <c r="G178" s="58">
        <f>CenAVS!F195</f>
        <v>2.8605800000000001</v>
      </c>
      <c r="H178" s="104">
        <f t="shared" si="25"/>
        <v>0</v>
      </c>
      <c r="I178" s="65"/>
      <c r="J178" s="59">
        <f>CenAVS!I195</f>
        <v>3880106</v>
      </c>
      <c r="K178" s="59">
        <f>CenAVS!J195</f>
        <v>250841</v>
      </c>
      <c r="L178" s="943">
        <f t="shared" si="23"/>
        <v>0</v>
      </c>
      <c r="M178" s="60">
        <f t="shared" si="24"/>
        <v>0</v>
      </c>
      <c r="N178" s="236"/>
      <c r="O178" s="236"/>
      <c r="P178" s="236"/>
      <c r="Q178" s="236"/>
      <c r="R178" s="236"/>
      <c r="S178" s="236"/>
      <c r="T178" s="236"/>
      <c r="U178" s="236"/>
      <c r="V178" s="236"/>
      <c r="W178" s="235"/>
      <c r="X178" s="235"/>
      <c r="Y178" s="235"/>
      <c r="Z178" s="235"/>
      <c r="AA178" s="235"/>
      <c r="AB178" s="235"/>
      <c r="AC178" s="235"/>
      <c r="AD178" s="235"/>
      <c r="AE178" s="235"/>
      <c r="AF178" s="235"/>
      <c r="AG178" s="235"/>
      <c r="AH178" s="235"/>
      <c r="AI178" s="235"/>
      <c r="AJ178" s="235"/>
      <c r="AK178" s="235"/>
      <c r="AL178" s="235"/>
      <c r="AM178" s="235"/>
      <c r="AN178" s="235"/>
      <c r="AO178" s="235"/>
      <c r="AP178" s="235"/>
      <c r="AQ178" s="235"/>
      <c r="AR178" s="235"/>
      <c r="AS178" s="235"/>
      <c r="AT178" s="235"/>
      <c r="AU178" s="235"/>
      <c r="AV178" s="235"/>
      <c r="AW178" s="235"/>
      <c r="AX178" s="235"/>
      <c r="AY178" s="235"/>
      <c r="AZ178" s="238">
        <f>AcsAVS!J47</f>
        <v>0</v>
      </c>
      <c r="BA178" s="235"/>
      <c r="BB178" s="108"/>
      <c r="BC178" s="108"/>
    </row>
    <row r="179" spans="1:55" ht="16.149999999999999" customHeight="1" x14ac:dyDescent="0.2">
      <c r="A179" s="108"/>
      <c r="B179" s="60" t="str">
        <f>CenAVS!A196</f>
        <v xml:space="preserve">adapter prosty do Tip-on długi, wkręt, karbon czarny CS  </v>
      </c>
      <c r="C179" s="60" t="str">
        <f>CenAVS!B196</f>
        <v>956A1201</v>
      </c>
      <c r="D179" s="60" t="str">
        <f>CenAVS!C196</f>
        <v>CS</v>
      </c>
      <c r="E179" s="536">
        <f>CenAVS!D196</f>
        <v>0</v>
      </c>
      <c r="F179" s="413">
        <f t="shared" si="26"/>
        <v>0</v>
      </c>
      <c r="G179" s="58">
        <f>CenAVS!F196</f>
        <v>3.1715599999999999</v>
      </c>
      <c r="H179" s="104">
        <f t="shared" si="25"/>
        <v>0</v>
      </c>
      <c r="I179" s="65"/>
      <c r="J179" s="59">
        <f>CenAVS!I196</f>
        <v>3735328</v>
      </c>
      <c r="K179" s="59">
        <f>CenAVS!J196</f>
        <v>497010</v>
      </c>
      <c r="L179" s="943">
        <f t="shared" si="23"/>
        <v>0</v>
      </c>
      <c r="M179" s="60">
        <f t="shared" si="24"/>
        <v>0</v>
      </c>
      <c r="N179" s="236"/>
      <c r="O179" s="236"/>
      <c r="P179" s="236"/>
      <c r="Q179" s="236"/>
      <c r="R179" s="236"/>
      <c r="S179" s="236"/>
      <c r="T179" s="236"/>
      <c r="U179" s="236"/>
      <c r="V179" s="236"/>
      <c r="W179" s="235"/>
      <c r="X179" s="235"/>
      <c r="Y179" s="235"/>
      <c r="Z179" s="235"/>
      <c r="AA179" s="235"/>
      <c r="AB179" s="235"/>
      <c r="AC179" s="235"/>
      <c r="AD179" s="235"/>
      <c r="AE179" s="235"/>
      <c r="AF179" s="235"/>
      <c r="AG179" s="235"/>
      <c r="AH179" s="235"/>
      <c r="AI179" s="235"/>
      <c r="AJ179" s="235"/>
      <c r="AK179" s="235"/>
      <c r="AL179" s="235"/>
      <c r="AM179" s="235"/>
      <c r="AN179" s="235"/>
      <c r="AO179" s="235"/>
      <c r="AP179" s="235"/>
      <c r="AQ179" s="235"/>
      <c r="AR179" s="235"/>
      <c r="AS179" s="235"/>
      <c r="AT179" s="235"/>
      <c r="AU179" s="235"/>
      <c r="AV179" s="235"/>
      <c r="AW179" s="235"/>
      <c r="AX179" s="235"/>
      <c r="AY179" s="235"/>
      <c r="AZ179" s="238">
        <f>AcsAVS!J48</f>
        <v>0</v>
      </c>
      <c r="BA179" s="235"/>
      <c r="BB179" s="108"/>
      <c r="BC179" s="108"/>
    </row>
    <row r="180" spans="1:55" ht="16.149999999999999" customHeight="1" x14ac:dyDescent="0.2">
      <c r="A180" s="108"/>
      <c r="B180" s="60" t="str">
        <f>CenAVS!A197</f>
        <v xml:space="preserve">Tip-on adapter krzyżakowy, 76mm, szary      </v>
      </c>
      <c r="C180" s="60" t="str">
        <f>CenAVS!B197</f>
        <v>956A1501</v>
      </c>
      <c r="D180" s="60" t="str">
        <f>CenAVS!C197</f>
        <v>R7036</v>
      </c>
      <c r="E180" s="536">
        <f>CenAVS!D197</f>
        <v>0</v>
      </c>
      <c r="F180" s="413">
        <f t="shared" si="26"/>
        <v>0</v>
      </c>
      <c r="G180" s="58">
        <f>CenAVS!F197</f>
        <v>2.0432700000000001</v>
      </c>
      <c r="H180" s="104">
        <f t="shared" si="25"/>
        <v>0</v>
      </c>
      <c r="I180" s="65"/>
      <c r="J180" s="59">
        <f>CenAVS!I197</f>
        <v>8814396</v>
      </c>
      <c r="K180" s="59">
        <f>CenAVS!J197</f>
        <v>250844</v>
      </c>
      <c r="L180" s="943">
        <f t="shared" si="23"/>
        <v>0</v>
      </c>
      <c r="M180" s="60">
        <f t="shared" si="24"/>
        <v>0</v>
      </c>
      <c r="N180" s="236"/>
      <c r="O180" s="236"/>
      <c r="P180" s="236"/>
      <c r="Q180" s="236"/>
      <c r="R180" s="236"/>
      <c r="S180" s="236"/>
      <c r="T180" s="236"/>
      <c r="U180" s="236"/>
      <c r="V180" s="236"/>
      <c r="W180" s="235"/>
      <c r="X180" s="235"/>
      <c r="Y180" s="235"/>
      <c r="Z180" s="235"/>
      <c r="AA180" s="235"/>
      <c r="AB180" s="235"/>
      <c r="AC180" s="235"/>
      <c r="AD180" s="235"/>
      <c r="AE180" s="235"/>
      <c r="AF180" s="235"/>
      <c r="AG180" s="235"/>
      <c r="AH180" s="235"/>
      <c r="AI180" s="235"/>
      <c r="AJ180" s="235"/>
      <c r="AK180" s="235"/>
      <c r="AL180" s="235"/>
      <c r="AM180" s="235"/>
      <c r="AN180" s="235"/>
      <c r="AO180" s="235"/>
      <c r="AP180" s="235"/>
      <c r="AQ180" s="235"/>
      <c r="AR180" s="235"/>
      <c r="AS180" s="235"/>
      <c r="AT180" s="235"/>
      <c r="AU180" s="235"/>
      <c r="AV180" s="235"/>
      <c r="AW180" s="235"/>
      <c r="AX180" s="235"/>
      <c r="AY180" s="235"/>
      <c r="AZ180" s="238">
        <f>AcsAVS!J49</f>
        <v>0</v>
      </c>
      <c r="BA180" s="235"/>
      <c r="BB180" s="108"/>
      <c r="BC180" s="108"/>
    </row>
    <row r="181" spans="1:55" ht="16.149999999999999" customHeight="1" x14ac:dyDescent="0.2">
      <c r="A181" s="108"/>
      <c r="B181" s="61"/>
      <c r="C181" s="61"/>
      <c r="D181" s="61"/>
      <c r="E181" s="537"/>
      <c r="F181" s="413">
        <f t="shared" si="26"/>
        <v>0</v>
      </c>
      <c r="G181" s="411"/>
      <c r="H181" s="105"/>
      <c r="I181" s="412"/>
      <c r="J181" s="57"/>
      <c r="K181" s="57"/>
      <c r="L181" s="943">
        <f t="shared" si="23"/>
        <v>0</v>
      </c>
      <c r="M181" s="60">
        <f t="shared" si="24"/>
        <v>0</v>
      </c>
      <c r="N181" s="236"/>
      <c r="O181" s="236"/>
      <c r="P181" s="236"/>
      <c r="Q181" s="236"/>
      <c r="R181" s="236"/>
      <c r="S181" s="236"/>
      <c r="T181" s="236"/>
      <c r="U181" s="236"/>
      <c r="V181" s="236"/>
      <c r="W181" s="235"/>
      <c r="X181" s="235"/>
      <c r="Y181" s="235"/>
      <c r="Z181" s="235"/>
      <c r="AA181" s="235"/>
      <c r="AB181" s="235"/>
      <c r="AC181" s="235"/>
      <c r="AD181" s="235"/>
      <c r="AE181" s="235"/>
      <c r="AF181" s="235"/>
      <c r="AG181" s="235"/>
      <c r="AH181" s="235"/>
      <c r="AI181" s="235"/>
      <c r="AJ181" s="235"/>
      <c r="AK181" s="235"/>
      <c r="AL181" s="235"/>
      <c r="AM181" s="235"/>
      <c r="AN181" s="235"/>
      <c r="AO181" s="235"/>
      <c r="AP181" s="235"/>
      <c r="AQ181" s="235"/>
      <c r="AR181" s="235"/>
      <c r="AS181" s="235"/>
      <c r="AT181" s="235"/>
      <c r="AU181" s="235"/>
      <c r="AV181" s="235"/>
      <c r="AW181" s="235"/>
      <c r="AX181" s="235"/>
      <c r="AY181" s="235"/>
      <c r="AZ181" s="235"/>
      <c r="BA181" s="235"/>
      <c r="BB181" s="108"/>
      <c r="BC181" s="108"/>
    </row>
    <row r="182" spans="1:55" ht="16.149999999999999" customHeight="1" x14ac:dyDescent="0.2">
      <c r="A182" s="108"/>
      <c r="B182" s="60" t="str">
        <f>CenAVS!A173</f>
        <v xml:space="preserve">odbojnik dystansowy 5mm        </v>
      </c>
      <c r="C182" s="60" t="str">
        <f>CenAVS!B173</f>
        <v>993.0530</v>
      </c>
      <c r="D182" s="60" t="str">
        <f>CenAVS!C173</f>
        <v>R737</v>
      </c>
      <c r="E182" s="536">
        <f>CenAVS!D173</f>
        <v>0</v>
      </c>
      <c r="F182" s="413">
        <f t="shared" si="26"/>
        <v>0</v>
      </c>
      <c r="G182" s="58">
        <f>CenAVS!F173</f>
        <v>2.4790800000000002</v>
      </c>
      <c r="H182" s="104">
        <f t="shared" ref="H182:H191" si="27">M182</f>
        <v>0</v>
      </c>
      <c r="I182" s="65"/>
      <c r="J182" s="59">
        <f>CenAVS!I173</f>
        <v>7834990</v>
      </c>
      <c r="K182" s="59">
        <f>CenAVS!J173</f>
        <v>99131</v>
      </c>
      <c r="L182" s="943">
        <f>IF(I182="x",0,IF(I182&gt;0,I182,F182))</f>
        <v>0</v>
      </c>
      <c r="M182" s="60">
        <f>PRODUCT(L182,G182)</f>
        <v>0</v>
      </c>
      <c r="N182" s="236"/>
      <c r="O182" s="236"/>
      <c r="P182" s="236"/>
      <c r="Q182" s="236"/>
      <c r="R182" s="236"/>
      <c r="S182" s="236"/>
      <c r="T182" s="236"/>
      <c r="U182" s="236"/>
      <c r="V182" s="236"/>
      <c r="W182" s="235"/>
      <c r="X182" s="235"/>
      <c r="Y182" s="235"/>
      <c r="Z182" s="235"/>
      <c r="AA182" s="235"/>
      <c r="AB182" s="235"/>
      <c r="AC182" s="235"/>
      <c r="AD182" s="235"/>
      <c r="AE182" s="235"/>
      <c r="AF182" s="235"/>
      <c r="AG182" s="235"/>
      <c r="AH182" s="235"/>
      <c r="AI182" s="235"/>
      <c r="AJ182" s="235"/>
      <c r="AK182" s="235"/>
      <c r="AL182" s="235"/>
      <c r="AM182" s="235"/>
      <c r="AN182" s="235"/>
      <c r="AO182" s="235"/>
      <c r="AP182" s="235"/>
      <c r="AQ182" s="235"/>
      <c r="AR182" s="235"/>
      <c r="AS182" s="235"/>
      <c r="AT182" s="235"/>
      <c r="AU182" s="235"/>
      <c r="AV182" s="235"/>
      <c r="AW182" s="235"/>
      <c r="AX182" s="235"/>
      <c r="AY182" s="235"/>
      <c r="AZ182" s="238">
        <f>AcsAVS!J58</f>
        <v>0</v>
      </c>
      <c r="BA182" s="235"/>
      <c r="BB182" s="108"/>
      <c r="BC182" s="108"/>
    </row>
    <row r="183" spans="1:55" ht="16.149999999999999" customHeight="1" x14ac:dyDescent="0.2">
      <c r="A183" s="108"/>
      <c r="B183" s="60" t="str">
        <f>CenAVS!A174</f>
        <v xml:space="preserve">odbojnik dystansowy 8mm        </v>
      </c>
      <c r="C183" s="60" t="str">
        <f>CenAVS!B174</f>
        <v>993.0830.01</v>
      </c>
      <c r="D183" s="60" t="str">
        <f>CenAVS!C174</f>
        <v>R737</v>
      </c>
      <c r="E183" s="536">
        <f>CenAVS!D174</f>
        <v>0</v>
      </c>
      <c r="F183" s="413">
        <f t="shared" si="26"/>
        <v>0</v>
      </c>
      <c r="G183" s="58">
        <f>CenAVS!F174</f>
        <v>2.2267899999999998</v>
      </c>
      <c r="H183" s="104">
        <f t="shared" si="27"/>
        <v>0</v>
      </c>
      <c r="I183" s="65"/>
      <c r="J183" s="59">
        <f>CenAVS!I174</f>
        <v>7402930</v>
      </c>
      <c r="K183" s="59">
        <f>CenAVS!J174</f>
        <v>99120</v>
      </c>
      <c r="L183" s="943">
        <f>IF(I183="x",0,IF(I183&gt;0,I183,F183))</f>
        <v>0</v>
      </c>
      <c r="M183" s="60">
        <f>PRODUCT(L183,G183)</f>
        <v>0</v>
      </c>
      <c r="N183" s="236"/>
      <c r="O183" s="236"/>
      <c r="P183" s="236"/>
      <c r="Q183" s="236"/>
      <c r="R183" s="236"/>
      <c r="S183" s="236"/>
      <c r="T183" s="236"/>
      <c r="U183" s="236"/>
      <c r="V183" s="236"/>
      <c r="W183" s="235"/>
      <c r="X183" s="235"/>
      <c r="Y183" s="235"/>
      <c r="Z183" s="235"/>
      <c r="AA183" s="235"/>
      <c r="AB183" s="235"/>
      <c r="AC183" s="235"/>
      <c r="AD183" s="235"/>
      <c r="AE183" s="235"/>
      <c r="AF183" s="235"/>
      <c r="AG183" s="235"/>
      <c r="AH183" s="235"/>
      <c r="AI183" s="235"/>
      <c r="AJ183" s="235"/>
      <c r="AK183" s="235"/>
      <c r="AL183" s="235"/>
      <c r="AM183" s="235"/>
      <c r="AN183" s="235"/>
      <c r="AO183" s="235"/>
      <c r="AP183" s="235"/>
      <c r="AQ183" s="235"/>
      <c r="AR183" s="235"/>
      <c r="AS183" s="235"/>
      <c r="AT183" s="235"/>
      <c r="AU183" s="235"/>
      <c r="AV183" s="235"/>
      <c r="AW183" s="235"/>
      <c r="AX183" s="235"/>
      <c r="AY183" s="235"/>
      <c r="AZ183" s="238">
        <f>AcsAVS!J59</f>
        <v>0</v>
      </c>
      <c r="BA183" s="235"/>
      <c r="BB183" s="108"/>
      <c r="BC183" s="108"/>
    </row>
    <row r="184" spans="1:55" ht="16.149999999999999" customHeight="1" x14ac:dyDescent="0.2">
      <c r="A184" s="108"/>
      <c r="B184" s="60" t="str">
        <f>CenAVS!A175</f>
        <v xml:space="preserve">uchwyt kabla do Servodrive       </v>
      </c>
      <c r="C184" s="60" t="str">
        <f>CenAVS!B175</f>
        <v>Z10K0009</v>
      </c>
      <c r="D184" s="60" t="str">
        <f>CenAVS!C175</f>
        <v>NA</v>
      </c>
      <c r="E184" s="536">
        <f>CenAVS!D175</f>
        <v>0</v>
      </c>
      <c r="F184" s="413">
        <f t="shared" si="26"/>
        <v>0</v>
      </c>
      <c r="G184" s="58">
        <f>CenAVS!F175</f>
        <v>2.7142900000000001</v>
      </c>
      <c r="H184" s="104">
        <f t="shared" si="27"/>
        <v>0</v>
      </c>
      <c r="I184" s="65"/>
      <c r="J184" s="59">
        <f>CenAVS!I175</f>
        <v>7283231</v>
      </c>
      <c r="K184" s="59">
        <f>CenAVS!J175</f>
        <v>99105</v>
      </c>
      <c r="L184" s="943">
        <f>IF(I184="x",0,IF(I184&gt;0,I184,F184))</f>
        <v>0</v>
      </c>
      <c r="M184" s="60">
        <f>PRODUCT(L184,G184)</f>
        <v>0</v>
      </c>
      <c r="N184" s="236"/>
      <c r="O184" s="236"/>
      <c r="P184" s="236"/>
      <c r="Q184" s="236"/>
      <c r="R184" s="236"/>
      <c r="S184" s="236"/>
      <c r="T184" s="236"/>
      <c r="U184" s="236"/>
      <c r="V184" s="236"/>
      <c r="W184" s="235"/>
      <c r="X184" s="235"/>
      <c r="Y184" s="235"/>
      <c r="Z184" s="235"/>
      <c r="AA184" s="235"/>
      <c r="AB184" s="235"/>
      <c r="AC184" s="235"/>
      <c r="AD184" s="235"/>
      <c r="AE184" s="235"/>
      <c r="AF184" s="235"/>
      <c r="AG184" s="235"/>
      <c r="AH184" s="235"/>
      <c r="AI184" s="235"/>
      <c r="AJ184" s="235"/>
      <c r="AK184" s="235"/>
      <c r="AL184" s="235"/>
      <c r="AM184" s="235"/>
      <c r="AN184" s="235"/>
      <c r="AO184" s="235"/>
      <c r="AP184" s="235"/>
      <c r="AQ184" s="235"/>
      <c r="AR184" s="235"/>
      <c r="AS184" s="235"/>
      <c r="AT184" s="235"/>
      <c r="AU184" s="235"/>
      <c r="AV184" s="235"/>
      <c r="AW184" s="235"/>
      <c r="AX184" s="235"/>
      <c r="AY184" s="235"/>
      <c r="AZ184" s="238">
        <f>AcsAVS!J57</f>
        <v>0</v>
      </c>
      <c r="BA184" s="235"/>
      <c r="BB184" s="108"/>
      <c r="BC184" s="108"/>
    </row>
    <row r="185" spans="1:55" ht="16.149999999999999" customHeight="1" x14ac:dyDescent="0.2">
      <c r="A185" s="108"/>
      <c r="B185" s="60" t="str">
        <f>CenAVS!A176</f>
        <v xml:space="preserve">kabel 8m Servodrive        </v>
      </c>
      <c r="C185" s="60" t="str">
        <f>CenAVS!B176</f>
        <v>Z10K800AE</v>
      </c>
      <c r="D185" s="60" t="str">
        <f>CenAVS!C176</f>
        <v>S</v>
      </c>
      <c r="E185" s="536">
        <f>CenAVS!D176</f>
        <v>0</v>
      </c>
      <c r="F185" s="413">
        <f t="shared" si="26"/>
        <v>0</v>
      </c>
      <c r="G185" s="58">
        <f>CenAVS!F176</f>
        <v>94.233509999999981</v>
      </c>
      <c r="H185" s="104">
        <f t="shared" si="27"/>
        <v>0</v>
      </c>
      <c r="I185" s="65"/>
      <c r="J185" s="59">
        <f>CenAVS!I176</f>
        <v>7550294</v>
      </c>
      <c r="K185" s="59">
        <f>CenAVS!J176</f>
        <v>99107</v>
      </c>
      <c r="L185" s="943">
        <f>IF(I185="x",0,IF(I185&gt;0,I185,F185))</f>
        <v>0</v>
      </c>
      <c r="M185" s="60">
        <f>PRODUCT(L185,G185)</f>
        <v>0</v>
      </c>
      <c r="N185" s="236"/>
      <c r="O185" s="236"/>
      <c r="P185" s="236"/>
      <c r="Q185" s="236"/>
      <c r="R185" s="236"/>
      <c r="S185" s="236"/>
      <c r="T185" s="236"/>
      <c r="U185" s="236"/>
      <c r="V185" s="236"/>
      <c r="W185" s="235"/>
      <c r="X185" s="235"/>
      <c r="Y185" s="235"/>
      <c r="Z185" s="235"/>
      <c r="AA185" s="235"/>
      <c r="AB185" s="235"/>
      <c r="AC185" s="235"/>
      <c r="AD185" s="235"/>
      <c r="AE185" s="235"/>
      <c r="AF185" s="235"/>
      <c r="AG185" s="235"/>
      <c r="AH185" s="235"/>
      <c r="AI185" s="235"/>
      <c r="AJ185" s="235"/>
      <c r="AK185" s="235"/>
      <c r="AL185" s="235"/>
      <c r="AM185" s="235"/>
      <c r="AN185" s="235"/>
      <c r="AO185" s="235"/>
      <c r="AP185" s="235"/>
      <c r="AQ185" s="235"/>
      <c r="AR185" s="235"/>
      <c r="AS185" s="235"/>
      <c r="AT185" s="235"/>
      <c r="AU185" s="235"/>
      <c r="AV185" s="235"/>
      <c r="AW185" s="235"/>
      <c r="AX185" s="235"/>
      <c r="AY185" s="235"/>
      <c r="AZ185" s="238">
        <f>AcsAVS!J55</f>
        <v>0</v>
      </c>
      <c r="BA185" s="235"/>
      <c r="BB185" s="108"/>
      <c r="BC185" s="108"/>
    </row>
    <row r="186" spans="1:55" ht="16.149999999999999" customHeight="1" x14ac:dyDescent="0.2">
      <c r="A186" s="108"/>
      <c r="B186" s="60" t="str">
        <f>CenAVS!A178</f>
        <v>transformator Servodrive 24V / 72W</v>
      </c>
      <c r="C186" s="60" t="str">
        <f>CenAVS!B178</f>
        <v xml:space="preserve">Z10NE04EE </v>
      </c>
      <c r="D186" s="60" t="str">
        <f>CenAVS!C178</f>
        <v>S</v>
      </c>
      <c r="E186" s="536">
        <f>CenAVS!D178</f>
        <v>0</v>
      </c>
      <c r="F186" s="413">
        <f t="shared" si="26"/>
        <v>0</v>
      </c>
      <c r="G186" s="58">
        <f>CenAVS!F178</f>
        <v>384.03829000000007</v>
      </c>
      <c r="H186" s="104">
        <f t="shared" si="27"/>
        <v>0</v>
      </c>
      <c r="I186" s="65"/>
      <c r="J186" s="59">
        <f>CenAVS!I178</f>
        <v>3726359</v>
      </c>
      <c r="K186" s="59" t="str">
        <f>CenAVS!J178</f>
        <v>523392</v>
      </c>
      <c r="L186" s="943">
        <f t="shared" si="23"/>
        <v>0</v>
      </c>
      <c r="M186" s="60">
        <f t="shared" si="24"/>
        <v>0</v>
      </c>
      <c r="N186" s="236"/>
      <c r="O186" s="236"/>
      <c r="P186" s="236"/>
      <c r="Q186" s="236"/>
      <c r="R186" s="236"/>
      <c r="S186" s="236"/>
      <c r="T186" s="236"/>
      <c r="U186" s="236"/>
      <c r="V186" s="236"/>
      <c r="W186" s="235"/>
      <c r="X186" s="235"/>
      <c r="Y186" s="235"/>
      <c r="Z186" s="235"/>
      <c r="AA186" s="235"/>
      <c r="AB186" s="235"/>
      <c r="AC186" s="235"/>
      <c r="AD186" s="235"/>
      <c r="AE186" s="235"/>
      <c r="AF186" s="235"/>
      <c r="AG186" s="235"/>
      <c r="AH186" s="235"/>
      <c r="AI186" s="235"/>
      <c r="AJ186" s="235"/>
      <c r="AK186" s="235"/>
      <c r="AL186" s="235"/>
      <c r="AM186" s="235"/>
      <c r="AN186" s="235"/>
      <c r="AO186" s="235"/>
      <c r="AP186" s="235"/>
      <c r="AQ186" s="235"/>
      <c r="AR186" s="235"/>
      <c r="AS186" s="235"/>
      <c r="AT186" s="235"/>
      <c r="AU186" s="235"/>
      <c r="AV186" s="235"/>
      <c r="AW186" s="235"/>
      <c r="AX186" s="235"/>
      <c r="AY186" s="235"/>
      <c r="AZ186" s="238">
        <f>AcsAVS!J65</f>
        <v>0</v>
      </c>
      <c r="BA186" s="238">
        <f>IF($BA$6=1, 1, 0)</f>
        <v>0</v>
      </c>
      <c r="BB186" s="108"/>
      <c r="BC186" s="108"/>
    </row>
    <row r="187" spans="1:55" ht="16.149999999999999" customHeight="1" x14ac:dyDescent="0.2">
      <c r="A187" s="108"/>
      <c r="B187" s="60" t="str">
        <f>CenAVS!A179</f>
        <v xml:space="preserve">uchwyt zasilacza Servodrive do ścianki tylnej     </v>
      </c>
      <c r="C187" s="60" t="str">
        <f>CenAVS!B179</f>
        <v>Z10NG120</v>
      </c>
      <c r="D187" s="60" t="str">
        <f>CenAVS!C179</f>
        <v>WGR</v>
      </c>
      <c r="E187" s="536">
        <f>CenAVS!D179</f>
        <v>0</v>
      </c>
      <c r="F187" s="413">
        <f t="shared" si="26"/>
        <v>0</v>
      </c>
      <c r="G187" s="58">
        <f>CenAVS!F179</f>
        <v>12.687549999999998</v>
      </c>
      <c r="H187" s="104">
        <f t="shared" si="27"/>
        <v>0</v>
      </c>
      <c r="I187" s="65"/>
      <c r="J187" s="59">
        <f>CenAVS!I179</f>
        <v>9327076</v>
      </c>
      <c r="K187" s="59">
        <f>CenAVS!J179</f>
        <v>131344</v>
      </c>
      <c r="L187" s="943">
        <f t="shared" si="23"/>
        <v>0</v>
      </c>
      <c r="M187" s="60">
        <f t="shared" si="24"/>
        <v>0</v>
      </c>
      <c r="N187" s="236"/>
      <c r="O187" s="236"/>
      <c r="P187" s="236"/>
      <c r="Q187" s="236"/>
      <c r="R187" s="236"/>
      <c r="S187" s="236"/>
      <c r="T187" s="236"/>
      <c r="U187" s="236"/>
      <c r="V187" s="236"/>
      <c r="W187" s="235"/>
      <c r="X187" s="235"/>
      <c r="Y187" s="235"/>
      <c r="Z187" s="235"/>
      <c r="AA187" s="235"/>
      <c r="AB187" s="235"/>
      <c r="AC187" s="235"/>
      <c r="AD187" s="235"/>
      <c r="AE187" s="235"/>
      <c r="AF187" s="235"/>
      <c r="AG187" s="235"/>
      <c r="AH187" s="235"/>
      <c r="AI187" s="235"/>
      <c r="AJ187" s="235"/>
      <c r="AK187" s="235"/>
      <c r="AL187" s="235"/>
      <c r="AM187" s="235"/>
      <c r="AN187" s="235"/>
      <c r="AO187" s="235"/>
      <c r="AP187" s="235"/>
      <c r="AQ187" s="235"/>
      <c r="AR187" s="235"/>
      <c r="AS187" s="235"/>
      <c r="AT187" s="235"/>
      <c r="AU187" s="235"/>
      <c r="AV187" s="235"/>
      <c r="AW187" s="235"/>
      <c r="AX187" s="235"/>
      <c r="AY187" s="235"/>
      <c r="AZ187" s="238">
        <f>AcsAVS!J54</f>
        <v>0</v>
      </c>
      <c r="BA187" s="238">
        <f>IF($BA$6=1, 1, 0)</f>
        <v>0</v>
      </c>
      <c r="BB187" s="108"/>
      <c r="BC187" s="108"/>
    </row>
    <row r="188" spans="1:55" ht="16.149999999999999" customHeight="1" x14ac:dyDescent="0.2">
      <c r="A188" s="108"/>
      <c r="B188" s="60" t="str">
        <f>CenAVS!A180</f>
        <v xml:space="preserve">Złącze pionowe i 2x końcówka ochronna przewodu Servodrive   </v>
      </c>
      <c r="C188" s="60" t="str">
        <f>CenAVS!B180</f>
        <v>Z10V100E.01</v>
      </c>
      <c r="D188" s="60" t="str">
        <f>CenAVS!C180</f>
        <v>S</v>
      </c>
      <c r="E188" s="536">
        <f>CenAVS!D180</f>
        <v>0</v>
      </c>
      <c r="F188" s="413">
        <f t="shared" si="26"/>
        <v>0</v>
      </c>
      <c r="G188" s="58">
        <f>CenAVS!F180</f>
        <v>22.446619999999999</v>
      </c>
      <c r="H188" s="104">
        <f t="shared" si="27"/>
        <v>0</v>
      </c>
      <c r="I188" s="65"/>
      <c r="J188" s="59">
        <f>CenAVS!I180</f>
        <v>8820285</v>
      </c>
      <c r="K188" s="59">
        <f>CenAVS!J180</f>
        <v>132954</v>
      </c>
      <c r="L188" s="943">
        <f>IF(I188="x",0,IF(I188&gt;0,I188,F188))</f>
        <v>0</v>
      </c>
      <c r="M188" s="60">
        <f>PRODUCT(L188,G188)</f>
        <v>0</v>
      </c>
      <c r="N188" s="236"/>
      <c r="O188" s="236"/>
      <c r="P188" s="236"/>
      <c r="Q188" s="236"/>
      <c r="R188" s="236"/>
      <c r="S188" s="236"/>
      <c r="T188" s="236"/>
      <c r="U188" s="236"/>
      <c r="V188" s="236"/>
      <c r="W188" s="235"/>
      <c r="X188" s="235"/>
      <c r="Y188" s="235"/>
      <c r="Z188" s="235"/>
      <c r="AA188" s="235"/>
      <c r="AB188" s="235"/>
      <c r="AC188" s="235"/>
      <c r="AD188" s="235"/>
      <c r="AE188" s="235"/>
      <c r="AF188" s="235"/>
      <c r="AG188" s="235"/>
      <c r="AH188" s="235"/>
      <c r="AI188" s="235"/>
      <c r="AJ188" s="235"/>
      <c r="AK188" s="235"/>
      <c r="AL188" s="235"/>
      <c r="AM188" s="235"/>
      <c r="AN188" s="235"/>
      <c r="AO188" s="235"/>
      <c r="AP188" s="235"/>
      <c r="AQ188" s="235"/>
      <c r="AR188" s="235"/>
      <c r="AS188" s="235"/>
      <c r="AT188" s="235"/>
      <c r="AU188" s="235"/>
      <c r="AV188" s="235"/>
      <c r="AW188" s="235"/>
      <c r="AX188" s="235"/>
      <c r="AY188" s="235"/>
      <c r="AZ188" s="238">
        <f>AcsAVS!J56</f>
        <v>0</v>
      </c>
      <c r="BA188" s="235"/>
      <c r="BB188" s="108"/>
      <c r="BC188" s="108"/>
    </row>
    <row r="189" spans="1:55" ht="16.149999999999999" customHeight="1" x14ac:dyDescent="0.2">
      <c r="A189" s="108"/>
      <c r="B189" s="60" t="str">
        <f>CenAVS!A181</f>
        <v xml:space="preserve">Schalt V20 HGR, włącznik Aventos Servo-drive, nowy typ, jasnoszary  </v>
      </c>
      <c r="C189" s="60" t="str">
        <f>CenAVS!B181</f>
        <v>23P5020</v>
      </c>
      <c r="D189" s="60" t="str">
        <f>CenAVS!C181</f>
        <v>HGR</v>
      </c>
      <c r="E189" s="536">
        <f>CenAVS!D181</f>
        <v>0</v>
      </c>
      <c r="F189" s="413">
        <f t="shared" si="26"/>
        <v>0</v>
      </c>
      <c r="G189" s="58">
        <f>CenAVS!F181</f>
        <v>105.02671000000001</v>
      </c>
      <c r="H189" s="104">
        <f t="shared" si="27"/>
        <v>0</v>
      </c>
      <c r="I189" s="65"/>
      <c r="J189" s="59">
        <f>CenAVS!I181</f>
        <v>8457250</v>
      </c>
      <c r="K189" s="59">
        <f>CenAVS!J181</f>
        <v>459669</v>
      </c>
      <c r="L189" s="943">
        <f>IF(I189="x",0,IF(I189&gt;0,I189,F189))</f>
        <v>0</v>
      </c>
      <c r="M189" s="60">
        <f>PRODUCT(L189,G189)</f>
        <v>0</v>
      </c>
      <c r="N189" s="236"/>
      <c r="O189" s="236"/>
      <c r="P189" s="236"/>
      <c r="Q189" s="236"/>
      <c r="R189" s="236"/>
      <c r="S189" s="236"/>
      <c r="T189" s="236"/>
      <c r="U189" s="236"/>
      <c r="V189" s="236"/>
      <c r="W189" s="235"/>
      <c r="X189" s="235"/>
      <c r="Y189" s="235"/>
      <c r="Z189" s="235"/>
      <c r="AA189" s="235"/>
      <c r="AB189" s="235"/>
      <c r="AC189" s="235"/>
      <c r="AD189" s="235"/>
      <c r="AE189" s="235"/>
      <c r="AF189" s="235"/>
      <c r="AG189" s="235"/>
      <c r="AH189" s="235"/>
      <c r="AI189" s="235"/>
      <c r="AJ189" s="235"/>
      <c r="AK189" s="235"/>
      <c r="AL189" s="235"/>
      <c r="AM189" s="235"/>
      <c r="AN189" s="235"/>
      <c r="AO189" s="235"/>
      <c r="AP189" s="235"/>
      <c r="AQ189" s="235"/>
      <c r="AR189" s="235"/>
      <c r="AS189" s="235"/>
      <c r="AT189" s="235"/>
      <c r="AU189" s="235"/>
      <c r="AV189" s="235"/>
      <c r="AW189" s="235"/>
      <c r="AX189" s="235"/>
      <c r="AY189" s="235"/>
      <c r="AZ189" s="238">
        <f>AcsAVS!J60</f>
        <v>0</v>
      </c>
      <c r="BA189" s="235"/>
      <c r="BB189" s="108"/>
      <c r="BC189" s="108"/>
    </row>
    <row r="190" spans="1:55" ht="16.149999999999999" customHeight="1" x14ac:dyDescent="0.2">
      <c r="A190" s="108"/>
      <c r="B190" s="60" t="str">
        <f>CenAVS!A182</f>
        <v xml:space="preserve">Schalt V20 SW, włącznik Aventos Servo-drive, nowy typ, biały  </v>
      </c>
      <c r="C190" s="60" t="str">
        <f>CenAVS!B182</f>
        <v>23P5020</v>
      </c>
      <c r="D190" s="60" t="str">
        <f>CenAVS!C182</f>
        <v>SW</v>
      </c>
      <c r="E190" s="536">
        <f>CenAVS!D182</f>
        <v>0</v>
      </c>
      <c r="F190" s="413">
        <f t="shared" si="26"/>
        <v>0</v>
      </c>
      <c r="G190" s="58">
        <f>CenAVS!F182</f>
        <v>109.22888</v>
      </c>
      <c r="H190" s="104">
        <f t="shared" si="27"/>
        <v>0</v>
      </c>
      <c r="I190" s="65"/>
      <c r="J190" s="59">
        <f>CenAVS!I182</f>
        <v>6550469</v>
      </c>
      <c r="K190" s="59">
        <f>CenAVS!J182</f>
        <v>419890</v>
      </c>
      <c r="L190" s="943">
        <f>IF(I190="x",0,IF(I190&gt;0,I190,F190))</f>
        <v>0</v>
      </c>
      <c r="M190" s="60">
        <f>PRODUCT(L190,G190)</f>
        <v>0</v>
      </c>
      <c r="N190" s="236"/>
      <c r="O190" s="236"/>
      <c r="P190" s="236"/>
      <c r="Q190" s="236"/>
      <c r="R190" s="236"/>
      <c r="S190" s="236"/>
      <c r="T190" s="236"/>
      <c r="U190" s="236"/>
      <c r="V190" s="236"/>
      <c r="W190" s="235"/>
      <c r="X190" s="235"/>
      <c r="Y190" s="235"/>
      <c r="Z190" s="235"/>
      <c r="AA190" s="235"/>
      <c r="AB190" s="235"/>
      <c r="AC190" s="235"/>
      <c r="AD190" s="235"/>
      <c r="AE190" s="235"/>
      <c r="AF190" s="235"/>
      <c r="AG190" s="235"/>
      <c r="AH190" s="235"/>
      <c r="AI190" s="235"/>
      <c r="AJ190" s="235"/>
      <c r="AK190" s="235"/>
      <c r="AL190" s="235"/>
      <c r="AM190" s="235"/>
      <c r="AN190" s="235"/>
      <c r="AO190" s="235"/>
      <c r="AP190" s="235"/>
      <c r="AQ190" s="235"/>
      <c r="AR190" s="235"/>
      <c r="AS190" s="235"/>
      <c r="AT190" s="235"/>
      <c r="AU190" s="235"/>
      <c r="AV190" s="235"/>
      <c r="AW190" s="235"/>
      <c r="AX190" s="235"/>
      <c r="AY190" s="235"/>
      <c r="AZ190" s="238">
        <f>AcsAVS!J61</f>
        <v>0</v>
      </c>
      <c r="BA190" s="235"/>
      <c r="BB190" s="108"/>
      <c r="BC190" s="108"/>
    </row>
    <row r="191" spans="1:55" ht="16.149999999999999" customHeight="1" x14ac:dyDescent="0.2">
      <c r="A191" s="108"/>
      <c r="B191" s="60" t="str">
        <f>CenAVS!A183</f>
        <v xml:space="preserve">Schalt V20 TGR, włącznik Aventos Servo-drive, nowy typ, ciemoszary  </v>
      </c>
      <c r="C191" s="60" t="str">
        <f>CenAVS!B183</f>
        <v>23P5020</v>
      </c>
      <c r="D191" s="60" t="str">
        <f>CenAVS!C183</f>
        <v>TGR</v>
      </c>
      <c r="E191" s="536">
        <f>CenAVS!D183</f>
        <v>0</v>
      </c>
      <c r="F191" s="413">
        <f t="shared" si="26"/>
        <v>0</v>
      </c>
      <c r="G191" s="58">
        <f>CenAVS!F183</f>
        <v>109.22888</v>
      </c>
      <c r="H191" s="104">
        <f t="shared" si="27"/>
        <v>0</v>
      </c>
      <c r="I191" s="65"/>
      <c r="J191" s="59">
        <f>CenAVS!I183</f>
        <v>2471776</v>
      </c>
      <c r="K191" s="59">
        <f>CenAVS!J183</f>
        <v>416262</v>
      </c>
      <c r="L191" s="943">
        <f>IF(I191="x",0,IF(I191&gt;0,I191,F191))</f>
        <v>0</v>
      </c>
      <c r="M191" s="60">
        <f>PRODUCT(L191,G191)</f>
        <v>0</v>
      </c>
      <c r="N191" s="236"/>
      <c r="O191" s="236"/>
      <c r="P191" s="236"/>
      <c r="Q191" s="236"/>
      <c r="R191" s="236"/>
      <c r="S191" s="236"/>
      <c r="T191" s="236"/>
      <c r="U191" s="236"/>
      <c r="V191" s="236"/>
      <c r="W191" s="235"/>
      <c r="X191" s="235"/>
      <c r="Y191" s="235"/>
      <c r="Z191" s="235"/>
      <c r="AA191" s="235"/>
      <c r="AB191" s="235"/>
      <c r="AC191" s="235"/>
      <c r="AD191" s="235"/>
      <c r="AE191" s="235"/>
      <c r="AF191" s="235"/>
      <c r="AG191" s="235"/>
      <c r="AH191" s="235"/>
      <c r="AI191" s="235"/>
      <c r="AJ191" s="235"/>
      <c r="AK191" s="235"/>
      <c r="AL191" s="235"/>
      <c r="AM191" s="235"/>
      <c r="AN191" s="235"/>
      <c r="AO191" s="235"/>
      <c r="AP191" s="235"/>
      <c r="AQ191" s="235"/>
      <c r="AR191" s="235"/>
      <c r="AS191" s="235"/>
      <c r="AT191" s="235"/>
      <c r="AU191" s="235"/>
      <c r="AV191" s="235"/>
      <c r="AW191" s="235"/>
      <c r="AX191" s="235"/>
      <c r="AY191" s="235"/>
      <c r="AZ191" s="238">
        <f>AcsAVS!J62</f>
        <v>0</v>
      </c>
      <c r="BA191" s="235"/>
      <c r="BB191" s="108"/>
      <c r="BC191" s="108"/>
    </row>
    <row r="192" spans="1:55" ht="16.149999999999999" customHeight="1" x14ac:dyDescent="0.2">
      <c r="A192" s="108"/>
      <c r="B192" s="61"/>
      <c r="C192" s="61"/>
      <c r="D192" s="61"/>
      <c r="E192" s="614"/>
      <c r="F192" s="413">
        <f t="shared" si="26"/>
        <v>0</v>
      </c>
      <c r="G192" s="411"/>
      <c r="H192" s="105"/>
      <c r="I192" s="57"/>
      <c r="J192" s="57"/>
      <c r="K192" s="57"/>
      <c r="L192" s="944"/>
      <c r="M192" s="61"/>
      <c r="N192" s="236"/>
      <c r="O192" s="236"/>
      <c r="P192" s="236"/>
      <c r="Q192" s="236"/>
      <c r="R192" s="236"/>
      <c r="S192" s="236"/>
      <c r="T192" s="236"/>
      <c r="U192" s="236"/>
      <c r="V192" s="236"/>
      <c r="W192" s="235"/>
      <c r="X192" s="235"/>
      <c r="Y192" s="235"/>
      <c r="Z192" s="235"/>
      <c r="AA192" s="235"/>
      <c r="AB192" s="235"/>
      <c r="AC192" s="235"/>
      <c r="AD192" s="235"/>
      <c r="AE192" s="235"/>
      <c r="AF192" s="235"/>
      <c r="AG192" s="235"/>
      <c r="AH192" s="235"/>
      <c r="AI192" s="235"/>
      <c r="AJ192" s="235"/>
      <c r="AK192" s="235"/>
      <c r="AL192" s="235"/>
      <c r="AM192" s="235"/>
      <c r="AN192" s="235"/>
      <c r="AO192" s="235"/>
      <c r="AP192" s="235"/>
      <c r="AQ192" s="235"/>
      <c r="AR192" s="235"/>
      <c r="AS192" s="235"/>
      <c r="AT192" s="235"/>
      <c r="AU192" s="235"/>
      <c r="AV192" s="235"/>
      <c r="AW192" s="235"/>
      <c r="AX192" s="235"/>
      <c r="AY192" s="235"/>
      <c r="AZ192" s="238"/>
      <c r="BA192" s="235"/>
      <c r="BB192" s="108"/>
      <c r="BC192" s="108"/>
    </row>
    <row r="193" spans="1:55" ht="16.149999999999999" customHeight="1" x14ac:dyDescent="0.2">
      <c r="A193" s="108"/>
      <c r="B193" s="60">
        <f>CenAVS!A200</f>
        <v>0</v>
      </c>
      <c r="C193" s="60">
        <f>CenAVS!B200</f>
        <v>0</v>
      </c>
      <c r="D193" s="615">
        <f>CenAVS!C200</f>
        <v>0</v>
      </c>
      <c r="E193" s="536"/>
      <c r="F193" s="65"/>
      <c r="G193" s="58">
        <f>CenAVS!F200</f>
        <v>0</v>
      </c>
      <c r="H193" s="60">
        <f>F193*G193</f>
        <v>0</v>
      </c>
      <c r="I193" s="57"/>
      <c r="J193" s="59">
        <f>CenAVS!I200</f>
        <v>0</v>
      </c>
      <c r="K193" s="59">
        <f>CenAVS!J200</f>
        <v>0</v>
      </c>
      <c r="L193" s="943"/>
      <c r="M193" s="60">
        <f>H193</f>
        <v>0</v>
      </c>
      <c r="N193" s="236"/>
      <c r="O193" s="236"/>
      <c r="P193" s="236"/>
      <c r="Q193" s="236"/>
      <c r="R193" s="236"/>
      <c r="S193" s="236"/>
      <c r="T193" s="236"/>
      <c r="U193" s="236"/>
      <c r="V193" s="236"/>
      <c r="W193" s="235"/>
      <c r="X193" s="235"/>
      <c r="Y193" s="235"/>
      <c r="Z193" s="235"/>
      <c r="AA193" s="235"/>
      <c r="AB193" s="235"/>
      <c r="AC193" s="235"/>
      <c r="AD193" s="235"/>
      <c r="AE193" s="235"/>
      <c r="AF193" s="235"/>
      <c r="AG193" s="235"/>
      <c r="AH193" s="235"/>
      <c r="AI193" s="235"/>
      <c r="AJ193" s="235"/>
      <c r="AK193" s="235"/>
      <c r="AL193" s="235"/>
      <c r="AM193" s="235"/>
      <c r="AN193" s="235"/>
      <c r="AO193" s="235"/>
      <c r="AP193" s="235"/>
      <c r="AQ193" s="235"/>
      <c r="AR193" s="235"/>
      <c r="AS193" s="235"/>
      <c r="AT193" s="235"/>
      <c r="AU193" s="235"/>
      <c r="AV193" s="235"/>
      <c r="AW193" s="235"/>
      <c r="AX193" s="235"/>
      <c r="AY193" s="235"/>
      <c r="AZ193" s="238"/>
      <c r="BA193" s="235"/>
      <c r="BB193" s="108"/>
      <c r="BC193" s="108"/>
    </row>
    <row r="194" spans="1:55" ht="16.149999999999999" customHeight="1" x14ac:dyDescent="0.2">
      <c r="A194" s="108"/>
      <c r="B194" s="60">
        <f>CenAVS!A201</f>
        <v>0</v>
      </c>
      <c r="C194" s="60">
        <f>CenAVS!B201</f>
        <v>0</v>
      </c>
      <c r="D194" s="615">
        <f>CenAVS!C201</f>
        <v>0</v>
      </c>
      <c r="E194" s="536"/>
      <c r="F194" s="65"/>
      <c r="G194" s="58">
        <f>CenAVS!F201</f>
        <v>0</v>
      </c>
      <c r="H194" s="60">
        <f t="shared" ref="H194:H202" si="28">F194*G194</f>
        <v>0</v>
      </c>
      <c r="I194" s="57"/>
      <c r="J194" s="59">
        <f>CenAVS!I201</f>
        <v>0</v>
      </c>
      <c r="K194" s="59">
        <f>CenAVS!J201</f>
        <v>0</v>
      </c>
      <c r="L194" s="943"/>
      <c r="M194" s="60">
        <f t="shared" ref="M194:M202" si="29">H194</f>
        <v>0</v>
      </c>
      <c r="N194" s="236"/>
      <c r="O194" s="236"/>
      <c r="P194" s="236"/>
      <c r="Q194" s="236"/>
      <c r="R194" s="236"/>
      <c r="S194" s="236"/>
      <c r="T194" s="236"/>
      <c r="U194" s="236"/>
      <c r="V194" s="236"/>
      <c r="W194" s="235"/>
      <c r="X194" s="235"/>
      <c r="Y194" s="235"/>
      <c r="Z194" s="235"/>
      <c r="AA194" s="235"/>
      <c r="AB194" s="235"/>
      <c r="AC194" s="235"/>
      <c r="AD194" s="235"/>
      <c r="AE194" s="235"/>
      <c r="AF194" s="235"/>
      <c r="AG194" s="235"/>
      <c r="AH194" s="235"/>
      <c r="AI194" s="235"/>
      <c r="AJ194" s="235"/>
      <c r="AK194" s="235"/>
      <c r="AL194" s="235"/>
      <c r="AM194" s="235"/>
      <c r="AN194" s="235"/>
      <c r="AO194" s="235"/>
      <c r="AP194" s="235"/>
      <c r="AQ194" s="235"/>
      <c r="AR194" s="235"/>
      <c r="AS194" s="235"/>
      <c r="AT194" s="235"/>
      <c r="AU194" s="235"/>
      <c r="AV194" s="235"/>
      <c r="AW194" s="235"/>
      <c r="AX194" s="235"/>
      <c r="AY194" s="235"/>
      <c r="AZ194" s="238"/>
      <c r="BA194" s="235"/>
      <c r="BB194" s="108"/>
      <c r="BC194" s="108"/>
    </row>
    <row r="195" spans="1:55" ht="16.149999999999999" customHeight="1" x14ac:dyDescent="0.2">
      <c r="A195" s="108"/>
      <c r="B195" s="60">
        <f>CenAVS!A202</f>
        <v>0</v>
      </c>
      <c r="C195" s="60">
        <f>CenAVS!B202</f>
        <v>0</v>
      </c>
      <c r="D195" s="615">
        <f>CenAVS!C202</f>
        <v>0</v>
      </c>
      <c r="E195" s="536"/>
      <c r="F195" s="65"/>
      <c r="G195" s="58">
        <f>CenAVS!F202</f>
        <v>0</v>
      </c>
      <c r="H195" s="60">
        <f t="shared" si="28"/>
        <v>0</v>
      </c>
      <c r="I195" s="57"/>
      <c r="J195" s="59">
        <f>CenAVS!I202</f>
        <v>0</v>
      </c>
      <c r="K195" s="59">
        <f>CenAVS!J202</f>
        <v>0</v>
      </c>
      <c r="L195" s="943"/>
      <c r="M195" s="60">
        <f t="shared" si="29"/>
        <v>0</v>
      </c>
      <c r="N195" s="236"/>
      <c r="O195" s="236"/>
      <c r="P195" s="236"/>
      <c r="Q195" s="236"/>
      <c r="R195" s="236"/>
      <c r="S195" s="236"/>
      <c r="T195" s="236"/>
      <c r="U195" s="236"/>
      <c r="V195" s="236"/>
      <c r="W195" s="235"/>
      <c r="X195" s="235"/>
      <c r="Y195" s="235"/>
      <c r="Z195" s="235"/>
      <c r="AA195" s="235"/>
      <c r="AB195" s="235"/>
      <c r="AC195" s="235"/>
      <c r="AD195" s="235"/>
      <c r="AE195" s="235"/>
      <c r="AF195" s="235"/>
      <c r="AG195" s="235"/>
      <c r="AH195" s="235"/>
      <c r="AI195" s="235"/>
      <c r="AJ195" s="235"/>
      <c r="AK195" s="235"/>
      <c r="AL195" s="235"/>
      <c r="AM195" s="235"/>
      <c r="AN195" s="235"/>
      <c r="AO195" s="235"/>
      <c r="AP195" s="235"/>
      <c r="AQ195" s="235"/>
      <c r="AR195" s="235"/>
      <c r="AS195" s="235"/>
      <c r="AT195" s="235"/>
      <c r="AU195" s="235"/>
      <c r="AV195" s="235"/>
      <c r="AW195" s="235"/>
      <c r="AX195" s="235"/>
      <c r="AY195" s="235"/>
      <c r="AZ195" s="238"/>
      <c r="BA195" s="235"/>
      <c r="BB195" s="108"/>
      <c r="BC195" s="108"/>
    </row>
    <row r="196" spans="1:55" ht="16.149999999999999" customHeight="1" x14ac:dyDescent="0.2">
      <c r="A196" s="108"/>
      <c r="B196" s="60">
        <f>CenAVS!A203</f>
        <v>0</v>
      </c>
      <c r="C196" s="60">
        <f>CenAVS!B203</f>
        <v>0</v>
      </c>
      <c r="D196" s="615">
        <f>CenAVS!C203</f>
        <v>0</v>
      </c>
      <c r="E196" s="536"/>
      <c r="F196" s="65"/>
      <c r="G196" s="58">
        <f>CenAVS!F203</f>
        <v>0</v>
      </c>
      <c r="H196" s="60">
        <f t="shared" si="28"/>
        <v>0</v>
      </c>
      <c r="I196" s="57"/>
      <c r="J196" s="59">
        <f>CenAVS!I203</f>
        <v>0</v>
      </c>
      <c r="K196" s="59">
        <f>CenAVS!J203</f>
        <v>0</v>
      </c>
      <c r="L196" s="943"/>
      <c r="M196" s="60">
        <f t="shared" si="29"/>
        <v>0</v>
      </c>
      <c r="N196" s="236"/>
      <c r="O196" s="236"/>
      <c r="P196" s="236"/>
      <c r="Q196" s="236"/>
      <c r="R196" s="236"/>
      <c r="S196" s="236"/>
      <c r="T196" s="236"/>
      <c r="U196" s="236"/>
      <c r="V196" s="236"/>
      <c r="W196" s="235"/>
      <c r="X196" s="235"/>
      <c r="Y196" s="235"/>
      <c r="Z196" s="235"/>
      <c r="AA196" s="235"/>
      <c r="AB196" s="235"/>
      <c r="AC196" s="235"/>
      <c r="AD196" s="235"/>
      <c r="AE196" s="235"/>
      <c r="AF196" s="235"/>
      <c r="AG196" s="235"/>
      <c r="AH196" s="235"/>
      <c r="AI196" s="235"/>
      <c r="AJ196" s="235"/>
      <c r="AK196" s="235"/>
      <c r="AL196" s="235"/>
      <c r="AM196" s="235"/>
      <c r="AN196" s="235"/>
      <c r="AO196" s="235"/>
      <c r="AP196" s="235"/>
      <c r="AQ196" s="235"/>
      <c r="AR196" s="235"/>
      <c r="AS196" s="235"/>
      <c r="AT196" s="235"/>
      <c r="AU196" s="235"/>
      <c r="AV196" s="235"/>
      <c r="AW196" s="235"/>
      <c r="AX196" s="235"/>
      <c r="AY196" s="235"/>
      <c r="AZ196" s="238"/>
      <c r="BA196" s="235"/>
      <c r="BB196" s="108"/>
      <c r="BC196" s="108"/>
    </row>
    <row r="197" spans="1:55" ht="16.149999999999999" customHeight="1" x14ac:dyDescent="0.2">
      <c r="A197" s="108"/>
      <c r="B197" s="60">
        <f>CenAVS!A204</f>
        <v>0</v>
      </c>
      <c r="C197" s="60">
        <f>CenAVS!B204</f>
        <v>0</v>
      </c>
      <c r="D197" s="615">
        <f>CenAVS!C204</f>
        <v>0</v>
      </c>
      <c r="E197" s="536"/>
      <c r="F197" s="65"/>
      <c r="G197" s="58">
        <f>CenAVS!F204</f>
        <v>0</v>
      </c>
      <c r="H197" s="60">
        <f t="shared" si="28"/>
        <v>0</v>
      </c>
      <c r="I197" s="57"/>
      <c r="J197" s="59">
        <f>CenAVS!I204</f>
        <v>0</v>
      </c>
      <c r="K197" s="59">
        <f>CenAVS!J204</f>
        <v>0</v>
      </c>
      <c r="L197" s="943"/>
      <c r="M197" s="60">
        <f t="shared" si="29"/>
        <v>0</v>
      </c>
      <c r="N197" s="236"/>
      <c r="O197" s="236"/>
      <c r="P197" s="236"/>
      <c r="Q197" s="236"/>
      <c r="R197" s="236"/>
      <c r="S197" s="236"/>
      <c r="T197" s="236"/>
      <c r="U197" s="236"/>
      <c r="V197" s="236"/>
      <c r="W197" s="235"/>
      <c r="X197" s="235"/>
      <c r="Y197" s="235"/>
      <c r="Z197" s="235"/>
      <c r="AA197" s="235"/>
      <c r="AB197" s="235"/>
      <c r="AC197" s="235"/>
      <c r="AD197" s="235"/>
      <c r="AE197" s="235"/>
      <c r="AF197" s="235"/>
      <c r="AG197" s="235"/>
      <c r="AH197" s="235"/>
      <c r="AI197" s="235"/>
      <c r="AJ197" s="235"/>
      <c r="AK197" s="235"/>
      <c r="AL197" s="235"/>
      <c r="AM197" s="235"/>
      <c r="AN197" s="235"/>
      <c r="AO197" s="235"/>
      <c r="AP197" s="235"/>
      <c r="AQ197" s="235"/>
      <c r="AR197" s="235"/>
      <c r="AS197" s="235"/>
      <c r="AT197" s="235"/>
      <c r="AU197" s="235"/>
      <c r="AV197" s="235"/>
      <c r="AW197" s="235"/>
      <c r="AX197" s="235"/>
      <c r="AY197" s="235"/>
      <c r="AZ197" s="238"/>
      <c r="BA197" s="235"/>
      <c r="BB197" s="108"/>
      <c r="BC197" s="108"/>
    </row>
    <row r="198" spans="1:55" ht="16.149999999999999" customHeight="1" x14ac:dyDescent="0.2">
      <c r="A198" s="108"/>
      <c r="B198" s="60">
        <f>CenAVS!A205</f>
        <v>0</v>
      </c>
      <c r="C198" s="60">
        <f>CenAVS!B205</f>
        <v>0</v>
      </c>
      <c r="D198" s="615">
        <f>CenAVS!C205</f>
        <v>0</v>
      </c>
      <c r="E198" s="536"/>
      <c r="F198" s="65"/>
      <c r="G198" s="58">
        <f>CenAVS!F205</f>
        <v>0</v>
      </c>
      <c r="H198" s="60">
        <f t="shared" si="28"/>
        <v>0</v>
      </c>
      <c r="I198" s="57"/>
      <c r="J198" s="59">
        <f>CenAVS!I205</f>
        <v>0</v>
      </c>
      <c r="K198" s="59">
        <f>CenAVS!J205</f>
        <v>0</v>
      </c>
      <c r="L198" s="943"/>
      <c r="M198" s="60">
        <f t="shared" si="29"/>
        <v>0</v>
      </c>
      <c r="N198" s="236"/>
      <c r="O198" s="236"/>
      <c r="P198" s="236"/>
      <c r="Q198" s="236"/>
      <c r="R198" s="236"/>
      <c r="S198" s="236"/>
      <c r="T198" s="236"/>
      <c r="U198" s="236"/>
      <c r="V198" s="236"/>
      <c r="W198" s="235"/>
      <c r="X198" s="235"/>
      <c r="Y198" s="235"/>
      <c r="Z198" s="235"/>
      <c r="AA198" s="235"/>
      <c r="AB198" s="235"/>
      <c r="AC198" s="235"/>
      <c r="AD198" s="235"/>
      <c r="AE198" s="235"/>
      <c r="AF198" s="235"/>
      <c r="AG198" s="235"/>
      <c r="AH198" s="235"/>
      <c r="AI198" s="235"/>
      <c r="AJ198" s="235"/>
      <c r="AK198" s="235"/>
      <c r="AL198" s="235"/>
      <c r="AM198" s="235"/>
      <c r="AN198" s="235"/>
      <c r="AO198" s="235"/>
      <c r="AP198" s="235"/>
      <c r="AQ198" s="235"/>
      <c r="AR198" s="235"/>
      <c r="AS198" s="235"/>
      <c r="AT198" s="235"/>
      <c r="AU198" s="235"/>
      <c r="AV198" s="235"/>
      <c r="AW198" s="235"/>
      <c r="AX198" s="235"/>
      <c r="AY198" s="235"/>
      <c r="AZ198" s="238"/>
      <c r="BA198" s="235"/>
      <c r="BB198" s="108"/>
      <c r="BC198" s="108"/>
    </row>
    <row r="199" spans="1:55" ht="16.149999999999999" customHeight="1" x14ac:dyDescent="0.2">
      <c r="A199" s="108"/>
      <c r="B199" s="60">
        <f>CenAVS!A206</f>
        <v>0</v>
      </c>
      <c r="C199" s="60">
        <f>CenAVS!B206</f>
        <v>0</v>
      </c>
      <c r="D199" s="615">
        <f>CenAVS!C206</f>
        <v>0</v>
      </c>
      <c r="E199" s="536"/>
      <c r="F199" s="65"/>
      <c r="G199" s="58">
        <f>CenAVS!F206</f>
        <v>0</v>
      </c>
      <c r="H199" s="60">
        <f t="shared" si="28"/>
        <v>0</v>
      </c>
      <c r="I199" s="57"/>
      <c r="J199" s="59">
        <f>CenAVS!I206</f>
        <v>0</v>
      </c>
      <c r="K199" s="59">
        <f>CenAVS!J206</f>
        <v>0</v>
      </c>
      <c r="L199" s="943"/>
      <c r="M199" s="60">
        <f t="shared" si="29"/>
        <v>0</v>
      </c>
      <c r="N199" s="236"/>
      <c r="O199" s="236"/>
      <c r="P199" s="236"/>
      <c r="Q199" s="236"/>
      <c r="R199" s="236"/>
      <c r="S199" s="236"/>
      <c r="T199" s="236"/>
      <c r="U199" s="236"/>
      <c r="V199" s="236"/>
      <c r="W199" s="235"/>
      <c r="X199" s="235"/>
      <c r="Y199" s="235"/>
      <c r="Z199" s="235"/>
      <c r="AA199" s="235"/>
      <c r="AB199" s="235"/>
      <c r="AC199" s="235"/>
      <c r="AD199" s="235"/>
      <c r="AE199" s="235"/>
      <c r="AF199" s="235"/>
      <c r="AG199" s="235"/>
      <c r="AH199" s="235"/>
      <c r="AI199" s="235"/>
      <c r="AJ199" s="235"/>
      <c r="AK199" s="235"/>
      <c r="AL199" s="235"/>
      <c r="AM199" s="235"/>
      <c r="AN199" s="235"/>
      <c r="AO199" s="235"/>
      <c r="AP199" s="235"/>
      <c r="AQ199" s="235"/>
      <c r="AR199" s="235"/>
      <c r="AS199" s="235"/>
      <c r="AT199" s="235"/>
      <c r="AU199" s="235"/>
      <c r="AV199" s="235"/>
      <c r="AW199" s="235"/>
      <c r="AX199" s="235"/>
      <c r="AY199" s="235"/>
      <c r="AZ199" s="238"/>
      <c r="BA199" s="235"/>
      <c r="BB199" s="108"/>
      <c r="BC199" s="108"/>
    </row>
    <row r="200" spans="1:55" ht="16.149999999999999" customHeight="1" x14ac:dyDescent="0.2">
      <c r="A200" s="108"/>
      <c r="B200" s="60">
        <f>CenAVS!A207</f>
        <v>0</v>
      </c>
      <c r="C200" s="60">
        <f>CenAVS!B207</f>
        <v>0</v>
      </c>
      <c r="D200" s="615">
        <f>CenAVS!C207</f>
        <v>0</v>
      </c>
      <c r="E200" s="536"/>
      <c r="F200" s="65"/>
      <c r="G200" s="58">
        <f>CenAVS!F207</f>
        <v>0</v>
      </c>
      <c r="H200" s="60">
        <f t="shared" si="28"/>
        <v>0</v>
      </c>
      <c r="I200" s="57"/>
      <c r="J200" s="59">
        <f>CenAVS!I207</f>
        <v>0</v>
      </c>
      <c r="K200" s="59">
        <f>CenAVS!J207</f>
        <v>0</v>
      </c>
      <c r="L200" s="943"/>
      <c r="M200" s="60">
        <f t="shared" si="29"/>
        <v>0</v>
      </c>
      <c r="N200" s="236"/>
      <c r="O200" s="236"/>
      <c r="P200" s="236"/>
      <c r="Q200" s="236"/>
      <c r="R200" s="236"/>
      <c r="S200" s="236"/>
      <c r="T200" s="236"/>
      <c r="U200" s="236"/>
      <c r="V200" s="236"/>
      <c r="W200" s="235"/>
      <c r="X200" s="235"/>
      <c r="Y200" s="235"/>
      <c r="Z200" s="235"/>
      <c r="AA200" s="235"/>
      <c r="AB200" s="235"/>
      <c r="AC200" s="235"/>
      <c r="AD200" s="235"/>
      <c r="AE200" s="235"/>
      <c r="AF200" s="235"/>
      <c r="AG200" s="235"/>
      <c r="AH200" s="235"/>
      <c r="AI200" s="235"/>
      <c r="AJ200" s="235"/>
      <c r="AK200" s="235"/>
      <c r="AL200" s="235"/>
      <c r="AM200" s="235"/>
      <c r="AN200" s="235"/>
      <c r="AO200" s="235"/>
      <c r="AP200" s="235"/>
      <c r="AQ200" s="235"/>
      <c r="AR200" s="235"/>
      <c r="AS200" s="235"/>
      <c r="AT200" s="235"/>
      <c r="AU200" s="235"/>
      <c r="AV200" s="235"/>
      <c r="AW200" s="235"/>
      <c r="AX200" s="235"/>
      <c r="AY200" s="235"/>
      <c r="AZ200" s="238"/>
      <c r="BA200" s="235"/>
      <c r="BB200" s="108"/>
      <c r="BC200" s="108"/>
    </row>
    <row r="201" spans="1:55" ht="16.149999999999999" customHeight="1" x14ac:dyDescent="0.2">
      <c r="A201" s="108"/>
      <c r="B201" s="60">
        <f>CenAVS!A208</f>
        <v>0</v>
      </c>
      <c r="C201" s="60">
        <f>CenAVS!B208</f>
        <v>0</v>
      </c>
      <c r="D201" s="615">
        <f>CenAVS!C208</f>
        <v>0</v>
      </c>
      <c r="E201" s="536"/>
      <c r="F201" s="65"/>
      <c r="G201" s="58">
        <f>CenAVS!F208</f>
        <v>0</v>
      </c>
      <c r="H201" s="60">
        <f t="shared" si="28"/>
        <v>0</v>
      </c>
      <c r="I201" s="57"/>
      <c r="J201" s="59">
        <f>CenAVS!I208</f>
        <v>0</v>
      </c>
      <c r="K201" s="59">
        <f>CenAVS!J208</f>
        <v>0</v>
      </c>
      <c r="L201" s="943"/>
      <c r="M201" s="60">
        <f t="shared" si="29"/>
        <v>0</v>
      </c>
      <c r="N201" s="236"/>
      <c r="O201" s="236"/>
      <c r="P201" s="236"/>
      <c r="Q201" s="236"/>
      <c r="R201" s="236"/>
      <c r="S201" s="236"/>
      <c r="T201" s="236"/>
      <c r="U201" s="236"/>
      <c r="V201" s="236"/>
      <c r="W201" s="235"/>
      <c r="X201" s="235"/>
      <c r="Y201" s="235"/>
      <c r="Z201" s="235"/>
      <c r="AA201" s="235"/>
      <c r="AB201" s="235"/>
      <c r="AC201" s="235"/>
      <c r="AD201" s="235"/>
      <c r="AE201" s="235"/>
      <c r="AF201" s="235"/>
      <c r="AG201" s="235"/>
      <c r="AH201" s="235"/>
      <c r="AI201" s="235"/>
      <c r="AJ201" s="235"/>
      <c r="AK201" s="235"/>
      <c r="AL201" s="235"/>
      <c r="AM201" s="235"/>
      <c r="AN201" s="235"/>
      <c r="AO201" s="235"/>
      <c r="AP201" s="235"/>
      <c r="AQ201" s="235"/>
      <c r="AR201" s="235"/>
      <c r="AS201" s="235"/>
      <c r="AT201" s="235"/>
      <c r="AU201" s="235"/>
      <c r="AV201" s="235"/>
      <c r="AW201" s="235"/>
      <c r="AX201" s="235"/>
      <c r="AY201" s="235"/>
      <c r="AZ201" s="238"/>
      <c r="BA201" s="235"/>
      <c r="BB201" s="108"/>
      <c r="BC201" s="108"/>
    </row>
    <row r="202" spans="1:55" ht="16.149999999999999" customHeight="1" x14ac:dyDescent="0.2">
      <c r="A202" s="108"/>
      <c r="B202" s="60">
        <f>CenAVS!A209</f>
        <v>0</v>
      </c>
      <c r="C202" s="60">
        <f>CenAVS!B209</f>
        <v>0</v>
      </c>
      <c r="D202" s="615">
        <f>CenAVS!C209</f>
        <v>0</v>
      </c>
      <c r="E202" s="536"/>
      <c r="F202" s="65"/>
      <c r="G202" s="58">
        <f>CenAVS!F209</f>
        <v>0</v>
      </c>
      <c r="H202" s="60">
        <f t="shared" si="28"/>
        <v>0</v>
      </c>
      <c r="I202" s="57"/>
      <c r="J202" s="59">
        <f>CenAVS!I209</f>
        <v>0</v>
      </c>
      <c r="K202" s="59">
        <f>CenAVS!J209</f>
        <v>0</v>
      </c>
      <c r="L202" s="943"/>
      <c r="M202" s="60">
        <f t="shared" si="29"/>
        <v>0</v>
      </c>
      <c r="N202" s="236"/>
      <c r="O202" s="236"/>
      <c r="P202" s="236"/>
      <c r="Q202" s="236"/>
      <c r="R202" s="236"/>
      <c r="S202" s="236"/>
      <c r="T202" s="236"/>
      <c r="U202" s="236"/>
      <c r="V202" s="236"/>
      <c r="W202" s="235"/>
      <c r="X202" s="235"/>
      <c r="Y202" s="235"/>
      <c r="Z202" s="235"/>
      <c r="AA202" s="235"/>
      <c r="AB202" s="235"/>
      <c r="AC202" s="235"/>
      <c r="AD202" s="235"/>
      <c r="AE202" s="235"/>
      <c r="AF202" s="235"/>
      <c r="AG202" s="235"/>
      <c r="AH202" s="235"/>
      <c r="AI202" s="235"/>
      <c r="AJ202" s="235"/>
      <c r="AK202" s="235"/>
      <c r="AL202" s="235"/>
      <c r="AM202" s="235"/>
      <c r="AN202" s="235"/>
      <c r="AO202" s="235"/>
      <c r="AP202" s="235"/>
      <c r="AQ202" s="235"/>
      <c r="AR202" s="235"/>
      <c r="AS202" s="235"/>
      <c r="AT202" s="235"/>
      <c r="AU202" s="235"/>
      <c r="AV202" s="235"/>
      <c r="AW202" s="235"/>
      <c r="AX202" s="235"/>
      <c r="AY202" s="235"/>
      <c r="AZ202" s="238"/>
      <c r="BA202" s="235"/>
      <c r="BB202" s="108"/>
      <c r="BC202" s="108"/>
    </row>
    <row r="203" spans="1:55" ht="16.149999999999999" customHeight="1" x14ac:dyDescent="0.2">
      <c r="A203" s="108"/>
      <c r="B203" s="61"/>
      <c r="C203" s="50"/>
      <c r="D203" s="50"/>
      <c r="E203" s="57"/>
      <c r="F203" s="50"/>
      <c r="G203" s="50"/>
      <c r="H203" s="105"/>
      <c r="I203" s="57"/>
      <c r="J203" s="50"/>
      <c r="K203" s="50"/>
      <c r="L203" s="941"/>
      <c r="N203" s="231"/>
      <c r="O203" s="231"/>
      <c r="P203" s="231"/>
      <c r="Q203" s="231"/>
      <c r="R203" s="231"/>
      <c r="S203" s="231"/>
      <c r="T203" s="231"/>
      <c r="U203" s="231"/>
      <c r="V203" s="231"/>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40"/>
      <c r="AZ203" s="240"/>
      <c r="BA203" s="240"/>
      <c r="BB203" s="108"/>
      <c r="BC203" s="108"/>
    </row>
    <row r="204" spans="1:55" ht="16.149999999999999" customHeight="1" x14ac:dyDescent="0.25">
      <c r="A204" s="108"/>
      <c r="B204" s="61"/>
      <c r="C204" s="62"/>
      <c r="D204" s="63"/>
      <c r="E204" s="97"/>
      <c r="F204" s="64" t="str">
        <f>ListAVS!$B$61&amp;" "</f>
        <v xml:space="preserve">Cena całkowita bez VAT </v>
      </c>
      <c r="G204" s="1284" t="str">
        <f>ListAVS!B62&amp;"   "&amp;TEXT(M204,"# ##0,00")&amp;" "</f>
        <v xml:space="preserve">Zł   0,00 </v>
      </c>
      <c r="H204" s="1284"/>
      <c r="I204" s="57"/>
      <c r="J204" s="50"/>
      <c r="K204" s="50"/>
      <c r="L204" s="941"/>
      <c r="M204" s="430">
        <f>SUM(M11:M202)</f>
        <v>0</v>
      </c>
      <c r="N204" s="231"/>
      <c r="O204" s="231"/>
      <c r="P204" s="231"/>
      <c r="Q204" s="231"/>
      <c r="R204" s="231"/>
      <c r="S204" s="231"/>
      <c r="T204" s="231"/>
      <c r="U204" s="231"/>
      <c r="V204" s="231"/>
      <c r="W204" s="231"/>
      <c r="X204" s="231"/>
      <c r="Y204" s="231"/>
      <c r="Z204" s="231"/>
      <c r="AA204" s="231"/>
      <c r="AB204" s="231"/>
      <c r="AC204" s="231"/>
      <c r="AD204" s="231"/>
      <c r="AE204" s="231"/>
      <c r="AF204" s="231"/>
      <c r="AG204" s="231"/>
      <c r="AH204" s="231"/>
      <c r="AI204" s="231"/>
      <c r="AJ204" s="231"/>
      <c r="AK204" s="231"/>
      <c r="AL204" s="231"/>
      <c r="AM204" s="231"/>
      <c r="AN204" s="231"/>
      <c r="AO204" s="231"/>
      <c r="AP204" s="231"/>
      <c r="AQ204" s="231"/>
      <c r="AR204" s="231"/>
      <c r="AS204" s="231"/>
      <c r="AT204" s="231"/>
      <c r="AU204" s="231"/>
      <c r="AV204" s="231"/>
      <c r="AW204" s="231"/>
      <c r="AX204" s="231"/>
      <c r="AY204" s="231"/>
      <c r="AZ204" s="231"/>
      <c r="BA204" s="231"/>
      <c r="BB204" s="108"/>
      <c r="BC204" s="108"/>
    </row>
    <row r="205" spans="1:55" ht="16.149999999999999" customHeight="1" x14ac:dyDescent="0.2">
      <c r="A205" s="108"/>
      <c r="B205" s="61"/>
      <c r="C205" s="50"/>
      <c r="D205" s="50"/>
      <c r="E205" s="57"/>
      <c r="F205" s="50"/>
      <c r="G205" s="50"/>
      <c r="H205" s="50"/>
      <c r="I205" s="57"/>
      <c r="J205" s="50"/>
      <c r="K205" s="50"/>
      <c r="L205" s="941"/>
      <c r="M205" s="108"/>
      <c r="N205" s="231"/>
      <c r="O205" s="231"/>
      <c r="P205" s="231"/>
      <c r="Q205" s="231"/>
      <c r="R205" s="231"/>
      <c r="S205" s="231"/>
      <c r="T205" s="231"/>
      <c r="U205" s="231"/>
      <c r="V205" s="231"/>
      <c r="W205" s="231"/>
      <c r="X205" s="231"/>
      <c r="Y205" s="231"/>
      <c r="Z205" s="231"/>
      <c r="AA205" s="231"/>
      <c r="AB205" s="231"/>
      <c r="AC205" s="231"/>
      <c r="AD205" s="231"/>
      <c r="AE205" s="231"/>
      <c r="AF205" s="231"/>
      <c r="AG205" s="231"/>
      <c r="AH205" s="231"/>
      <c r="AI205" s="231"/>
      <c r="AJ205" s="231"/>
      <c r="AK205" s="231"/>
      <c r="AL205" s="231"/>
      <c r="AM205" s="231"/>
      <c r="AN205" s="231"/>
      <c r="AO205" s="231"/>
      <c r="AP205" s="231"/>
      <c r="AQ205" s="231"/>
      <c r="AR205" s="231"/>
      <c r="AS205" s="231"/>
      <c r="AT205" s="231"/>
      <c r="AU205" s="231"/>
      <c r="AV205" s="231"/>
      <c r="AW205" s="231"/>
      <c r="AX205" s="231"/>
      <c r="AY205" s="231"/>
      <c r="AZ205" s="231"/>
      <c r="BA205" s="231"/>
      <c r="BB205" s="108"/>
      <c r="BC205" s="108"/>
    </row>
    <row r="206" spans="1:55" ht="15" customHeight="1" x14ac:dyDescent="0.2">
      <c r="A206" s="108"/>
      <c r="B206" s="5" t="str">
        <f>ListAVS!$B$266&amp;":"</f>
        <v>Uwaga:</v>
      </c>
      <c r="C206" s="50"/>
      <c r="D206" s="50"/>
      <c r="E206" s="57"/>
      <c r="F206" s="50"/>
      <c r="G206" s="50"/>
      <c r="H206" s="50"/>
      <c r="I206" s="57"/>
      <c r="J206" s="50"/>
      <c r="K206" s="50"/>
      <c r="L206" s="941"/>
      <c r="M206" s="108"/>
      <c r="N206" s="231"/>
      <c r="O206" s="231"/>
      <c r="P206" s="231"/>
      <c r="Q206" s="231"/>
      <c r="R206" s="231"/>
      <c r="S206" s="231"/>
      <c r="T206" s="231"/>
      <c r="U206" s="231"/>
      <c r="V206" s="231"/>
      <c r="W206" s="231"/>
      <c r="X206" s="231"/>
      <c r="Y206" s="231"/>
      <c r="Z206" s="231"/>
      <c r="AA206" s="231"/>
      <c r="AB206" s="231"/>
      <c r="AC206" s="231"/>
      <c r="AD206" s="231"/>
      <c r="AE206" s="231"/>
      <c r="AF206" s="231"/>
      <c r="AG206" s="231"/>
      <c r="AH206" s="231"/>
      <c r="AI206" s="231"/>
      <c r="AJ206" s="231"/>
      <c r="AK206" s="231"/>
      <c r="AL206" s="231"/>
      <c r="AM206" s="231"/>
      <c r="AN206" s="231"/>
      <c r="AO206" s="231"/>
      <c r="AP206" s="231"/>
      <c r="AQ206" s="231"/>
      <c r="AR206" s="231"/>
      <c r="AS206" s="231"/>
      <c r="AT206" s="231"/>
      <c r="AU206" s="231"/>
      <c r="AV206" s="231"/>
      <c r="AW206" s="231"/>
      <c r="AX206" s="231"/>
      <c r="AY206" s="231"/>
      <c r="AZ206" s="231"/>
      <c r="BA206" s="231"/>
      <c r="BB206" s="108"/>
      <c r="BC206" s="108"/>
    </row>
    <row r="207" spans="1:55" ht="15" customHeight="1" x14ac:dyDescent="0.2">
      <c r="A207" s="108"/>
      <c r="B207" s="1285"/>
      <c r="C207" s="1285"/>
      <c r="D207" s="1285"/>
      <c r="E207" s="1285"/>
      <c r="F207" s="1285"/>
      <c r="G207" s="1285"/>
      <c r="H207" s="1285"/>
      <c r="I207" s="1285"/>
      <c r="J207" s="1285"/>
      <c r="K207" s="1285"/>
      <c r="L207" s="941"/>
      <c r="M207" s="108"/>
      <c r="N207" s="231"/>
      <c r="O207" s="231"/>
      <c r="P207" s="231"/>
      <c r="Q207" s="231"/>
      <c r="R207" s="231"/>
      <c r="S207" s="231"/>
      <c r="T207" s="231"/>
      <c r="U207" s="231"/>
      <c r="V207" s="231"/>
      <c r="W207" s="231"/>
      <c r="X207" s="231"/>
      <c r="Y207" s="231"/>
      <c r="Z207" s="231"/>
      <c r="AA207" s="231"/>
      <c r="AB207" s="231"/>
      <c r="AC207" s="231"/>
      <c r="AD207" s="231"/>
      <c r="AE207" s="231"/>
      <c r="AF207" s="231"/>
      <c r="AG207" s="231"/>
      <c r="AH207" s="231"/>
      <c r="AI207" s="231"/>
      <c r="AJ207" s="231"/>
      <c r="AK207" s="231"/>
      <c r="AL207" s="231"/>
      <c r="AM207" s="231"/>
      <c r="AN207" s="231"/>
      <c r="AO207" s="231"/>
      <c r="AP207" s="231"/>
      <c r="AQ207" s="231"/>
      <c r="AR207" s="231"/>
      <c r="AS207" s="231"/>
      <c r="AT207" s="231"/>
      <c r="AU207" s="231"/>
      <c r="AV207" s="231"/>
      <c r="AW207" s="231"/>
      <c r="AX207" s="231"/>
      <c r="AY207" s="231"/>
      <c r="AZ207" s="231"/>
      <c r="BA207" s="231"/>
      <c r="BB207" s="108"/>
      <c r="BC207" s="108"/>
    </row>
    <row r="208" spans="1:55" ht="15" customHeight="1" x14ac:dyDescent="0.2">
      <c r="B208" s="1285"/>
      <c r="C208" s="1285"/>
      <c r="D208" s="1285"/>
      <c r="E208" s="1285"/>
      <c r="F208" s="1285"/>
      <c r="G208" s="1285"/>
      <c r="H208" s="1285"/>
      <c r="I208" s="1285"/>
      <c r="J208" s="1285"/>
      <c r="K208" s="1285"/>
    </row>
    <row r="209" spans="2:11" ht="15" customHeight="1" x14ac:dyDescent="0.2">
      <c r="B209" s="1285"/>
      <c r="C209" s="1285"/>
      <c r="D209" s="1285"/>
      <c r="E209" s="1285"/>
      <c r="F209" s="1285"/>
      <c r="G209" s="1285"/>
      <c r="H209" s="1285"/>
      <c r="I209" s="1285"/>
      <c r="J209" s="1285"/>
      <c r="K209" s="1285"/>
    </row>
    <row r="210" spans="2:11" x14ac:dyDescent="0.2">
      <c r="B210" s="50"/>
      <c r="C210" s="50"/>
      <c r="D210" s="50"/>
      <c r="E210" s="57"/>
      <c r="F210" s="50"/>
      <c r="G210" s="50"/>
      <c r="H210" s="50"/>
      <c r="I210" s="57"/>
      <c r="J210" s="50"/>
      <c r="K210" s="50"/>
    </row>
    <row r="211" spans="2:11" ht="12.75" x14ac:dyDescent="0.2">
      <c r="B211" s="825" t="str">
        <f>"       "&amp;ListAVS!B381</f>
        <v xml:space="preserve">       Po edycji zamówienia użyj filtra w kolumnie „szt.”, aby odfiltrować puste kolumny.</v>
      </c>
    </row>
    <row r="213" spans="2:11" ht="12.75" x14ac:dyDescent="0.2">
      <c r="B213" s="825" t="str">
        <f>"        "&amp;ListAVS!B383</f>
        <v xml:space="preserve">        Aby zapisać lub wysłać zamówienie jako załącznik, utwórz nowy plik klikając w link</v>
      </c>
    </row>
    <row r="215" spans="2:11" ht="16.149999999999999" customHeight="1" x14ac:dyDescent="0.2">
      <c r="J215" s="1286" t="str">
        <f>ListAVS!B268</f>
        <v>Utwórz zamówienie</v>
      </c>
      <c r="K215" s="1286"/>
    </row>
    <row r="303" spans="1:31" x14ac:dyDescent="0.2">
      <c r="A303" s="996"/>
    </row>
    <row r="304" spans="1:31" s="121" customFormat="1" ht="15" customHeight="1" x14ac:dyDescent="0.2">
      <c r="A304" s="996"/>
      <c r="B304" s="190" t="str">
        <f>"      "&amp;ListAVS!$D$158</f>
        <v xml:space="preserve">      </v>
      </c>
      <c r="C304" s="191"/>
      <c r="D304" s="190"/>
      <c r="E304" s="190"/>
      <c r="F304" s="243"/>
      <c r="G304" s="190"/>
      <c r="H304" s="190"/>
      <c r="I304" s="244"/>
      <c r="J304" s="190"/>
      <c r="K304" s="190"/>
      <c r="L304" s="946"/>
      <c r="M304" s="37"/>
      <c r="N304" s="37"/>
      <c r="O304" s="37"/>
      <c r="P304" s="37"/>
      <c r="Q304" s="37"/>
      <c r="R304" s="37"/>
      <c r="S304" s="37"/>
      <c r="T304" s="37"/>
      <c r="U304" s="37"/>
      <c r="V304" s="37"/>
      <c r="W304" s="37"/>
      <c r="X304" s="37"/>
      <c r="Y304" s="37"/>
      <c r="Z304" s="37"/>
      <c r="AA304" s="36"/>
      <c r="AB304" s="36"/>
      <c r="AC304" s="36"/>
      <c r="AD304" s="36"/>
      <c r="AE304" s="36"/>
    </row>
    <row r="305" spans="1:53" ht="3.75" customHeight="1" x14ac:dyDescent="0.2">
      <c r="A305" s="996"/>
    </row>
    <row r="306" spans="1:53" s="245" customFormat="1" ht="15" customHeight="1" x14ac:dyDescent="0.2">
      <c r="A306" s="996"/>
      <c r="B306" s="825" t="str">
        <f>ListAVS!B372</f>
        <v>Możesz dodać numer zamówienia i oznaczyć zlecenia</v>
      </c>
      <c r="C306" s="825"/>
      <c r="D306" s="860"/>
      <c r="E306" s="825"/>
      <c r="F306" s="861"/>
      <c r="G306" s="860"/>
      <c r="H306" s="860"/>
      <c r="I306" s="862"/>
      <c r="J306" s="825"/>
      <c r="K306" s="825"/>
      <c r="L306" s="947"/>
      <c r="M306" s="825"/>
      <c r="N306" s="557"/>
      <c r="O306" s="557"/>
      <c r="P306" s="557"/>
      <c r="Q306" s="557"/>
      <c r="R306" s="557"/>
      <c r="S306" s="557"/>
      <c r="T306" s="557"/>
      <c r="U306" s="557"/>
      <c r="V306" s="557"/>
      <c r="W306" s="557"/>
      <c r="X306" s="557"/>
      <c r="Y306" s="557"/>
      <c r="Z306" s="557"/>
      <c r="AA306" s="557"/>
      <c r="AB306" s="557"/>
      <c r="AC306" s="557"/>
      <c r="AD306" s="557"/>
      <c r="AE306" s="557"/>
      <c r="AF306" s="557"/>
      <c r="AG306" s="557"/>
      <c r="AH306" s="557"/>
      <c r="AI306" s="557"/>
      <c r="AJ306" s="557"/>
      <c r="AK306" s="557"/>
      <c r="AL306" s="557"/>
      <c r="AM306" s="557"/>
      <c r="AN306" s="557"/>
      <c r="AO306" s="557"/>
      <c r="AP306" s="557"/>
      <c r="AQ306" s="557"/>
      <c r="AR306" s="557"/>
      <c r="AS306" s="557"/>
      <c r="AT306" s="557"/>
      <c r="AU306" s="557"/>
      <c r="AV306" s="557"/>
      <c r="AW306" s="557"/>
      <c r="AX306" s="557"/>
      <c r="AY306" s="557"/>
      <c r="AZ306" s="557"/>
      <c r="BA306" s="557"/>
    </row>
    <row r="307" spans="1:53" s="245" customFormat="1" ht="15" customHeight="1" x14ac:dyDescent="0.2">
      <c r="A307" s="996"/>
      <c r="B307" s="825" t="str">
        <f>ListAVS!B373</f>
        <v>Dane o odbiorcy zapisują się z "Formularza"</v>
      </c>
      <c r="C307" s="825"/>
      <c r="D307" s="860"/>
      <c r="E307" s="825"/>
      <c r="F307" s="861"/>
      <c r="G307" s="860"/>
      <c r="H307" s="860"/>
      <c r="I307" s="862"/>
      <c r="J307" s="825"/>
      <c r="K307" s="825"/>
      <c r="L307" s="947"/>
      <c r="M307" s="825"/>
      <c r="N307" s="557"/>
      <c r="O307" s="557"/>
      <c r="P307" s="557"/>
      <c r="Q307" s="557"/>
      <c r="R307" s="557"/>
      <c r="S307" s="557"/>
      <c r="T307" s="557"/>
      <c r="U307" s="557"/>
      <c r="V307" s="557"/>
      <c r="W307" s="557"/>
      <c r="X307" s="557"/>
      <c r="Y307" s="557"/>
      <c r="Z307" s="557"/>
      <c r="AA307" s="557"/>
      <c r="AB307" s="557"/>
      <c r="AC307" s="557"/>
      <c r="AD307" s="557"/>
      <c r="AE307" s="557"/>
      <c r="AF307" s="557"/>
      <c r="AG307" s="557"/>
      <c r="AH307" s="557"/>
      <c r="AI307" s="557"/>
      <c r="AJ307" s="557"/>
      <c r="AK307" s="557"/>
      <c r="AL307" s="557"/>
      <c r="AM307" s="557"/>
      <c r="AN307" s="557"/>
      <c r="AO307" s="557"/>
      <c r="AP307" s="557"/>
      <c r="AQ307" s="557"/>
      <c r="AR307" s="557"/>
      <c r="AS307" s="557"/>
      <c r="AT307" s="557"/>
      <c r="AU307" s="557"/>
      <c r="AV307" s="557"/>
      <c r="AW307" s="557"/>
      <c r="AX307" s="557"/>
      <c r="AY307" s="557"/>
      <c r="AZ307" s="557"/>
      <c r="BA307" s="557"/>
    </row>
    <row r="308" spans="1:53" s="245" customFormat="1" ht="15" customHeight="1" x14ac:dyDescent="0.2">
      <c r="A308" s="996"/>
      <c r="B308" s="825" t="str">
        <f>ListAVS!B374</f>
        <v>Jeśli chcesz zmienić albo dopełnić dane, przejdź na "Wstęp" i kliknij na "Formularz"</v>
      </c>
      <c r="C308" s="825"/>
      <c r="D308" s="860"/>
      <c r="E308" s="825"/>
      <c r="F308" s="861"/>
      <c r="G308" s="860"/>
      <c r="H308" s="860"/>
      <c r="I308" s="862"/>
      <c r="J308" s="825"/>
      <c r="K308" s="825"/>
      <c r="L308" s="947"/>
      <c r="M308" s="825"/>
      <c r="N308" s="557"/>
      <c r="O308" s="557"/>
      <c r="P308" s="557"/>
      <c r="Q308" s="557"/>
      <c r="R308" s="557"/>
      <c r="S308" s="557"/>
      <c r="T308" s="557"/>
      <c r="U308" s="557"/>
      <c r="V308" s="557"/>
      <c r="W308" s="557"/>
      <c r="X308" s="557"/>
      <c r="Y308" s="557"/>
      <c r="Z308" s="557"/>
      <c r="AA308" s="557"/>
      <c r="AB308" s="557"/>
      <c r="AC308" s="557"/>
      <c r="AD308" s="557"/>
      <c r="AE308" s="557"/>
      <c r="AF308" s="557"/>
      <c r="AG308" s="557"/>
      <c r="AH308" s="557"/>
      <c r="AI308" s="557"/>
      <c r="AJ308" s="557"/>
      <c r="AK308" s="557"/>
      <c r="AL308" s="557"/>
      <c r="AM308" s="557"/>
      <c r="AN308" s="557"/>
      <c r="AO308" s="557"/>
      <c r="AP308" s="557"/>
      <c r="AQ308" s="557"/>
      <c r="AR308" s="557"/>
      <c r="AS308" s="557"/>
      <c r="AT308" s="557"/>
      <c r="AU308" s="557"/>
      <c r="AV308" s="557"/>
      <c r="AW308" s="557"/>
      <c r="AX308" s="557"/>
      <c r="AY308" s="557"/>
      <c r="AZ308" s="557"/>
      <c r="BA308" s="557"/>
    </row>
    <row r="309" spans="1:53" s="245" customFormat="1" ht="15" customHeight="1" x14ac:dyDescent="0.2">
      <c r="A309" s="996"/>
      <c r="B309" s="825" t="str">
        <f>ListAVS!B375</f>
        <v>Ceny w zamówieniu wyświetlają się na poziomie cen nastawionych na stronie początkowej.</v>
      </c>
      <c r="C309" s="825"/>
      <c r="D309" s="860"/>
      <c r="E309" s="825"/>
      <c r="F309" s="861"/>
      <c r="G309" s="860"/>
      <c r="H309" s="860"/>
      <c r="I309" s="862"/>
      <c r="J309" s="825"/>
      <c r="K309" s="825"/>
      <c r="L309" s="947"/>
      <c r="M309" s="825"/>
      <c r="N309" s="557"/>
      <c r="O309" s="557"/>
      <c r="P309" s="557"/>
      <c r="Q309" s="557"/>
      <c r="R309" s="557"/>
      <c r="S309" s="557"/>
      <c r="T309" s="557"/>
      <c r="U309" s="557"/>
      <c r="V309" s="557"/>
      <c r="W309" s="557"/>
      <c r="X309" s="557"/>
      <c r="Y309" s="557"/>
      <c r="Z309" s="557"/>
      <c r="AA309" s="557"/>
      <c r="AB309" s="557"/>
      <c r="AC309" s="557"/>
      <c r="AD309" s="557"/>
      <c r="AE309" s="557"/>
      <c r="AF309" s="557"/>
      <c r="AG309" s="557"/>
      <c r="AH309" s="557"/>
      <c r="AI309" s="557"/>
      <c r="AJ309" s="557"/>
      <c r="AK309" s="557"/>
      <c r="AL309" s="557"/>
      <c r="AM309" s="557"/>
      <c r="AN309" s="557"/>
      <c r="AO309" s="557"/>
      <c r="AP309" s="557"/>
      <c r="AQ309" s="557"/>
      <c r="AR309" s="557"/>
      <c r="AS309" s="557"/>
      <c r="AT309" s="557"/>
      <c r="AU309" s="557"/>
      <c r="AV309" s="557"/>
      <c r="AW309" s="557"/>
      <c r="AX309" s="557"/>
      <c r="AY309" s="557"/>
      <c r="AZ309" s="557"/>
      <c r="BA309" s="557"/>
    </row>
    <row r="310" spans="1:53" s="245" customFormat="1" ht="15" customHeight="1" x14ac:dyDescent="0.2">
      <c r="A310" s="996"/>
      <c r="B310" s="825"/>
      <c r="C310" s="825"/>
      <c r="D310" s="860"/>
      <c r="E310" s="825"/>
      <c r="F310" s="861"/>
      <c r="G310" s="860"/>
      <c r="H310" s="860"/>
      <c r="I310" s="862"/>
      <c r="J310" s="825"/>
      <c r="K310" s="825"/>
      <c r="L310" s="947"/>
      <c r="M310" s="825"/>
      <c r="N310" s="557"/>
      <c r="O310" s="557"/>
      <c r="P310" s="557"/>
      <c r="Q310" s="557"/>
      <c r="R310" s="557"/>
      <c r="S310" s="557"/>
      <c r="T310" s="557"/>
      <c r="U310" s="557"/>
      <c r="V310" s="557"/>
      <c r="W310" s="557"/>
      <c r="X310" s="557"/>
      <c r="Y310" s="557"/>
      <c r="Z310" s="557"/>
      <c r="AA310" s="557"/>
      <c r="AB310" s="557"/>
      <c r="AC310" s="557"/>
      <c r="AD310" s="557"/>
      <c r="AE310" s="557"/>
      <c r="AF310" s="557"/>
      <c r="AG310" s="557"/>
      <c r="AH310" s="557"/>
      <c r="AI310" s="557"/>
      <c r="AJ310" s="557"/>
      <c r="AK310" s="557"/>
      <c r="AL310" s="557"/>
      <c r="AM310" s="557"/>
      <c r="AN310" s="557"/>
      <c r="AO310" s="557"/>
      <c r="AP310" s="557"/>
      <c r="AQ310" s="557"/>
      <c r="AR310" s="557"/>
      <c r="AS310" s="557"/>
      <c r="AT310" s="557"/>
      <c r="AU310" s="557"/>
      <c r="AV310" s="557"/>
      <c r="AW310" s="557"/>
      <c r="AX310" s="557"/>
      <c r="AY310" s="557"/>
      <c r="AZ310" s="557"/>
      <c r="BA310" s="557"/>
    </row>
    <row r="311" spans="1:53" s="245" customFormat="1" ht="15" customHeight="1" x14ac:dyDescent="0.2">
      <c r="A311" s="996"/>
      <c r="B311" s="825" t="str">
        <f>ListAVS!B377</f>
        <v xml:space="preserve">W zamówieniu możesz zmieniać liczbę sztuk. </v>
      </c>
      <c r="C311" s="825"/>
      <c r="D311" s="860"/>
      <c r="E311" s="825"/>
      <c r="F311" s="861"/>
      <c r="G311" s="860"/>
      <c r="H311" s="860"/>
      <c r="I311" s="862"/>
      <c r="J311" s="825"/>
      <c r="K311" s="825"/>
      <c r="L311" s="947"/>
      <c r="M311" s="825"/>
      <c r="N311" s="557"/>
      <c r="O311" s="557"/>
      <c r="P311" s="557"/>
      <c r="Q311" s="557"/>
      <c r="R311" s="557"/>
      <c r="S311" s="557"/>
      <c r="T311" s="557"/>
      <c r="U311" s="557"/>
      <c r="V311" s="557"/>
      <c r="W311" s="557"/>
      <c r="X311" s="557"/>
      <c r="Y311" s="557"/>
      <c r="Z311" s="557"/>
      <c r="AA311" s="557"/>
      <c r="AB311" s="557"/>
      <c r="AC311" s="557"/>
      <c r="AD311" s="557"/>
      <c r="AE311" s="557"/>
      <c r="AF311" s="557"/>
      <c r="AG311" s="557"/>
      <c r="AH311" s="557"/>
      <c r="AI311" s="557"/>
      <c r="AJ311" s="557"/>
      <c r="AK311" s="557"/>
      <c r="AL311" s="557"/>
      <c r="AM311" s="557"/>
      <c r="AN311" s="557"/>
      <c r="AO311" s="557"/>
      <c r="AP311" s="557"/>
      <c r="AQ311" s="557"/>
      <c r="AR311" s="557"/>
      <c r="AS311" s="557"/>
      <c r="AT311" s="557"/>
      <c r="AU311" s="557"/>
      <c r="AV311" s="557"/>
      <c r="AW311" s="557"/>
      <c r="AX311" s="557"/>
      <c r="AY311" s="557"/>
      <c r="AZ311" s="557"/>
      <c r="BA311" s="557"/>
    </row>
    <row r="312" spans="1:53" s="245" customFormat="1" ht="15" customHeight="1" x14ac:dyDescent="0.2">
      <c r="A312" s="996"/>
      <c r="B312" s="825" t="str">
        <f>ListAVS!B378</f>
        <v>Jeżeli chcesz daną pozycję wyzerować, wpisz wartość „x” w kolumnie „Zmień”.</v>
      </c>
      <c r="C312" s="825"/>
      <c r="D312" s="860"/>
      <c r="E312" s="825"/>
      <c r="F312" s="861"/>
      <c r="G312" s="860"/>
      <c r="H312" s="860"/>
      <c r="I312" s="862"/>
      <c r="J312" s="825"/>
      <c r="K312" s="825"/>
      <c r="L312" s="947"/>
      <c r="M312" s="825"/>
      <c r="N312" s="557"/>
      <c r="O312" s="557"/>
      <c r="P312" s="557"/>
      <c r="Q312" s="557"/>
      <c r="R312" s="557"/>
      <c r="S312" s="557"/>
      <c r="T312" s="557"/>
      <c r="U312" s="557"/>
      <c r="V312" s="557"/>
      <c r="W312" s="557"/>
      <c r="X312" s="557"/>
      <c r="Y312" s="557"/>
      <c r="Z312" s="557"/>
      <c r="AA312" s="557"/>
      <c r="AB312" s="557"/>
      <c r="AC312" s="557"/>
      <c r="AD312" s="557"/>
      <c r="AE312" s="557"/>
      <c r="AF312" s="557"/>
      <c r="AG312" s="557"/>
      <c r="AH312" s="557"/>
      <c r="AI312" s="557"/>
      <c r="AJ312" s="557"/>
      <c r="AK312" s="557"/>
      <c r="AL312" s="557"/>
      <c r="AM312" s="557"/>
      <c r="AN312" s="557"/>
      <c r="AO312" s="557"/>
      <c r="AP312" s="557"/>
      <c r="AQ312" s="557"/>
      <c r="AR312" s="557"/>
      <c r="AS312" s="557"/>
      <c r="AT312" s="557"/>
      <c r="AU312" s="557"/>
      <c r="AV312" s="557"/>
      <c r="AW312" s="557"/>
      <c r="AX312" s="557"/>
      <c r="AY312" s="557"/>
      <c r="AZ312" s="557"/>
      <c r="BA312" s="557"/>
    </row>
    <row r="313" spans="1:53" s="245" customFormat="1" ht="15" customHeight="1" x14ac:dyDescent="0.2">
      <c r="A313" s="996"/>
      <c r="B313" s="825" t="str">
        <f>ListAVS!B379</f>
        <v>Możesz użyć pustych kolumn, aby dodać pozycje, które nie znajdują się w zamówieniu.</v>
      </c>
      <c r="C313" s="825"/>
      <c r="D313" s="860"/>
      <c r="E313" s="825"/>
      <c r="F313" s="861"/>
      <c r="G313" s="860"/>
      <c r="H313" s="860"/>
      <c r="I313" s="862"/>
      <c r="J313" s="825"/>
      <c r="K313" s="825"/>
      <c r="L313" s="947"/>
      <c r="M313" s="825"/>
      <c r="N313" s="557"/>
      <c r="O313" s="557"/>
      <c r="P313" s="557"/>
      <c r="Q313" s="557"/>
      <c r="R313" s="557"/>
      <c r="S313" s="557"/>
      <c r="T313" s="557"/>
      <c r="U313" s="557"/>
      <c r="V313" s="557"/>
      <c r="W313" s="557"/>
      <c r="X313" s="557"/>
      <c r="Y313" s="557"/>
      <c r="Z313" s="557"/>
      <c r="AA313" s="557"/>
      <c r="AB313" s="557"/>
      <c r="AC313" s="557"/>
      <c r="AD313" s="557"/>
      <c r="AE313" s="557"/>
      <c r="AF313" s="557"/>
      <c r="AG313" s="557"/>
      <c r="AH313" s="557"/>
      <c r="AI313" s="557"/>
      <c r="AJ313" s="557"/>
      <c r="AK313" s="557"/>
      <c r="AL313" s="557"/>
      <c r="AM313" s="557"/>
      <c r="AN313" s="557"/>
      <c r="AO313" s="557"/>
      <c r="AP313" s="557"/>
      <c r="AQ313" s="557"/>
      <c r="AR313" s="557"/>
      <c r="AS313" s="557"/>
      <c r="AT313" s="557"/>
      <c r="AU313" s="557"/>
      <c r="AV313" s="557"/>
      <c r="AW313" s="557"/>
      <c r="AX313" s="557"/>
      <c r="AY313" s="557"/>
      <c r="AZ313" s="557"/>
      <c r="BA313" s="557"/>
    </row>
    <row r="314" spans="1:53" s="245" customFormat="1" ht="15" customHeight="1" x14ac:dyDescent="0.2">
      <c r="A314" s="996"/>
      <c r="B314" s="825"/>
      <c r="C314" s="825"/>
      <c r="D314" s="860"/>
      <c r="E314" s="825"/>
      <c r="F314" s="861"/>
      <c r="G314" s="860"/>
      <c r="H314" s="860"/>
      <c r="I314" s="862"/>
      <c r="J314" s="825"/>
      <c r="K314" s="825"/>
      <c r="L314" s="947"/>
      <c r="M314" s="825"/>
      <c r="N314" s="557"/>
      <c r="O314" s="557"/>
      <c r="P314" s="557"/>
      <c r="Q314" s="557"/>
      <c r="R314" s="557"/>
      <c r="S314" s="557"/>
      <c r="T314" s="557"/>
      <c r="U314" s="557"/>
      <c r="V314" s="557"/>
      <c r="W314" s="557"/>
      <c r="X314" s="557"/>
      <c r="Y314" s="557"/>
      <c r="Z314" s="557"/>
      <c r="AA314" s="557"/>
      <c r="AB314" s="557"/>
      <c r="AC314" s="557"/>
      <c r="AD314" s="557"/>
      <c r="AE314" s="557"/>
      <c r="AF314" s="557"/>
      <c r="AG314" s="557"/>
      <c r="AH314" s="557"/>
      <c r="AI314" s="557"/>
      <c r="AJ314" s="557"/>
      <c r="AK314" s="557"/>
      <c r="AL314" s="557"/>
      <c r="AM314" s="557"/>
      <c r="AN314" s="557"/>
      <c r="AO314" s="557"/>
      <c r="AP314" s="557"/>
      <c r="AQ314" s="557"/>
      <c r="AR314" s="557"/>
      <c r="AS314" s="557"/>
      <c r="AT314" s="557"/>
      <c r="AU314" s="557"/>
      <c r="AV314" s="557"/>
      <c r="AW314" s="557"/>
      <c r="AX314" s="557"/>
      <c r="AY314" s="557"/>
      <c r="AZ314" s="557"/>
      <c r="BA314" s="557"/>
    </row>
    <row r="315" spans="1:53" s="245" customFormat="1" ht="15" customHeight="1" x14ac:dyDescent="0.2">
      <c r="A315" s="996"/>
      <c r="B315" s="825" t="str">
        <f>ListAVS!B381</f>
        <v>Po edycji zamówienia użyj filtra w kolumnie „szt.”, aby odfiltrować puste kolumny.</v>
      </c>
      <c r="C315" s="825"/>
      <c r="D315" s="860"/>
      <c r="E315" s="825"/>
      <c r="F315" s="861"/>
      <c r="G315" s="860"/>
      <c r="H315" s="860"/>
      <c r="I315" s="862"/>
      <c r="J315" s="825"/>
      <c r="K315" s="825"/>
      <c r="L315" s="947"/>
      <c r="M315" s="825"/>
      <c r="N315" s="557"/>
      <c r="O315" s="557"/>
      <c r="P315" s="557"/>
      <c r="Q315" s="557"/>
      <c r="R315" s="557"/>
      <c r="S315" s="557"/>
      <c r="T315" s="557"/>
      <c r="U315" s="557"/>
      <c r="V315" s="557"/>
      <c r="W315" s="557"/>
      <c r="X315" s="557"/>
      <c r="Y315" s="557"/>
      <c r="Z315" s="557"/>
      <c r="AA315" s="557"/>
      <c r="AB315" s="557"/>
      <c r="AC315" s="557"/>
      <c r="AD315" s="557"/>
      <c r="AE315" s="557"/>
      <c r="AF315" s="557"/>
      <c r="AG315" s="557"/>
      <c r="AH315" s="557"/>
      <c r="AI315" s="557"/>
      <c r="AJ315" s="557"/>
      <c r="AK315" s="557"/>
      <c r="AL315" s="557"/>
      <c r="AM315" s="557"/>
      <c r="AN315" s="557"/>
      <c r="AO315" s="557"/>
      <c r="AP315" s="557"/>
      <c r="AQ315" s="557"/>
      <c r="AR315" s="557"/>
      <c r="AS315" s="557"/>
      <c r="AT315" s="557"/>
      <c r="AU315" s="557"/>
      <c r="AV315" s="557"/>
      <c r="AW315" s="557"/>
      <c r="AX315" s="557"/>
      <c r="AY315" s="557"/>
      <c r="AZ315" s="557"/>
      <c r="BA315" s="557"/>
    </row>
    <row r="316" spans="1:53" s="245" customFormat="1" ht="15" customHeight="1" x14ac:dyDescent="0.2">
      <c r="A316" s="996"/>
      <c r="B316" s="825"/>
      <c r="C316" s="825"/>
      <c r="D316" s="860"/>
      <c r="E316" s="825"/>
      <c r="F316" s="861"/>
      <c r="G316" s="860"/>
      <c r="H316" s="860"/>
      <c r="I316" s="862"/>
      <c r="J316" s="825"/>
      <c r="K316" s="825"/>
      <c r="L316" s="947"/>
      <c r="M316" s="825"/>
      <c r="N316" s="557"/>
      <c r="O316" s="557"/>
      <c r="P316" s="557"/>
      <c r="Q316" s="557"/>
      <c r="R316" s="557"/>
      <c r="S316" s="557"/>
      <c r="T316" s="557"/>
      <c r="U316" s="557"/>
      <c r="V316" s="557"/>
      <c r="W316" s="557"/>
      <c r="X316" s="557"/>
      <c r="Y316" s="557"/>
      <c r="Z316" s="557"/>
      <c r="AA316" s="557"/>
      <c r="AB316" s="557"/>
      <c r="AC316" s="557"/>
      <c r="AD316" s="557"/>
      <c r="AE316" s="557"/>
      <c r="AF316" s="557"/>
      <c r="AG316" s="557"/>
      <c r="AH316" s="557"/>
      <c r="AI316" s="557"/>
      <c r="AJ316" s="557"/>
      <c r="AK316" s="557"/>
      <c r="AL316" s="557"/>
      <c r="AM316" s="557"/>
      <c r="AN316" s="557"/>
      <c r="AO316" s="557"/>
      <c r="AP316" s="557"/>
      <c r="AQ316" s="557"/>
      <c r="AR316" s="557"/>
      <c r="AS316" s="557"/>
      <c r="AT316" s="557"/>
      <c r="AU316" s="557"/>
      <c r="AV316" s="557"/>
      <c r="AW316" s="557"/>
      <c r="AX316" s="557"/>
      <c r="AY316" s="557"/>
      <c r="AZ316" s="557"/>
      <c r="BA316" s="557"/>
    </row>
    <row r="317" spans="1:53" s="245" customFormat="1" ht="15" customHeight="1" x14ac:dyDescent="0.2">
      <c r="A317" s="996"/>
      <c r="B317" s="825" t="str">
        <f>ListAVS!B383</f>
        <v>Aby zapisać lub wysłać zamówienie jako załącznik, utwórz nowy plik klikając w link</v>
      </c>
      <c r="C317" s="825"/>
      <c r="D317" s="860"/>
      <c r="E317" s="825"/>
      <c r="F317" s="861"/>
      <c r="G317" s="860"/>
      <c r="H317" s="860"/>
      <c r="I317" s="862"/>
      <c r="J317" s="825"/>
      <c r="K317" s="825"/>
      <c r="L317" s="947"/>
      <c r="M317" s="825"/>
      <c r="N317" s="557"/>
      <c r="O317" s="557"/>
      <c r="P317" s="557"/>
      <c r="Q317" s="557"/>
      <c r="R317" s="557"/>
      <c r="S317" s="557"/>
      <c r="T317" s="557"/>
      <c r="U317" s="557"/>
      <c r="V317" s="557"/>
      <c r="W317" s="557"/>
      <c r="X317" s="557"/>
      <c r="Y317" s="557"/>
      <c r="Z317" s="557"/>
      <c r="AA317" s="557"/>
      <c r="AB317" s="557"/>
      <c r="AC317" s="557"/>
      <c r="AD317" s="557"/>
      <c r="AE317" s="557"/>
      <c r="AF317" s="557"/>
      <c r="AG317" s="557"/>
      <c r="AH317" s="557"/>
      <c r="AI317" s="557"/>
      <c r="AJ317" s="557"/>
      <c r="AK317" s="557"/>
      <c r="AL317" s="557"/>
      <c r="AM317" s="557"/>
      <c r="AN317" s="557"/>
      <c r="AO317" s="557"/>
      <c r="AP317" s="557"/>
      <c r="AQ317" s="557"/>
      <c r="AR317" s="557"/>
      <c r="AS317" s="557"/>
      <c r="AT317" s="557"/>
      <c r="AU317" s="557"/>
      <c r="AV317" s="557"/>
      <c r="AW317" s="557"/>
      <c r="AX317" s="557"/>
      <c r="AY317" s="557"/>
      <c r="AZ317" s="557"/>
      <c r="BA317" s="557"/>
    </row>
    <row r="318" spans="1:53" s="245" customFormat="1" ht="15" customHeight="1" x14ac:dyDescent="0.2">
      <c r="A318" s="996"/>
      <c r="B318" s="825" t="str">
        <f>"'"&amp;ListAVS!$B$268&amp;"'"</f>
        <v>'Utwórz zamówienie'</v>
      </c>
      <c r="C318" s="825"/>
      <c r="D318" s="860"/>
      <c r="E318" s="825"/>
      <c r="F318" s="861"/>
      <c r="G318" s="860"/>
      <c r="H318" s="860"/>
      <c r="I318" s="862"/>
      <c r="J318" s="825"/>
      <c r="K318" s="825"/>
      <c r="L318" s="947"/>
      <c r="M318" s="825"/>
      <c r="N318" s="557"/>
      <c r="O318" s="557"/>
      <c r="P318" s="557"/>
      <c r="Q318" s="557"/>
      <c r="R318" s="557"/>
      <c r="S318" s="557"/>
      <c r="T318" s="557"/>
      <c r="U318" s="557"/>
      <c r="V318" s="557"/>
      <c r="W318" s="557"/>
      <c r="X318" s="557"/>
      <c r="Y318" s="557"/>
      <c r="Z318" s="557"/>
      <c r="AA318" s="557"/>
      <c r="AB318" s="557"/>
      <c r="AC318" s="557"/>
      <c r="AD318" s="557"/>
      <c r="AE318" s="557"/>
      <c r="AF318" s="557"/>
      <c r="AG318" s="557"/>
      <c r="AH318" s="557"/>
      <c r="AI318" s="557"/>
      <c r="AJ318" s="557"/>
      <c r="AK318" s="557"/>
      <c r="AL318" s="557"/>
      <c r="AM318" s="557"/>
      <c r="AN318" s="557"/>
      <c r="AO318" s="557"/>
      <c r="AP318" s="557"/>
      <c r="AQ318" s="557"/>
      <c r="AR318" s="557"/>
      <c r="AS318" s="557"/>
      <c r="AT318" s="557"/>
      <c r="AU318" s="557"/>
      <c r="AV318" s="557"/>
      <c r="AW318" s="557"/>
      <c r="AX318" s="557"/>
      <c r="AY318" s="557"/>
      <c r="AZ318" s="557"/>
      <c r="BA318" s="557"/>
    </row>
    <row r="319" spans="1:53" s="245" customFormat="1" ht="15" customHeight="1" x14ac:dyDescent="0.2">
      <c r="A319" s="996"/>
      <c r="B319" s="825"/>
      <c r="C319" s="825"/>
      <c r="D319" s="860"/>
      <c r="E319" s="825"/>
      <c r="F319" s="861"/>
      <c r="G319" s="860"/>
      <c r="H319" s="860"/>
      <c r="I319" s="862"/>
      <c r="J319" s="825"/>
      <c r="K319" s="825"/>
      <c r="L319" s="947"/>
      <c r="M319" s="825"/>
      <c r="N319" s="557"/>
      <c r="O319" s="557"/>
      <c r="P319" s="557"/>
      <c r="Q319" s="557"/>
      <c r="R319" s="557"/>
      <c r="S319" s="557"/>
      <c r="T319" s="557"/>
      <c r="U319" s="557"/>
      <c r="V319" s="557"/>
      <c r="W319" s="557"/>
      <c r="X319" s="557"/>
      <c r="Y319" s="557"/>
      <c r="Z319" s="557"/>
      <c r="AA319" s="557"/>
      <c r="AB319" s="557"/>
      <c r="AC319" s="557"/>
      <c r="AD319" s="557"/>
      <c r="AE319" s="557"/>
      <c r="AF319" s="557"/>
      <c r="AG319" s="557"/>
      <c r="AH319" s="557"/>
      <c r="AI319" s="557"/>
      <c r="AJ319" s="557"/>
      <c r="AK319" s="557"/>
      <c r="AL319" s="557"/>
      <c r="AM319" s="557"/>
      <c r="AN319" s="557"/>
      <c r="AO319" s="557"/>
      <c r="AP319" s="557"/>
      <c r="AQ319" s="557"/>
      <c r="AR319" s="557"/>
      <c r="AS319" s="557"/>
      <c r="AT319" s="557"/>
      <c r="AU319" s="557"/>
      <c r="AV319" s="557"/>
      <c r="AW319" s="557"/>
      <c r="AX319" s="557"/>
      <c r="AY319" s="557"/>
      <c r="AZ319" s="557"/>
      <c r="BA319" s="557"/>
    </row>
    <row r="320" spans="1:53" s="245" customFormat="1" ht="15" customHeight="1" x14ac:dyDescent="0.2">
      <c r="A320" s="996"/>
      <c r="B320" s="825"/>
      <c r="C320" s="825"/>
      <c r="D320" s="860"/>
      <c r="E320" s="825"/>
      <c r="F320" s="861"/>
      <c r="G320" s="860"/>
      <c r="H320" s="860"/>
      <c r="I320" s="862"/>
      <c r="J320" s="825"/>
      <c r="K320" s="825"/>
      <c r="L320" s="947"/>
      <c r="M320" s="825"/>
      <c r="N320" s="557"/>
      <c r="O320" s="557"/>
      <c r="P320" s="557"/>
      <c r="Q320" s="557"/>
      <c r="R320" s="557"/>
      <c r="S320" s="557"/>
      <c r="T320" s="557"/>
      <c r="U320" s="557"/>
      <c r="V320" s="557"/>
      <c r="W320" s="557"/>
      <c r="X320" s="557"/>
      <c r="Y320" s="557"/>
      <c r="Z320" s="557"/>
      <c r="AA320" s="557"/>
      <c r="AB320" s="557"/>
      <c r="AC320" s="557"/>
      <c r="AD320" s="557"/>
      <c r="AE320" s="557"/>
      <c r="AF320" s="557"/>
      <c r="AG320" s="557"/>
      <c r="AH320" s="557"/>
      <c r="AI320" s="557"/>
      <c r="AJ320" s="557"/>
      <c r="AK320" s="557"/>
      <c r="AL320" s="557"/>
      <c r="AM320" s="557"/>
      <c r="AN320" s="557"/>
      <c r="AO320" s="557"/>
      <c r="AP320" s="557"/>
      <c r="AQ320" s="557"/>
      <c r="AR320" s="557"/>
      <c r="AS320" s="557"/>
      <c r="AT320" s="557"/>
      <c r="AU320" s="557"/>
      <c r="AV320" s="557"/>
      <c r="AW320" s="557"/>
      <c r="AX320" s="557"/>
      <c r="AY320" s="557"/>
      <c r="AZ320" s="557"/>
      <c r="BA320" s="557"/>
    </row>
    <row r="321" spans="1:53" s="245" customFormat="1" ht="15" customHeight="1" x14ac:dyDescent="0.2">
      <c r="A321" s="996"/>
      <c r="B321" s="825"/>
      <c r="C321" s="825"/>
      <c r="D321" s="860"/>
      <c r="E321" s="825"/>
      <c r="F321" s="861"/>
      <c r="G321" s="860"/>
      <c r="H321" s="860"/>
      <c r="I321" s="862"/>
      <c r="J321" s="558" t="str">
        <f>ListAVS!$B$168</f>
        <v>Z powrotem</v>
      </c>
      <c r="K321" s="825"/>
      <c r="L321" s="947"/>
      <c r="M321" s="825"/>
      <c r="N321" s="557"/>
      <c r="O321" s="557"/>
      <c r="P321" s="557"/>
      <c r="Q321" s="557"/>
      <c r="R321" s="557"/>
      <c r="S321" s="557"/>
      <c r="T321" s="557"/>
      <c r="U321" s="557"/>
      <c r="V321" s="557"/>
      <c r="W321" s="557"/>
      <c r="X321" s="557"/>
      <c r="Y321" s="557"/>
      <c r="Z321" s="557"/>
      <c r="AA321" s="557"/>
      <c r="AB321" s="557"/>
      <c r="AC321" s="557"/>
      <c r="AD321" s="557"/>
      <c r="AE321" s="557"/>
      <c r="AF321" s="557"/>
      <c r="AG321" s="557"/>
      <c r="AH321" s="557"/>
      <c r="AI321" s="557"/>
      <c r="AJ321" s="557"/>
      <c r="AK321" s="557"/>
      <c r="AL321" s="557"/>
      <c r="AM321" s="557"/>
      <c r="AN321" s="557"/>
      <c r="AO321" s="557"/>
      <c r="AP321" s="557"/>
      <c r="AQ321" s="557"/>
      <c r="AR321" s="557"/>
      <c r="AS321" s="557"/>
      <c r="AT321" s="557"/>
      <c r="AU321" s="557"/>
      <c r="AV321" s="557"/>
      <c r="AW321" s="557"/>
      <c r="AX321" s="557"/>
      <c r="AY321" s="557"/>
      <c r="AZ321" s="557"/>
      <c r="BA321" s="557"/>
    </row>
    <row r="322" spans="1:53" s="245" customFormat="1" ht="15" customHeight="1" x14ac:dyDescent="0.2">
      <c r="A322" s="996"/>
      <c r="B322" s="825"/>
      <c r="C322" s="825"/>
      <c r="D322" s="860"/>
      <c r="E322" s="825"/>
      <c r="F322" s="861"/>
      <c r="G322" s="860"/>
      <c r="H322" s="860"/>
      <c r="I322" s="862"/>
      <c r="J322" s="825"/>
      <c r="K322" s="825"/>
      <c r="L322" s="947"/>
      <c r="M322" s="825"/>
      <c r="N322" s="557"/>
      <c r="O322" s="557"/>
      <c r="P322" s="557"/>
      <c r="Q322" s="557"/>
      <c r="R322" s="557"/>
      <c r="S322" s="557"/>
      <c r="T322" s="557"/>
      <c r="U322" s="557"/>
      <c r="V322" s="557"/>
      <c r="W322" s="557"/>
      <c r="X322" s="557"/>
      <c r="Y322" s="557"/>
      <c r="Z322" s="557"/>
      <c r="AA322" s="557"/>
      <c r="AB322" s="557"/>
      <c r="AC322" s="557"/>
      <c r="AD322" s="557"/>
      <c r="AE322" s="557"/>
      <c r="AF322" s="557"/>
      <c r="AG322" s="557"/>
      <c r="AH322" s="557"/>
      <c r="AI322" s="557"/>
      <c r="AJ322" s="557"/>
      <c r="AK322" s="557"/>
      <c r="AL322" s="557"/>
      <c r="AM322" s="557"/>
      <c r="AN322" s="557"/>
      <c r="AO322" s="557"/>
      <c r="AP322" s="557"/>
      <c r="AQ322" s="557"/>
      <c r="AR322" s="557"/>
      <c r="AS322" s="557"/>
      <c r="AT322" s="557"/>
      <c r="AU322" s="557"/>
      <c r="AV322" s="557"/>
      <c r="AW322" s="557"/>
      <c r="AX322" s="557"/>
      <c r="AY322" s="557"/>
      <c r="AZ322" s="557"/>
      <c r="BA322" s="557"/>
    </row>
    <row r="323" spans="1:53" s="245" customFormat="1" ht="15" customHeight="1" x14ac:dyDescent="0.2">
      <c r="A323" s="996"/>
      <c r="B323" s="825"/>
      <c r="C323" s="825"/>
      <c r="D323" s="860"/>
      <c r="E323" s="825"/>
      <c r="F323" s="861"/>
      <c r="G323" s="860"/>
      <c r="H323" s="860"/>
      <c r="I323" s="862"/>
      <c r="J323" s="825"/>
      <c r="K323" s="825"/>
      <c r="L323" s="947"/>
      <c r="M323" s="825"/>
      <c r="N323" s="557"/>
      <c r="O323" s="557"/>
      <c r="P323" s="557"/>
      <c r="Q323" s="557"/>
      <c r="R323" s="557"/>
      <c r="S323" s="557"/>
      <c r="T323" s="557"/>
      <c r="U323" s="557"/>
      <c r="V323" s="557"/>
      <c r="W323" s="557"/>
      <c r="X323" s="557"/>
      <c r="Y323" s="557"/>
      <c r="Z323" s="557"/>
      <c r="AA323" s="557"/>
      <c r="AB323" s="557"/>
      <c r="AC323" s="557"/>
      <c r="AD323" s="557"/>
      <c r="AE323" s="557"/>
      <c r="AF323" s="557"/>
      <c r="AG323" s="557"/>
      <c r="AH323" s="557"/>
      <c r="AI323" s="557"/>
      <c r="AJ323" s="557"/>
      <c r="AK323" s="557"/>
      <c r="AL323" s="557"/>
      <c r="AM323" s="557"/>
      <c r="AN323" s="557"/>
      <c r="AO323" s="557"/>
      <c r="AP323" s="557"/>
      <c r="AQ323" s="557"/>
      <c r="AR323" s="557"/>
      <c r="AS323" s="557"/>
      <c r="AT323" s="557"/>
      <c r="AU323" s="557"/>
      <c r="AV323" s="557"/>
      <c r="AW323" s="557"/>
      <c r="AX323" s="557"/>
      <c r="AY323" s="557"/>
      <c r="AZ323" s="557"/>
      <c r="BA323" s="557"/>
    </row>
    <row r="324" spans="1:53" s="245" customFormat="1" ht="15" customHeight="1" x14ac:dyDescent="0.2">
      <c r="A324" s="996"/>
      <c r="B324" s="825"/>
      <c r="C324" s="825"/>
      <c r="D324" s="860"/>
      <c r="E324" s="825"/>
      <c r="F324" s="861"/>
      <c r="G324" s="860"/>
      <c r="H324" s="860"/>
      <c r="I324" s="862"/>
      <c r="J324" s="825"/>
      <c r="K324" s="825"/>
      <c r="L324" s="947"/>
      <c r="M324" s="825"/>
      <c r="N324" s="557"/>
      <c r="O324" s="557"/>
      <c r="P324" s="557"/>
      <c r="Q324" s="557"/>
      <c r="R324" s="557"/>
      <c r="S324" s="557"/>
      <c r="T324" s="557"/>
      <c r="U324" s="557"/>
      <c r="V324" s="557"/>
      <c r="W324" s="557"/>
      <c r="X324" s="557"/>
      <c r="Y324" s="557"/>
      <c r="Z324" s="557"/>
      <c r="AA324" s="557"/>
      <c r="AB324" s="557"/>
      <c r="AC324" s="557"/>
      <c r="AD324" s="557"/>
      <c r="AE324" s="557"/>
      <c r="AF324" s="557"/>
      <c r="AG324" s="557"/>
      <c r="AH324" s="557"/>
      <c r="AI324" s="557"/>
      <c r="AJ324" s="557"/>
      <c r="AK324" s="557"/>
      <c r="AL324" s="557"/>
      <c r="AM324" s="557"/>
      <c r="AN324" s="557"/>
      <c r="AO324" s="557"/>
      <c r="AP324" s="557"/>
      <c r="AQ324" s="557"/>
      <c r="AR324" s="557"/>
      <c r="AS324" s="557"/>
      <c r="AT324" s="557"/>
      <c r="AU324" s="557"/>
      <c r="AV324" s="557"/>
      <c r="AW324" s="557"/>
      <c r="AX324" s="557"/>
      <c r="AY324" s="557"/>
      <c r="AZ324" s="557"/>
      <c r="BA324" s="557"/>
    </row>
    <row r="325" spans="1:53" s="245" customFormat="1" ht="15" customHeight="1" x14ac:dyDescent="0.2">
      <c r="A325" s="996"/>
      <c r="B325" s="825"/>
      <c r="C325" s="825"/>
      <c r="D325" s="860"/>
      <c r="E325" s="825"/>
      <c r="F325" s="861"/>
      <c r="G325" s="860"/>
      <c r="H325" s="860"/>
      <c r="I325" s="862"/>
      <c r="J325" s="825"/>
      <c r="K325" s="825"/>
      <c r="L325" s="947"/>
      <c r="M325" s="825"/>
      <c r="N325" s="557"/>
      <c r="O325" s="557"/>
      <c r="P325" s="557"/>
      <c r="Q325" s="557"/>
      <c r="R325" s="557"/>
      <c r="S325" s="557"/>
      <c r="T325" s="557"/>
      <c r="U325" s="557"/>
      <c r="V325" s="557"/>
      <c r="W325" s="557"/>
      <c r="X325" s="557"/>
      <c r="Y325" s="557"/>
      <c r="Z325" s="557"/>
      <c r="AA325" s="557"/>
      <c r="AB325" s="557"/>
      <c r="AC325" s="557"/>
      <c r="AD325" s="557"/>
      <c r="AE325" s="557"/>
      <c r="AF325" s="557"/>
      <c r="AG325" s="557"/>
      <c r="AH325" s="557"/>
      <c r="AI325" s="557"/>
      <c r="AJ325" s="557"/>
      <c r="AK325" s="557"/>
      <c r="AL325" s="557"/>
      <c r="AM325" s="557"/>
      <c r="AN325" s="557"/>
      <c r="AO325" s="557"/>
      <c r="AP325" s="557"/>
      <c r="AQ325" s="557"/>
      <c r="AR325" s="557"/>
      <c r="AS325" s="557"/>
      <c r="AT325" s="557"/>
      <c r="AU325" s="557"/>
      <c r="AV325" s="557"/>
      <c r="AW325" s="557"/>
      <c r="AX325" s="557"/>
      <c r="AY325" s="557"/>
      <c r="AZ325" s="557"/>
      <c r="BA325" s="557"/>
    </row>
    <row r="326" spans="1:53" x14ac:dyDescent="0.2">
      <c r="A326" s="996"/>
    </row>
    <row r="327" spans="1:53" x14ac:dyDescent="0.2">
      <c r="A327" s="996"/>
    </row>
    <row r="328" spans="1:53" x14ac:dyDescent="0.2">
      <c r="A328" s="996"/>
    </row>
    <row r="329" spans="1:53" x14ac:dyDescent="0.2">
      <c r="A329" s="996"/>
    </row>
    <row r="330" spans="1:53" x14ac:dyDescent="0.2">
      <c r="A330" s="996"/>
    </row>
    <row r="331" spans="1:53" x14ac:dyDescent="0.2">
      <c r="A331" s="996"/>
    </row>
    <row r="332" spans="1:53" x14ac:dyDescent="0.2">
      <c r="A332" s="996"/>
    </row>
    <row r="333" spans="1:53" x14ac:dyDescent="0.2">
      <c r="A333" s="996"/>
    </row>
    <row r="334" spans="1:53" x14ac:dyDescent="0.2">
      <c r="A334" s="996"/>
    </row>
    <row r="335" spans="1:53" x14ac:dyDescent="0.2">
      <c r="A335" s="996"/>
    </row>
    <row r="336" spans="1:53" x14ac:dyDescent="0.2">
      <c r="A336" s="996"/>
    </row>
    <row r="337" spans="1:1" x14ac:dyDescent="0.2">
      <c r="A337" s="996"/>
    </row>
    <row r="338" spans="1:1" x14ac:dyDescent="0.2">
      <c r="A338" s="996"/>
    </row>
    <row r="339" spans="1:1" x14ac:dyDescent="0.2">
      <c r="A339" s="996"/>
    </row>
    <row r="340" spans="1:1" x14ac:dyDescent="0.2">
      <c r="A340" s="996"/>
    </row>
    <row r="341" spans="1:1" x14ac:dyDescent="0.2">
      <c r="A341" s="996"/>
    </row>
    <row r="342" spans="1:1" x14ac:dyDescent="0.2">
      <c r="A342" s="996"/>
    </row>
    <row r="343" spans="1:1" x14ac:dyDescent="0.2">
      <c r="A343" s="996"/>
    </row>
    <row r="344" spans="1:1" x14ac:dyDescent="0.2">
      <c r="A344" s="996"/>
    </row>
  </sheetData>
  <sheetProtection algorithmName="SHA-512" hashValue="0LVC3t5KbHKVSM3WzezCJLvP8uOkeRN2D4gh512sqrE92vhaBF2glco9mOJGuUj+Zob3dsoZOsGteC6/Mz6nag==" saltValue="W+1UQNHOGRxaso1m+KP6yQ==" spinCount="100000" sheet="1" objects="1" scenarios="1" autoFilter="0"/>
  <autoFilter ref="F10:F202" xr:uid="{CA7EA55D-D3C9-42F9-A67A-5ACBB7790D43}"/>
  <mergeCells count="48">
    <mergeCell ref="H7:K7"/>
    <mergeCell ref="H9:K9"/>
    <mergeCell ref="A303:A344"/>
    <mergeCell ref="G204:H204"/>
    <mergeCell ref="B207:K207"/>
    <mergeCell ref="B208:K208"/>
    <mergeCell ref="B209:K209"/>
    <mergeCell ref="J215:K215"/>
    <mergeCell ref="AQ5:AT5"/>
    <mergeCell ref="AS7:AS9"/>
    <mergeCell ref="AZ7:AZ9"/>
    <mergeCell ref="BA3:BA5"/>
    <mergeCell ref="AV7:AV9"/>
    <mergeCell ref="BA8:BA10"/>
    <mergeCell ref="AN7:AN9"/>
    <mergeCell ref="AT7:AT9"/>
    <mergeCell ref="AD7:AD9"/>
    <mergeCell ref="X7:X9"/>
    <mergeCell ref="AE7:AE9"/>
    <mergeCell ref="AG7:AG9"/>
    <mergeCell ref="AH7:AH9"/>
    <mergeCell ref="AI7:AI9"/>
    <mergeCell ref="AJ7:AJ9"/>
    <mergeCell ref="AL7:AL9"/>
    <mergeCell ref="AM7:AM9"/>
    <mergeCell ref="Q7:Q9"/>
    <mergeCell ref="AB5:AE5"/>
    <mergeCell ref="Y7:Y9"/>
    <mergeCell ref="Z7:Z9"/>
    <mergeCell ref="T7:T9"/>
    <mergeCell ref="U7:U9"/>
    <mergeCell ref="W7:W9"/>
    <mergeCell ref="AG5:AJ5"/>
    <mergeCell ref="R7:R9"/>
    <mergeCell ref="S7:S9"/>
    <mergeCell ref="AW7:AW9"/>
    <mergeCell ref="AX7:AX9"/>
    <mergeCell ref="AV5:AX5"/>
    <mergeCell ref="O5:U5"/>
    <mergeCell ref="AO7:AO9"/>
    <mergeCell ref="AL5:AO5"/>
    <mergeCell ref="AQ7:AQ9"/>
    <mergeCell ref="AR7:AR9"/>
    <mergeCell ref="W5:Z5"/>
    <mergeCell ref="AB7:AB9"/>
    <mergeCell ref="AC7:AC9"/>
    <mergeCell ref="O7:O9"/>
    <mergeCell ref="P7:P9"/>
  </mergeCells>
  <hyperlinks>
    <hyperlink ref="J321" location="OrdAVS!A1" tooltip=" " display="OrdAVS!A1" xr:uid="{C82B8575-BAC0-4CAD-BBC2-38B4472118EB}"/>
    <hyperlink ref="BC3" location="OrdAVS!A300" tooltip=" " display="OrdAVS!A300" xr:uid="{3DDDD174-5569-4EFE-9CF7-55E3B3DBDFBC}"/>
    <hyperlink ref="BC2" location="MenuAVS!A1" tooltip=" " display="MenuAVS!A1" xr:uid="{264F0625-5FEF-489E-B808-C81DB9DDB360}"/>
    <hyperlink ref="BC5" location="AcsAVS!A1" tooltip=" " display="AcsAVS!A1" xr:uid="{0AE35C4E-AD27-4F3B-89E7-C6F8FFD2C4D9}"/>
    <hyperlink ref="BC6" location="SumAVS!A1" tooltip=" " display="SumAVS!A1" xr:uid="{51EF53D9-BD56-4371-82BB-9D4D0D52D1CB}"/>
  </hyperlinks>
  <pageMargins left="0.25" right="0.25" top="0.75" bottom="0.75" header="0.3" footer="0.3"/>
  <pageSetup paperSize="9" scale="90" orientation="portrait" horizontalDpi="4294967293" verticalDpi="1200"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281E8-19A5-41A6-9481-3D996DE41900}">
  <sheetPr codeName="Sheet64"/>
  <dimension ref="A1:H551"/>
  <sheetViews>
    <sheetView topLeftCell="A139" workbookViewId="0">
      <selection activeCell="C157" sqref="C157"/>
    </sheetView>
  </sheetViews>
  <sheetFormatPr defaultColWidth="8.7109375" defaultRowHeight="12.75" x14ac:dyDescent="0.2"/>
  <cols>
    <col min="1" max="1" width="5.28515625" style="620" customWidth="1"/>
    <col min="2" max="2" width="72.42578125" style="621" customWidth="1"/>
    <col min="3" max="3" width="73.7109375" style="620" customWidth="1"/>
    <col min="4" max="4" width="24.7109375" style="620" customWidth="1"/>
    <col min="5" max="16384" width="8.7109375" style="620"/>
  </cols>
  <sheetData>
    <row r="1" spans="2:3" ht="15" customHeight="1" x14ac:dyDescent="0.2">
      <c r="B1" s="619" t="str">
        <f>$B$169</f>
        <v>Wróć na początek</v>
      </c>
      <c r="C1" s="825"/>
    </row>
    <row r="2" spans="2:3" ht="15" customHeight="1" x14ac:dyDescent="0.2">
      <c r="B2" s="825"/>
      <c r="C2" s="825"/>
    </row>
    <row r="3" spans="2:3" ht="15" customHeight="1" x14ac:dyDescent="0.2">
      <c r="B3" s="863" t="s">
        <v>805</v>
      </c>
      <c r="C3" s="825" t="s">
        <v>194</v>
      </c>
    </row>
    <row r="4" spans="2:3" ht="15" customHeight="1" x14ac:dyDescent="0.2">
      <c r="B4" s="863"/>
      <c r="C4" s="825"/>
    </row>
    <row r="5" spans="2:3" ht="15" customHeight="1" x14ac:dyDescent="0.2">
      <c r="B5" s="863" t="s">
        <v>806</v>
      </c>
      <c r="C5" s="825" t="s">
        <v>195</v>
      </c>
    </row>
    <row r="6" spans="2:3" ht="15" customHeight="1" x14ac:dyDescent="0.2">
      <c r="B6" s="863" t="s">
        <v>807</v>
      </c>
      <c r="C6" s="825" t="s">
        <v>196</v>
      </c>
    </row>
    <row r="7" spans="2:3" ht="15" customHeight="1" x14ac:dyDescent="0.2">
      <c r="B7" s="863" t="s">
        <v>808</v>
      </c>
      <c r="C7" s="825" t="s">
        <v>197</v>
      </c>
    </row>
    <row r="8" spans="2:3" ht="15" customHeight="1" x14ac:dyDescent="0.2">
      <c r="B8" s="863" t="s">
        <v>809</v>
      </c>
      <c r="C8" s="825" t="s">
        <v>198</v>
      </c>
    </row>
    <row r="9" spans="2:3" ht="15" customHeight="1" x14ac:dyDescent="0.2">
      <c r="B9" s="863" t="s">
        <v>810</v>
      </c>
      <c r="C9" s="825" t="s">
        <v>199</v>
      </c>
    </row>
    <row r="10" spans="2:3" ht="15" customHeight="1" x14ac:dyDescent="0.2">
      <c r="B10" s="863" t="s">
        <v>811</v>
      </c>
      <c r="C10" s="825" t="s">
        <v>200</v>
      </c>
    </row>
    <row r="11" spans="2:3" ht="15" customHeight="1" x14ac:dyDescent="0.2">
      <c r="B11" s="863"/>
      <c r="C11" s="825"/>
    </row>
    <row r="12" spans="2:3" ht="15" customHeight="1" x14ac:dyDescent="0.2">
      <c r="B12" s="863" t="s">
        <v>812</v>
      </c>
      <c r="C12" s="825" t="s">
        <v>201</v>
      </c>
    </row>
    <row r="13" spans="2:3" ht="15" customHeight="1" x14ac:dyDescent="0.2">
      <c r="B13" s="863" t="s">
        <v>813</v>
      </c>
      <c r="C13" s="825" t="s">
        <v>202</v>
      </c>
    </row>
    <row r="14" spans="2:3" ht="15" customHeight="1" x14ac:dyDescent="0.2">
      <c r="B14" s="863"/>
      <c r="C14" s="825"/>
    </row>
    <row r="15" spans="2:3" ht="15" customHeight="1" x14ac:dyDescent="0.2">
      <c r="B15" s="863"/>
      <c r="C15" s="825"/>
    </row>
    <row r="16" spans="2:3" ht="15" customHeight="1" x14ac:dyDescent="0.2">
      <c r="B16" s="863" t="s">
        <v>814</v>
      </c>
      <c r="C16" s="825" t="s">
        <v>203</v>
      </c>
    </row>
    <row r="17" spans="2:4" ht="15" customHeight="1" x14ac:dyDescent="0.2">
      <c r="B17" s="863" t="s">
        <v>815</v>
      </c>
      <c r="C17" s="825" t="s">
        <v>204</v>
      </c>
    </row>
    <row r="18" spans="2:4" ht="15" customHeight="1" x14ac:dyDescent="0.2">
      <c r="B18" s="863" t="s">
        <v>816</v>
      </c>
      <c r="C18" s="825" t="s">
        <v>205</v>
      </c>
    </row>
    <row r="19" spans="2:4" ht="15" customHeight="1" x14ac:dyDescent="0.2">
      <c r="B19" s="863" t="s">
        <v>817</v>
      </c>
      <c r="C19" s="825" t="s">
        <v>206</v>
      </c>
    </row>
    <row r="20" spans="2:4" ht="15" customHeight="1" x14ac:dyDescent="0.2">
      <c r="B20" s="863" t="s">
        <v>818</v>
      </c>
      <c r="C20" s="825" t="s">
        <v>207</v>
      </c>
    </row>
    <row r="21" spans="2:4" ht="15" customHeight="1" x14ac:dyDescent="0.2">
      <c r="B21" s="863" t="s">
        <v>819</v>
      </c>
      <c r="C21" s="825" t="s">
        <v>208</v>
      </c>
    </row>
    <row r="22" spans="2:4" ht="15" customHeight="1" x14ac:dyDescent="0.2">
      <c r="B22" s="863" t="s">
        <v>820</v>
      </c>
      <c r="C22" s="825" t="s">
        <v>209</v>
      </c>
    </row>
    <row r="23" spans="2:4" ht="15" customHeight="1" x14ac:dyDescent="0.2">
      <c r="B23" s="863" t="s">
        <v>821</v>
      </c>
      <c r="C23" s="825" t="s">
        <v>210</v>
      </c>
    </row>
    <row r="24" spans="2:4" ht="15" customHeight="1" x14ac:dyDescent="0.2">
      <c r="B24" s="863" t="s">
        <v>822</v>
      </c>
      <c r="C24" s="825" t="s">
        <v>211</v>
      </c>
    </row>
    <row r="25" spans="2:4" ht="15" customHeight="1" x14ac:dyDescent="0.2">
      <c r="B25" s="863" t="s">
        <v>823</v>
      </c>
      <c r="C25" s="825" t="s">
        <v>212</v>
      </c>
    </row>
    <row r="26" spans="2:4" ht="15" customHeight="1" x14ac:dyDescent="0.25">
      <c r="B26" s="975" t="s">
        <v>801</v>
      </c>
      <c r="C26" s="825" t="s">
        <v>213</v>
      </c>
      <c r="D26" s="825"/>
    </row>
    <row r="27" spans="2:4" ht="15" customHeight="1" x14ac:dyDescent="0.2">
      <c r="B27" s="863"/>
      <c r="C27" s="825"/>
    </row>
    <row r="28" spans="2:4" ht="15" customHeight="1" x14ac:dyDescent="0.2">
      <c r="B28" s="863"/>
      <c r="C28" s="825"/>
    </row>
    <row r="29" spans="2:4" ht="15" customHeight="1" x14ac:dyDescent="0.2">
      <c r="B29" s="863" t="s">
        <v>824</v>
      </c>
      <c r="C29" s="825" t="s">
        <v>214</v>
      </c>
    </row>
    <row r="30" spans="2:4" ht="15" customHeight="1" x14ac:dyDescent="0.2">
      <c r="B30" s="863" t="s">
        <v>825</v>
      </c>
      <c r="C30" s="825" t="s">
        <v>215</v>
      </c>
    </row>
    <row r="31" spans="2:4" ht="15" customHeight="1" x14ac:dyDescent="0.2">
      <c r="B31" s="863" t="s">
        <v>826</v>
      </c>
      <c r="C31" s="825" t="s">
        <v>216</v>
      </c>
    </row>
    <row r="32" spans="2:4" ht="15" customHeight="1" x14ac:dyDescent="0.2">
      <c r="B32" s="863"/>
      <c r="C32" s="825"/>
    </row>
    <row r="33" spans="2:3" ht="15" customHeight="1" x14ac:dyDescent="0.2">
      <c r="B33" s="863"/>
      <c r="C33" s="825"/>
    </row>
    <row r="34" spans="2:3" ht="15" customHeight="1" x14ac:dyDescent="0.2">
      <c r="B34" s="863"/>
      <c r="C34" s="825"/>
    </row>
    <row r="35" spans="2:3" ht="15" customHeight="1" x14ac:dyDescent="0.2">
      <c r="B35" s="863" t="s">
        <v>827</v>
      </c>
      <c r="C35" s="825" t="s">
        <v>217</v>
      </c>
    </row>
    <row r="36" spans="2:3" ht="15" customHeight="1" x14ac:dyDescent="0.2">
      <c r="B36" s="863" t="s">
        <v>828</v>
      </c>
      <c r="C36" s="825" t="s">
        <v>218</v>
      </c>
    </row>
    <row r="37" spans="2:3" ht="15" customHeight="1" x14ac:dyDescent="0.2">
      <c r="B37" s="863" t="s">
        <v>829</v>
      </c>
      <c r="C37" s="825" t="s">
        <v>104</v>
      </c>
    </row>
    <row r="38" spans="2:3" ht="15" customHeight="1" x14ac:dyDescent="0.2">
      <c r="B38" s="863"/>
      <c r="C38" s="825"/>
    </row>
    <row r="39" spans="2:3" ht="15" customHeight="1" x14ac:dyDescent="0.2">
      <c r="B39" s="863"/>
      <c r="C39" s="825"/>
    </row>
    <row r="40" spans="2:3" ht="15" customHeight="1" x14ac:dyDescent="0.2">
      <c r="B40" s="863"/>
      <c r="C40" s="825"/>
    </row>
    <row r="41" spans="2:3" ht="15" customHeight="1" x14ac:dyDescent="0.2">
      <c r="B41" s="863" t="s">
        <v>219</v>
      </c>
      <c r="C41" s="825" t="s">
        <v>219</v>
      </c>
    </row>
    <row r="42" spans="2:3" ht="15" customHeight="1" x14ac:dyDescent="0.2">
      <c r="B42" s="863" t="s">
        <v>830</v>
      </c>
      <c r="C42" s="825" t="s">
        <v>220</v>
      </c>
    </row>
    <row r="43" spans="2:3" ht="15" customHeight="1" x14ac:dyDescent="0.2">
      <c r="B43" s="863" t="s">
        <v>831</v>
      </c>
      <c r="C43" s="825" t="s">
        <v>221</v>
      </c>
    </row>
    <row r="44" spans="2:3" ht="15" customHeight="1" x14ac:dyDescent="0.2">
      <c r="B44" s="863" t="s">
        <v>832</v>
      </c>
      <c r="C44" s="825" t="s">
        <v>222</v>
      </c>
    </row>
    <row r="45" spans="2:3" ht="15" customHeight="1" x14ac:dyDescent="0.2">
      <c r="B45" s="863" t="s">
        <v>833</v>
      </c>
      <c r="C45" s="825" t="s">
        <v>223</v>
      </c>
    </row>
    <row r="46" spans="2:3" ht="15" customHeight="1" x14ac:dyDescent="0.2">
      <c r="B46" s="863" t="s">
        <v>834</v>
      </c>
      <c r="C46" s="825" t="s">
        <v>224</v>
      </c>
    </row>
    <row r="47" spans="2:3" ht="15" customHeight="1" x14ac:dyDescent="0.2">
      <c r="B47" s="863" t="s">
        <v>835</v>
      </c>
      <c r="C47" s="825" t="s">
        <v>225</v>
      </c>
    </row>
    <row r="48" spans="2:3" ht="15" customHeight="1" x14ac:dyDescent="0.2">
      <c r="B48" s="863" t="s">
        <v>836</v>
      </c>
      <c r="C48" s="825" t="s">
        <v>226</v>
      </c>
    </row>
    <row r="49" spans="2:4" ht="15" customHeight="1" x14ac:dyDescent="0.2">
      <c r="B49" s="863" t="s">
        <v>837</v>
      </c>
      <c r="C49" s="825" t="s">
        <v>227</v>
      </c>
    </row>
    <row r="50" spans="2:4" ht="15" customHeight="1" x14ac:dyDescent="0.2">
      <c r="B50" s="863"/>
      <c r="C50" s="825"/>
    </row>
    <row r="51" spans="2:4" ht="15" customHeight="1" x14ac:dyDescent="0.2">
      <c r="B51" s="863" t="s">
        <v>838</v>
      </c>
      <c r="C51" s="825" t="s">
        <v>228</v>
      </c>
    </row>
    <row r="52" spans="2:4" ht="15" customHeight="1" x14ac:dyDescent="0.2">
      <c r="B52" s="863" t="s">
        <v>839</v>
      </c>
      <c r="C52" s="825" t="s">
        <v>229</v>
      </c>
    </row>
    <row r="53" spans="2:4" ht="15" customHeight="1" x14ac:dyDescent="0.2">
      <c r="B53" s="863" t="s">
        <v>840</v>
      </c>
      <c r="C53" s="825" t="s">
        <v>230</v>
      </c>
    </row>
    <row r="54" spans="2:4" ht="15" customHeight="1" x14ac:dyDescent="0.2">
      <c r="B54" s="863" t="s">
        <v>841</v>
      </c>
      <c r="C54" s="825" t="s">
        <v>231</v>
      </c>
    </row>
    <row r="55" spans="2:4" ht="15" customHeight="1" x14ac:dyDescent="0.2">
      <c r="B55" s="863" t="s">
        <v>842</v>
      </c>
      <c r="C55" s="825" t="s">
        <v>232</v>
      </c>
    </row>
    <row r="56" spans="2:4" ht="15" customHeight="1" x14ac:dyDescent="0.2">
      <c r="B56" s="863" t="s">
        <v>843</v>
      </c>
      <c r="C56" s="825" t="s">
        <v>233</v>
      </c>
    </row>
    <row r="57" spans="2:4" ht="15" customHeight="1" x14ac:dyDescent="0.2">
      <c r="B57" s="863" t="s">
        <v>844</v>
      </c>
      <c r="C57" s="825" t="s">
        <v>234</v>
      </c>
    </row>
    <row r="58" spans="2:4" ht="15" customHeight="1" x14ac:dyDescent="0.2">
      <c r="B58" s="863" t="s">
        <v>845</v>
      </c>
      <c r="C58" s="825" t="s">
        <v>235</v>
      </c>
    </row>
    <row r="59" spans="2:4" ht="15" customHeight="1" x14ac:dyDescent="0.2">
      <c r="B59" s="863" t="s">
        <v>846</v>
      </c>
      <c r="C59" s="825" t="s">
        <v>236</v>
      </c>
    </row>
    <row r="60" spans="2:4" ht="15" customHeight="1" x14ac:dyDescent="0.2">
      <c r="B60" s="863" t="s">
        <v>847</v>
      </c>
      <c r="C60" s="825" t="s">
        <v>237</v>
      </c>
    </row>
    <row r="61" spans="2:4" ht="15" customHeight="1" x14ac:dyDescent="0.2">
      <c r="B61" s="863" t="s">
        <v>848</v>
      </c>
      <c r="C61" s="825" t="s">
        <v>238</v>
      </c>
    </row>
    <row r="62" spans="2:4" ht="15" customHeight="1" x14ac:dyDescent="0.25">
      <c r="B62" s="975" t="s">
        <v>802</v>
      </c>
      <c r="C62" s="825" t="s">
        <v>239</v>
      </c>
      <c r="D62" s="825"/>
    </row>
    <row r="63" spans="2:4" ht="15" customHeight="1" x14ac:dyDescent="0.2">
      <c r="B63" s="863"/>
      <c r="C63" s="825"/>
    </row>
    <row r="64" spans="2:4" ht="15" customHeight="1" x14ac:dyDescent="0.2">
      <c r="B64" s="863" t="s">
        <v>240</v>
      </c>
      <c r="C64" s="825" t="s">
        <v>240</v>
      </c>
    </row>
    <row r="65" spans="2:3" ht="15" customHeight="1" x14ac:dyDescent="0.2">
      <c r="B65" s="863" t="s">
        <v>241</v>
      </c>
      <c r="C65" s="825" t="s">
        <v>241</v>
      </c>
    </row>
    <row r="66" spans="2:3" ht="15" customHeight="1" x14ac:dyDescent="0.2">
      <c r="B66" s="863" t="s">
        <v>849</v>
      </c>
      <c r="C66" s="825" t="s">
        <v>242</v>
      </c>
    </row>
    <row r="67" spans="2:3" ht="15" customHeight="1" x14ac:dyDescent="0.2">
      <c r="B67" s="863" t="s">
        <v>850</v>
      </c>
      <c r="C67" s="825" t="s">
        <v>243</v>
      </c>
    </row>
    <row r="68" spans="2:3" ht="15" customHeight="1" x14ac:dyDescent="0.2">
      <c r="B68" s="863"/>
      <c r="C68" s="825"/>
    </row>
    <row r="69" spans="2:3" ht="15" customHeight="1" x14ac:dyDescent="0.2">
      <c r="B69" s="863" t="s">
        <v>851</v>
      </c>
      <c r="C69" s="825" t="s">
        <v>244</v>
      </c>
    </row>
    <row r="70" spans="2:3" ht="15" customHeight="1" x14ac:dyDescent="0.2">
      <c r="B70" s="863"/>
      <c r="C70" s="825"/>
    </row>
    <row r="71" spans="2:3" ht="15" customHeight="1" x14ac:dyDescent="0.2">
      <c r="B71" s="863" t="s">
        <v>852</v>
      </c>
      <c r="C71" s="825" t="s">
        <v>245</v>
      </c>
    </row>
    <row r="72" spans="2:3" ht="15" customHeight="1" x14ac:dyDescent="0.2">
      <c r="B72" s="863"/>
      <c r="C72" s="825"/>
    </row>
    <row r="73" spans="2:3" ht="15" customHeight="1" x14ac:dyDescent="0.2">
      <c r="B73" s="863" t="s">
        <v>853</v>
      </c>
      <c r="C73" s="825" t="s">
        <v>246</v>
      </c>
    </row>
    <row r="74" spans="2:3" ht="15" customHeight="1" x14ac:dyDescent="0.2">
      <c r="B74" s="863" t="s">
        <v>854</v>
      </c>
      <c r="C74" s="825" t="s">
        <v>247</v>
      </c>
    </row>
    <row r="75" spans="2:3" ht="15" customHeight="1" x14ac:dyDescent="0.2">
      <c r="B75" s="863" t="s">
        <v>855</v>
      </c>
      <c r="C75" s="825" t="s">
        <v>248</v>
      </c>
    </row>
    <row r="76" spans="2:3" ht="15" customHeight="1" x14ac:dyDescent="0.2">
      <c r="B76" s="863" t="s">
        <v>856</v>
      </c>
      <c r="C76" s="825" t="s">
        <v>736</v>
      </c>
    </row>
    <row r="77" spans="2:3" ht="15" customHeight="1" x14ac:dyDescent="0.2">
      <c r="B77" s="863" t="s">
        <v>857</v>
      </c>
      <c r="C77" s="825" t="s">
        <v>249</v>
      </c>
    </row>
    <row r="78" spans="2:3" ht="15" customHeight="1" x14ac:dyDescent="0.2">
      <c r="B78" s="863" t="s">
        <v>858</v>
      </c>
      <c r="C78" s="825" t="s">
        <v>250</v>
      </c>
    </row>
    <row r="79" spans="2:3" ht="15" customHeight="1" x14ac:dyDescent="0.2">
      <c r="B79" s="863" t="s">
        <v>859</v>
      </c>
      <c r="C79" s="825" t="s">
        <v>251</v>
      </c>
    </row>
    <row r="80" spans="2:3" ht="15" customHeight="1" x14ac:dyDescent="0.2">
      <c r="B80" s="863" t="s">
        <v>860</v>
      </c>
      <c r="C80" s="825" t="s">
        <v>252</v>
      </c>
    </row>
    <row r="81" spans="2:3" ht="15" customHeight="1" x14ac:dyDescent="0.2">
      <c r="B81" s="863" t="s">
        <v>861</v>
      </c>
      <c r="C81" s="825" t="s">
        <v>253</v>
      </c>
    </row>
    <row r="82" spans="2:3" ht="15" customHeight="1" x14ac:dyDescent="0.2">
      <c r="B82" s="863" t="s">
        <v>862</v>
      </c>
      <c r="C82" s="825" t="s">
        <v>254</v>
      </c>
    </row>
    <row r="83" spans="2:3" ht="15" customHeight="1" x14ac:dyDescent="0.2">
      <c r="B83" s="863" t="s">
        <v>863</v>
      </c>
      <c r="C83" s="825" t="s">
        <v>255</v>
      </c>
    </row>
    <row r="84" spans="2:3" ht="15" customHeight="1" x14ac:dyDescent="0.2">
      <c r="B84" s="863" t="s">
        <v>864</v>
      </c>
      <c r="C84" s="825" t="s">
        <v>256</v>
      </c>
    </row>
    <row r="85" spans="2:3" ht="15" customHeight="1" x14ac:dyDescent="0.2">
      <c r="B85" s="863" t="s">
        <v>865</v>
      </c>
      <c r="C85" s="825" t="s">
        <v>735</v>
      </c>
    </row>
    <row r="86" spans="2:3" ht="15" customHeight="1" x14ac:dyDescent="0.2">
      <c r="B86" s="863" t="s">
        <v>866</v>
      </c>
      <c r="C86" s="825" t="s">
        <v>257</v>
      </c>
    </row>
    <row r="87" spans="2:3" ht="15" customHeight="1" x14ac:dyDescent="0.2">
      <c r="B87" s="863" t="s">
        <v>867</v>
      </c>
      <c r="C87" s="825" t="s">
        <v>258</v>
      </c>
    </row>
    <row r="88" spans="2:3" ht="15" customHeight="1" x14ac:dyDescent="0.2">
      <c r="B88" s="863" t="s">
        <v>868</v>
      </c>
      <c r="C88" s="825" t="s">
        <v>259</v>
      </c>
    </row>
    <row r="89" spans="2:3" ht="15" customHeight="1" x14ac:dyDescent="0.2">
      <c r="B89" s="863" t="s">
        <v>869</v>
      </c>
      <c r="C89" s="825" t="s">
        <v>260</v>
      </c>
    </row>
    <row r="90" spans="2:3" ht="15" customHeight="1" x14ac:dyDescent="0.2">
      <c r="B90" s="863" t="s">
        <v>261</v>
      </c>
      <c r="C90" s="825" t="s">
        <v>261</v>
      </c>
    </row>
    <row r="91" spans="2:3" ht="15" customHeight="1" x14ac:dyDescent="0.2">
      <c r="B91" s="863" t="s">
        <v>870</v>
      </c>
      <c r="C91" s="825" t="s">
        <v>262</v>
      </c>
    </row>
    <row r="92" spans="2:3" ht="15" customHeight="1" x14ac:dyDescent="0.2">
      <c r="B92" s="863" t="s">
        <v>871</v>
      </c>
      <c r="C92" s="825" t="s">
        <v>263</v>
      </c>
    </row>
    <row r="93" spans="2:3" ht="15" customHeight="1" x14ac:dyDescent="0.2">
      <c r="B93" s="863" t="s">
        <v>872</v>
      </c>
      <c r="C93" s="825" t="s">
        <v>264</v>
      </c>
    </row>
    <row r="94" spans="2:3" ht="15" customHeight="1" x14ac:dyDescent="0.2">
      <c r="B94" s="863" t="s">
        <v>873</v>
      </c>
      <c r="C94" s="825" t="s">
        <v>265</v>
      </c>
    </row>
    <row r="95" spans="2:3" ht="15" customHeight="1" x14ac:dyDescent="0.2">
      <c r="B95" s="863" t="s">
        <v>874</v>
      </c>
      <c r="C95" s="825" t="s">
        <v>266</v>
      </c>
    </row>
    <row r="96" spans="2:3" ht="15" customHeight="1" x14ac:dyDescent="0.2">
      <c r="B96" s="863" t="s">
        <v>875</v>
      </c>
      <c r="C96" s="825" t="s">
        <v>267</v>
      </c>
    </row>
    <row r="97" spans="2:3" ht="15" customHeight="1" x14ac:dyDescent="0.2">
      <c r="B97" s="863" t="s">
        <v>876</v>
      </c>
      <c r="C97" s="825" t="s">
        <v>268</v>
      </c>
    </row>
    <row r="98" spans="2:3" ht="15" customHeight="1" x14ac:dyDescent="0.2">
      <c r="B98" s="863" t="s">
        <v>877</v>
      </c>
      <c r="C98" s="825" t="s">
        <v>269</v>
      </c>
    </row>
    <row r="99" spans="2:3" ht="15" customHeight="1" x14ac:dyDescent="0.2">
      <c r="B99" s="863" t="s">
        <v>878</v>
      </c>
      <c r="C99" s="825" t="s">
        <v>270</v>
      </c>
    </row>
    <row r="100" spans="2:3" ht="15" customHeight="1" x14ac:dyDescent="0.2">
      <c r="B100" s="863" t="s">
        <v>271</v>
      </c>
      <c r="C100" s="825" t="s">
        <v>271</v>
      </c>
    </row>
    <row r="101" spans="2:3" ht="15" customHeight="1" x14ac:dyDescent="0.2">
      <c r="B101" s="863" t="s">
        <v>879</v>
      </c>
      <c r="C101" s="825" t="s">
        <v>472</v>
      </c>
    </row>
    <row r="102" spans="2:3" ht="15" customHeight="1" x14ac:dyDescent="0.2">
      <c r="B102" s="863" t="s">
        <v>880</v>
      </c>
      <c r="C102" s="825" t="s">
        <v>272</v>
      </c>
    </row>
    <row r="103" spans="2:3" ht="15" customHeight="1" x14ac:dyDescent="0.2">
      <c r="B103" s="863" t="s">
        <v>881</v>
      </c>
      <c r="C103" s="825" t="s">
        <v>273</v>
      </c>
    </row>
    <row r="104" spans="2:3" ht="15" customHeight="1" x14ac:dyDescent="0.2">
      <c r="B104" s="863" t="s">
        <v>882</v>
      </c>
      <c r="C104" s="255" t="s">
        <v>274</v>
      </c>
    </row>
    <row r="105" spans="2:3" ht="15" customHeight="1" x14ac:dyDescent="0.2">
      <c r="B105" s="863" t="s">
        <v>883</v>
      </c>
      <c r="C105" s="255" t="s">
        <v>275</v>
      </c>
    </row>
    <row r="106" spans="2:3" ht="15" customHeight="1" x14ac:dyDescent="0.2">
      <c r="B106" s="863" t="s">
        <v>884</v>
      </c>
      <c r="C106" s="825" t="s">
        <v>276</v>
      </c>
    </row>
    <row r="107" spans="2:3" ht="15" customHeight="1" x14ac:dyDescent="0.2">
      <c r="B107" s="863" t="s">
        <v>885</v>
      </c>
      <c r="C107" s="825" t="s">
        <v>277</v>
      </c>
    </row>
    <row r="108" spans="2:3" ht="15" customHeight="1" x14ac:dyDescent="0.2">
      <c r="B108" s="863"/>
      <c r="C108" s="825"/>
    </row>
    <row r="109" spans="2:3" ht="15" customHeight="1" x14ac:dyDescent="0.2">
      <c r="B109" s="863" t="s">
        <v>886</v>
      </c>
      <c r="C109" s="825" t="s">
        <v>278</v>
      </c>
    </row>
    <row r="110" spans="2:3" ht="15" customHeight="1" x14ac:dyDescent="0.2">
      <c r="B110" s="863" t="s">
        <v>887</v>
      </c>
      <c r="C110" s="825" t="s">
        <v>279</v>
      </c>
    </row>
    <row r="111" spans="2:3" ht="15" customHeight="1" x14ac:dyDescent="0.2">
      <c r="B111" s="863"/>
      <c r="C111" s="825"/>
    </row>
    <row r="112" spans="2:3" ht="15" customHeight="1" x14ac:dyDescent="0.2">
      <c r="B112" s="863" t="s">
        <v>888</v>
      </c>
      <c r="C112" s="825" t="s">
        <v>280</v>
      </c>
    </row>
    <row r="113" spans="2:3" ht="15" customHeight="1" x14ac:dyDescent="0.2">
      <c r="B113" s="863" t="s">
        <v>889</v>
      </c>
      <c r="C113" s="825" t="s">
        <v>281</v>
      </c>
    </row>
    <row r="114" spans="2:3" ht="15" customHeight="1" x14ac:dyDescent="0.2">
      <c r="B114" s="863" t="s">
        <v>890</v>
      </c>
      <c r="C114" s="825" t="s">
        <v>282</v>
      </c>
    </row>
    <row r="115" spans="2:3" ht="15" customHeight="1" x14ac:dyDescent="0.2">
      <c r="B115" s="863" t="s">
        <v>891</v>
      </c>
      <c r="C115" s="825" t="s">
        <v>283</v>
      </c>
    </row>
    <row r="116" spans="2:3" ht="15" customHeight="1" x14ac:dyDescent="0.2">
      <c r="B116" s="863" t="s">
        <v>892</v>
      </c>
      <c r="C116" s="825" t="s">
        <v>794</v>
      </c>
    </row>
    <row r="117" spans="2:3" ht="15" customHeight="1" x14ac:dyDescent="0.2">
      <c r="B117" s="863" t="s">
        <v>893</v>
      </c>
      <c r="C117" s="825" t="s">
        <v>284</v>
      </c>
    </row>
    <row r="118" spans="2:3" ht="15" customHeight="1" x14ac:dyDescent="0.2">
      <c r="B118" s="863" t="s">
        <v>894</v>
      </c>
      <c r="C118" s="825" t="s">
        <v>285</v>
      </c>
    </row>
    <row r="119" spans="2:3" ht="15" customHeight="1" x14ac:dyDescent="0.2">
      <c r="B119" s="863" t="s">
        <v>895</v>
      </c>
      <c r="C119" s="825" t="s">
        <v>286</v>
      </c>
    </row>
    <row r="120" spans="2:3" ht="15" customHeight="1" x14ac:dyDescent="0.2">
      <c r="B120" s="863" t="s">
        <v>896</v>
      </c>
      <c r="C120" s="825" t="s">
        <v>287</v>
      </c>
    </row>
    <row r="121" spans="2:3" ht="15" customHeight="1" x14ac:dyDescent="0.2">
      <c r="B121" s="863" t="s">
        <v>897</v>
      </c>
      <c r="C121" s="825" t="s">
        <v>782</v>
      </c>
    </row>
    <row r="122" spans="2:3" ht="15" customHeight="1" x14ac:dyDescent="0.2">
      <c r="B122" s="863" t="s">
        <v>898</v>
      </c>
      <c r="C122" s="825" t="s">
        <v>288</v>
      </c>
    </row>
    <row r="123" spans="2:3" ht="15" customHeight="1" x14ac:dyDescent="0.2">
      <c r="B123" s="863" t="s">
        <v>899</v>
      </c>
      <c r="C123" s="825" t="s">
        <v>289</v>
      </c>
    </row>
    <row r="124" spans="2:3" ht="15" customHeight="1" x14ac:dyDescent="0.2">
      <c r="B124" s="863" t="s">
        <v>900</v>
      </c>
      <c r="C124" s="825" t="s">
        <v>290</v>
      </c>
    </row>
    <row r="125" spans="2:3" ht="15" customHeight="1" x14ac:dyDescent="0.2">
      <c r="B125" s="863" t="s">
        <v>901</v>
      </c>
      <c r="C125" s="825" t="s">
        <v>711</v>
      </c>
    </row>
    <row r="126" spans="2:3" ht="15" customHeight="1" x14ac:dyDescent="0.2">
      <c r="B126" s="863" t="s">
        <v>902</v>
      </c>
      <c r="C126" s="825" t="s">
        <v>291</v>
      </c>
    </row>
    <row r="127" spans="2:3" ht="15" customHeight="1" x14ac:dyDescent="0.2">
      <c r="B127" s="863" t="s">
        <v>903</v>
      </c>
      <c r="C127" s="825" t="s">
        <v>292</v>
      </c>
    </row>
    <row r="128" spans="2:3" ht="15" customHeight="1" x14ac:dyDescent="0.2">
      <c r="B128" s="863" t="s">
        <v>904</v>
      </c>
      <c r="C128" s="825" t="s">
        <v>293</v>
      </c>
    </row>
    <row r="129" spans="2:3" ht="15" customHeight="1" x14ac:dyDescent="0.2">
      <c r="B129" s="863" t="s">
        <v>905</v>
      </c>
      <c r="C129" s="825" t="s">
        <v>294</v>
      </c>
    </row>
    <row r="130" spans="2:3" ht="15" customHeight="1" x14ac:dyDescent="0.2">
      <c r="B130" s="863" t="s">
        <v>906</v>
      </c>
      <c r="C130" s="825" t="s">
        <v>295</v>
      </c>
    </row>
    <row r="131" spans="2:3" ht="15" customHeight="1" x14ac:dyDescent="0.2">
      <c r="B131" s="863" t="s">
        <v>907</v>
      </c>
      <c r="C131" s="825" t="s">
        <v>296</v>
      </c>
    </row>
    <row r="132" spans="2:3" ht="15" customHeight="1" x14ac:dyDescent="0.2">
      <c r="B132" s="863" t="s">
        <v>908</v>
      </c>
      <c r="C132" s="825" t="s">
        <v>297</v>
      </c>
    </row>
    <row r="133" spans="2:3" ht="15" customHeight="1" x14ac:dyDescent="0.2">
      <c r="B133" s="863" t="s">
        <v>909</v>
      </c>
      <c r="C133" s="825" t="s">
        <v>298</v>
      </c>
    </row>
    <row r="134" spans="2:3" ht="15" customHeight="1" x14ac:dyDescent="0.2">
      <c r="B134" s="863" t="s">
        <v>299</v>
      </c>
      <c r="C134" s="825" t="s">
        <v>299</v>
      </c>
    </row>
    <row r="135" spans="2:3" ht="15" customHeight="1" x14ac:dyDescent="0.2">
      <c r="B135" s="863" t="s">
        <v>910</v>
      </c>
      <c r="C135" s="825" t="s">
        <v>300</v>
      </c>
    </row>
    <row r="136" spans="2:3" ht="15" customHeight="1" x14ac:dyDescent="0.2">
      <c r="B136" s="863" t="s">
        <v>911</v>
      </c>
      <c r="C136" s="825" t="s">
        <v>301</v>
      </c>
    </row>
    <row r="137" spans="2:3" ht="15" customHeight="1" x14ac:dyDescent="0.2">
      <c r="B137" s="863" t="s">
        <v>299</v>
      </c>
      <c r="C137" s="825" t="s">
        <v>299</v>
      </c>
    </row>
    <row r="138" spans="2:3" ht="15" customHeight="1" x14ac:dyDescent="0.2">
      <c r="B138" s="863" t="s">
        <v>910</v>
      </c>
      <c r="C138" s="825" t="s">
        <v>300</v>
      </c>
    </row>
    <row r="139" spans="2:3" ht="15" customHeight="1" x14ac:dyDescent="0.2">
      <c r="B139" s="863" t="s">
        <v>912</v>
      </c>
      <c r="C139" s="825" t="s">
        <v>302</v>
      </c>
    </row>
    <row r="140" spans="2:3" ht="15" customHeight="1" x14ac:dyDescent="0.2">
      <c r="B140" s="863" t="s">
        <v>299</v>
      </c>
      <c r="C140" s="825" t="s">
        <v>299</v>
      </c>
    </row>
    <row r="141" spans="2:3" ht="15" customHeight="1" x14ac:dyDescent="0.2">
      <c r="B141" s="863" t="s">
        <v>910</v>
      </c>
      <c r="C141" s="825" t="s">
        <v>300</v>
      </c>
    </row>
    <row r="142" spans="2:3" ht="15" customHeight="1" x14ac:dyDescent="0.2">
      <c r="B142" s="863" t="s">
        <v>913</v>
      </c>
      <c r="C142" s="825" t="s">
        <v>303</v>
      </c>
    </row>
    <row r="143" spans="2:3" ht="15" customHeight="1" x14ac:dyDescent="0.2">
      <c r="B143" s="863" t="s">
        <v>299</v>
      </c>
      <c r="C143" s="825" t="s">
        <v>299</v>
      </c>
    </row>
    <row r="144" spans="2:3" ht="15" customHeight="1" x14ac:dyDescent="0.2">
      <c r="B144" s="863" t="s">
        <v>910</v>
      </c>
      <c r="C144" s="825" t="s">
        <v>300</v>
      </c>
    </row>
    <row r="145" spans="2:3" ht="15" customHeight="1" x14ac:dyDescent="0.2">
      <c r="B145" s="863" t="s">
        <v>914</v>
      </c>
      <c r="C145" s="825" t="s">
        <v>304</v>
      </c>
    </row>
    <row r="146" spans="2:3" ht="15" customHeight="1" x14ac:dyDescent="0.2">
      <c r="B146" s="863" t="s">
        <v>915</v>
      </c>
      <c r="C146" s="825" t="s">
        <v>658</v>
      </c>
    </row>
    <row r="147" spans="2:3" ht="15" customHeight="1" x14ac:dyDescent="0.2">
      <c r="B147" s="863" t="s">
        <v>916</v>
      </c>
      <c r="C147" s="825" t="s">
        <v>305</v>
      </c>
    </row>
    <row r="148" spans="2:3" ht="15" customHeight="1" x14ac:dyDescent="0.2">
      <c r="B148" s="863" t="s">
        <v>917</v>
      </c>
      <c r="C148" s="825" t="s">
        <v>659</v>
      </c>
    </row>
    <row r="149" spans="2:3" ht="15" customHeight="1" x14ac:dyDescent="0.2">
      <c r="B149" s="863"/>
      <c r="C149" s="825"/>
    </row>
    <row r="150" spans="2:3" ht="15" customHeight="1" x14ac:dyDescent="0.2">
      <c r="B150" s="863" t="s">
        <v>918</v>
      </c>
      <c r="C150" s="825" t="s">
        <v>306</v>
      </c>
    </row>
    <row r="151" spans="2:3" ht="15" customHeight="1" x14ac:dyDescent="0.2">
      <c r="B151" s="863" t="s">
        <v>919</v>
      </c>
      <c r="C151" s="825" t="s">
        <v>307</v>
      </c>
    </row>
    <row r="152" spans="2:3" ht="15" customHeight="1" x14ac:dyDescent="0.2">
      <c r="B152" s="863"/>
      <c r="C152" s="825"/>
    </row>
    <row r="153" spans="2:3" ht="15" customHeight="1" x14ac:dyDescent="0.2">
      <c r="B153" s="863" t="s">
        <v>920</v>
      </c>
      <c r="C153" s="825" t="s">
        <v>308</v>
      </c>
    </row>
    <row r="154" spans="2:3" ht="15" customHeight="1" x14ac:dyDescent="0.2">
      <c r="B154" s="863" t="s">
        <v>921</v>
      </c>
      <c r="C154" s="825" t="s">
        <v>309</v>
      </c>
    </row>
    <row r="155" spans="2:3" ht="15" customHeight="1" x14ac:dyDescent="0.2">
      <c r="B155" s="863" t="s">
        <v>922</v>
      </c>
      <c r="C155" s="825" t="s">
        <v>310</v>
      </c>
    </row>
    <row r="156" spans="2:3" ht="15" customHeight="1" x14ac:dyDescent="0.2">
      <c r="B156" s="863" t="s">
        <v>923</v>
      </c>
      <c r="C156" s="825" t="s">
        <v>311</v>
      </c>
    </row>
    <row r="157" spans="2:3" ht="15" customHeight="1" x14ac:dyDescent="0.2">
      <c r="B157" s="863" t="s">
        <v>924</v>
      </c>
      <c r="C157" s="825" t="s">
        <v>312</v>
      </c>
    </row>
    <row r="158" spans="2:3" ht="15" customHeight="1" x14ac:dyDescent="0.2">
      <c r="B158" s="863" t="s">
        <v>925</v>
      </c>
      <c r="C158" s="825" t="s">
        <v>313</v>
      </c>
    </row>
    <row r="159" spans="2:3" ht="15" customHeight="1" x14ac:dyDescent="0.2">
      <c r="B159" s="863" t="s">
        <v>926</v>
      </c>
      <c r="C159" s="825" t="s">
        <v>314</v>
      </c>
    </row>
    <row r="160" spans="2:3" ht="15" customHeight="1" x14ac:dyDescent="0.2">
      <c r="B160" s="863" t="s">
        <v>927</v>
      </c>
      <c r="C160" s="825" t="s">
        <v>315</v>
      </c>
    </row>
    <row r="161" spans="2:3" ht="15" customHeight="1" x14ac:dyDescent="0.2">
      <c r="B161" s="863" t="s">
        <v>928</v>
      </c>
      <c r="C161" s="825" t="s">
        <v>316</v>
      </c>
    </row>
    <row r="162" spans="2:3" ht="15" customHeight="1" x14ac:dyDescent="0.2">
      <c r="B162" s="863" t="s">
        <v>929</v>
      </c>
      <c r="C162" s="825" t="s">
        <v>317</v>
      </c>
    </row>
    <row r="163" spans="2:3" ht="15" customHeight="1" x14ac:dyDescent="0.2">
      <c r="B163" s="863" t="s">
        <v>930</v>
      </c>
      <c r="C163" s="825" t="s">
        <v>318</v>
      </c>
    </row>
    <row r="164" spans="2:3" ht="15" customHeight="1" x14ac:dyDescent="0.2">
      <c r="B164" s="863" t="s">
        <v>931</v>
      </c>
      <c r="C164" s="825" t="s">
        <v>319</v>
      </c>
    </row>
    <row r="165" spans="2:3" ht="15" customHeight="1" x14ac:dyDescent="0.2">
      <c r="B165" s="863"/>
      <c r="C165" s="825"/>
    </row>
    <row r="166" spans="2:3" ht="15" customHeight="1" x14ac:dyDescent="0.2">
      <c r="B166" s="863" t="s">
        <v>932</v>
      </c>
      <c r="C166" s="825" t="s">
        <v>320</v>
      </c>
    </row>
    <row r="167" spans="2:3" ht="15" customHeight="1" x14ac:dyDescent="0.2">
      <c r="B167" s="863" t="s">
        <v>933</v>
      </c>
      <c r="C167" s="825" t="s">
        <v>321</v>
      </c>
    </row>
    <row r="168" spans="2:3" ht="15" customHeight="1" x14ac:dyDescent="0.2">
      <c r="B168" s="863" t="s">
        <v>934</v>
      </c>
      <c r="C168" s="825" t="s">
        <v>322</v>
      </c>
    </row>
    <row r="169" spans="2:3" ht="15" customHeight="1" x14ac:dyDescent="0.2">
      <c r="B169" s="863" t="s">
        <v>935</v>
      </c>
      <c r="C169" s="825" t="s">
        <v>323</v>
      </c>
    </row>
    <row r="170" spans="2:3" ht="15" customHeight="1" x14ac:dyDescent="0.2">
      <c r="B170" s="863" t="s">
        <v>936</v>
      </c>
      <c r="C170" s="825" t="s">
        <v>324</v>
      </c>
    </row>
    <row r="171" spans="2:3" ht="15" customHeight="1" x14ac:dyDescent="0.2">
      <c r="B171" s="863" t="s">
        <v>325</v>
      </c>
      <c r="C171" s="825" t="s">
        <v>325</v>
      </c>
    </row>
    <row r="172" spans="2:3" ht="15" customHeight="1" x14ac:dyDescent="0.2">
      <c r="B172" s="863" t="s">
        <v>843</v>
      </c>
      <c r="C172" s="825" t="s">
        <v>326</v>
      </c>
    </row>
    <row r="173" spans="2:3" ht="15" customHeight="1" x14ac:dyDescent="0.2">
      <c r="B173" s="863"/>
      <c r="C173" s="825"/>
    </row>
    <row r="174" spans="2:3" ht="15" customHeight="1" x14ac:dyDescent="0.2">
      <c r="B174" s="863" t="s">
        <v>937</v>
      </c>
      <c r="C174" s="825" t="s">
        <v>327</v>
      </c>
    </row>
    <row r="175" spans="2:3" ht="31.5" customHeight="1" x14ac:dyDescent="0.2">
      <c r="B175" s="863" t="s">
        <v>938</v>
      </c>
      <c r="C175" s="864" t="s">
        <v>328</v>
      </c>
    </row>
    <row r="176" spans="2:3" ht="40.15" customHeight="1" x14ac:dyDescent="0.2">
      <c r="B176" s="863" t="s">
        <v>939</v>
      </c>
      <c r="C176" s="864" t="s">
        <v>329</v>
      </c>
    </row>
    <row r="177" spans="2:3" ht="15" customHeight="1" x14ac:dyDescent="0.2">
      <c r="B177" s="863" t="s">
        <v>940</v>
      </c>
      <c r="C177" s="864" t="s">
        <v>330</v>
      </c>
    </row>
    <row r="178" spans="2:3" ht="15" customHeight="1" x14ac:dyDescent="0.2">
      <c r="B178" s="863"/>
      <c r="C178" s="825"/>
    </row>
    <row r="179" spans="2:3" ht="15" customHeight="1" x14ac:dyDescent="0.2">
      <c r="B179" s="863" t="s">
        <v>941</v>
      </c>
      <c r="C179" s="825" t="s">
        <v>331</v>
      </c>
    </row>
    <row r="180" spans="2:3" ht="15" customHeight="1" x14ac:dyDescent="0.2">
      <c r="B180" s="863" t="s">
        <v>942</v>
      </c>
      <c r="C180" s="825" t="s">
        <v>332</v>
      </c>
    </row>
    <row r="181" spans="2:3" ht="15" customHeight="1" x14ac:dyDescent="0.2">
      <c r="B181" s="863"/>
      <c r="C181" s="825"/>
    </row>
    <row r="182" spans="2:3" ht="15" customHeight="1" x14ac:dyDescent="0.2">
      <c r="B182" s="863" t="s">
        <v>943</v>
      </c>
      <c r="C182" s="799" t="s">
        <v>333</v>
      </c>
    </row>
    <row r="183" spans="2:3" ht="15" customHeight="1" x14ac:dyDescent="0.2">
      <c r="B183" s="863" t="s">
        <v>944</v>
      </c>
      <c r="C183" s="799" t="s">
        <v>334</v>
      </c>
    </row>
    <row r="184" spans="2:3" ht="15" customHeight="1" x14ac:dyDescent="0.2">
      <c r="B184" s="863" t="s">
        <v>945</v>
      </c>
      <c r="C184" s="227" t="s">
        <v>335</v>
      </c>
    </row>
    <row r="185" spans="2:3" ht="15" customHeight="1" x14ac:dyDescent="0.2">
      <c r="B185" s="863" t="s">
        <v>946</v>
      </c>
      <c r="C185" s="255" t="s">
        <v>336</v>
      </c>
    </row>
    <row r="186" spans="2:3" ht="15" customHeight="1" x14ac:dyDescent="0.2">
      <c r="B186" s="863"/>
      <c r="C186" s="255"/>
    </row>
    <row r="187" spans="2:3" ht="15" customHeight="1" x14ac:dyDescent="0.2">
      <c r="B187" s="863" t="s">
        <v>947</v>
      </c>
      <c r="C187" s="255" t="s">
        <v>337</v>
      </c>
    </row>
    <row r="188" spans="2:3" ht="15" customHeight="1" x14ac:dyDescent="0.2">
      <c r="B188" s="863" t="s">
        <v>948</v>
      </c>
      <c r="C188" s="255" t="s">
        <v>338</v>
      </c>
    </row>
    <row r="189" spans="2:3" ht="15" customHeight="1" x14ac:dyDescent="0.2">
      <c r="B189" s="863" t="s">
        <v>949</v>
      </c>
      <c r="C189" s="255" t="s">
        <v>339</v>
      </c>
    </row>
    <row r="190" spans="2:3" ht="15" customHeight="1" x14ac:dyDescent="0.2">
      <c r="B190" s="863" t="s">
        <v>950</v>
      </c>
      <c r="C190" s="255" t="s">
        <v>340</v>
      </c>
    </row>
    <row r="191" spans="2:3" ht="15" customHeight="1" x14ac:dyDescent="0.2">
      <c r="B191" s="863" t="s">
        <v>951</v>
      </c>
      <c r="C191" s="255" t="s">
        <v>341</v>
      </c>
    </row>
    <row r="192" spans="2:3" ht="15" customHeight="1" x14ac:dyDescent="0.2">
      <c r="B192" s="863"/>
      <c r="C192" s="255"/>
    </row>
    <row r="193" spans="2:3" ht="15" customHeight="1" x14ac:dyDescent="0.2">
      <c r="B193" s="863" t="s">
        <v>952</v>
      </c>
      <c r="C193" s="255" t="s">
        <v>342</v>
      </c>
    </row>
    <row r="194" spans="2:3" ht="15" customHeight="1" x14ac:dyDescent="0.2">
      <c r="B194" s="863" t="s">
        <v>953</v>
      </c>
      <c r="C194" s="255" t="s">
        <v>343</v>
      </c>
    </row>
    <row r="195" spans="2:3" ht="15" customHeight="1" x14ac:dyDescent="0.2">
      <c r="B195" s="863" t="s">
        <v>954</v>
      </c>
      <c r="C195" s="825" t="s">
        <v>344</v>
      </c>
    </row>
    <row r="196" spans="2:3" ht="15" customHeight="1" x14ac:dyDescent="0.2">
      <c r="B196" s="863" t="s">
        <v>955</v>
      </c>
      <c r="C196" s="255" t="s">
        <v>345</v>
      </c>
    </row>
    <row r="197" spans="2:3" ht="15" customHeight="1" x14ac:dyDescent="0.2">
      <c r="B197" s="863"/>
      <c r="C197" s="825"/>
    </row>
    <row r="198" spans="2:3" ht="15" customHeight="1" x14ac:dyDescent="0.2">
      <c r="B198" s="863" t="s">
        <v>241</v>
      </c>
      <c r="C198" s="825" t="s">
        <v>241</v>
      </c>
    </row>
    <row r="199" spans="2:3" ht="15" customHeight="1" x14ac:dyDescent="0.2">
      <c r="B199" s="863" t="s">
        <v>956</v>
      </c>
      <c r="C199" s="825" t="s">
        <v>346</v>
      </c>
    </row>
    <row r="200" spans="2:3" ht="15" customHeight="1" x14ac:dyDescent="0.2">
      <c r="B200" s="863" t="s">
        <v>957</v>
      </c>
      <c r="C200" s="825" t="s">
        <v>347</v>
      </c>
    </row>
    <row r="201" spans="2:3" ht="15" customHeight="1" x14ac:dyDescent="0.2">
      <c r="B201" s="863" t="s">
        <v>958</v>
      </c>
      <c r="C201" s="825" t="s">
        <v>348</v>
      </c>
    </row>
    <row r="202" spans="2:3" ht="15" customHeight="1" x14ac:dyDescent="0.2">
      <c r="B202" s="863" t="s">
        <v>959</v>
      </c>
      <c r="C202" s="825" t="s">
        <v>349</v>
      </c>
    </row>
    <row r="203" spans="2:3" ht="15" customHeight="1" x14ac:dyDescent="0.2">
      <c r="B203" s="863" t="s">
        <v>960</v>
      </c>
      <c r="C203" s="825" t="s">
        <v>350</v>
      </c>
    </row>
    <row r="204" spans="2:3" ht="15" customHeight="1" x14ac:dyDescent="0.2">
      <c r="B204" s="863" t="s">
        <v>961</v>
      </c>
      <c r="C204" s="825" t="s">
        <v>351</v>
      </c>
    </row>
    <row r="205" spans="2:3" ht="15" customHeight="1" x14ac:dyDescent="0.2">
      <c r="B205" s="863"/>
      <c r="C205" s="825"/>
    </row>
    <row r="206" spans="2:3" ht="15" customHeight="1" x14ac:dyDescent="0.2">
      <c r="B206" s="863" t="s">
        <v>962</v>
      </c>
      <c r="C206" s="825" t="s">
        <v>352</v>
      </c>
    </row>
    <row r="207" spans="2:3" ht="15" customHeight="1" x14ac:dyDescent="0.2">
      <c r="B207" s="863" t="s">
        <v>963</v>
      </c>
      <c r="C207" s="825" t="s">
        <v>353</v>
      </c>
    </row>
    <row r="208" spans="2:3" ht="15" customHeight="1" x14ac:dyDescent="0.2">
      <c r="B208" s="863" t="s">
        <v>964</v>
      </c>
      <c r="C208" s="825" t="s">
        <v>763</v>
      </c>
    </row>
    <row r="209" spans="2:3" ht="15" customHeight="1" x14ac:dyDescent="0.2">
      <c r="B209" s="863" t="s">
        <v>965</v>
      </c>
      <c r="C209" s="825" t="s">
        <v>764</v>
      </c>
    </row>
    <row r="210" spans="2:3" ht="15" customHeight="1" x14ac:dyDescent="0.2">
      <c r="B210" s="863" t="s">
        <v>966</v>
      </c>
      <c r="C210" s="825" t="s">
        <v>354</v>
      </c>
    </row>
    <row r="211" spans="2:3" ht="15" customHeight="1" x14ac:dyDescent="0.2">
      <c r="B211" s="863" t="s">
        <v>325</v>
      </c>
      <c r="C211" s="825" t="s">
        <v>325</v>
      </c>
    </row>
    <row r="212" spans="2:3" ht="15" customHeight="1" x14ac:dyDescent="0.2">
      <c r="B212" s="863" t="s">
        <v>967</v>
      </c>
      <c r="C212" s="825" t="s">
        <v>355</v>
      </c>
    </row>
    <row r="213" spans="2:3" ht="15" customHeight="1" x14ac:dyDescent="0.2">
      <c r="B213" s="863" t="s">
        <v>968</v>
      </c>
      <c r="C213" s="825" t="s">
        <v>356</v>
      </c>
    </row>
    <row r="214" spans="2:3" ht="15" customHeight="1" x14ac:dyDescent="0.2">
      <c r="B214" s="863"/>
      <c r="C214" s="825"/>
    </row>
    <row r="215" spans="2:3" ht="15" customHeight="1" x14ac:dyDescent="0.2">
      <c r="B215" s="863" t="s">
        <v>969</v>
      </c>
      <c r="C215" s="825" t="s">
        <v>765</v>
      </c>
    </row>
    <row r="216" spans="2:3" ht="15" customHeight="1" x14ac:dyDescent="0.2">
      <c r="B216" s="863" t="s">
        <v>970</v>
      </c>
      <c r="C216" s="825" t="s">
        <v>766</v>
      </c>
    </row>
    <row r="217" spans="2:3" ht="15" customHeight="1" x14ac:dyDescent="0.2">
      <c r="B217" s="863" t="s">
        <v>971</v>
      </c>
      <c r="C217" s="825" t="s">
        <v>357</v>
      </c>
    </row>
    <row r="218" spans="2:3" ht="15" customHeight="1" x14ac:dyDescent="0.2">
      <c r="B218" s="863" t="s">
        <v>972</v>
      </c>
      <c r="C218" s="825" t="s">
        <v>358</v>
      </c>
    </row>
    <row r="219" spans="2:3" ht="15" customHeight="1" x14ac:dyDescent="0.2">
      <c r="B219" s="863" t="s">
        <v>973</v>
      </c>
      <c r="C219" s="825" t="s">
        <v>359</v>
      </c>
    </row>
    <row r="220" spans="2:3" ht="15" customHeight="1" x14ac:dyDescent="0.2">
      <c r="B220" s="863"/>
      <c r="C220" s="825"/>
    </row>
    <row r="221" spans="2:3" ht="15" customHeight="1" x14ac:dyDescent="0.2">
      <c r="B221" s="863" t="s">
        <v>974</v>
      </c>
      <c r="C221" s="825" t="s">
        <v>360</v>
      </c>
    </row>
    <row r="222" spans="2:3" ht="15" customHeight="1" x14ac:dyDescent="0.2">
      <c r="B222" s="863" t="s">
        <v>975</v>
      </c>
      <c r="C222" s="825" t="s">
        <v>361</v>
      </c>
    </row>
    <row r="223" spans="2:3" ht="15" customHeight="1" x14ac:dyDescent="0.2">
      <c r="B223" s="863" t="s">
        <v>976</v>
      </c>
      <c r="C223" s="825" t="s">
        <v>362</v>
      </c>
    </row>
    <row r="224" spans="2:3" ht="15" customHeight="1" x14ac:dyDescent="0.2">
      <c r="B224" s="863" t="s">
        <v>977</v>
      </c>
      <c r="C224" s="825" t="s">
        <v>363</v>
      </c>
    </row>
    <row r="225" spans="2:4" ht="15" customHeight="1" x14ac:dyDescent="0.2">
      <c r="B225" s="863" t="s">
        <v>978</v>
      </c>
      <c r="C225" s="825" t="s">
        <v>364</v>
      </c>
    </row>
    <row r="226" spans="2:4" ht="15" customHeight="1" x14ac:dyDescent="0.2">
      <c r="B226" s="863" t="s">
        <v>979</v>
      </c>
      <c r="C226" s="825" t="s">
        <v>365</v>
      </c>
    </row>
    <row r="227" spans="2:4" ht="15" customHeight="1" x14ac:dyDescent="0.2">
      <c r="B227" s="863" t="s">
        <v>980</v>
      </c>
      <c r="C227" s="825" t="s">
        <v>366</v>
      </c>
    </row>
    <row r="228" spans="2:4" ht="15" customHeight="1" x14ac:dyDescent="0.2">
      <c r="B228" s="863" t="s">
        <v>981</v>
      </c>
      <c r="C228" s="825" t="s">
        <v>367</v>
      </c>
    </row>
    <row r="229" spans="2:4" ht="15" customHeight="1" x14ac:dyDescent="0.2">
      <c r="B229" s="863"/>
      <c r="C229" s="825"/>
    </row>
    <row r="230" spans="2:4" ht="31.15" customHeight="1" x14ac:dyDescent="0.2">
      <c r="B230" s="863" t="s">
        <v>982</v>
      </c>
      <c r="C230" s="865" t="s">
        <v>368</v>
      </c>
    </row>
    <row r="231" spans="2:4" ht="30" customHeight="1" x14ac:dyDescent="0.2">
      <c r="B231" s="863" t="s">
        <v>983</v>
      </c>
      <c r="C231" s="865" t="s">
        <v>369</v>
      </c>
    </row>
    <row r="232" spans="2:4" ht="15" customHeight="1" x14ac:dyDescent="0.2">
      <c r="B232" s="863" t="s">
        <v>984</v>
      </c>
      <c r="C232" s="865" t="s">
        <v>370</v>
      </c>
    </row>
    <row r="233" spans="2:4" ht="15" customHeight="1" x14ac:dyDescent="0.2">
      <c r="B233" s="863" t="s">
        <v>985</v>
      </c>
      <c r="C233" s="865" t="s">
        <v>371</v>
      </c>
    </row>
    <row r="234" spans="2:4" ht="15" customHeight="1" x14ac:dyDescent="0.25">
      <c r="B234" s="975" t="s">
        <v>803</v>
      </c>
      <c r="C234" s="865" t="s">
        <v>784</v>
      </c>
      <c r="D234" s="825"/>
    </row>
    <row r="235" spans="2:4" ht="15" customHeight="1" x14ac:dyDescent="0.2">
      <c r="B235" s="863" t="s">
        <v>986</v>
      </c>
      <c r="C235" s="865" t="s">
        <v>372</v>
      </c>
    </row>
    <row r="236" spans="2:4" ht="31.15" customHeight="1" x14ac:dyDescent="0.2">
      <c r="B236" s="863" t="s">
        <v>987</v>
      </c>
      <c r="C236" s="962" t="s">
        <v>785</v>
      </c>
    </row>
    <row r="237" spans="2:4" ht="15" customHeight="1" x14ac:dyDescent="0.2">
      <c r="B237" s="863" t="s">
        <v>988</v>
      </c>
      <c r="C237" s="865" t="s">
        <v>373</v>
      </c>
    </row>
    <row r="238" spans="2:4" ht="15" customHeight="1" x14ac:dyDescent="0.2">
      <c r="B238" s="863" t="s">
        <v>989</v>
      </c>
      <c r="C238" s="825" t="s">
        <v>374</v>
      </c>
    </row>
    <row r="239" spans="2:4" ht="15" customHeight="1" x14ac:dyDescent="0.2">
      <c r="B239" s="863"/>
      <c r="C239" s="825"/>
    </row>
    <row r="240" spans="2:4" ht="15" customHeight="1" x14ac:dyDescent="0.2">
      <c r="B240" s="863"/>
      <c r="C240" s="825"/>
    </row>
    <row r="241" spans="2:3" ht="15" customHeight="1" x14ac:dyDescent="0.2">
      <c r="B241" s="863" t="s">
        <v>990</v>
      </c>
      <c r="C241" s="825" t="s">
        <v>375</v>
      </c>
    </row>
    <row r="242" spans="2:3" ht="15" customHeight="1" x14ac:dyDescent="0.2">
      <c r="B242" s="863" t="s">
        <v>991</v>
      </c>
      <c r="C242" s="825" t="s">
        <v>376</v>
      </c>
    </row>
    <row r="243" spans="2:3" ht="15" customHeight="1" x14ac:dyDescent="0.2">
      <c r="B243" s="863" t="s">
        <v>869</v>
      </c>
      <c r="C243" s="825" t="s">
        <v>377</v>
      </c>
    </row>
    <row r="244" spans="2:3" ht="15" customHeight="1" x14ac:dyDescent="0.2">
      <c r="B244" s="863" t="s">
        <v>992</v>
      </c>
      <c r="C244" s="825" t="s">
        <v>378</v>
      </c>
    </row>
    <row r="245" spans="2:3" ht="15" customHeight="1" x14ac:dyDescent="0.2">
      <c r="B245" s="863" t="s">
        <v>993</v>
      </c>
      <c r="C245" s="825" t="s">
        <v>379</v>
      </c>
    </row>
    <row r="246" spans="2:3" ht="15" customHeight="1" x14ac:dyDescent="0.2">
      <c r="B246" s="863" t="s">
        <v>994</v>
      </c>
      <c r="C246" s="825" t="s">
        <v>380</v>
      </c>
    </row>
    <row r="247" spans="2:3" ht="15" customHeight="1" x14ac:dyDescent="0.2">
      <c r="B247" s="863" t="s">
        <v>822</v>
      </c>
      <c r="C247" s="825" t="s">
        <v>381</v>
      </c>
    </row>
    <row r="248" spans="2:3" ht="15" customHeight="1" x14ac:dyDescent="0.2">
      <c r="B248" s="863"/>
      <c r="C248" s="825"/>
    </row>
    <row r="249" spans="2:3" ht="15" customHeight="1" x14ac:dyDescent="0.2">
      <c r="B249" s="863" t="s">
        <v>995</v>
      </c>
      <c r="C249" s="605" t="s">
        <v>382</v>
      </c>
    </row>
    <row r="250" spans="2:3" ht="15" customHeight="1" x14ac:dyDescent="0.2">
      <c r="B250" s="863" t="s">
        <v>996</v>
      </c>
      <c r="C250" s="605" t="s">
        <v>383</v>
      </c>
    </row>
    <row r="251" spans="2:3" ht="15" customHeight="1" x14ac:dyDescent="0.2">
      <c r="B251" s="863"/>
      <c r="C251" s="825"/>
    </row>
    <row r="252" spans="2:3" ht="15" customHeight="1" x14ac:dyDescent="0.2">
      <c r="B252" s="863"/>
      <c r="C252" s="825"/>
    </row>
    <row r="253" spans="2:3" ht="15" customHeight="1" x14ac:dyDescent="0.2">
      <c r="B253" s="863" t="s">
        <v>918</v>
      </c>
      <c r="C253" s="825" t="s">
        <v>306</v>
      </c>
    </row>
    <row r="254" spans="2:3" ht="15" customHeight="1" x14ac:dyDescent="0.2">
      <c r="B254" s="863"/>
      <c r="C254" s="825"/>
    </row>
    <row r="255" spans="2:3" ht="15" customHeight="1" x14ac:dyDescent="0.2">
      <c r="B255" s="863" t="s">
        <v>997</v>
      </c>
      <c r="C255" s="825" t="s">
        <v>384</v>
      </c>
    </row>
    <row r="256" spans="2:3" ht="15" customHeight="1" x14ac:dyDescent="0.2">
      <c r="B256" s="863" t="s">
        <v>998</v>
      </c>
      <c r="C256" s="825" t="s">
        <v>385</v>
      </c>
    </row>
    <row r="257" spans="2:3" ht="15" customHeight="1" x14ac:dyDescent="0.2">
      <c r="B257" s="863" t="s">
        <v>999</v>
      </c>
      <c r="C257" s="825" t="s">
        <v>386</v>
      </c>
    </row>
    <row r="258" spans="2:3" ht="15" customHeight="1" x14ac:dyDescent="0.2">
      <c r="B258" s="863" t="s">
        <v>1000</v>
      </c>
      <c r="C258" s="825" t="s">
        <v>387</v>
      </c>
    </row>
    <row r="259" spans="2:3" ht="15" customHeight="1" x14ac:dyDescent="0.2">
      <c r="B259" s="863" t="s">
        <v>1001</v>
      </c>
      <c r="C259" s="825" t="s">
        <v>388</v>
      </c>
    </row>
    <row r="260" spans="2:3" ht="15" customHeight="1" x14ac:dyDescent="0.2">
      <c r="B260" s="863" t="s">
        <v>1002</v>
      </c>
      <c r="C260" s="825" t="s">
        <v>389</v>
      </c>
    </row>
    <row r="261" spans="2:3" ht="15" customHeight="1" x14ac:dyDescent="0.2">
      <c r="B261" s="863" t="s">
        <v>1003</v>
      </c>
      <c r="C261" s="825" t="s">
        <v>390</v>
      </c>
    </row>
    <row r="262" spans="2:3" ht="15" customHeight="1" x14ac:dyDescent="0.2">
      <c r="B262" s="863" t="s">
        <v>1004</v>
      </c>
      <c r="C262" s="825" t="s">
        <v>391</v>
      </c>
    </row>
    <row r="263" spans="2:3" ht="15" customHeight="1" x14ac:dyDescent="0.2">
      <c r="B263" s="863"/>
      <c r="C263" s="825"/>
    </row>
    <row r="264" spans="2:3" ht="15" customHeight="1" x14ac:dyDescent="0.2">
      <c r="B264" s="863"/>
      <c r="C264" s="825"/>
    </row>
    <row r="265" spans="2:3" ht="15" customHeight="1" x14ac:dyDescent="0.2">
      <c r="B265" s="863"/>
      <c r="C265" s="825"/>
    </row>
    <row r="266" spans="2:3" ht="15" customHeight="1" x14ac:dyDescent="0.2">
      <c r="B266" s="863" t="s">
        <v>1005</v>
      </c>
      <c r="C266" s="825" t="s">
        <v>392</v>
      </c>
    </row>
    <row r="267" spans="2:3" ht="15" customHeight="1" x14ac:dyDescent="0.2">
      <c r="B267" s="863"/>
      <c r="C267" s="825"/>
    </row>
    <row r="268" spans="2:3" ht="15" customHeight="1" x14ac:dyDescent="0.2">
      <c r="B268" s="863" t="s">
        <v>1006</v>
      </c>
      <c r="C268" s="825" t="s">
        <v>393</v>
      </c>
    </row>
    <row r="269" spans="2:3" ht="15" customHeight="1" x14ac:dyDescent="0.2">
      <c r="B269" s="863"/>
      <c r="C269" s="825"/>
    </row>
    <row r="270" spans="2:3" ht="15" customHeight="1" x14ac:dyDescent="0.2">
      <c r="B270" s="863"/>
      <c r="C270" s="825"/>
    </row>
    <row r="271" spans="2:3" ht="15" customHeight="1" x14ac:dyDescent="0.2">
      <c r="B271" s="863" t="s">
        <v>1007</v>
      </c>
      <c r="C271" s="864" t="s">
        <v>394</v>
      </c>
    </row>
    <row r="272" spans="2:3" ht="15" customHeight="1" x14ac:dyDescent="0.2">
      <c r="B272" s="863"/>
      <c r="C272" s="825"/>
    </row>
    <row r="273" spans="2:3" ht="15" customHeight="1" x14ac:dyDescent="0.2">
      <c r="B273" s="863"/>
      <c r="C273" s="825"/>
    </row>
    <row r="274" spans="2:3" ht="15" customHeight="1" x14ac:dyDescent="0.2">
      <c r="B274" s="863"/>
      <c r="C274" s="825"/>
    </row>
    <row r="275" spans="2:3" ht="15" customHeight="1" x14ac:dyDescent="0.2">
      <c r="B275" s="863" t="s">
        <v>1008</v>
      </c>
      <c r="C275" s="825" t="s">
        <v>395</v>
      </c>
    </row>
    <row r="276" spans="2:3" ht="15" customHeight="1" x14ac:dyDescent="0.2">
      <c r="B276" s="863" t="s">
        <v>1009</v>
      </c>
      <c r="C276" s="825" t="s">
        <v>396</v>
      </c>
    </row>
    <row r="277" spans="2:3" ht="15" customHeight="1" x14ac:dyDescent="0.2">
      <c r="B277" s="863" t="s">
        <v>1010</v>
      </c>
      <c r="C277" s="825" t="s">
        <v>397</v>
      </c>
    </row>
    <row r="278" spans="2:3" ht="15" customHeight="1" x14ac:dyDescent="0.2">
      <c r="B278" s="863" t="s">
        <v>1011</v>
      </c>
      <c r="C278" s="825" t="s">
        <v>398</v>
      </c>
    </row>
    <row r="279" spans="2:3" ht="15" customHeight="1" x14ac:dyDescent="0.2">
      <c r="B279" s="863" t="s">
        <v>1012</v>
      </c>
      <c r="C279" s="825" t="s">
        <v>399</v>
      </c>
    </row>
    <row r="280" spans="2:3" ht="15" customHeight="1" x14ac:dyDescent="0.2">
      <c r="B280" s="863" t="s">
        <v>1013</v>
      </c>
      <c r="C280" s="825" t="s">
        <v>400</v>
      </c>
    </row>
    <row r="281" spans="2:3" ht="15" customHeight="1" x14ac:dyDescent="0.2">
      <c r="B281" s="863"/>
      <c r="C281" s="825"/>
    </row>
    <row r="282" spans="2:3" ht="15" customHeight="1" x14ac:dyDescent="0.2">
      <c r="B282" s="863" t="s">
        <v>1014</v>
      </c>
      <c r="C282" s="825" t="s">
        <v>401</v>
      </c>
    </row>
    <row r="283" spans="2:3" ht="15" customHeight="1" x14ac:dyDescent="0.2">
      <c r="B283" s="863" t="s">
        <v>1015</v>
      </c>
      <c r="C283" s="825" t="s">
        <v>402</v>
      </c>
    </row>
    <row r="284" spans="2:3" ht="15" customHeight="1" x14ac:dyDescent="0.2">
      <c r="B284" s="863" t="s">
        <v>1016</v>
      </c>
      <c r="C284" s="825" t="s">
        <v>403</v>
      </c>
    </row>
    <row r="285" spans="2:3" ht="15" customHeight="1" x14ac:dyDescent="0.2">
      <c r="B285" s="863"/>
      <c r="C285" s="825"/>
    </row>
    <row r="286" spans="2:3" ht="15" customHeight="1" x14ac:dyDescent="0.2">
      <c r="B286" s="863" t="s">
        <v>1017</v>
      </c>
      <c r="C286" s="825" t="s">
        <v>404</v>
      </c>
    </row>
    <row r="287" spans="2:3" ht="15" customHeight="1" x14ac:dyDescent="0.2">
      <c r="B287" s="863" t="s">
        <v>1018</v>
      </c>
      <c r="C287" s="825" t="s">
        <v>405</v>
      </c>
    </row>
    <row r="288" spans="2:3" ht="15" customHeight="1" x14ac:dyDescent="0.2">
      <c r="B288" s="863"/>
      <c r="C288" s="825"/>
    </row>
    <row r="289" spans="1:3" ht="15" customHeight="1" x14ac:dyDescent="0.2">
      <c r="B289" s="863" t="s">
        <v>1019</v>
      </c>
      <c r="C289" s="825" t="s">
        <v>406</v>
      </c>
    </row>
    <row r="290" spans="1:3" ht="15" customHeight="1" x14ac:dyDescent="0.2">
      <c r="B290" s="863"/>
      <c r="C290" s="825"/>
    </row>
    <row r="291" spans="1:3" ht="15" customHeight="1" x14ac:dyDescent="0.2">
      <c r="B291" s="863" t="s">
        <v>407</v>
      </c>
      <c r="C291" s="825" t="s">
        <v>407</v>
      </c>
    </row>
    <row r="292" spans="1:3" ht="15" customHeight="1" x14ac:dyDescent="0.2">
      <c r="B292" s="863" t="s">
        <v>1020</v>
      </c>
      <c r="C292" s="825" t="s">
        <v>408</v>
      </c>
    </row>
    <row r="293" spans="1:3" ht="15" customHeight="1" x14ac:dyDescent="0.2">
      <c r="B293" s="863" t="s">
        <v>955</v>
      </c>
      <c r="C293" s="825" t="s">
        <v>345</v>
      </c>
    </row>
    <row r="294" spans="1:3" ht="15" customHeight="1" x14ac:dyDescent="0.2">
      <c r="B294" s="863" t="s">
        <v>1021</v>
      </c>
      <c r="C294" s="825" t="s">
        <v>409</v>
      </c>
    </row>
    <row r="295" spans="1:3" ht="15" customHeight="1" x14ac:dyDescent="0.2">
      <c r="B295" s="863" t="s">
        <v>1005</v>
      </c>
      <c r="C295" s="825" t="s">
        <v>410</v>
      </c>
    </row>
    <row r="296" spans="1:3" ht="15" customHeight="1" x14ac:dyDescent="0.2">
      <c r="A296" s="825"/>
      <c r="B296" s="863" t="s">
        <v>1022</v>
      </c>
      <c r="C296" s="825" t="s">
        <v>411</v>
      </c>
    </row>
    <row r="297" spans="1:3" ht="15" customHeight="1" x14ac:dyDescent="0.2">
      <c r="A297" s="825"/>
      <c r="B297" s="863" t="s">
        <v>1023</v>
      </c>
      <c r="C297" s="825" t="s">
        <v>412</v>
      </c>
    </row>
    <row r="298" spans="1:3" ht="15" customHeight="1" x14ac:dyDescent="0.2">
      <c r="A298" s="825"/>
      <c r="B298" s="863" t="s">
        <v>922</v>
      </c>
      <c r="C298" s="825" t="s">
        <v>310</v>
      </c>
    </row>
    <row r="299" spans="1:3" ht="15" customHeight="1" x14ac:dyDescent="0.2">
      <c r="A299" s="825"/>
      <c r="B299" s="863" t="s">
        <v>1024</v>
      </c>
      <c r="C299" s="825" t="s">
        <v>413</v>
      </c>
    </row>
    <row r="300" spans="1:3" ht="15" customHeight="1" x14ac:dyDescent="0.2">
      <c r="A300" s="825"/>
      <c r="B300" s="863" t="s">
        <v>1025</v>
      </c>
      <c r="C300" s="825" t="s">
        <v>414</v>
      </c>
    </row>
    <row r="301" spans="1:3" ht="15" customHeight="1" x14ac:dyDescent="0.2">
      <c r="A301" s="825"/>
      <c r="B301" s="863"/>
      <c r="C301" s="825"/>
    </row>
    <row r="302" spans="1:3" ht="15" customHeight="1" x14ac:dyDescent="0.2">
      <c r="A302" s="866" t="s">
        <v>144</v>
      </c>
      <c r="B302" s="863" t="s">
        <v>1026</v>
      </c>
      <c r="C302" s="825" t="s">
        <v>415</v>
      </c>
    </row>
    <row r="303" spans="1:3" ht="15" customHeight="1" x14ac:dyDescent="0.2">
      <c r="A303" s="825"/>
      <c r="B303" s="863" t="s">
        <v>1027</v>
      </c>
      <c r="C303" s="864" t="s">
        <v>416</v>
      </c>
    </row>
    <row r="304" spans="1:3" ht="15" customHeight="1" x14ac:dyDescent="0.2">
      <c r="A304" s="825"/>
      <c r="B304" s="863" t="s">
        <v>1028</v>
      </c>
      <c r="C304" s="864" t="s">
        <v>417</v>
      </c>
    </row>
    <row r="305" spans="1:3" ht="15" customHeight="1" x14ac:dyDescent="0.2">
      <c r="A305" s="825"/>
      <c r="B305" s="863"/>
      <c r="C305" s="825"/>
    </row>
    <row r="306" spans="1:3" ht="15" customHeight="1" x14ac:dyDescent="0.2">
      <c r="A306" s="825"/>
      <c r="B306" s="863" t="s">
        <v>1029</v>
      </c>
      <c r="C306" s="825" t="s">
        <v>664</v>
      </c>
    </row>
    <row r="307" spans="1:3" ht="15" customHeight="1" x14ac:dyDescent="0.2">
      <c r="B307" s="863" t="s">
        <v>1030</v>
      </c>
      <c r="C307" s="255" t="s">
        <v>663</v>
      </c>
    </row>
    <row r="308" spans="1:3" ht="15" customHeight="1" x14ac:dyDescent="0.2">
      <c r="A308" s="825"/>
      <c r="B308" s="863" t="s">
        <v>1031</v>
      </c>
      <c r="C308" s="825" t="s">
        <v>788</v>
      </c>
    </row>
    <row r="309" spans="1:3" ht="15" customHeight="1" x14ac:dyDescent="0.2">
      <c r="A309" s="825"/>
      <c r="B309" s="863" t="s">
        <v>1032</v>
      </c>
      <c r="C309" s="825" t="s">
        <v>789</v>
      </c>
    </row>
    <row r="310" spans="1:3" ht="15" customHeight="1" x14ac:dyDescent="0.2">
      <c r="A310" s="825"/>
      <c r="B310" s="863" t="s">
        <v>1033</v>
      </c>
      <c r="C310" s="255" t="s">
        <v>418</v>
      </c>
    </row>
    <row r="311" spans="1:3" ht="15" customHeight="1" x14ac:dyDescent="0.2">
      <c r="A311" s="825"/>
      <c r="B311" s="863"/>
      <c r="C311" s="255"/>
    </row>
    <row r="312" spans="1:3" ht="15" customHeight="1" x14ac:dyDescent="0.2">
      <c r="A312" s="825"/>
      <c r="B312" s="863" t="s">
        <v>1034</v>
      </c>
      <c r="C312" s="255" t="s">
        <v>419</v>
      </c>
    </row>
    <row r="313" spans="1:3" ht="34.5" customHeight="1" x14ac:dyDescent="0.2">
      <c r="B313" s="863" t="s">
        <v>1035</v>
      </c>
      <c r="C313" s="787" t="s">
        <v>420</v>
      </c>
    </row>
    <row r="314" spans="1:3" ht="15" customHeight="1" x14ac:dyDescent="0.2">
      <c r="B314" s="863"/>
      <c r="C314" s="825"/>
    </row>
    <row r="315" spans="1:3" ht="15" customHeight="1" x14ac:dyDescent="0.2">
      <c r="B315" s="863"/>
      <c r="C315" s="825"/>
    </row>
    <row r="316" spans="1:3" ht="15" customHeight="1" x14ac:dyDescent="0.2">
      <c r="B316" s="863" t="s">
        <v>1036</v>
      </c>
      <c r="C316" s="825" t="s">
        <v>421</v>
      </c>
    </row>
    <row r="317" spans="1:3" ht="15" customHeight="1" x14ac:dyDescent="0.2">
      <c r="B317" s="863"/>
      <c r="C317" s="825"/>
    </row>
    <row r="318" spans="1:3" ht="15" customHeight="1" x14ac:dyDescent="0.2">
      <c r="B318" s="863" t="s">
        <v>1037</v>
      </c>
      <c r="C318" s="825" t="s">
        <v>422</v>
      </c>
    </row>
    <row r="319" spans="1:3" ht="15" customHeight="1" x14ac:dyDescent="0.2">
      <c r="B319" s="863"/>
      <c r="C319" s="825"/>
    </row>
    <row r="320" spans="1:3" ht="15" customHeight="1" x14ac:dyDescent="0.2">
      <c r="B320" s="863" t="s">
        <v>1038</v>
      </c>
      <c r="C320" s="864" t="s">
        <v>423</v>
      </c>
    </row>
    <row r="321" spans="1:3" ht="15" customHeight="1" x14ac:dyDescent="0.2">
      <c r="B321" s="863" t="s">
        <v>1039</v>
      </c>
      <c r="C321" s="864" t="s">
        <v>424</v>
      </c>
    </row>
    <row r="322" spans="1:3" ht="15" customHeight="1" x14ac:dyDescent="0.2">
      <c r="B322" s="863"/>
      <c r="C322" s="825"/>
    </row>
    <row r="323" spans="1:3" ht="15" customHeight="1" x14ac:dyDescent="0.2">
      <c r="B323" s="863" t="s">
        <v>1040</v>
      </c>
      <c r="C323" s="825" t="s">
        <v>425</v>
      </c>
    </row>
    <row r="324" spans="1:3" ht="15" customHeight="1" x14ac:dyDescent="0.2">
      <c r="B324" s="863" t="s">
        <v>1041</v>
      </c>
      <c r="C324" s="825" t="s">
        <v>426</v>
      </c>
    </row>
    <row r="325" spans="1:3" ht="15" customHeight="1" x14ac:dyDescent="0.2">
      <c r="B325" s="863"/>
      <c r="C325" s="825"/>
    </row>
    <row r="326" spans="1:3" ht="15" customHeight="1" x14ac:dyDescent="0.2">
      <c r="B326" s="863" t="s">
        <v>1042</v>
      </c>
      <c r="C326" s="255" t="s">
        <v>427</v>
      </c>
    </row>
    <row r="327" spans="1:3" ht="15" customHeight="1" x14ac:dyDescent="0.2">
      <c r="B327" s="863" t="s">
        <v>1043</v>
      </c>
      <c r="C327" s="255" t="s">
        <v>428</v>
      </c>
    </row>
    <row r="328" spans="1:3" ht="15" customHeight="1" x14ac:dyDescent="0.2">
      <c r="B328" s="863" t="s">
        <v>1044</v>
      </c>
      <c r="C328" s="255" t="s">
        <v>783</v>
      </c>
    </row>
    <row r="329" spans="1:3" ht="15" customHeight="1" x14ac:dyDescent="0.2">
      <c r="A329" s="825"/>
      <c r="B329" s="863"/>
      <c r="C329" s="825"/>
    </row>
    <row r="330" spans="1:3" ht="15" customHeight="1" x14ac:dyDescent="0.2">
      <c r="A330" s="825"/>
      <c r="B330" s="863"/>
      <c r="C330" s="825"/>
    </row>
    <row r="331" spans="1:3" ht="15" customHeight="1" x14ac:dyDescent="0.2">
      <c r="A331" s="825"/>
      <c r="B331" s="863"/>
      <c r="C331" s="825"/>
    </row>
    <row r="332" spans="1:3" ht="15" customHeight="1" x14ac:dyDescent="0.2">
      <c r="A332" s="860" t="s">
        <v>429</v>
      </c>
      <c r="B332" s="863" t="s">
        <v>1045</v>
      </c>
      <c r="C332" s="825" t="s">
        <v>430</v>
      </c>
    </row>
    <row r="333" spans="1:3" ht="15" customHeight="1" x14ac:dyDescent="0.2">
      <c r="A333" s="825"/>
      <c r="B333" s="863" t="s">
        <v>1046</v>
      </c>
      <c r="C333" s="825" t="s">
        <v>431</v>
      </c>
    </row>
    <row r="334" spans="1:3" ht="15" customHeight="1" x14ac:dyDescent="0.2">
      <c r="A334" s="825"/>
      <c r="B334" s="863"/>
      <c r="C334" s="825"/>
    </row>
    <row r="335" spans="1:3" ht="15" customHeight="1" x14ac:dyDescent="0.2">
      <c r="A335" s="825"/>
      <c r="B335" s="863" t="s">
        <v>1047</v>
      </c>
      <c r="C335" s="825" t="s">
        <v>432</v>
      </c>
    </row>
    <row r="336" spans="1:3" ht="15" customHeight="1" x14ac:dyDescent="0.2">
      <c r="A336" s="825"/>
      <c r="B336" s="863" t="s">
        <v>1048</v>
      </c>
      <c r="C336" s="825" t="s">
        <v>433</v>
      </c>
    </row>
    <row r="337" spans="1:3" ht="15" customHeight="1" x14ac:dyDescent="0.2">
      <c r="A337" s="825"/>
      <c r="B337" s="863"/>
      <c r="C337" s="825"/>
    </row>
    <row r="338" spans="1:3" ht="15.4" customHeight="1" x14ac:dyDescent="0.2">
      <c r="A338" s="860" t="s">
        <v>729</v>
      </c>
      <c r="B338" s="863" t="s">
        <v>1049</v>
      </c>
      <c r="C338" s="825" t="s">
        <v>731</v>
      </c>
    </row>
    <row r="339" spans="1:3" ht="15.4" customHeight="1" x14ac:dyDescent="0.2">
      <c r="A339" s="860"/>
      <c r="B339" s="863" t="s">
        <v>1050</v>
      </c>
      <c r="C339" s="825" t="s">
        <v>730</v>
      </c>
    </row>
    <row r="340" spans="1:3" ht="15" customHeight="1" x14ac:dyDescent="0.2">
      <c r="A340" s="825"/>
      <c r="B340" s="863"/>
      <c r="C340" s="825"/>
    </row>
    <row r="341" spans="1:3" ht="26.65" customHeight="1" x14ac:dyDescent="0.2">
      <c r="A341" s="1287" t="s">
        <v>434</v>
      </c>
      <c r="B341" s="863" t="s">
        <v>1051</v>
      </c>
      <c r="C341" s="864" t="s">
        <v>435</v>
      </c>
    </row>
    <row r="342" spans="1:3" ht="15" customHeight="1" x14ac:dyDescent="0.2">
      <c r="A342" s="1287"/>
      <c r="B342" s="863" t="s">
        <v>1052</v>
      </c>
      <c r="C342" s="864" t="s">
        <v>436</v>
      </c>
    </row>
    <row r="343" spans="1:3" ht="15" customHeight="1" x14ac:dyDescent="0.2">
      <c r="A343" s="825"/>
      <c r="B343" s="863"/>
      <c r="C343" s="825"/>
    </row>
    <row r="344" spans="1:3" ht="18" customHeight="1" x14ac:dyDescent="0.2">
      <c r="A344" s="1287" t="s">
        <v>795</v>
      </c>
      <c r="B344" s="863" t="s">
        <v>1053</v>
      </c>
      <c r="C344" s="864" t="s">
        <v>796</v>
      </c>
    </row>
    <row r="345" spans="1:3" ht="15" customHeight="1" x14ac:dyDescent="0.2">
      <c r="A345" s="1287"/>
      <c r="B345" s="863" t="s">
        <v>1052</v>
      </c>
      <c r="C345" s="864" t="s">
        <v>436</v>
      </c>
    </row>
    <row r="346" spans="1:3" ht="15" customHeight="1" x14ac:dyDescent="0.2">
      <c r="A346" s="825"/>
      <c r="B346" s="863"/>
      <c r="C346" s="825"/>
    </row>
    <row r="347" spans="1:3" ht="15" customHeight="1" x14ac:dyDescent="0.2">
      <c r="A347" s="825"/>
      <c r="B347" s="863" t="s">
        <v>1054</v>
      </c>
      <c r="C347" s="825" t="s">
        <v>437</v>
      </c>
    </row>
    <row r="348" spans="1:3" ht="15" customHeight="1" x14ac:dyDescent="0.2">
      <c r="A348" s="825"/>
      <c r="B348" s="863" t="s">
        <v>1055</v>
      </c>
      <c r="C348" s="825" t="s">
        <v>438</v>
      </c>
    </row>
    <row r="349" spans="1:3" ht="15" customHeight="1" x14ac:dyDescent="0.2">
      <c r="B349" s="863" t="s">
        <v>1056</v>
      </c>
      <c r="C349" s="825" t="s">
        <v>439</v>
      </c>
    </row>
    <row r="350" spans="1:3" ht="15" customHeight="1" x14ac:dyDescent="0.2">
      <c r="B350" s="863" t="s">
        <v>1057</v>
      </c>
      <c r="C350" s="825" t="s">
        <v>105</v>
      </c>
    </row>
    <row r="351" spans="1:3" ht="15" customHeight="1" x14ac:dyDescent="0.2">
      <c r="B351" s="863" t="s">
        <v>1058</v>
      </c>
      <c r="C351" s="825" t="s">
        <v>780</v>
      </c>
    </row>
    <row r="352" spans="1:3" ht="15" customHeight="1" x14ac:dyDescent="0.2">
      <c r="B352" s="863" t="s">
        <v>1059</v>
      </c>
      <c r="C352" s="825" t="s">
        <v>440</v>
      </c>
    </row>
    <row r="353" spans="2:4" ht="15" customHeight="1" x14ac:dyDescent="0.2">
      <c r="B353" s="863" t="s">
        <v>1060</v>
      </c>
      <c r="C353" s="825" t="s">
        <v>781</v>
      </c>
    </row>
    <row r="354" spans="2:4" ht="15" customHeight="1" x14ac:dyDescent="0.25">
      <c r="B354" s="973" t="s">
        <v>804</v>
      </c>
      <c r="C354" s="825" t="s">
        <v>441</v>
      </c>
      <c r="D354" s="825"/>
    </row>
    <row r="355" spans="2:4" ht="25.9" customHeight="1" x14ac:dyDescent="0.2">
      <c r="B355" s="863" t="s">
        <v>804</v>
      </c>
      <c r="C355" s="864" t="s">
        <v>442</v>
      </c>
    </row>
    <row r="356" spans="2:4" ht="15" customHeight="1" x14ac:dyDescent="0.2">
      <c r="B356" s="863" t="s">
        <v>1061</v>
      </c>
      <c r="C356" s="825" t="s">
        <v>443</v>
      </c>
    </row>
    <row r="357" spans="2:4" ht="15" customHeight="1" x14ac:dyDescent="0.2">
      <c r="B357" s="863"/>
      <c r="C357" s="825"/>
    </row>
    <row r="358" spans="2:4" ht="15" customHeight="1" x14ac:dyDescent="0.2">
      <c r="B358" s="863"/>
      <c r="C358" s="825"/>
    </row>
    <row r="359" spans="2:4" ht="15" customHeight="1" x14ac:dyDescent="0.2">
      <c r="B359" s="863" t="s">
        <v>1062</v>
      </c>
      <c r="C359" s="825" t="s">
        <v>444</v>
      </c>
    </row>
    <row r="360" spans="2:4" ht="15" customHeight="1" x14ac:dyDescent="0.2">
      <c r="B360" s="863" t="s">
        <v>1063</v>
      </c>
      <c r="C360" s="825" t="s">
        <v>445</v>
      </c>
    </row>
    <row r="361" spans="2:4" ht="15" customHeight="1" x14ac:dyDescent="0.2">
      <c r="B361" s="863"/>
      <c r="C361" s="825"/>
    </row>
    <row r="362" spans="2:4" ht="15" customHeight="1" x14ac:dyDescent="0.2">
      <c r="B362" s="863"/>
      <c r="C362" s="825"/>
    </row>
    <row r="363" spans="2:4" ht="15" customHeight="1" x14ac:dyDescent="0.2">
      <c r="B363" s="863" t="s">
        <v>1064</v>
      </c>
      <c r="C363" s="825" t="s">
        <v>446</v>
      </c>
    </row>
    <row r="364" spans="2:4" ht="15" customHeight="1" x14ac:dyDescent="0.2">
      <c r="B364" s="863" t="s">
        <v>1065</v>
      </c>
      <c r="C364" s="825" t="s">
        <v>447</v>
      </c>
    </row>
    <row r="365" spans="2:4" ht="15" customHeight="1" x14ac:dyDescent="0.2">
      <c r="B365" s="863" t="s">
        <v>1066</v>
      </c>
      <c r="C365" s="825" t="s">
        <v>448</v>
      </c>
    </row>
    <row r="366" spans="2:4" ht="15" customHeight="1" x14ac:dyDescent="0.2">
      <c r="B366" s="863" t="s">
        <v>1067</v>
      </c>
      <c r="C366" s="825" t="s">
        <v>449</v>
      </c>
    </row>
    <row r="367" spans="2:4" ht="15" customHeight="1" x14ac:dyDescent="0.2">
      <c r="B367" s="863" t="s">
        <v>1068</v>
      </c>
      <c r="C367" s="825" t="s">
        <v>450</v>
      </c>
    </row>
    <row r="368" spans="2:4" ht="15" customHeight="1" x14ac:dyDescent="0.2">
      <c r="B368" s="863" t="s">
        <v>1069</v>
      </c>
      <c r="C368" s="825" t="s">
        <v>451</v>
      </c>
    </row>
    <row r="369" spans="2:3" ht="15" customHeight="1" x14ac:dyDescent="0.2">
      <c r="B369" s="863" t="s">
        <v>1070</v>
      </c>
      <c r="C369" s="864" t="s">
        <v>452</v>
      </c>
    </row>
    <row r="370" spans="2:3" ht="15" customHeight="1" x14ac:dyDescent="0.2">
      <c r="B370" s="863"/>
      <c r="C370" s="825"/>
    </row>
    <row r="371" spans="2:3" ht="15" customHeight="1" x14ac:dyDescent="0.2">
      <c r="B371" s="863"/>
      <c r="C371" s="825"/>
    </row>
    <row r="372" spans="2:3" ht="15" customHeight="1" x14ac:dyDescent="0.2">
      <c r="B372" s="863" t="s">
        <v>1071</v>
      </c>
      <c r="C372" s="825" t="s">
        <v>453</v>
      </c>
    </row>
    <row r="373" spans="2:3" ht="15" customHeight="1" x14ac:dyDescent="0.2">
      <c r="B373" s="863" t="s">
        <v>1072</v>
      </c>
      <c r="C373" s="825" t="s">
        <v>454</v>
      </c>
    </row>
    <row r="374" spans="2:3" ht="15" customHeight="1" x14ac:dyDescent="0.2">
      <c r="B374" s="863" t="s">
        <v>1073</v>
      </c>
      <c r="C374" s="825" t="s">
        <v>455</v>
      </c>
    </row>
    <row r="375" spans="2:3" ht="15" customHeight="1" x14ac:dyDescent="0.2">
      <c r="B375" s="863" t="s">
        <v>1074</v>
      </c>
      <c r="C375" s="825" t="s">
        <v>456</v>
      </c>
    </row>
    <row r="376" spans="2:3" ht="15" customHeight="1" x14ac:dyDescent="0.2">
      <c r="B376" s="863"/>
      <c r="C376" s="825"/>
    </row>
    <row r="377" spans="2:3" ht="15" customHeight="1" x14ac:dyDescent="0.2">
      <c r="B377" s="863" t="s">
        <v>1075</v>
      </c>
      <c r="C377" s="825" t="s">
        <v>457</v>
      </c>
    </row>
    <row r="378" spans="2:3" ht="15" customHeight="1" x14ac:dyDescent="0.2">
      <c r="B378" s="863" t="s">
        <v>1076</v>
      </c>
      <c r="C378" s="864" t="s">
        <v>458</v>
      </c>
    </row>
    <row r="379" spans="2:3" ht="15" customHeight="1" x14ac:dyDescent="0.2">
      <c r="B379" s="863" t="s">
        <v>1077</v>
      </c>
      <c r="C379" s="825" t="s">
        <v>459</v>
      </c>
    </row>
    <row r="380" spans="2:3" ht="15" customHeight="1" x14ac:dyDescent="0.2">
      <c r="B380" s="863"/>
      <c r="C380" s="825"/>
    </row>
    <row r="381" spans="2:3" ht="15" customHeight="1" x14ac:dyDescent="0.2">
      <c r="B381" s="863" t="s">
        <v>1078</v>
      </c>
      <c r="C381" s="825" t="s">
        <v>460</v>
      </c>
    </row>
    <row r="382" spans="2:3" ht="15" customHeight="1" x14ac:dyDescent="0.2">
      <c r="B382" s="863"/>
      <c r="C382" s="825"/>
    </row>
    <row r="383" spans="2:3" ht="25.9" customHeight="1" x14ac:dyDescent="0.2">
      <c r="B383" s="863" t="s">
        <v>1079</v>
      </c>
      <c r="C383" s="864" t="s">
        <v>461</v>
      </c>
    </row>
    <row r="384" spans="2:3" ht="15" customHeight="1" x14ac:dyDescent="0.2">
      <c r="B384" s="863" t="s">
        <v>1080</v>
      </c>
      <c r="C384" s="825" t="s">
        <v>462</v>
      </c>
    </row>
    <row r="385" spans="2:3" ht="15" customHeight="1" x14ac:dyDescent="0.2">
      <c r="B385" s="863"/>
      <c r="C385" s="825"/>
    </row>
    <row r="386" spans="2:3" ht="15" customHeight="1" x14ac:dyDescent="0.2">
      <c r="B386" s="863" t="s">
        <v>1081</v>
      </c>
      <c r="C386" s="825" t="s">
        <v>463</v>
      </c>
    </row>
    <row r="387" spans="2:3" ht="15" customHeight="1" x14ac:dyDescent="0.2">
      <c r="B387" s="863" t="s">
        <v>1082</v>
      </c>
      <c r="C387" s="825" t="s">
        <v>464</v>
      </c>
    </row>
    <row r="388" spans="2:3" ht="15" customHeight="1" x14ac:dyDescent="0.2">
      <c r="B388" s="863" t="s">
        <v>1083</v>
      </c>
      <c r="C388" s="825" t="s">
        <v>465</v>
      </c>
    </row>
    <row r="389" spans="2:3" ht="15" customHeight="1" x14ac:dyDescent="0.2">
      <c r="B389" s="863" t="s">
        <v>1084</v>
      </c>
      <c r="C389" s="825" t="s">
        <v>466</v>
      </c>
    </row>
    <row r="390" spans="2:3" ht="15" customHeight="1" x14ac:dyDescent="0.2">
      <c r="B390" s="863"/>
      <c r="C390" s="825"/>
    </row>
    <row r="391" spans="2:3" ht="15" customHeight="1" x14ac:dyDescent="0.2">
      <c r="B391" s="863" t="s">
        <v>1085</v>
      </c>
      <c r="C391" s="825" t="s">
        <v>467</v>
      </c>
    </row>
    <row r="392" spans="2:3" ht="15" customHeight="1" x14ac:dyDescent="0.2">
      <c r="B392" s="863" t="s">
        <v>1086</v>
      </c>
      <c r="C392" s="825" t="s">
        <v>468</v>
      </c>
    </row>
    <row r="393" spans="2:3" ht="15" customHeight="1" x14ac:dyDescent="0.2">
      <c r="B393" s="863" t="s">
        <v>1087</v>
      </c>
      <c r="C393" s="825" t="s">
        <v>469</v>
      </c>
    </row>
    <row r="394" spans="2:3" ht="15" customHeight="1" x14ac:dyDescent="0.2">
      <c r="B394" s="863" t="s">
        <v>1088</v>
      </c>
      <c r="C394" s="825" t="s">
        <v>470</v>
      </c>
    </row>
    <row r="395" spans="2:3" ht="15" customHeight="1" x14ac:dyDescent="0.2">
      <c r="B395" s="863" t="s">
        <v>1089</v>
      </c>
      <c r="C395" s="825" t="s">
        <v>471</v>
      </c>
    </row>
    <row r="396" spans="2:3" ht="30.4" customHeight="1" x14ac:dyDescent="0.2">
      <c r="B396" s="863" t="s">
        <v>1090</v>
      </c>
      <c r="C396" s="864" t="s">
        <v>473</v>
      </c>
    </row>
    <row r="397" spans="2:3" ht="15" customHeight="1" x14ac:dyDescent="0.2">
      <c r="B397" s="863" t="s">
        <v>1091</v>
      </c>
      <c r="C397" s="825" t="s">
        <v>474</v>
      </c>
    </row>
    <row r="398" spans="2:3" ht="15" customHeight="1" x14ac:dyDescent="0.2">
      <c r="B398" s="863" t="s">
        <v>1092</v>
      </c>
      <c r="C398" s="825" t="s">
        <v>475</v>
      </c>
    </row>
    <row r="399" spans="2:3" ht="15" customHeight="1" x14ac:dyDescent="0.2">
      <c r="B399" s="863" t="s">
        <v>1093</v>
      </c>
      <c r="C399" s="825" t="s">
        <v>476</v>
      </c>
    </row>
    <row r="400" spans="2:3" ht="15" customHeight="1" x14ac:dyDescent="0.2">
      <c r="B400" s="863" t="s">
        <v>1094</v>
      </c>
      <c r="C400" s="825" t="s">
        <v>477</v>
      </c>
    </row>
    <row r="401" spans="2:8" ht="15" customHeight="1" x14ac:dyDescent="0.2">
      <c r="B401" s="863" t="s">
        <v>1095</v>
      </c>
      <c r="C401" s="825" t="s">
        <v>478</v>
      </c>
    </row>
    <row r="402" spans="2:8" ht="15" customHeight="1" x14ac:dyDescent="0.2">
      <c r="B402" s="863" t="s">
        <v>1096</v>
      </c>
      <c r="C402" s="825" t="s">
        <v>479</v>
      </c>
    </row>
    <row r="403" spans="2:8" ht="15" customHeight="1" x14ac:dyDescent="0.2">
      <c r="B403" s="863" t="s">
        <v>1097</v>
      </c>
      <c r="C403" s="825" t="s">
        <v>480</v>
      </c>
    </row>
    <row r="404" spans="2:8" ht="15" customHeight="1" x14ac:dyDescent="0.2">
      <c r="B404" s="863" t="s">
        <v>1098</v>
      </c>
      <c r="C404" s="825" t="s">
        <v>481</v>
      </c>
    </row>
    <row r="405" spans="2:8" ht="15" customHeight="1" x14ac:dyDescent="0.2">
      <c r="B405" s="863" t="s">
        <v>1099</v>
      </c>
      <c r="C405" s="825" t="s">
        <v>482</v>
      </c>
    </row>
    <row r="406" spans="2:8" ht="15" customHeight="1" x14ac:dyDescent="0.2">
      <c r="B406" s="863" t="s">
        <v>1100</v>
      </c>
      <c r="C406" s="825" t="s">
        <v>483</v>
      </c>
    </row>
    <row r="407" spans="2:8" ht="15" customHeight="1" x14ac:dyDescent="0.2">
      <c r="B407" s="863" t="s">
        <v>1101</v>
      </c>
      <c r="C407" s="864" t="s">
        <v>484</v>
      </c>
    </row>
    <row r="408" spans="2:8" ht="15" customHeight="1" x14ac:dyDescent="0.2">
      <c r="B408" s="863" t="s">
        <v>1102</v>
      </c>
      <c r="C408" s="825" t="s">
        <v>485</v>
      </c>
    </row>
    <row r="409" spans="2:8" ht="15" customHeight="1" x14ac:dyDescent="0.2">
      <c r="B409" s="863" t="s">
        <v>1103</v>
      </c>
      <c r="C409" s="825" t="s">
        <v>486</v>
      </c>
    </row>
    <row r="410" spans="2:8" ht="15" customHeight="1" x14ac:dyDescent="0.2">
      <c r="B410" s="863" t="s">
        <v>1104</v>
      </c>
      <c r="C410" s="825" t="s">
        <v>487</v>
      </c>
    </row>
    <row r="411" spans="2:8" ht="15" customHeight="1" x14ac:dyDescent="0.2">
      <c r="B411" s="863" t="s">
        <v>1105</v>
      </c>
      <c r="C411" s="255" t="s">
        <v>488</v>
      </c>
    </row>
    <row r="412" spans="2:8" ht="15" customHeight="1" x14ac:dyDescent="0.2">
      <c r="B412" s="863" t="s">
        <v>1106</v>
      </c>
      <c r="C412" s="255" t="s">
        <v>489</v>
      </c>
      <c r="E412" s="825"/>
      <c r="F412" s="825"/>
      <c r="G412" s="825"/>
      <c r="H412" s="825"/>
    </row>
    <row r="413" spans="2:8" ht="15" customHeight="1" x14ac:dyDescent="0.2">
      <c r="B413" s="863" t="s">
        <v>1107</v>
      </c>
      <c r="C413" s="622" t="s">
        <v>490</v>
      </c>
      <c r="E413" s="825"/>
      <c r="F413" s="825"/>
      <c r="G413" s="825"/>
      <c r="H413" s="825"/>
    </row>
    <row r="414" spans="2:8" ht="15" customHeight="1" x14ac:dyDescent="0.2">
      <c r="B414" s="863" t="s">
        <v>1108</v>
      </c>
      <c r="C414" s="255" t="s">
        <v>491</v>
      </c>
      <c r="E414" s="825"/>
      <c r="F414" s="825"/>
      <c r="G414" s="825"/>
      <c r="H414" s="825"/>
    </row>
    <row r="415" spans="2:8" ht="15" customHeight="1" x14ac:dyDescent="0.2">
      <c r="B415" s="863" t="s">
        <v>1109</v>
      </c>
      <c r="C415" s="255" t="s">
        <v>492</v>
      </c>
      <c r="E415" s="825"/>
      <c r="F415" s="825"/>
      <c r="G415" s="825"/>
      <c r="H415" s="825"/>
    </row>
    <row r="416" spans="2:8" ht="15" customHeight="1" x14ac:dyDescent="0.2">
      <c r="B416" s="863" t="s">
        <v>1110</v>
      </c>
      <c r="C416" s="255" t="s">
        <v>493</v>
      </c>
      <c r="E416" s="825"/>
      <c r="F416" s="825"/>
      <c r="G416" s="825"/>
      <c r="H416" s="825"/>
    </row>
    <row r="417" spans="2:8" ht="15" customHeight="1" x14ac:dyDescent="0.2">
      <c r="B417" s="863" t="s">
        <v>1111</v>
      </c>
      <c r="C417" s="255" t="s">
        <v>494</v>
      </c>
      <c r="E417" s="825"/>
      <c r="F417" s="825"/>
      <c r="G417" s="825"/>
      <c r="H417" s="825"/>
    </row>
    <row r="418" spans="2:8" ht="15" customHeight="1" x14ac:dyDescent="0.2">
      <c r="B418" s="863" t="s">
        <v>1112</v>
      </c>
      <c r="C418" s="255" t="s">
        <v>495</v>
      </c>
      <c r="E418" s="825"/>
      <c r="F418" s="825"/>
      <c r="G418" s="825"/>
      <c r="H418" s="825"/>
    </row>
    <row r="419" spans="2:8" ht="15" customHeight="1" x14ac:dyDescent="0.2">
      <c r="B419" s="863" t="s">
        <v>1113</v>
      </c>
      <c r="C419" s="255" t="s">
        <v>496</v>
      </c>
      <c r="E419" s="825"/>
      <c r="F419" s="825"/>
      <c r="G419" s="825"/>
      <c r="H419" s="825"/>
    </row>
    <row r="420" spans="2:8" ht="15" customHeight="1" x14ac:dyDescent="0.25">
      <c r="B420" s="974" t="s">
        <v>800</v>
      </c>
      <c r="C420" s="864" t="s">
        <v>497</v>
      </c>
      <c r="E420" s="825"/>
      <c r="F420" s="825"/>
      <c r="G420" s="825"/>
      <c r="H420" s="825"/>
    </row>
    <row r="421" spans="2:8" ht="15" customHeight="1" x14ac:dyDescent="0.2">
      <c r="B421" s="863"/>
      <c r="C421" s="255"/>
      <c r="E421" s="825"/>
      <c r="F421" s="825"/>
      <c r="G421" s="825"/>
      <c r="H421" s="825"/>
    </row>
    <row r="422" spans="2:8" ht="15" customHeight="1" x14ac:dyDescent="0.2">
      <c r="B422" s="863" t="s">
        <v>1114</v>
      </c>
      <c r="C422" s="623" t="s">
        <v>498</v>
      </c>
      <c r="E422" s="867"/>
      <c r="F422" s="867"/>
      <c r="G422" s="867"/>
      <c r="H422" s="825"/>
    </row>
    <row r="423" spans="2:8" ht="15" customHeight="1" x14ac:dyDescent="0.2">
      <c r="B423" s="863" t="s">
        <v>1115</v>
      </c>
      <c r="C423" s="624" t="s">
        <v>499</v>
      </c>
      <c r="E423" s="868"/>
      <c r="F423" s="868"/>
      <c r="G423" s="868"/>
      <c r="H423" s="825"/>
    </row>
    <row r="424" spans="2:8" ht="15" customHeight="1" x14ac:dyDescent="0.2">
      <c r="B424" s="863" t="s">
        <v>1114</v>
      </c>
      <c r="C424" s="623" t="s">
        <v>498</v>
      </c>
      <c r="E424" s="867"/>
      <c r="F424" s="867"/>
      <c r="G424" s="867"/>
      <c r="H424" s="825"/>
    </row>
    <row r="425" spans="2:8" ht="15" customHeight="1" x14ac:dyDescent="0.2">
      <c r="B425" s="863" t="s">
        <v>1115</v>
      </c>
      <c r="C425" s="624" t="s">
        <v>499</v>
      </c>
      <c r="E425" s="868"/>
      <c r="F425" s="868"/>
      <c r="G425" s="868"/>
      <c r="H425" s="825"/>
    </row>
    <row r="426" spans="2:8" ht="15" customHeight="1" x14ac:dyDescent="0.2">
      <c r="B426" s="863" t="s">
        <v>799</v>
      </c>
      <c r="C426" s="825" t="s">
        <v>500</v>
      </c>
      <c r="D426" s="825"/>
      <c r="E426" s="825"/>
      <c r="F426" s="825"/>
      <c r="G426" s="825"/>
      <c r="H426" s="825"/>
    </row>
    <row r="427" spans="2:8" ht="15" customHeight="1" x14ac:dyDescent="0.2">
      <c r="B427" s="863"/>
      <c r="C427" s="825"/>
      <c r="E427" s="825"/>
      <c r="F427" s="825"/>
      <c r="G427" s="825"/>
      <c r="H427" s="825"/>
    </row>
    <row r="428" spans="2:8" s="878" customFormat="1" ht="15" customHeight="1" x14ac:dyDescent="0.2">
      <c r="B428" s="863" t="s">
        <v>1054</v>
      </c>
      <c r="C428" s="798" t="s">
        <v>657</v>
      </c>
      <c r="D428" s="620"/>
      <c r="E428" s="798"/>
      <c r="F428" s="798"/>
      <c r="G428" s="798"/>
      <c r="H428" s="798"/>
    </row>
    <row r="429" spans="2:8" s="878" customFormat="1" ht="15" customHeight="1" x14ac:dyDescent="0.2">
      <c r="B429" s="863" t="s">
        <v>1116</v>
      </c>
      <c r="C429" s="798" t="s">
        <v>654</v>
      </c>
      <c r="D429" s="620"/>
    </row>
    <row r="430" spans="2:8" s="878" customFormat="1" ht="15" customHeight="1" x14ac:dyDescent="0.2">
      <c r="B430" s="863" t="s">
        <v>1117</v>
      </c>
      <c r="C430" s="798" t="s">
        <v>656</v>
      </c>
      <c r="D430" s="620"/>
    </row>
    <row r="431" spans="2:8" s="878" customFormat="1" ht="15" customHeight="1" x14ac:dyDescent="0.25">
      <c r="B431" s="798"/>
    </row>
    <row r="432" spans="2:8" s="878" customFormat="1" ht="15" customHeight="1" x14ac:dyDescent="0.25">
      <c r="B432" s="798"/>
    </row>
    <row r="433" spans="2:2" s="878" customFormat="1" ht="15" customHeight="1" x14ac:dyDescent="0.25">
      <c r="B433" s="798"/>
    </row>
    <row r="434" spans="2:2" s="878" customFormat="1" ht="15" customHeight="1" x14ac:dyDescent="0.25">
      <c r="B434" s="798"/>
    </row>
    <row r="435" spans="2:2" s="878" customFormat="1" ht="15" customHeight="1" x14ac:dyDescent="0.25">
      <c r="B435" s="798"/>
    </row>
    <row r="436" spans="2:2" s="878" customFormat="1" ht="15" customHeight="1" x14ac:dyDescent="0.25">
      <c r="B436" s="798"/>
    </row>
    <row r="437" spans="2:2" ht="15" customHeight="1" x14ac:dyDescent="0.2">
      <c r="B437" s="619" t="str">
        <f>$B$169</f>
        <v>Wróć na początek</v>
      </c>
    </row>
    <row r="438" spans="2:2" ht="15" customHeight="1" x14ac:dyDescent="0.2">
      <c r="B438" s="825"/>
    </row>
    <row r="439" spans="2:2" ht="15" customHeight="1" x14ac:dyDescent="0.2">
      <c r="B439" s="825"/>
    </row>
    <row r="440" spans="2:2" ht="15" customHeight="1" x14ac:dyDescent="0.2">
      <c r="B440" s="825"/>
    </row>
    <row r="441" spans="2:2" ht="15" customHeight="1" x14ac:dyDescent="0.2">
      <c r="B441" s="825"/>
    </row>
    <row r="442" spans="2:2" ht="15" customHeight="1" x14ac:dyDescent="0.2">
      <c r="B442" s="825"/>
    </row>
    <row r="443" spans="2:2" ht="15" customHeight="1" x14ac:dyDescent="0.2">
      <c r="B443" s="825"/>
    </row>
    <row r="444" spans="2:2" ht="15" customHeight="1" x14ac:dyDescent="0.2">
      <c r="B444" s="825"/>
    </row>
    <row r="445" spans="2:2" ht="15" customHeight="1" x14ac:dyDescent="0.2">
      <c r="B445" s="825"/>
    </row>
    <row r="446" spans="2:2" ht="15" customHeight="1" x14ac:dyDescent="0.2">
      <c r="B446" s="825"/>
    </row>
    <row r="447" spans="2:2" ht="15" customHeight="1" x14ac:dyDescent="0.2">
      <c r="B447" s="825"/>
    </row>
    <row r="448" spans="2:2" ht="15" customHeight="1" x14ac:dyDescent="0.2">
      <c r="B448" s="825"/>
    </row>
    <row r="449" spans="2:2" ht="15" customHeight="1" x14ac:dyDescent="0.2">
      <c r="B449" s="825"/>
    </row>
    <row r="450" spans="2:2" ht="15" customHeight="1" x14ac:dyDescent="0.2">
      <c r="B450" s="825"/>
    </row>
    <row r="451" spans="2:2" ht="15" customHeight="1" x14ac:dyDescent="0.2">
      <c r="B451" s="825"/>
    </row>
    <row r="452" spans="2:2" ht="15" customHeight="1" x14ac:dyDescent="0.2">
      <c r="B452" s="825"/>
    </row>
    <row r="453" spans="2:2" ht="15" customHeight="1" x14ac:dyDescent="0.2">
      <c r="B453" s="825"/>
    </row>
    <row r="454" spans="2:2" ht="15" customHeight="1" x14ac:dyDescent="0.2">
      <c r="B454" s="825"/>
    </row>
    <row r="455" spans="2:2" ht="15" customHeight="1" x14ac:dyDescent="0.2">
      <c r="B455" s="825"/>
    </row>
    <row r="456" spans="2:2" ht="15" customHeight="1" x14ac:dyDescent="0.2">
      <c r="B456" s="825"/>
    </row>
    <row r="457" spans="2:2" ht="15" customHeight="1" x14ac:dyDescent="0.2">
      <c r="B457" s="825"/>
    </row>
    <row r="458" spans="2:2" ht="15" customHeight="1" x14ac:dyDescent="0.2">
      <c r="B458" s="825"/>
    </row>
    <row r="459" spans="2:2" ht="15" customHeight="1" x14ac:dyDescent="0.2">
      <c r="B459" s="825"/>
    </row>
    <row r="460" spans="2:2" ht="15" customHeight="1" x14ac:dyDescent="0.2">
      <c r="B460" s="825"/>
    </row>
    <row r="461" spans="2:2" ht="15" customHeight="1" x14ac:dyDescent="0.2">
      <c r="B461" s="825"/>
    </row>
    <row r="462" spans="2:2" ht="15" customHeight="1" x14ac:dyDescent="0.2">
      <c r="B462" s="825"/>
    </row>
    <row r="463" spans="2:2" ht="15" customHeight="1" x14ac:dyDescent="0.2">
      <c r="B463" s="825"/>
    </row>
    <row r="464" spans="2:2" ht="15" customHeight="1" x14ac:dyDescent="0.2">
      <c r="B464" s="825"/>
    </row>
    <row r="465" spans="2:2" ht="15" customHeight="1" x14ac:dyDescent="0.2">
      <c r="B465" s="825"/>
    </row>
    <row r="466" spans="2:2" ht="15" customHeight="1" x14ac:dyDescent="0.2">
      <c r="B466" s="825"/>
    </row>
    <row r="467" spans="2:2" ht="15" customHeight="1" x14ac:dyDescent="0.2">
      <c r="B467" s="825"/>
    </row>
    <row r="468" spans="2:2" ht="15" customHeight="1" x14ac:dyDescent="0.2">
      <c r="B468" s="825"/>
    </row>
    <row r="469" spans="2:2" ht="15" customHeight="1" x14ac:dyDescent="0.2">
      <c r="B469" s="825"/>
    </row>
    <row r="470" spans="2:2" ht="15" customHeight="1" x14ac:dyDescent="0.2">
      <c r="B470" s="825"/>
    </row>
    <row r="471" spans="2:2" ht="15" customHeight="1" x14ac:dyDescent="0.2">
      <c r="B471" s="825"/>
    </row>
    <row r="472" spans="2:2" ht="15" customHeight="1" x14ac:dyDescent="0.2">
      <c r="B472" s="825"/>
    </row>
    <row r="473" spans="2:2" ht="15" customHeight="1" x14ac:dyDescent="0.2">
      <c r="B473" s="825"/>
    </row>
    <row r="474" spans="2:2" ht="15" customHeight="1" x14ac:dyDescent="0.2">
      <c r="B474" s="825"/>
    </row>
    <row r="475" spans="2:2" ht="15" customHeight="1" x14ac:dyDescent="0.2">
      <c r="B475" s="825"/>
    </row>
    <row r="476" spans="2:2" ht="15" customHeight="1" x14ac:dyDescent="0.2">
      <c r="B476" s="825"/>
    </row>
    <row r="477" spans="2:2" ht="15" customHeight="1" x14ac:dyDescent="0.2">
      <c r="B477" s="825"/>
    </row>
    <row r="478" spans="2:2" ht="15" customHeight="1" x14ac:dyDescent="0.2">
      <c r="B478" s="825"/>
    </row>
    <row r="479" spans="2:2" ht="15" customHeight="1" x14ac:dyDescent="0.2">
      <c r="B479" s="825"/>
    </row>
    <row r="480" spans="2:2" ht="15" customHeight="1" x14ac:dyDescent="0.2">
      <c r="B480" s="825"/>
    </row>
    <row r="481" spans="2:2" ht="15" customHeight="1" x14ac:dyDescent="0.2">
      <c r="B481" s="825"/>
    </row>
    <row r="482" spans="2:2" ht="15" customHeight="1" x14ac:dyDescent="0.2">
      <c r="B482" s="825"/>
    </row>
    <row r="483" spans="2:2" ht="15" customHeight="1" x14ac:dyDescent="0.2">
      <c r="B483" s="825"/>
    </row>
    <row r="484" spans="2:2" ht="15" customHeight="1" x14ac:dyDescent="0.2">
      <c r="B484" s="825"/>
    </row>
    <row r="485" spans="2:2" ht="15" customHeight="1" x14ac:dyDescent="0.2">
      <c r="B485" s="825"/>
    </row>
    <row r="486" spans="2:2" ht="15" customHeight="1" x14ac:dyDescent="0.2">
      <c r="B486" s="825"/>
    </row>
    <row r="487" spans="2:2" ht="15" customHeight="1" x14ac:dyDescent="0.2">
      <c r="B487" s="825"/>
    </row>
    <row r="488" spans="2:2" ht="15" customHeight="1" x14ac:dyDescent="0.2">
      <c r="B488" s="825"/>
    </row>
    <row r="489" spans="2:2" ht="15" customHeight="1" x14ac:dyDescent="0.2">
      <c r="B489" s="825"/>
    </row>
    <row r="490" spans="2:2" ht="15" customHeight="1" x14ac:dyDescent="0.2">
      <c r="B490" s="825"/>
    </row>
    <row r="491" spans="2:2" ht="15" customHeight="1" x14ac:dyDescent="0.2">
      <c r="B491" s="825"/>
    </row>
    <row r="492" spans="2:2" ht="15" customHeight="1" x14ac:dyDescent="0.2">
      <c r="B492" s="825"/>
    </row>
    <row r="493" spans="2:2" ht="15" customHeight="1" x14ac:dyDescent="0.2">
      <c r="B493" s="825"/>
    </row>
    <row r="494" spans="2:2" ht="15" customHeight="1" x14ac:dyDescent="0.2">
      <c r="B494" s="825"/>
    </row>
    <row r="495" spans="2:2" ht="15" customHeight="1" x14ac:dyDescent="0.2">
      <c r="B495" s="825"/>
    </row>
    <row r="496" spans="2:2" ht="15" customHeight="1" x14ac:dyDescent="0.2">
      <c r="B496" s="825"/>
    </row>
    <row r="497" spans="2:2" ht="15" customHeight="1" x14ac:dyDescent="0.2">
      <c r="B497" s="825"/>
    </row>
    <row r="498" spans="2:2" ht="15" customHeight="1" x14ac:dyDescent="0.2">
      <c r="B498" s="825"/>
    </row>
    <row r="499" spans="2:2" ht="15" customHeight="1" x14ac:dyDescent="0.2">
      <c r="B499" s="825"/>
    </row>
    <row r="500" spans="2:2" ht="15" customHeight="1" x14ac:dyDescent="0.2">
      <c r="B500" s="825"/>
    </row>
    <row r="501" spans="2:2" ht="15" customHeight="1" x14ac:dyDescent="0.2">
      <c r="B501" s="825"/>
    </row>
    <row r="502" spans="2:2" ht="15" customHeight="1" x14ac:dyDescent="0.2">
      <c r="B502" s="825"/>
    </row>
    <row r="503" spans="2:2" ht="15" customHeight="1" x14ac:dyDescent="0.2">
      <c r="B503" s="825"/>
    </row>
    <row r="504" spans="2:2" ht="15" customHeight="1" x14ac:dyDescent="0.2">
      <c r="B504" s="825"/>
    </row>
    <row r="505" spans="2:2" ht="15" customHeight="1" x14ac:dyDescent="0.2">
      <c r="B505" s="825"/>
    </row>
    <row r="506" spans="2:2" ht="15" customHeight="1" x14ac:dyDescent="0.2">
      <c r="B506" s="825"/>
    </row>
    <row r="507" spans="2:2" ht="15" customHeight="1" x14ac:dyDescent="0.2">
      <c r="B507" s="825"/>
    </row>
    <row r="508" spans="2:2" ht="15" customHeight="1" x14ac:dyDescent="0.2">
      <c r="B508" s="825"/>
    </row>
    <row r="509" spans="2:2" ht="15" customHeight="1" x14ac:dyDescent="0.2">
      <c r="B509" s="825"/>
    </row>
    <row r="510" spans="2:2" ht="15" customHeight="1" x14ac:dyDescent="0.2">
      <c r="B510" s="825"/>
    </row>
    <row r="511" spans="2:2" ht="15" customHeight="1" x14ac:dyDescent="0.2">
      <c r="B511" s="825"/>
    </row>
    <row r="512" spans="2:2" x14ac:dyDescent="0.2">
      <c r="B512" s="825"/>
    </row>
    <row r="513" spans="2:2" x14ac:dyDescent="0.2">
      <c r="B513" s="825"/>
    </row>
    <row r="514" spans="2:2" x14ac:dyDescent="0.2">
      <c r="B514" s="825"/>
    </row>
    <row r="515" spans="2:2" x14ac:dyDescent="0.2">
      <c r="B515" s="825"/>
    </row>
    <row r="516" spans="2:2" x14ac:dyDescent="0.2">
      <c r="B516" s="825"/>
    </row>
    <row r="517" spans="2:2" x14ac:dyDescent="0.2">
      <c r="B517" s="825"/>
    </row>
    <row r="518" spans="2:2" x14ac:dyDescent="0.2">
      <c r="B518" s="825"/>
    </row>
    <row r="519" spans="2:2" x14ac:dyDescent="0.2">
      <c r="B519" s="825"/>
    </row>
    <row r="520" spans="2:2" x14ac:dyDescent="0.2">
      <c r="B520" s="825"/>
    </row>
    <row r="521" spans="2:2" x14ac:dyDescent="0.2">
      <c r="B521" s="825"/>
    </row>
    <row r="522" spans="2:2" x14ac:dyDescent="0.2">
      <c r="B522" s="825"/>
    </row>
    <row r="523" spans="2:2" x14ac:dyDescent="0.2">
      <c r="B523" s="825"/>
    </row>
    <row r="524" spans="2:2" x14ac:dyDescent="0.2">
      <c r="B524" s="825"/>
    </row>
    <row r="525" spans="2:2" x14ac:dyDescent="0.2">
      <c r="B525" s="825"/>
    </row>
    <row r="526" spans="2:2" x14ac:dyDescent="0.2">
      <c r="B526" s="825"/>
    </row>
    <row r="527" spans="2:2" x14ac:dyDescent="0.2">
      <c r="B527" s="825"/>
    </row>
    <row r="528" spans="2:2" x14ac:dyDescent="0.2">
      <c r="B528" s="825"/>
    </row>
    <row r="529" spans="2:2" x14ac:dyDescent="0.2">
      <c r="B529" s="825"/>
    </row>
    <row r="530" spans="2:2" x14ac:dyDescent="0.2">
      <c r="B530" s="825"/>
    </row>
    <row r="531" spans="2:2" x14ac:dyDescent="0.2">
      <c r="B531" s="825"/>
    </row>
    <row r="532" spans="2:2" x14ac:dyDescent="0.2">
      <c r="B532" s="825"/>
    </row>
    <row r="533" spans="2:2" x14ac:dyDescent="0.2">
      <c r="B533" s="825"/>
    </row>
    <row r="534" spans="2:2" x14ac:dyDescent="0.2">
      <c r="B534" s="825"/>
    </row>
    <row r="535" spans="2:2" x14ac:dyDescent="0.2">
      <c r="B535" s="825"/>
    </row>
    <row r="536" spans="2:2" x14ac:dyDescent="0.2">
      <c r="B536" s="825"/>
    </row>
    <row r="537" spans="2:2" x14ac:dyDescent="0.2">
      <c r="B537" s="825"/>
    </row>
    <row r="538" spans="2:2" x14ac:dyDescent="0.2">
      <c r="B538" s="825"/>
    </row>
    <row r="539" spans="2:2" x14ac:dyDescent="0.2">
      <c r="B539" s="825"/>
    </row>
    <row r="540" spans="2:2" x14ac:dyDescent="0.2">
      <c r="B540" s="825"/>
    </row>
    <row r="541" spans="2:2" x14ac:dyDescent="0.2">
      <c r="B541" s="825"/>
    </row>
    <row r="542" spans="2:2" x14ac:dyDescent="0.2">
      <c r="B542" s="825"/>
    </row>
    <row r="543" spans="2:2" x14ac:dyDescent="0.2">
      <c r="B543" s="825"/>
    </row>
    <row r="544" spans="2:2" x14ac:dyDescent="0.2">
      <c r="B544" s="825"/>
    </row>
    <row r="545" spans="2:2" x14ac:dyDescent="0.2">
      <c r="B545" s="825"/>
    </row>
    <row r="546" spans="2:2" x14ac:dyDescent="0.2">
      <c r="B546" s="825"/>
    </row>
    <row r="547" spans="2:2" x14ac:dyDescent="0.2">
      <c r="B547" s="825"/>
    </row>
    <row r="548" spans="2:2" x14ac:dyDescent="0.2">
      <c r="B548" s="825"/>
    </row>
    <row r="549" spans="2:2" x14ac:dyDescent="0.2">
      <c r="B549" s="825"/>
    </row>
    <row r="550" spans="2:2" x14ac:dyDescent="0.2">
      <c r="B550" s="825"/>
    </row>
    <row r="551" spans="2:2" x14ac:dyDescent="0.2">
      <c r="B551" s="825"/>
    </row>
  </sheetData>
  <sheetProtection algorithmName="SHA-512" hashValue="Q/pBraauvotmiuX1UwRVC+Tsdzl0C+bC7kOkbF2aXJpbQ8D0946w7vIWBNnrvQ9WXvV5C32ZEIdwuV8wL7JiiA==" saltValue="eXexNeheZHKNonm4jnym3w==" spinCount="100000" sheet="1" objects="1" scenarios="1"/>
  <mergeCells count="2">
    <mergeCell ref="A341:A342"/>
    <mergeCell ref="A344:A345"/>
  </mergeCells>
  <hyperlinks>
    <hyperlink ref="B1" location="Form!A1" tooltip=" " display="Form!A1" xr:uid="{8DB90ECB-545B-4F6B-A393-82B12B5242C5}"/>
    <hyperlink ref="B437" location="Form!A1" tooltip=" " display="Form!A1" xr:uid="{108B6556-E173-4A4C-A149-66FBA4E573A0}"/>
  </hyperlinks>
  <pageMargins left="0.7" right="0.7" top="0.78740157499999996" bottom="0.78740157499999996" header="0.3" footer="0.3"/>
  <pageSetup paperSize="9" orientation="portrait" horizontalDpi="4294967293" verticalDpi="0"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56"/>
  <dimension ref="F8:O12"/>
  <sheetViews>
    <sheetView workbookViewId="0"/>
  </sheetViews>
  <sheetFormatPr defaultColWidth="9.28515625" defaultRowHeight="14.25" x14ac:dyDescent="0.2"/>
  <cols>
    <col min="1" max="5" width="9.28515625" style="1"/>
    <col min="6" max="16" width="8.7109375" style="1" customWidth="1"/>
    <col min="17" max="16384" width="9.28515625" style="1"/>
  </cols>
  <sheetData>
    <row r="8" spans="6:15" ht="20.25" customHeight="1" x14ac:dyDescent="0.2"/>
    <row r="9" spans="6:15" x14ac:dyDescent="0.2">
      <c r="F9" s="1290" t="s">
        <v>501</v>
      </c>
      <c r="G9" s="1290"/>
      <c r="H9" s="1291" t="s">
        <v>502</v>
      </c>
      <c r="I9" s="1291"/>
      <c r="J9" s="1292" t="s">
        <v>503</v>
      </c>
      <c r="K9" s="1292"/>
      <c r="L9" s="1293" t="s">
        <v>504</v>
      </c>
      <c r="M9" s="1293"/>
      <c r="N9" s="1288" t="s">
        <v>505</v>
      </c>
      <c r="O9" s="1288"/>
    </row>
    <row r="10" spans="6:15" x14ac:dyDescent="0.2">
      <c r="F10" s="1290"/>
      <c r="G10" s="1290"/>
      <c r="H10" s="1291"/>
      <c r="I10" s="1291"/>
      <c r="J10" s="1292"/>
      <c r="K10" s="1292"/>
      <c r="L10" s="1293"/>
      <c r="M10" s="1293"/>
      <c r="N10" s="1288"/>
      <c r="O10" s="1288"/>
    </row>
    <row r="12" spans="6:15" x14ac:dyDescent="0.2">
      <c r="F12" s="1289"/>
      <c r="G12" s="1289"/>
      <c r="H12" s="1289"/>
      <c r="I12" s="1289"/>
      <c r="J12" s="1289"/>
      <c r="K12" s="1289"/>
    </row>
  </sheetData>
  <mergeCells count="6">
    <mergeCell ref="N9:O10"/>
    <mergeCell ref="F12:K12"/>
    <mergeCell ref="F9:G10"/>
    <mergeCell ref="H9:I10"/>
    <mergeCell ref="J9:K10"/>
    <mergeCell ref="L9:M10"/>
  </mergeCells>
  <phoneticPr fontId="41" type="noConversion"/>
  <pageMargins left="0.7" right="0.7" top="0.75" bottom="0.75" header="0.3" footer="0.3"/>
  <pageSetup paperSize="9" orientation="portrait" horizontalDpi="4294967293" verticalDpi="1200"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1B179-4338-4E10-8C71-9C0E75DED430}">
  <sheetPr codeName="Sheet61">
    <tabColor theme="1" tint="0.499984740745262"/>
  </sheetPr>
  <dimension ref="A1:Y210"/>
  <sheetViews>
    <sheetView workbookViewId="0">
      <selection activeCell="AB9" sqref="AB9"/>
    </sheetView>
  </sheetViews>
  <sheetFormatPr defaultColWidth="8.7109375" defaultRowHeight="15" x14ac:dyDescent="0.25"/>
  <cols>
    <col min="1" max="1" width="44.28515625" customWidth="1"/>
    <col min="2" max="2" width="16.28515625" hidden="1" customWidth="1"/>
    <col min="3" max="3" width="7.28515625" hidden="1" customWidth="1"/>
    <col min="4" max="4" width="2.28515625" style="86" hidden="1" customWidth="1"/>
    <col min="5" max="5" width="1.5703125" hidden="1" customWidth="1"/>
    <col min="6" max="6" width="11.7109375" hidden="1" customWidth="1"/>
    <col min="7" max="8" width="1.42578125" hidden="1" customWidth="1"/>
    <col min="9" max="9" width="9.42578125" hidden="1" customWidth="1"/>
    <col min="10" max="10" width="9.28515625" hidden="1" customWidth="1"/>
    <col min="11" max="11" width="4.28515625" hidden="1" customWidth="1"/>
    <col min="12" max="12" width="44.28515625" hidden="1" customWidth="1"/>
    <col min="13" max="13" width="16.5703125" hidden="1" customWidth="1"/>
    <col min="14" max="14" width="9.28515625" hidden="1" customWidth="1"/>
    <col min="15" max="15" width="3.28515625" style="89" hidden="1" customWidth="1"/>
    <col min="16" max="16" width="1.5703125" hidden="1" customWidth="1"/>
    <col min="17" max="17" width="12.42578125" hidden="1" customWidth="1"/>
    <col min="18" max="18" width="11.28515625" hidden="1" customWidth="1"/>
    <col min="19" max="19" width="1.7109375" hidden="1" customWidth="1"/>
    <col min="20" max="21" width="13.7109375" hidden="1" customWidth="1"/>
    <col min="22" max="22" width="8.7109375" customWidth="1"/>
    <col min="23" max="23" width="17.5703125" customWidth="1"/>
    <col min="24" max="26" width="8.7109375" customWidth="1"/>
  </cols>
  <sheetData>
    <row r="1" spans="1:25" ht="15.75" thickBot="1" x14ac:dyDescent="0.3">
      <c r="A1" s="2"/>
      <c r="B1" s="2"/>
      <c r="C1" s="2"/>
      <c r="D1" s="27"/>
      <c r="E1" s="2"/>
      <c r="F1" s="2"/>
      <c r="G1" s="2"/>
      <c r="H1" s="2"/>
      <c r="I1" s="2"/>
      <c r="J1" s="2"/>
      <c r="O1" s="87"/>
    </row>
    <row r="2" spans="1:25" ht="15.75" thickBot="1" x14ac:dyDescent="0.3">
      <c r="A2" s="28" t="s">
        <v>506</v>
      </c>
      <c r="B2" s="29" t="str">
        <f>IF(C2=1,"světle šedá",IF(C2=2,"tmavě šedá",IF(C2=3,"hedvábně bílá", "x")))</f>
        <v>světle šedá</v>
      </c>
      <c r="C2" s="30">
        <f>MenuAVS!$P$28</f>
        <v>1</v>
      </c>
      <c r="D2" s="29"/>
      <c r="E2" s="2"/>
      <c r="F2" s="2"/>
      <c r="G2" s="2"/>
      <c r="H2" s="2"/>
      <c r="I2" s="2"/>
      <c r="J2" s="2"/>
      <c r="L2" s="45" t="str">
        <f>ListAVS!B169</f>
        <v>Wróć na początek</v>
      </c>
      <c r="O2" s="87"/>
    </row>
    <row r="3" spans="1:25" ht="15.75" thickBot="1" x14ac:dyDescent="0.3">
      <c r="A3" s="28" t="s">
        <v>507</v>
      </c>
      <c r="B3" s="29" t="str">
        <f>IF(C3=1,"standard",IF(C3=2,"tenké","chyba"))</f>
        <v>chyba</v>
      </c>
      <c r="C3" s="30"/>
      <c r="D3" s="29"/>
      <c r="E3" s="2"/>
      <c r="F3" s="2"/>
      <c r="G3" s="2"/>
      <c r="H3" s="2"/>
      <c r="I3" s="2"/>
      <c r="J3" s="2"/>
      <c r="K3" s="2"/>
      <c r="O3" s="87"/>
    </row>
    <row r="4" spans="1:25" ht="15.75" thickBot="1" x14ac:dyDescent="0.3">
      <c r="A4" s="28" t="s">
        <v>508</v>
      </c>
      <c r="B4" s="29" t="str">
        <f>IF(C4=1,"na vruty",IF(C4=2,"EXPANDO","chyba"))</f>
        <v>chyba</v>
      </c>
      <c r="C4" s="30"/>
      <c r="D4" s="29"/>
      <c r="E4" s="2"/>
      <c r="F4" s="2"/>
      <c r="G4" s="2"/>
      <c r="H4" s="2"/>
      <c r="I4" s="2"/>
      <c r="J4" s="2"/>
      <c r="O4" s="87"/>
    </row>
    <row r="5" spans="1:25" x14ac:dyDescent="0.25">
      <c r="A5" s="2"/>
      <c r="B5" s="2"/>
      <c r="C5" s="2"/>
      <c r="D5" s="27"/>
      <c r="E5" s="2"/>
      <c r="F5" s="2"/>
      <c r="G5" s="2"/>
      <c r="H5" s="2"/>
      <c r="I5" s="2"/>
      <c r="J5" s="2"/>
      <c r="O5" s="87"/>
    </row>
    <row r="6" spans="1:25" x14ac:dyDescent="0.25">
      <c r="A6" s="28" t="s">
        <v>509</v>
      </c>
      <c r="B6" s="2"/>
      <c r="C6" s="29">
        <f>Form!$Q$16</f>
        <v>1</v>
      </c>
      <c r="D6" s="27"/>
      <c r="E6" s="2"/>
      <c r="F6" s="35">
        <f>Form!$G$23</f>
        <v>0</v>
      </c>
      <c r="G6" s="47"/>
      <c r="H6" s="47"/>
      <c r="I6" s="47"/>
      <c r="J6" s="47"/>
      <c r="O6" s="87"/>
    </row>
    <row r="7" spans="1:25" x14ac:dyDescent="0.25">
      <c r="A7" s="2"/>
      <c r="B7" s="2"/>
      <c r="C7" s="2"/>
      <c r="D7" s="27"/>
      <c r="E7" s="2"/>
      <c r="F7" s="2"/>
      <c r="G7" s="2"/>
      <c r="H7" s="2"/>
      <c r="I7" s="2"/>
      <c r="J7" s="2"/>
      <c r="O7" s="87"/>
    </row>
    <row r="8" spans="1:25" x14ac:dyDescent="0.25">
      <c r="A8" s="2"/>
      <c r="B8" s="2"/>
      <c r="C8" s="2"/>
      <c r="D8" s="27"/>
      <c r="E8" s="2"/>
      <c r="F8" s="2"/>
      <c r="G8" s="2"/>
      <c r="H8" s="2"/>
      <c r="I8" s="2"/>
      <c r="J8" s="2"/>
      <c r="O8" s="87"/>
    </row>
    <row r="9" spans="1:25" ht="14.65" customHeight="1" x14ac:dyDescent="0.25">
      <c r="A9" s="2"/>
      <c r="B9" s="2"/>
      <c r="C9" s="2"/>
      <c r="D9" s="27"/>
      <c r="E9" s="2"/>
      <c r="F9" s="514"/>
      <c r="G9" s="2"/>
      <c r="H9" s="2"/>
      <c r="I9" s="2"/>
      <c r="J9" s="2"/>
      <c r="O9" s="87"/>
      <c r="Q9" s="1294" t="str">
        <f>Price!F10&amp;" po slevě"</f>
        <v>Cena za sztukę po slevě</v>
      </c>
      <c r="R9" s="1295" t="str">
        <f>Price!F10</f>
        <v>Cena za sztukę</v>
      </c>
    </row>
    <row r="10" spans="1:25" ht="49.5" customHeight="1" thickBot="1" x14ac:dyDescent="0.3">
      <c r="A10" s="31" t="str">
        <f t="shared" ref="A10:J16" si="0">L10</f>
        <v>Nazwa</v>
      </c>
      <c r="B10" s="31" t="str">
        <f t="shared" si="0"/>
        <v>Kod asortymentu</v>
      </c>
      <c r="C10" s="31" t="str">
        <f t="shared" si="0"/>
        <v>Kolor</v>
      </c>
      <c r="D10" s="466" t="str">
        <f>O10</f>
        <v>Dostępność</v>
      </c>
      <c r="E10" s="466"/>
      <c r="F10" s="611" t="str">
        <f>Q9</f>
        <v>Cena za sztukę po slevě</v>
      </c>
      <c r="G10" s="466"/>
      <c r="H10" s="466"/>
      <c r="I10" s="90" t="str">
        <f t="shared" si="0"/>
        <v>IDNr.</v>
      </c>
      <c r="J10" s="90">
        <f t="shared" si="0"/>
        <v>0</v>
      </c>
      <c r="K10" s="11"/>
      <c r="L10" s="18" t="str">
        <f>Price!A10</f>
        <v>Nazwa</v>
      </c>
      <c r="M10" s="18" t="str">
        <f>Price!B10</f>
        <v>Kod asortymentu</v>
      </c>
      <c r="N10" s="18" t="str">
        <f>Price!C10</f>
        <v>Kolor</v>
      </c>
      <c r="O10" s="466" t="str">
        <f>Price!D10</f>
        <v>Dostępność</v>
      </c>
      <c r="P10" s="302"/>
      <c r="Q10" s="1294"/>
      <c r="R10" s="1294"/>
      <c r="S10" s="18"/>
      <c r="T10" s="46" t="str">
        <f>Price!G10</f>
        <v>IDNr.</v>
      </c>
      <c r="U10" s="46">
        <f>Price!H10</f>
        <v>0</v>
      </c>
      <c r="V10" s="4"/>
      <c r="W10" s="3" t="s">
        <v>510</v>
      </c>
      <c r="X10" s="5"/>
      <c r="Y10" s="5"/>
    </row>
    <row r="11" spans="1:25" ht="15.75" thickBot="1" x14ac:dyDescent="0.3">
      <c r="A11" s="32" t="str">
        <f t="shared" si="0"/>
        <v xml:space="preserve">Aventos HF Top słaby, wkręty      </v>
      </c>
      <c r="B11" s="33" t="str">
        <f t="shared" si="0"/>
        <v>22F2500</v>
      </c>
      <c r="C11" s="33" t="str">
        <f t="shared" si="0"/>
        <v>ZN</v>
      </c>
      <c r="D11" s="33">
        <f t="shared" si="0"/>
        <v>0</v>
      </c>
      <c r="E11" s="34">
        <f t="shared" si="0"/>
        <v>0</v>
      </c>
      <c r="F11" s="8">
        <f>Q11</f>
        <v>180.23612</v>
      </c>
      <c r="G11" s="23"/>
      <c r="H11" s="23"/>
      <c r="I11" s="48">
        <f t="shared" si="0"/>
        <v>6115096</v>
      </c>
      <c r="J11" s="48">
        <f t="shared" si="0"/>
        <v>507333</v>
      </c>
      <c r="K11" s="11"/>
      <c r="L11" s="19" t="str">
        <f>Price!A11</f>
        <v xml:space="preserve">Aventos HF Top słaby, wkręty      </v>
      </c>
      <c r="M11" s="6" t="str">
        <f>Price!B11</f>
        <v>22F2500</v>
      </c>
      <c r="N11" s="6" t="str">
        <f>Price!C11</f>
        <v>ZN</v>
      </c>
      <c r="O11" s="88">
        <f>Price!D11</f>
        <v>0</v>
      </c>
      <c r="P11" s="7"/>
      <c r="Q11" s="8">
        <f>R11*(100-$F$6)/100</f>
        <v>180.23612</v>
      </c>
      <c r="R11" s="107">
        <f>Price!F11</f>
        <v>180.23612</v>
      </c>
      <c r="S11" s="76"/>
      <c r="T11" s="3">
        <f>Price!G11</f>
        <v>6115096</v>
      </c>
      <c r="U11" s="3">
        <f>Price!H11</f>
        <v>507333</v>
      </c>
      <c r="V11" s="4"/>
      <c r="W11" s="9">
        <f>Price!H8</f>
        <v>45671</v>
      </c>
      <c r="X11" s="5"/>
      <c r="Y11" s="5"/>
    </row>
    <row r="12" spans="1:25" x14ac:dyDescent="0.25">
      <c r="A12" s="32" t="str">
        <f t="shared" si="0"/>
        <v xml:space="preserve">Aventos HF Top słaby, eurowkręty      </v>
      </c>
      <c r="B12" s="33" t="str">
        <f t="shared" si="0"/>
        <v>22F2510</v>
      </c>
      <c r="C12" s="33" t="str">
        <f t="shared" si="0"/>
        <v>ZN</v>
      </c>
      <c r="D12" s="33">
        <f t="shared" si="0"/>
        <v>0</v>
      </c>
      <c r="E12" s="34">
        <f t="shared" si="0"/>
        <v>0</v>
      </c>
      <c r="F12" s="8">
        <f t="shared" ref="F12:F44" si="1">Q12</f>
        <v>181.63767999999999</v>
      </c>
      <c r="G12" s="23"/>
      <c r="H12" s="23"/>
      <c r="I12" s="48">
        <f t="shared" si="0"/>
        <v>6225429</v>
      </c>
      <c r="J12" s="48">
        <f t="shared" si="0"/>
        <v>507335</v>
      </c>
      <c r="K12" s="11"/>
      <c r="L12" s="19" t="str">
        <f>Price!A12</f>
        <v xml:space="preserve">Aventos HF Top słaby, eurowkręty      </v>
      </c>
      <c r="M12" s="6" t="str">
        <f>Price!B12</f>
        <v>22F2510</v>
      </c>
      <c r="N12" s="6" t="str">
        <f>Price!C12</f>
        <v>ZN</v>
      </c>
      <c r="O12" s="88">
        <f>Price!D12</f>
        <v>0</v>
      </c>
      <c r="P12" s="7"/>
      <c r="Q12" s="8">
        <f t="shared" ref="Q12:Q36" si="2">R12*(100-$F$6)/100</f>
        <v>181.63767999999999</v>
      </c>
      <c r="R12" s="107">
        <f>Price!F12</f>
        <v>181.63767999999999</v>
      </c>
      <c r="S12" s="76"/>
      <c r="T12" s="3">
        <f>Price!G12</f>
        <v>6225429</v>
      </c>
      <c r="U12" s="3">
        <f>Price!H12</f>
        <v>507335</v>
      </c>
      <c r="V12" s="4"/>
      <c r="X12" s="5"/>
      <c r="Y12" s="5"/>
    </row>
    <row r="13" spans="1:25" x14ac:dyDescent="0.25">
      <c r="A13" s="32" t="str">
        <f t="shared" si="0"/>
        <v xml:space="preserve">Aventos HF Top mocny, wkręty      </v>
      </c>
      <c r="B13" s="33" t="str">
        <f t="shared" si="0"/>
        <v>22F2800</v>
      </c>
      <c r="C13" s="33" t="str">
        <f t="shared" si="0"/>
        <v>ZN</v>
      </c>
      <c r="D13" s="33">
        <f t="shared" si="0"/>
        <v>0</v>
      </c>
      <c r="E13" s="34">
        <f t="shared" si="0"/>
        <v>0</v>
      </c>
      <c r="F13" s="8">
        <f t="shared" si="1"/>
        <v>196.99925999999999</v>
      </c>
      <c r="G13" s="23"/>
      <c r="H13" s="23"/>
      <c r="I13" s="48">
        <f t="shared" si="0"/>
        <v>1755700</v>
      </c>
      <c r="J13" s="48">
        <f t="shared" si="0"/>
        <v>507336</v>
      </c>
      <c r="K13" s="11"/>
      <c r="L13" s="19" t="str">
        <f>Price!A13</f>
        <v xml:space="preserve">Aventos HF Top mocny, wkręty      </v>
      </c>
      <c r="M13" s="6" t="str">
        <f>Price!B13</f>
        <v>22F2800</v>
      </c>
      <c r="N13" s="6" t="str">
        <f>Price!C13</f>
        <v>ZN</v>
      </c>
      <c r="O13" s="88">
        <f>Price!D13</f>
        <v>0</v>
      </c>
      <c r="P13" s="7"/>
      <c r="Q13" s="8">
        <f t="shared" si="2"/>
        <v>196.99925999999999</v>
      </c>
      <c r="R13" s="107">
        <f>Price!F13</f>
        <v>196.99925999999999</v>
      </c>
      <c r="S13" s="76"/>
      <c r="T13" s="3">
        <f>Price!G13</f>
        <v>1755700</v>
      </c>
      <c r="U13" s="3">
        <f>Price!H13</f>
        <v>507336</v>
      </c>
      <c r="V13" s="4"/>
      <c r="X13" s="5"/>
      <c r="Y13" s="5"/>
    </row>
    <row r="14" spans="1:25" x14ac:dyDescent="0.25">
      <c r="A14" s="32" t="str">
        <f t="shared" ref="A14:F14" si="3">L14</f>
        <v xml:space="preserve">Aventos HF Top mocny, eurowkręty      </v>
      </c>
      <c r="B14" s="33" t="str">
        <f t="shared" si="3"/>
        <v>22F2810</v>
      </c>
      <c r="C14" s="33" t="str">
        <f t="shared" si="3"/>
        <v>ZN</v>
      </c>
      <c r="D14" s="33">
        <f t="shared" si="3"/>
        <v>0</v>
      </c>
      <c r="E14" s="34">
        <f t="shared" si="3"/>
        <v>0</v>
      </c>
      <c r="F14" s="8">
        <f t="shared" si="3"/>
        <v>198.53095999999996</v>
      </c>
      <c r="G14" s="23"/>
      <c r="H14" s="23"/>
      <c r="I14" s="48">
        <f>T14</f>
        <v>6445555</v>
      </c>
      <c r="J14" s="48">
        <f>U14</f>
        <v>507337</v>
      </c>
      <c r="K14" s="11"/>
      <c r="L14" s="19" t="str">
        <f>Price!A14</f>
        <v xml:space="preserve">Aventos HF Top mocny, eurowkręty      </v>
      </c>
      <c r="M14" s="6" t="str">
        <f>Price!B14</f>
        <v>22F2810</v>
      </c>
      <c r="N14" s="6" t="str">
        <f>Price!C14</f>
        <v>ZN</v>
      </c>
      <c r="O14" s="88">
        <f>Price!D14</f>
        <v>0</v>
      </c>
      <c r="P14" s="7"/>
      <c r="Q14" s="8">
        <f>R14*(100-$F$6)/100</f>
        <v>198.53095999999996</v>
      </c>
      <c r="R14" s="107">
        <f>Price!F14</f>
        <v>198.53095999999999</v>
      </c>
      <c r="S14" s="76"/>
      <c r="T14" s="3">
        <f>Price!G14</f>
        <v>6445555</v>
      </c>
      <c r="U14" s="3">
        <f>Price!H14</f>
        <v>507337</v>
      </c>
      <c r="V14" s="4"/>
      <c r="X14" s="5"/>
      <c r="Y14" s="5"/>
    </row>
    <row r="15" spans="1:25" x14ac:dyDescent="0.25">
      <c r="A15" s="32" t="str">
        <f t="shared" si="0"/>
        <v xml:space="preserve">zestaw ramion teleskop. HF Top 480-610mm     </v>
      </c>
      <c r="B15" s="33" t="str">
        <f t="shared" si="0"/>
        <v>22F3200</v>
      </c>
      <c r="C15" s="33" t="str">
        <f t="shared" si="0"/>
        <v>NI</v>
      </c>
      <c r="D15" s="33">
        <f t="shared" si="0"/>
        <v>0</v>
      </c>
      <c r="E15" s="34">
        <f t="shared" si="0"/>
        <v>0</v>
      </c>
      <c r="F15" s="8">
        <f t="shared" si="1"/>
        <v>85.664479999999998</v>
      </c>
      <c r="G15" s="23"/>
      <c r="H15" s="23"/>
      <c r="I15" s="48">
        <f t="shared" si="0"/>
        <v>8795903</v>
      </c>
      <c r="J15" s="48">
        <f t="shared" si="0"/>
        <v>507340</v>
      </c>
      <c r="K15" s="11"/>
      <c r="L15" s="19" t="str">
        <f>Price!A15</f>
        <v xml:space="preserve">zestaw ramion teleskop. HF Top 480-610mm     </v>
      </c>
      <c r="M15" s="6" t="str">
        <f>Price!B15</f>
        <v>22F3200</v>
      </c>
      <c r="N15" s="6" t="str">
        <f>Price!C15</f>
        <v>NI</v>
      </c>
      <c r="O15" s="88">
        <f>Price!D15</f>
        <v>0</v>
      </c>
      <c r="P15" s="7"/>
      <c r="Q15" s="8">
        <f t="shared" si="2"/>
        <v>85.664479999999998</v>
      </c>
      <c r="R15" s="107">
        <f>Price!F15</f>
        <v>85.664479999999998</v>
      </c>
      <c r="S15" s="76"/>
      <c r="T15" s="3">
        <f>Price!G15</f>
        <v>8795903</v>
      </c>
      <c r="U15" s="3">
        <f>Price!H15</f>
        <v>507340</v>
      </c>
      <c r="V15" s="4"/>
      <c r="X15" s="5"/>
      <c r="Y15" s="5"/>
    </row>
    <row r="16" spans="1:25" x14ac:dyDescent="0.25">
      <c r="A16" s="32" t="str">
        <f t="shared" si="0"/>
        <v xml:space="preserve">zestaw ramion teleskop. HF Top 600-910mm     </v>
      </c>
      <c r="B16" s="33" t="str">
        <f t="shared" si="0"/>
        <v>22F3500</v>
      </c>
      <c r="C16" s="33" t="str">
        <f t="shared" si="0"/>
        <v>NI</v>
      </c>
      <c r="D16" s="33">
        <f t="shared" si="0"/>
        <v>0</v>
      </c>
      <c r="E16" s="34">
        <f t="shared" si="0"/>
        <v>0</v>
      </c>
      <c r="F16" s="8">
        <f t="shared" si="1"/>
        <v>105.22162</v>
      </c>
      <c r="G16" s="23"/>
      <c r="H16" s="23"/>
      <c r="I16" s="48">
        <f t="shared" si="0"/>
        <v>7893366</v>
      </c>
      <c r="J16" s="48">
        <f t="shared" si="0"/>
        <v>507341</v>
      </c>
      <c r="K16" s="11"/>
      <c r="L16" s="19" t="str">
        <f>Price!A16</f>
        <v xml:space="preserve">zestaw ramion teleskop. HF Top 600-910mm     </v>
      </c>
      <c r="M16" s="6" t="str">
        <f>Price!B16</f>
        <v>22F3500</v>
      </c>
      <c r="N16" s="6" t="str">
        <f>Price!C16</f>
        <v>NI</v>
      </c>
      <c r="O16" s="88">
        <f>Price!D16</f>
        <v>0</v>
      </c>
      <c r="P16" s="7"/>
      <c r="Q16" s="8">
        <f t="shared" si="2"/>
        <v>105.22162</v>
      </c>
      <c r="R16" s="107">
        <f>Price!F16</f>
        <v>105.22162</v>
      </c>
      <c r="S16" s="76"/>
      <c r="T16" s="3">
        <f>Price!G16</f>
        <v>7893366</v>
      </c>
      <c r="U16" s="3">
        <f>Price!H16</f>
        <v>507341</v>
      </c>
      <c r="V16" s="4"/>
      <c r="X16" s="5"/>
      <c r="Y16" s="5"/>
    </row>
    <row r="17" spans="1:25" x14ac:dyDescent="0.25">
      <c r="A17" s="32" t="str">
        <f>L17</f>
        <v xml:space="preserve">zestaw ramion teleskop. HF Top 840-1200mm     </v>
      </c>
      <c r="B17" s="33" t="str">
        <f>M17</f>
        <v>22F3900</v>
      </c>
      <c r="C17" s="33" t="str">
        <f>N17</f>
        <v>NI</v>
      </c>
      <c r="D17" s="33">
        <f>O17</f>
        <v>0</v>
      </c>
      <c r="E17" s="34">
        <f>P17</f>
        <v>0</v>
      </c>
      <c r="F17" s="8">
        <f t="shared" si="1"/>
        <v>124.77875</v>
      </c>
      <c r="G17" s="23"/>
      <c r="H17" s="23"/>
      <c r="I17" s="48">
        <f>T17</f>
        <v>6927662</v>
      </c>
      <c r="J17" s="48">
        <f>U17</f>
        <v>507342</v>
      </c>
      <c r="K17" s="11"/>
      <c r="L17" s="19" t="str">
        <f>Price!A17</f>
        <v xml:space="preserve">zestaw ramion teleskop. HF Top 840-1200mm     </v>
      </c>
      <c r="M17" s="6" t="str">
        <f>Price!B17</f>
        <v>22F3900</v>
      </c>
      <c r="N17" s="6" t="str">
        <f>Price!C17</f>
        <v>NI</v>
      </c>
      <c r="O17" s="88">
        <f>Price!D17</f>
        <v>0</v>
      </c>
      <c r="P17" s="7"/>
      <c r="Q17" s="8">
        <f t="shared" si="2"/>
        <v>124.77875</v>
      </c>
      <c r="R17" s="107">
        <f>Price!F17</f>
        <v>124.77875</v>
      </c>
      <c r="S17" s="76"/>
      <c r="T17" s="3">
        <f>Price!G17</f>
        <v>6927662</v>
      </c>
      <c r="U17" s="3">
        <f>Price!H17</f>
        <v>507342</v>
      </c>
      <c r="V17" s="4"/>
      <c r="X17" s="5"/>
      <c r="Y17" s="5"/>
    </row>
    <row r="18" spans="1:25" x14ac:dyDescent="0.25">
      <c r="A18" s="32" t="str">
        <f t="shared" ref="A18:A34" si="4">L18</f>
        <v xml:space="preserve">nakładany Tip-on wkręt 120°       </v>
      </c>
      <c r="B18" s="33" t="str">
        <f t="shared" ref="B18:B34" si="5">M18</f>
        <v>70T5550.TL</v>
      </c>
      <c r="C18" s="33" t="str">
        <f t="shared" ref="C18:C34" si="6">N18</f>
        <v>NI</v>
      </c>
      <c r="D18" s="33">
        <f t="shared" ref="D18:D34" si="7">O18</f>
        <v>0</v>
      </c>
      <c r="E18" s="34">
        <f t="shared" ref="E18:E34" si="8">P18</f>
        <v>0</v>
      </c>
      <c r="F18" s="8">
        <f t="shared" si="1"/>
        <v>5.5152999999999999</v>
      </c>
      <c r="G18" s="23"/>
      <c r="H18" s="23"/>
      <c r="I18" s="48">
        <f t="shared" ref="I18:I34" si="9">T18</f>
        <v>6510533</v>
      </c>
      <c r="J18" s="48">
        <f t="shared" ref="J18:J34" si="10">U18</f>
        <v>12023</v>
      </c>
      <c r="K18" s="20"/>
      <c r="L18" s="19" t="str">
        <f>Price!A18</f>
        <v xml:space="preserve">nakładany Tip-on wkręt 120°       </v>
      </c>
      <c r="M18" s="6" t="str">
        <f>Price!B18</f>
        <v>70T5550.TL</v>
      </c>
      <c r="N18" s="6" t="str">
        <f>Price!C18</f>
        <v>NI</v>
      </c>
      <c r="O18" s="88">
        <f>Price!D18</f>
        <v>0</v>
      </c>
      <c r="P18" s="7"/>
      <c r="Q18" s="8">
        <f t="shared" si="2"/>
        <v>5.5152999999999999</v>
      </c>
      <c r="R18" s="107">
        <f>Price!F18</f>
        <v>5.5152999999999999</v>
      </c>
      <c r="S18" s="76"/>
      <c r="T18" s="3">
        <f>Price!G18</f>
        <v>6510533</v>
      </c>
      <c r="U18" s="3">
        <f>Price!H18</f>
        <v>12023</v>
      </c>
      <c r="V18" s="4"/>
      <c r="W18" s="17"/>
      <c r="X18" s="17"/>
      <c r="Y18" s="17"/>
    </row>
    <row r="19" spans="1:25" x14ac:dyDescent="0.25">
      <c r="A19" s="32" t="str">
        <f t="shared" si="4"/>
        <v xml:space="preserve">zawias nakładany Tip-on Expando 120°      </v>
      </c>
      <c r="B19" s="33" t="str">
        <f t="shared" si="5"/>
        <v>70T558E</v>
      </c>
      <c r="C19" s="33" t="str">
        <f t="shared" si="6"/>
        <v>NI</v>
      </c>
      <c r="D19" s="33">
        <f t="shared" si="7"/>
        <v>0</v>
      </c>
      <c r="E19" s="34">
        <f t="shared" si="8"/>
        <v>0</v>
      </c>
      <c r="F19" s="8">
        <f t="shared" si="1"/>
        <v>5.8604399999999996</v>
      </c>
      <c r="G19" s="23"/>
      <c r="H19" s="23"/>
      <c r="I19" s="48">
        <f t="shared" si="9"/>
        <v>7606263</v>
      </c>
      <c r="J19" s="48">
        <f t="shared" si="10"/>
        <v>12028</v>
      </c>
      <c r="K19" s="21"/>
      <c r="L19" s="19" t="str">
        <f>Price!A19</f>
        <v xml:space="preserve">zawias nakładany Tip-on Expando 120°      </v>
      </c>
      <c r="M19" s="6" t="str">
        <f>Price!B19</f>
        <v>70T558E</v>
      </c>
      <c r="N19" s="6" t="str">
        <f>Price!C19</f>
        <v>NI</v>
      </c>
      <c r="O19" s="88">
        <f>Price!D19</f>
        <v>0</v>
      </c>
      <c r="P19" s="7"/>
      <c r="Q19" s="8">
        <f t="shared" si="2"/>
        <v>5.8604399999999996</v>
      </c>
      <c r="R19" s="107">
        <f>Price!F19</f>
        <v>5.8604399999999996</v>
      </c>
      <c r="S19" s="76"/>
      <c r="T19" s="3">
        <f>Price!G19</f>
        <v>7606263</v>
      </c>
      <c r="U19" s="3">
        <f>Price!H19</f>
        <v>12028</v>
      </c>
      <c r="V19" s="4"/>
      <c r="W19" s="17"/>
      <c r="X19" s="17"/>
      <c r="Y19" s="17"/>
    </row>
    <row r="20" spans="1:25" x14ac:dyDescent="0.25">
      <c r="A20" s="32" t="str">
        <f t="shared" si="4"/>
        <v xml:space="preserve">zawias środkowy wkręt        </v>
      </c>
      <c r="B20" s="33" t="str">
        <f t="shared" si="5"/>
        <v>78Z5500T</v>
      </c>
      <c r="C20" s="33" t="str">
        <f t="shared" si="6"/>
        <v>NI</v>
      </c>
      <c r="D20" s="33">
        <f t="shared" si="7"/>
        <v>0</v>
      </c>
      <c r="E20" s="34">
        <f t="shared" si="8"/>
        <v>0</v>
      </c>
      <c r="F20" s="8">
        <f t="shared" si="1"/>
        <v>10.1708</v>
      </c>
      <c r="G20" s="23"/>
      <c r="H20" s="23"/>
      <c r="I20" s="48">
        <f t="shared" si="9"/>
        <v>6796673</v>
      </c>
      <c r="J20" s="48">
        <f t="shared" si="10"/>
        <v>12024</v>
      </c>
      <c r="K20" s="21"/>
      <c r="L20" s="19" t="str">
        <f>Price!A20</f>
        <v xml:space="preserve">zawias środkowy wkręt        </v>
      </c>
      <c r="M20" s="6" t="str">
        <f>Price!B20</f>
        <v>78Z5500T</v>
      </c>
      <c r="N20" s="6" t="str">
        <f>Price!C20</f>
        <v>NI</v>
      </c>
      <c r="O20" s="88">
        <f>Price!D20</f>
        <v>0</v>
      </c>
      <c r="P20" s="7"/>
      <c r="Q20" s="8">
        <f t="shared" si="2"/>
        <v>10.1708</v>
      </c>
      <c r="R20" s="107">
        <f>Price!F20</f>
        <v>10.1708</v>
      </c>
      <c r="S20" s="76"/>
      <c r="T20" s="3">
        <f>Price!G20</f>
        <v>6796673</v>
      </c>
      <c r="U20" s="3">
        <f>Price!H20</f>
        <v>12024</v>
      </c>
      <c r="V20" s="4"/>
      <c r="W20" s="17"/>
      <c r="X20" s="17"/>
      <c r="Y20" s="17"/>
    </row>
    <row r="21" spans="1:25" x14ac:dyDescent="0.25">
      <c r="A21" s="32" t="str">
        <f t="shared" si="4"/>
        <v xml:space="preserve">zawias środkowy Expando        </v>
      </c>
      <c r="B21" s="33" t="str">
        <f t="shared" si="5"/>
        <v>78Z553ET</v>
      </c>
      <c r="C21" s="33" t="str">
        <f t="shared" si="6"/>
        <v>NI</v>
      </c>
      <c r="D21" s="33">
        <f t="shared" si="7"/>
        <v>0</v>
      </c>
      <c r="E21" s="34">
        <f t="shared" si="8"/>
        <v>0</v>
      </c>
      <c r="F21" s="8">
        <f t="shared" si="1"/>
        <v>10.498419999999999</v>
      </c>
      <c r="G21" s="23"/>
      <c r="H21" s="23"/>
      <c r="I21" s="48">
        <f t="shared" si="9"/>
        <v>6797133</v>
      </c>
      <c r="J21" s="48">
        <f t="shared" si="10"/>
        <v>12027</v>
      </c>
      <c r="K21" s="21"/>
      <c r="L21" s="19" t="str">
        <f>Price!A21</f>
        <v xml:space="preserve">zawias środkowy Expando        </v>
      </c>
      <c r="M21" s="6" t="str">
        <f>Price!B21</f>
        <v>78Z553ET</v>
      </c>
      <c r="N21" s="6" t="str">
        <f>Price!C21</f>
        <v>NI</v>
      </c>
      <c r="O21" s="88">
        <f>Price!D21</f>
        <v>0</v>
      </c>
      <c r="P21" s="7"/>
      <c r="Q21" s="8">
        <f t="shared" si="2"/>
        <v>10.498419999999999</v>
      </c>
      <c r="R21" s="107">
        <f>Price!F21</f>
        <v>10.498419999999999</v>
      </c>
      <c r="S21" s="76"/>
      <c r="T21" s="3">
        <f>Price!G21</f>
        <v>6797133</v>
      </c>
      <c r="U21" s="3">
        <f>Price!H21</f>
        <v>12027</v>
      </c>
      <c r="V21" s="4"/>
      <c r="W21" s="17"/>
      <c r="X21" s="17"/>
      <c r="Y21" s="17"/>
    </row>
    <row r="22" spans="1:25" x14ac:dyDescent="0.25">
      <c r="A22" s="32" t="str">
        <f t="shared" si="4"/>
        <v xml:space="preserve">alu nakładany Tip-on 120° Aventos HF     </v>
      </c>
      <c r="B22" s="33" t="str">
        <f t="shared" si="5"/>
        <v>72T550A.TL</v>
      </c>
      <c r="C22" s="33" t="str">
        <f t="shared" si="6"/>
        <v>NI</v>
      </c>
      <c r="D22" s="33">
        <f t="shared" si="7"/>
        <v>0</v>
      </c>
      <c r="E22" s="34">
        <f t="shared" si="8"/>
        <v>0</v>
      </c>
      <c r="F22" s="8">
        <f t="shared" si="1"/>
        <v>8.4674200000000006</v>
      </c>
      <c r="G22" s="23"/>
      <c r="H22" s="23"/>
      <c r="I22" s="48">
        <f t="shared" si="9"/>
        <v>7655633</v>
      </c>
      <c r="J22" s="48">
        <f t="shared" si="10"/>
        <v>13764</v>
      </c>
      <c r="K22" s="21"/>
      <c r="L22" s="19" t="str">
        <f>Price!A22</f>
        <v xml:space="preserve">alu nakładany Tip-on 120° Aventos HF     </v>
      </c>
      <c r="M22" s="6" t="str">
        <f>Price!B22</f>
        <v>72T550A.TL</v>
      </c>
      <c r="N22" s="6" t="str">
        <f>Price!C22</f>
        <v>NI</v>
      </c>
      <c r="O22" s="88">
        <f>Price!D22</f>
        <v>0</v>
      </c>
      <c r="P22" s="7"/>
      <c r="Q22" s="8">
        <f t="shared" si="2"/>
        <v>8.4674200000000006</v>
      </c>
      <c r="R22" s="107">
        <f>Price!F22</f>
        <v>8.4674200000000006</v>
      </c>
      <c r="S22" s="76"/>
      <c r="T22" s="3">
        <f>Price!G22</f>
        <v>7655633</v>
      </c>
      <c r="U22" s="3">
        <f>Price!H22</f>
        <v>13764</v>
      </c>
      <c r="V22" s="4"/>
      <c r="W22" s="17"/>
      <c r="X22" s="17"/>
      <c r="Y22" s="17"/>
    </row>
    <row r="23" spans="1:25" x14ac:dyDescent="0.25">
      <c r="A23" s="32" t="str">
        <f t="shared" si="4"/>
        <v xml:space="preserve">alu zawias środkowy        </v>
      </c>
      <c r="B23" s="33" t="str">
        <f t="shared" si="5"/>
        <v>78Z550AT</v>
      </c>
      <c r="C23" s="33" t="str">
        <f t="shared" si="6"/>
        <v>NI</v>
      </c>
      <c r="D23" s="33">
        <f t="shared" si="7"/>
        <v>0</v>
      </c>
      <c r="E23" s="34">
        <f t="shared" si="8"/>
        <v>0</v>
      </c>
      <c r="F23" s="8">
        <f t="shared" si="1"/>
        <v>11.149290000000001</v>
      </c>
      <c r="G23" s="23"/>
      <c r="H23" s="23"/>
      <c r="I23" s="48">
        <f t="shared" si="9"/>
        <v>6797303</v>
      </c>
      <c r="J23" s="48">
        <f t="shared" si="10"/>
        <v>13765</v>
      </c>
      <c r="K23" s="21"/>
      <c r="L23" s="19" t="str">
        <f>Price!A23</f>
        <v xml:space="preserve">alu zawias środkowy        </v>
      </c>
      <c r="M23" s="6" t="str">
        <f>Price!B23</f>
        <v>78Z550AT</v>
      </c>
      <c r="N23" s="6" t="str">
        <f>Price!C23</f>
        <v>NI</v>
      </c>
      <c r="O23" s="88">
        <f>Price!D23</f>
        <v>0</v>
      </c>
      <c r="P23" s="7"/>
      <c r="Q23" s="8">
        <f t="shared" si="2"/>
        <v>11.149290000000001</v>
      </c>
      <c r="R23" s="107">
        <f>Price!F23</f>
        <v>11.149290000000001</v>
      </c>
      <c r="S23" s="76"/>
      <c r="T23" s="3">
        <f>Price!G23</f>
        <v>6797303</v>
      </c>
      <c r="U23" s="3">
        <f>Price!H23</f>
        <v>13765</v>
      </c>
      <c r="V23" s="4"/>
      <c r="W23" s="17"/>
      <c r="X23" s="17"/>
      <c r="Y23" s="17"/>
    </row>
    <row r="24" spans="1:25" x14ac:dyDescent="0.25">
      <c r="A24" s="32" t="str">
        <f t="shared" si="4"/>
        <v xml:space="preserve">adapter alu do ramion teleskop. P     </v>
      </c>
      <c r="B24" s="33" t="str">
        <f t="shared" si="5"/>
        <v>175H5B00   R</v>
      </c>
      <c r="C24" s="33" t="str">
        <f t="shared" si="6"/>
        <v>NI</v>
      </c>
      <c r="D24" s="33">
        <f t="shared" si="7"/>
        <v>0</v>
      </c>
      <c r="E24" s="34">
        <f t="shared" si="8"/>
        <v>0</v>
      </c>
      <c r="F24" s="8">
        <f t="shared" si="1"/>
        <v>9.9110600000000009</v>
      </c>
      <c r="G24" s="23"/>
      <c r="H24" s="23"/>
      <c r="I24" s="48">
        <f t="shared" si="9"/>
        <v>6796243</v>
      </c>
      <c r="J24" s="48">
        <f t="shared" si="10"/>
        <v>13767</v>
      </c>
      <c r="K24" s="21"/>
      <c r="L24" s="19" t="str">
        <f>Price!A24</f>
        <v xml:space="preserve">adapter alu do ramion teleskop. P     </v>
      </c>
      <c r="M24" s="6" t="str">
        <f>Price!B24</f>
        <v>175H5B00   R</v>
      </c>
      <c r="N24" s="6" t="str">
        <f>Price!C24</f>
        <v>NI</v>
      </c>
      <c r="O24" s="88">
        <f>Price!D24</f>
        <v>0</v>
      </c>
      <c r="P24" s="7"/>
      <c r="Q24" s="8">
        <f t="shared" si="2"/>
        <v>9.9110600000000009</v>
      </c>
      <c r="R24" s="107">
        <f>Price!F24</f>
        <v>9.9110600000000009</v>
      </c>
      <c r="S24" s="76"/>
      <c r="T24" s="3">
        <f>Price!G24</f>
        <v>6796243</v>
      </c>
      <c r="U24" s="3">
        <f>Price!H24</f>
        <v>13767</v>
      </c>
      <c r="V24" s="4"/>
      <c r="W24" s="17"/>
      <c r="X24" s="17"/>
      <c r="Y24" s="17"/>
    </row>
    <row r="25" spans="1:25" x14ac:dyDescent="0.25">
      <c r="A25" s="32" t="str">
        <f t="shared" si="4"/>
        <v xml:space="preserve">adapter alu do ramion teleskop. L     </v>
      </c>
      <c r="B25" s="33" t="str">
        <f t="shared" si="5"/>
        <v>175H5B00   L</v>
      </c>
      <c r="C25" s="33" t="str">
        <f t="shared" si="6"/>
        <v>NI</v>
      </c>
      <c r="D25" s="33">
        <f t="shared" si="7"/>
        <v>0</v>
      </c>
      <c r="E25" s="34">
        <f t="shared" si="8"/>
        <v>0</v>
      </c>
      <c r="F25" s="8">
        <f t="shared" si="1"/>
        <v>9.9110600000000009</v>
      </c>
      <c r="G25" s="23"/>
      <c r="H25" s="23"/>
      <c r="I25" s="48">
        <f t="shared" si="9"/>
        <v>6796593</v>
      </c>
      <c r="J25" s="48">
        <f t="shared" si="10"/>
        <v>13766</v>
      </c>
      <c r="K25" s="11"/>
      <c r="L25" s="19" t="str">
        <f>Price!A25</f>
        <v xml:space="preserve">adapter alu do ramion teleskop. L     </v>
      </c>
      <c r="M25" s="6" t="str">
        <f>Price!B25</f>
        <v>175H5B00   L</v>
      </c>
      <c r="N25" s="6" t="str">
        <f>Price!C25</f>
        <v>NI</v>
      </c>
      <c r="O25" s="88">
        <f>Price!D25</f>
        <v>0</v>
      </c>
      <c r="P25" s="7"/>
      <c r="Q25" s="8">
        <f t="shared" si="2"/>
        <v>9.9110600000000009</v>
      </c>
      <c r="R25" s="107">
        <f>Price!F25</f>
        <v>9.9110600000000009</v>
      </c>
      <c r="S25" s="76"/>
      <c r="T25" s="3">
        <f>Price!G25</f>
        <v>6796593</v>
      </c>
      <c r="U25" s="3">
        <f>Price!H25</f>
        <v>13766</v>
      </c>
      <c r="V25" s="4"/>
      <c r="W25" s="17"/>
      <c r="X25" s="17"/>
      <c r="Y25" s="17"/>
    </row>
    <row r="26" spans="1:25" x14ac:dyDescent="0.25">
      <c r="A26" s="32" t="str">
        <f t="shared" si="4"/>
        <v xml:space="preserve">adapter alu do zawiasu środkowego      </v>
      </c>
      <c r="B26" s="33" t="str">
        <f t="shared" si="5"/>
        <v>175H5A00</v>
      </c>
      <c r="C26" s="33" t="str">
        <f t="shared" si="6"/>
        <v>NI</v>
      </c>
      <c r="D26" s="33">
        <f t="shared" si="7"/>
        <v>0</v>
      </c>
      <c r="E26" s="34">
        <f t="shared" si="8"/>
        <v>0</v>
      </c>
      <c r="F26" s="8">
        <f t="shared" si="1"/>
        <v>9.9110600000000009</v>
      </c>
      <c r="G26" s="23"/>
      <c r="H26" s="23"/>
      <c r="I26" s="48">
        <f t="shared" si="9"/>
        <v>6796303</v>
      </c>
      <c r="J26" s="48">
        <f t="shared" si="10"/>
        <v>13768</v>
      </c>
      <c r="K26" s="11"/>
      <c r="L26" s="19" t="str">
        <f>Price!A26</f>
        <v xml:space="preserve">adapter alu do zawiasu środkowego      </v>
      </c>
      <c r="M26" s="6" t="str">
        <f>Price!B26</f>
        <v>175H5A00</v>
      </c>
      <c r="N26" s="6" t="str">
        <f>Price!C26</f>
        <v>NI</v>
      </c>
      <c r="O26" s="88">
        <f>Price!D26</f>
        <v>0</v>
      </c>
      <c r="P26" s="7"/>
      <c r="Q26" s="8">
        <f t="shared" si="2"/>
        <v>9.9110600000000009</v>
      </c>
      <c r="R26" s="107">
        <f>Price!F26</f>
        <v>9.9110600000000009</v>
      </c>
      <c r="S26" s="76"/>
      <c r="T26" s="3">
        <f>Price!G26</f>
        <v>6796303</v>
      </c>
      <c r="U26" s="3">
        <f>Price!H26</f>
        <v>13768</v>
      </c>
      <c r="V26" s="4"/>
      <c r="W26" s="17"/>
      <c r="X26" s="17"/>
      <c r="Y26" s="17"/>
    </row>
    <row r="27" spans="1:25" x14ac:dyDescent="0.25">
      <c r="A27" s="32" t="str">
        <f t="shared" si="4"/>
        <v xml:space="preserve">          </v>
      </c>
      <c r="B27" s="33">
        <f t="shared" si="5"/>
        <v>0</v>
      </c>
      <c r="C27" s="33">
        <f t="shared" si="6"/>
        <v>0</v>
      </c>
      <c r="D27" s="33">
        <f t="shared" si="7"/>
        <v>0</v>
      </c>
      <c r="E27" s="34">
        <f t="shared" si="8"/>
        <v>0</v>
      </c>
      <c r="F27" s="8">
        <f t="shared" si="1"/>
        <v>0</v>
      </c>
      <c r="G27" s="23"/>
      <c r="H27" s="23"/>
      <c r="I27" s="48">
        <f t="shared" si="9"/>
        <v>0</v>
      </c>
      <c r="J27" s="48">
        <f t="shared" si="10"/>
        <v>0</v>
      </c>
      <c r="K27" s="21"/>
      <c r="L27" s="19" t="str">
        <f>Price!A27</f>
        <v xml:space="preserve">          </v>
      </c>
      <c r="M27" s="6">
        <f>Price!B27</f>
        <v>0</v>
      </c>
      <c r="N27" s="6">
        <f>Price!C27</f>
        <v>0</v>
      </c>
      <c r="O27" s="88">
        <f>Price!D27</f>
        <v>0</v>
      </c>
      <c r="P27" s="7"/>
      <c r="Q27" s="8">
        <f t="shared" si="2"/>
        <v>0</v>
      </c>
      <c r="R27" s="107">
        <f>Price!F27</f>
        <v>0</v>
      </c>
      <c r="S27" s="76"/>
      <c r="T27" s="3">
        <f>Price!G27</f>
        <v>0</v>
      </c>
      <c r="U27" s="3">
        <f>Price!H27</f>
        <v>0</v>
      </c>
      <c r="V27" s="4"/>
      <c r="W27" s="4"/>
      <c r="X27" s="10"/>
      <c r="Y27" s="10"/>
    </row>
    <row r="28" spans="1:25" x14ac:dyDescent="0.25">
      <c r="A28" s="32" t="str">
        <f t="shared" si="4"/>
        <v xml:space="preserve">Aventos HS Top słaby, wkręty      </v>
      </c>
      <c r="B28" s="33" t="str">
        <f t="shared" si="5"/>
        <v>22S2200</v>
      </c>
      <c r="C28" s="33" t="str">
        <f t="shared" si="6"/>
        <v>ZN</v>
      </c>
      <c r="D28" s="33">
        <f t="shared" si="7"/>
        <v>0</v>
      </c>
      <c r="E28" s="34">
        <f t="shared" si="8"/>
        <v>0</v>
      </c>
      <c r="F28" s="8">
        <f t="shared" si="1"/>
        <v>191.41126</v>
      </c>
      <c r="G28" s="23"/>
      <c r="H28" s="23"/>
      <c r="I28" s="48">
        <f t="shared" si="9"/>
        <v>6873965</v>
      </c>
      <c r="J28" s="48">
        <f t="shared" si="10"/>
        <v>507368</v>
      </c>
      <c r="K28" s="11"/>
      <c r="L28" s="19" t="str">
        <f>Price!A28</f>
        <v xml:space="preserve">Aventos HS Top słaby, wkręty      </v>
      </c>
      <c r="M28" s="6" t="str">
        <f>Price!B28</f>
        <v>22S2200</v>
      </c>
      <c r="N28" s="6" t="str">
        <f>Price!C28</f>
        <v>ZN</v>
      </c>
      <c r="O28" s="88">
        <f>Price!D28</f>
        <v>0</v>
      </c>
      <c r="P28" s="7"/>
      <c r="Q28" s="8">
        <f t="shared" si="2"/>
        <v>191.41126</v>
      </c>
      <c r="R28" s="107">
        <f>Price!F28</f>
        <v>191.41126</v>
      </c>
      <c r="S28" s="76"/>
      <c r="T28" s="3">
        <f>Price!G28</f>
        <v>6873965</v>
      </c>
      <c r="U28" s="3">
        <f>Price!H28</f>
        <v>507368</v>
      </c>
      <c r="V28" s="4"/>
      <c r="W28" s="4"/>
      <c r="X28" s="10"/>
      <c r="Y28" s="10"/>
    </row>
    <row r="29" spans="1:25" x14ac:dyDescent="0.25">
      <c r="A29" s="32" t="str">
        <f t="shared" si="4"/>
        <v xml:space="preserve">Aventos HS Top słaby, eurowkręty      </v>
      </c>
      <c r="B29" s="33" t="str">
        <f t="shared" si="5"/>
        <v>22S2210</v>
      </c>
      <c r="C29" s="33" t="str">
        <f t="shared" si="6"/>
        <v>ZN</v>
      </c>
      <c r="D29" s="33">
        <f t="shared" si="7"/>
        <v>0</v>
      </c>
      <c r="E29" s="34">
        <f t="shared" si="8"/>
        <v>0</v>
      </c>
      <c r="F29" s="8">
        <f t="shared" si="1"/>
        <v>192.89991000000001</v>
      </c>
      <c r="G29" s="23"/>
      <c r="H29" s="23"/>
      <c r="I29" s="48">
        <f t="shared" si="9"/>
        <v>8437807</v>
      </c>
      <c r="J29" s="48">
        <f t="shared" si="10"/>
        <v>507372</v>
      </c>
      <c r="K29" s="11"/>
      <c r="L29" s="19" t="str">
        <f>Price!A29</f>
        <v xml:space="preserve">Aventos HS Top słaby, eurowkręty      </v>
      </c>
      <c r="M29" s="6" t="str">
        <f>Price!B29</f>
        <v>22S2210</v>
      </c>
      <c r="N29" s="6" t="str">
        <f>Price!C29</f>
        <v>ZN</v>
      </c>
      <c r="O29" s="88">
        <f>Price!D29</f>
        <v>0</v>
      </c>
      <c r="P29" s="7"/>
      <c r="Q29" s="8">
        <f t="shared" si="2"/>
        <v>192.89991000000001</v>
      </c>
      <c r="R29" s="107">
        <f>Price!F29</f>
        <v>192.89991000000001</v>
      </c>
      <c r="S29" s="76"/>
      <c r="T29" s="3">
        <f>Price!G29</f>
        <v>8437807</v>
      </c>
      <c r="U29" s="3">
        <f>Price!H29</f>
        <v>507372</v>
      </c>
      <c r="V29" s="4"/>
      <c r="W29" s="4"/>
      <c r="X29" s="10"/>
      <c r="Y29" s="10"/>
    </row>
    <row r="30" spans="1:25" x14ac:dyDescent="0.25">
      <c r="A30" s="32" t="str">
        <f t="shared" si="4"/>
        <v xml:space="preserve">Aventos HS Top średni, wkręty      </v>
      </c>
      <c r="B30" s="33" t="str">
        <f t="shared" si="5"/>
        <v>22S2500</v>
      </c>
      <c r="C30" s="33" t="str">
        <f t="shared" si="6"/>
        <v>ZN</v>
      </c>
      <c r="D30" s="33">
        <f t="shared" si="7"/>
        <v>0</v>
      </c>
      <c r="E30" s="34">
        <f t="shared" si="8"/>
        <v>0</v>
      </c>
      <c r="F30" s="8">
        <f t="shared" si="1"/>
        <v>202.58683000000002</v>
      </c>
      <c r="G30" s="23"/>
      <c r="H30" s="23"/>
      <c r="I30" s="48">
        <f t="shared" si="9"/>
        <v>4544774</v>
      </c>
      <c r="J30" s="48">
        <f t="shared" si="10"/>
        <v>507370</v>
      </c>
      <c r="K30" s="20"/>
      <c r="L30" s="19" t="str">
        <f>Price!A30</f>
        <v xml:space="preserve">Aventos HS Top średni, wkręty      </v>
      </c>
      <c r="M30" s="6" t="str">
        <f>Price!B30</f>
        <v>22S2500</v>
      </c>
      <c r="N30" s="6" t="str">
        <f>Price!C30</f>
        <v>ZN</v>
      </c>
      <c r="O30" s="88">
        <f>Price!D30</f>
        <v>0</v>
      </c>
      <c r="P30" s="7"/>
      <c r="Q30" s="8">
        <f t="shared" si="2"/>
        <v>202.58683000000002</v>
      </c>
      <c r="R30" s="107">
        <f>Price!F30</f>
        <v>202.58682999999999</v>
      </c>
      <c r="S30" s="76"/>
      <c r="T30" s="3">
        <f>Price!G30</f>
        <v>4544774</v>
      </c>
      <c r="U30" s="3">
        <f>Price!H30</f>
        <v>507370</v>
      </c>
      <c r="V30" s="4"/>
      <c r="W30" s="11"/>
      <c r="X30" s="10"/>
      <c r="Y30" s="10"/>
    </row>
    <row r="31" spans="1:25" x14ac:dyDescent="0.25">
      <c r="A31" s="32" t="str">
        <f t="shared" si="4"/>
        <v xml:space="preserve">Aventos HS Top średni, eurowkręty      </v>
      </c>
      <c r="B31" s="33" t="str">
        <f t="shared" si="5"/>
        <v>22S2510</v>
      </c>
      <c r="C31" s="33" t="str">
        <f t="shared" si="6"/>
        <v>ZN</v>
      </c>
      <c r="D31" s="33">
        <f t="shared" si="7"/>
        <v>0</v>
      </c>
      <c r="E31" s="34">
        <f t="shared" si="8"/>
        <v>0</v>
      </c>
      <c r="F31" s="8">
        <f t="shared" si="1"/>
        <v>204.16206999999997</v>
      </c>
      <c r="G31" s="23"/>
      <c r="H31" s="23"/>
      <c r="I31" s="48">
        <f t="shared" si="9"/>
        <v>4339002</v>
      </c>
      <c r="J31" s="48">
        <f t="shared" si="10"/>
        <v>507374</v>
      </c>
      <c r="K31" s="20"/>
      <c r="L31" s="19" t="str">
        <f>Price!A31</f>
        <v xml:space="preserve">Aventos HS Top średni, eurowkręty      </v>
      </c>
      <c r="M31" s="6" t="str">
        <f>Price!B31</f>
        <v>22S2510</v>
      </c>
      <c r="N31" s="6" t="str">
        <f>Price!C31</f>
        <v>ZN</v>
      </c>
      <c r="O31" s="88">
        <f>Price!D31</f>
        <v>0</v>
      </c>
      <c r="P31" s="7"/>
      <c r="Q31" s="8">
        <f t="shared" si="2"/>
        <v>204.16206999999997</v>
      </c>
      <c r="R31" s="107">
        <f>Price!F31</f>
        <v>204.16207</v>
      </c>
      <c r="S31" s="76"/>
      <c r="T31" s="3">
        <f>Price!G31</f>
        <v>4339002</v>
      </c>
      <c r="U31" s="3">
        <f>Price!H31</f>
        <v>507374</v>
      </c>
      <c r="V31" s="4"/>
      <c r="W31" s="11"/>
      <c r="X31" s="10"/>
      <c r="Y31" s="10"/>
    </row>
    <row r="32" spans="1:25" x14ac:dyDescent="0.25">
      <c r="A32" s="32" t="str">
        <f t="shared" si="4"/>
        <v xml:space="preserve">Aventos HS Top mocny, wkręty      </v>
      </c>
      <c r="B32" s="33" t="str">
        <f t="shared" si="5"/>
        <v>22S2800</v>
      </c>
      <c r="C32" s="33" t="str">
        <f t="shared" si="6"/>
        <v>ZN</v>
      </c>
      <c r="D32" s="33">
        <f t="shared" si="7"/>
        <v>0</v>
      </c>
      <c r="E32" s="34">
        <f t="shared" si="8"/>
        <v>0</v>
      </c>
      <c r="F32" s="8">
        <f t="shared" si="1"/>
        <v>215.15917999999999</v>
      </c>
      <c r="G32" s="23"/>
      <c r="H32" s="23"/>
      <c r="I32" s="48">
        <f t="shared" si="9"/>
        <v>6726108</v>
      </c>
      <c r="J32" s="48">
        <f t="shared" si="10"/>
        <v>507371</v>
      </c>
      <c r="K32" s="21"/>
      <c r="L32" s="19" t="str">
        <f>Price!A32</f>
        <v xml:space="preserve">Aventos HS Top mocny, wkręty      </v>
      </c>
      <c r="M32" s="6" t="str">
        <f>Price!B32</f>
        <v>22S2800</v>
      </c>
      <c r="N32" s="6" t="str">
        <f>Price!C32</f>
        <v>ZN</v>
      </c>
      <c r="O32" s="88">
        <f>Price!D32</f>
        <v>0</v>
      </c>
      <c r="P32" s="7"/>
      <c r="Q32" s="8">
        <f t="shared" si="2"/>
        <v>215.15917999999999</v>
      </c>
      <c r="R32" s="107">
        <f>Price!F32</f>
        <v>215.15917999999999</v>
      </c>
      <c r="S32" s="76"/>
      <c r="T32" s="3">
        <f>Price!G32</f>
        <v>6726108</v>
      </c>
      <c r="U32" s="3">
        <f>Price!H32</f>
        <v>507371</v>
      </c>
      <c r="V32" s="4"/>
      <c r="W32" s="4"/>
      <c r="X32" s="10"/>
      <c r="Y32" s="10"/>
    </row>
    <row r="33" spans="1:25" x14ac:dyDescent="0.25">
      <c r="A33" s="32" t="str">
        <f t="shared" si="4"/>
        <v xml:space="preserve">Aventos HS Top mocny, eurowkręty      </v>
      </c>
      <c r="B33" s="33" t="str">
        <f t="shared" si="5"/>
        <v>22S2810</v>
      </c>
      <c r="C33" s="33" t="str">
        <f t="shared" si="6"/>
        <v>ZN</v>
      </c>
      <c r="D33" s="33">
        <f t="shared" si="7"/>
        <v>0</v>
      </c>
      <c r="E33" s="34">
        <f t="shared" si="8"/>
        <v>0</v>
      </c>
      <c r="F33" s="8">
        <f t="shared" si="1"/>
        <v>216.83244999999999</v>
      </c>
      <c r="G33" s="23"/>
      <c r="H33" s="23"/>
      <c r="I33" s="48">
        <f t="shared" si="9"/>
        <v>1560191</v>
      </c>
      <c r="J33" s="48">
        <f t="shared" si="10"/>
        <v>507375</v>
      </c>
      <c r="K33" s="11"/>
      <c r="L33" s="19" t="str">
        <f>Price!A33</f>
        <v xml:space="preserve">Aventos HS Top mocny, eurowkręty      </v>
      </c>
      <c r="M33" s="6" t="str">
        <f>Price!B33</f>
        <v>22S2810</v>
      </c>
      <c r="N33" s="6" t="str">
        <f>Price!C33</f>
        <v>ZN</v>
      </c>
      <c r="O33" s="88">
        <f>Price!D33</f>
        <v>0</v>
      </c>
      <c r="P33" s="7"/>
      <c r="Q33" s="8">
        <f t="shared" si="2"/>
        <v>216.83244999999999</v>
      </c>
      <c r="R33" s="107">
        <f>Price!F33</f>
        <v>216.83244999999999</v>
      </c>
      <c r="S33" s="76"/>
      <c r="T33" s="3">
        <f>Price!G33</f>
        <v>1560191</v>
      </c>
      <c r="U33" s="3">
        <f>Price!H33</f>
        <v>507375</v>
      </c>
      <c r="V33" s="4"/>
      <c r="W33" s="4"/>
      <c r="X33" s="10"/>
      <c r="Y33" s="10"/>
    </row>
    <row r="34" spans="1:25" x14ac:dyDescent="0.25">
      <c r="A34" s="32" t="str">
        <f t="shared" si="4"/>
        <v xml:space="preserve">ramiona HS Top        </v>
      </c>
      <c r="B34" s="33" t="str">
        <f t="shared" si="5"/>
        <v>22S3500</v>
      </c>
      <c r="C34" s="33" t="str">
        <f t="shared" si="6"/>
        <v>ZN</v>
      </c>
      <c r="D34" s="33">
        <f t="shared" si="7"/>
        <v>0</v>
      </c>
      <c r="E34" s="34">
        <f t="shared" si="8"/>
        <v>0</v>
      </c>
      <c r="F34" s="8">
        <f t="shared" si="1"/>
        <v>127.57276</v>
      </c>
      <c r="G34" s="23"/>
      <c r="H34" s="23"/>
      <c r="I34" s="48">
        <f t="shared" si="9"/>
        <v>4455776</v>
      </c>
      <c r="J34" s="48">
        <f t="shared" si="10"/>
        <v>507376</v>
      </c>
      <c r="K34" s="11"/>
      <c r="L34" s="19" t="str">
        <f>Price!A34</f>
        <v xml:space="preserve">ramiona HS Top        </v>
      </c>
      <c r="M34" s="6" t="str">
        <f>Price!B34</f>
        <v>22S3500</v>
      </c>
      <c r="N34" s="6" t="str">
        <f>Price!C34</f>
        <v>ZN</v>
      </c>
      <c r="O34" s="88">
        <f>Price!D34</f>
        <v>0</v>
      </c>
      <c r="P34" s="7"/>
      <c r="Q34" s="8">
        <f t="shared" si="2"/>
        <v>127.57276</v>
      </c>
      <c r="R34" s="107">
        <f>Price!F34</f>
        <v>127.57276</v>
      </c>
      <c r="S34" s="76"/>
      <c r="T34" s="3">
        <f>Price!G34</f>
        <v>4455776</v>
      </c>
      <c r="U34" s="3">
        <f>Price!H34</f>
        <v>507376</v>
      </c>
      <c r="V34" s="4"/>
      <c r="W34" s="4"/>
      <c r="X34" s="10"/>
      <c r="Y34" s="10"/>
    </row>
    <row r="35" spans="1:25" x14ac:dyDescent="0.25">
      <c r="A35" s="32" t="str">
        <f t="shared" ref="A35:A43" si="11">L35</f>
        <v xml:space="preserve">          </v>
      </c>
      <c r="B35" s="33">
        <f t="shared" ref="B35:B43" si="12">M35</f>
        <v>0</v>
      </c>
      <c r="C35" s="33">
        <f t="shared" ref="C35:C43" si="13">N35</f>
        <v>0</v>
      </c>
      <c r="D35" s="33">
        <f t="shared" ref="D35:D43" si="14">O35</f>
        <v>0</v>
      </c>
      <c r="E35" s="34">
        <f t="shared" ref="E35:E43" si="15">P35</f>
        <v>0</v>
      </c>
      <c r="F35" s="8">
        <f t="shared" si="1"/>
        <v>0</v>
      </c>
      <c r="G35" s="23"/>
      <c r="H35" s="23"/>
      <c r="I35" s="48">
        <f t="shared" ref="I35:I43" si="16">T35</f>
        <v>0</v>
      </c>
      <c r="J35" s="48">
        <f t="shared" ref="J35:J43" si="17">U35</f>
        <v>0</v>
      </c>
      <c r="K35" s="21"/>
      <c r="L35" s="19" t="str">
        <f>Price!A35</f>
        <v xml:space="preserve">          </v>
      </c>
      <c r="M35" s="6">
        <f>Price!B35</f>
        <v>0</v>
      </c>
      <c r="N35" s="6">
        <f>Price!C35</f>
        <v>0</v>
      </c>
      <c r="O35" s="88">
        <f>Price!D35</f>
        <v>0</v>
      </c>
      <c r="P35" s="7"/>
      <c r="Q35" s="8">
        <f t="shared" si="2"/>
        <v>0</v>
      </c>
      <c r="R35" s="107">
        <f>Price!F35</f>
        <v>0</v>
      </c>
      <c r="S35" s="76"/>
      <c r="T35" s="3">
        <f>Price!G35</f>
        <v>0</v>
      </c>
      <c r="U35" s="3">
        <f>Price!H35</f>
        <v>0</v>
      </c>
      <c r="V35" s="4"/>
      <c r="W35" s="4"/>
      <c r="X35" s="10"/>
      <c r="Y35" s="10"/>
    </row>
    <row r="36" spans="1:25" x14ac:dyDescent="0.25">
      <c r="A36" s="32" t="str">
        <f t="shared" si="11"/>
        <v xml:space="preserve">Aventos HL Top słaby, wkręty      </v>
      </c>
      <c r="B36" s="33" t="str">
        <f t="shared" si="12"/>
        <v>22L2200</v>
      </c>
      <c r="C36" s="33" t="str">
        <f t="shared" si="13"/>
        <v>ZN</v>
      </c>
      <c r="D36" s="33">
        <f t="shared" si="14"/>
        <v>0</v>
      </c>
      <c r="E36" s="34">
        <f t="shared" si="15"/>
        <v>0</v>
      </c>
      <c r="F36" s="8">
        <f t="shared" si="1"/>
        <v>191.41126</v>
      </c>
      <c r="G36" s="23"/>
      <c r="H36" s="23"/>
      <c r="I36" s="48">
        <f t="shared" si="16"/>
        <v>5877526</v>
      </c>
      <c r="J36" s="48">
        <f t="shared" si="17"/>
        <v>507351</v>
      </c>
      <c r="K36" s="21"/>
      <c r="L36" s="19" t="str">
        <f>Price!A36</f>
        <v xml:space="preserve">Aventos HL Top słaby, wkręty      </v>
      </c>
      <c r="M36" s="6" t="str">
        <f>Price!B36</f>
        <v>22L2200</v>
      </c>
      <c r="N36" s="6" t="str">
        <f>Price!C36</f>
        <v>ZN</v>
      </c>
      <c r="O36" s="88">
        <f>Price!D36</f>
        <v>0</v>
      </c>
      <c r="P36" s="7"/>
      <c r="Q36" s="8">
        <f t="shared" si="2"/>
        <v>191.41126</v>
      </c>
      <c r="R36" s="107">
        <f>Price!F36</f>
        <v>191.41126</v>
      </c>
      <c r="S36" s="76"/>
      <c r="T36" s="3">
        <f>Price!G36</f>
        <v>5877526</v>
      </c>
      <c r="U36" s="3">
        <f>Price!H36</f>
        <v>507351</v>
      </c>
      <c r="V36" s="4"/>
      <c r="W36" s="4"/>
      <c r="X36" s="10"/>
      <c r="Y36" s="10"/>
    </row>
    <row r="37" spans="1:25" x14ac:dyDescent="0.25">
      <c r="A37" s="32" t="str">
        <f t="shared" si="11"/>
        <v xml:space="preserve">Aventos HL Top słaby, eurowkręty      </v>
      </c>
      <c r="B37" s="33" t="str">
        <f t="shared" si="12"/>
        <v>22L2210</v>
      </c>
      <c r="C37" s="33" t="str">
        <f t="shared" si="13"/>
        <v>ZN</v>
      </c>
      <c r="D37" s="33">
        <f t="shared" si="14"/>
        <v>0</v>
      </c>
      <c r="E37" s="34">
        <f t="shared" si="15"/>
        <v>0</v>
      </c>
      <c r="F37" s="8">
        <f t="shared" si="1"/>
        <v>192.89991000000001</v>
      </c>
      <c r="G37" s="23"/>
      <c r="H37" s="23"/>
      <c r="I37" s="48">
        <f t="shared" si="16"/>
        <v>1723404</v>
      </c>
      <c r="J37" s="48">
        <f t="shared" si="17"/>
        <v>507353</v>
      </c>
      <c r="K37" s="11"/>
      <c r="L37" s="19" t="str">
        <f>Price!A37</f>
        <v xml:space="preserve">Aventos HL Top słaby, eurowkręty      </v>
      </c>
      <c r="M37" s="6" t="str">
        <f>Price!B37</f>
        <v>22L2210</v>
      </c>
      <c r="N37" s="6" t="str">
        <f>Price!C37</f>
        <v>ZN</v>
      </c>
      <c r="O37" s="88">
        <f>Price!D37</f>
        <v>0</v>
      </c>
      <c r="P37" s="7"/>
      <c r="Q37" s="8">
        <f t="shared" ref="Q37:Q95" si="18">R37*(100-$F$6)/100</f>
        <v>192.89991000000001</v>
      </c>
      <c r="R37" s="107">
        <f>Price!F37</f>
        <v>192.89991000000001</v>
      </c>
      <c r="S37" s="76"/>
      <c r="T37" s="3">
        <f>Price!G37</f>
        <v>1723404</v>
      </c>
      <c r="U37" s="3">
        <f>Price!H37</f>
        <v>507353</v>
      </c>
      <c r="V37" s="4"/>
      <c r="W37" s="4"/>
      <c r="X37" s="10"/>
      <c r="Y37" s="10"/>
    </row>
    <row r="38" spans="1:25" x14ac:dyDescent="0.25">
      <c r="A38" s="32" t="str">
        <f t="shared" si="11"/>
        <v xml:space="preserve">Aventos HL Top mocny, wkręty      </v>
      </c>
      <c r="B38" s="33" t="str">
        <f t="shared" si="12"/>
        <v>22L2500</v>
      </c>
      <c r="C38" s="33" t="str">
        <f t="shared" si="13"/>
        <v>ZN</v>
      </c>
      <c r="D38" s="33">
        <f t="shared" si="14"/>
        <v>0</v>
      </c>
      <c r="E38" s="34">
        <f t="shared" si="15"/>
        <v>0</v>
      </c>
      <c r="F38" s="8">
        <f t="shared" si="1"/>
        <v>205.38082999999997</v>
      </c>
      <c r="G38" s="23"/>
      <c r="H38" s="23"/>
      <c r="I38" s="48">
        <f t="shared" si="16"/>
        <v>6119711</v>
      </c>
      <c r="J38" s="48">
        <f t="shared" si="17"/>
        <v>507352</v>
      </c>
      <c r="K38" s="11"/>
      <c r="L38" s="19" t="str">
        <f>Price!A38</f>
        <v xml:space="preserve">Aventos HL Top mocny, wkręty      </v>
      </c>
      <c r="M38" s="6" t="str">
        <f>Price!B38</f>
        <v>22L2500</v>
      </c>
      <c r="N38" s="6" t="str">
        <f>Price!C38</f>
        <v>ZN</v>
      </c>
      <c r="O38" s="88">
        <f>Price!D38</f>
        <v>0</v>
      </c>
      <c r="P38" s="7"/>
      <c r="Q38" s="8">
        <f t="shared" si="18"/>
        <v>205.38082999999997</v>
      </c>
      <c r="R38" s="107">
        <f>Price!F38</f>
        <v>205.38083</v>
      </c>
      <c r="S38" s="76"/>
      <c r="T38" s="3">
        <f>Price!G38</f>
        <v>6119711</v>
      </c>
      <c r="U38" s="3">
        <f>Price!H38</f>
        <v>507352</v>
      </c>
      <c r="V38" s="4"/>
      <c r="W38" s="4"/>
      <c r="X38" s="10"/>
      <c r="Y38" s="10"/>
    </row>
    <row r="39" spans="1:25" x14ac:dyDescent="0.25">
      <c r="A39" s="32" t="str">
        <f t="shared" si="11"/>
        <v xml:space="preserve">Aventos HL Top mocny, eurowkręty      </v>
      </c>
      <c r="B39" s="33" t="str">
        <f t="shared" si="12"/>
        <v>22L2510</v>
      </c>
      <c r="C39" s="33" t="str">
        <f t="shared" si="13"/>
        <v>ZN</v>
      </c>
      <c r="D39" s="33">
        <f t="shared" si="14"/>
        <v>0</v>
      </c>
      <c r="E39" s="34">
        <f t="shared" si="15"/>
        <v>0</v>
      </c>
      <c r="F39" s="8">
        <f t="shared" si="1"/>
        <v>206.97785999999999</v>
      </c>
      <c r="G39" s="23"/>
      <c r="H39" s="23"/>
      <c r="I39" s="48">
        <f t="shared" si="16"/>
        <v>3220181</v>
      </c>
      <c r="J39" s="48">
        <f t="shared" si="17"/>
        <v>507354</v>
      </c>
      <c r="K39" s="11"/>
      <c r="L39" s="19" t="str">
        <f>Price!A39</f>
        <v xml:space="preserve">Aventos HL Top mocny, eurowkręty      </v>
      </c>
      <c r="M39" s="6" t="str">
        <f>Price!B39</f>
        <v>22L2510</v>
      </c>
      <c r="N39" s="6" t="str">
        <f>Price!C39</f>
        <v>ZN</v>
      </c>
      <c r="O39" s="88">
        <f>Price!D39</f>
        <v>0</v>
      </c>
      <c r="P39" s="7"/>
      <c r="Q39" s="8">
        <f t="shared" si="18"/>
        <v>206.97785999999999</v>
      </c>
      <c r="R39" s="107">
        <f>Price!F39</f>
        <v>206.97785999999999</v>
      </c>
      <c r="S39" s="76"/>
      <c r="T39" s="3">
        <f>Price!G39</f>
        <v>3220181</v>
      </c>
      <c r="U39" s="3">
        <f>Price!H39</f>
        <v>507354</v>
      </c>
      <c r="V39" s="4"/>
      <c r="W39" s="4"/>
      <c r="X39" s="10"/>
      <c r="Y39" s="10"/>
    </row>
    <row r="40" spans="1:25" x14ac:dyDescent="0.25">
      <c r="A40" s="32" t="str">
        <f t="shared" si="11"/>
        <v xml:space="preserve">ramiona 300-339 HL Top       </v>
      </c>
      <c r="B40" s="33" t="str">
        <f t="shared" si="12"/>
        <v>22L3200</v>
      </c>
      <c r="C40" s="33" t="str">
        <f t="shared" si="13"/>
        <v>NI</v>
      </c>
      <c r="D40" s="33">
        <f t="shared" si="14"/>
        <v>0</v>
      </c>
      <c r="E40" s="34">
        <f t="shared" si="15"/>
        <v>0</v>
      </c>
      <c r="F40" s="8">
        <f t="shared" si="1"/>
        <v>134.60047</v>
      </c>
      <c r="G40" s="23"/>
      <c r="H40" s="23"/>
      <c r="I40" s="48">
        <f t="shared" si="16"/>
        <v>8484930</v>
      </c>
      <c r="J40" s="48">
        <f t="shared" si="17"/>
        <v>507355</v>
      </c>
      <c r="K40" s="11"/>
      <c r="L40" s="19" t="str">
        <f>Price!A40</f>
        <v xml:space="preserve">ramiona 300-339 HL Top       </v>
      </c>
      <c r="M40" s="6" t="str">
        <f>Price!B40</f>
        <v>22L3200</v>
      </c>
      <c r="N40" s="6" t="str">
        <f>Price!C40</f>
        <v>NI</v>
      </c>
      <c r="O40" s="88">
        <f>Price!D40</f>
        <v>0</v>
      </c>
      <c r="P40" s="7"/>
      <c r="Q40" s="8">
        <f t="shared" si="18"/>
        <v>134.60047</v>
      </c>
      <c r="R40" s="107">
        <f>Price!F40</f>
        <v>134.60047</v>
      </c>
      <c r="S40" s="76"/>
      <c r="T40" s="3">
        <f>Price!G40</f>
        <v>8484930</v>
      </c>
      <c r="U40" s="3">
        <f>Price!H40</f>
        <v>507355</v>
      </c>
      <c r="V40" s="4"/>
      <c r="W40" s="4"/>
      <c r="X40" s="10"/>
      <c r="Y40" s="10"/>
    </row>
    <row r="41" spans="1:25" x14ac:dyDescent="0.25">
      <c r="A41" s="32" t="str">
        <f t="shared" si="11"/>
        <v xml:space="preserve">ramiona 340-389 HL Top       </v>
      </c>
      <c r="B41" s="33" t="str">
        <f t="shared" si="12"/>
        <v>22L3500</v>
      </c>
      <c r="C41" s="33" t="str">
        <f t="shared" si="13"/>
        <v>NI</v>
      </c>
      <c r="D41" s="33">
        <f t="shared" si="14"/>
        <v>0</v>
      </c>
      <c r="E41" s="34">
        <f t="shared" si="15"/>
        <v>0</v>
      </c>
      <c r="F41" s="8">
        <f t="shared" si="1"/>
        <v>137.39402999999999</v>
      </c>
      <c r="G41" s="23"/>
      <c r="H41" s="23"/>
      <c r="I41" s="48">
        <f t="shared" si="16"/>
        <v>4361231</v>
      </c>
      <c r="J41" s="48">
        <f t="shared" si="17"/>
        <v>507356</v>
      </c>
      <c r="K41" s="11"/>
      <c r="L41" s="19" t="str">
        <f>Price!A41</f>
        <v xml:space="preserve">ramiona 340-389 HL Top       </v>
      </c>
      <c r="M41" s="6" t="str">
        <f>Price!B41</f>
        <v>22L3500</v>
      </c>
      <c r="N41" s="6" t="str">
        <f>Price!C41</f>
        <v>NI</v>
      </c>
      <c r="O41" s="88">
        <f>Price!D41</f>
        <v>0</v>
      </c>
      <c r="P41" s="7"/>
      <c r="Q41" s="8">
        <f t="shared" si="18"/>
        <v>137.39402999999999</v>
      </c>
      <c r="R41" s="107">
        <f>Price!F41</f>
        <v>137.39402999999999</v>
      </c>
      <c r="S41" s="76"/>
      <c r="T41" s="3">
        <f>Price!G41</f>
        <v>4361231</v>
      </c>
      <c r="U41" s="3">
        <f>Price!H41</f>
        <v>507356</v>
      </c>
      <c r="V41" s="4"/>
      <c r="W41" s="4"/>
      <c r="X41" s="10"/>
      <c r="Y41" s="10"/>
    </row>
    <row r="42" spans="1:25" x14ac:dyDescent="0.25">
      <c r="A42" s="32" t="str">
        <f t="shared" si="11"/>
        <v xml:space="preserve">ramiona 390-540 HL Top       </v>
      </c>
      <c r="B42" s="33" t="str">
        <f t="shared" si="12"/>
        <v>22L3800</v>
      </c>
      <c r="C42" s="33" t="str">
        <f t="shared" si="13"/>
        <v>NI</v>
      </c>
      <c r="D42" s="33">
        <f t="shared" si="14"/>
        <v>0</v>
      </c>
      <c r="E42" s="34">
        <f t="shared" si="15"/>
        <v>0</v>
      </c>
      <c r="F42" s="8">
        <f t="shared" si="1"/>
        <v>141.58481</v>
      </c>
      <c r="G42" s="23"/>
      <c r="H42" s="23"/>
      <c r="I42" s="48">
        <f t="shared" si="16"/>
        <v>8458432</v>
      </c>
      <c r="J42" s="48">
        <f t="shared" si="17"/>
        <v>507357</v>
      </c>
      <c r="K42" s="11"/>
      <c r="L42" s="19" t="str">
        <f>Price!A42</f>
        <v xml:space="preserve">ramiona 390-540 HL Top       </v>
      </c>
      <c r="M42" s="6" t="str">
        <f>Price!B42</f>
        <v>22L3800</v>
      </c>
      <c r="N42" s="6" t="str">
        <f>Price!C42</f>
        <v>NI</v>
      </c>
      <c r="O42" s="88">
        <f>Price!D42</f>
        <v>0</v>
      </c>
      <c r="P42" s="7"/>
      <c r="Q42" s="8">
        <f t="shared" si="18"/>
        <v>141.58481</v>
      </c>
      <c r="R42" s="107">
        <f>Price!F42</f>
        <v>141.58481</v>
      </c>
      <c r="S42" s="76"/>
      <c r="T42" s="3">
        <f>Price!G42</f>
        <v>8458432</v>
      </c>
      <c r="U42" s="3">
        <f>Price!H42</f>
        <v>507357</v>
      </c>
      <c r="V42" s="4"/>
      <c r="W42" s="4"/>
      <c r="X42" s="10"/>
      <c r="Y42" s="10"/>
    </row>
    <row r="43" spans="1:25" x14ac:dyDescent="0.25">
      <c r="A43" s="32" t="str">
        <f t="shared" si="11"/>
        <v xml:space="preserve">ramiona 480-580 HL Top       </v>
      </c>
      <c r="B43" s="33" t="str">
        <f t="shared" si="12"/>
        <v>22L3900</v>
      </c>
      <c r="C43" s="33" t="str">
        <f t="shared" si="13"/>
        <v>NI</v>
      </c>
      <c r="D43" s="33">
        <f t="shared" si="14"/>
        <v>0</v>
      </c>
      <c r="E43" s="34">
        <f t="shared" si="15"/>
        <v>0</v>
      </c>
      <c r="F43" s="8">
        <f t="shared" si="1"/>
        <v>156.95116999999999</v>
      </c>
      <c r="G43" s="23"/>
      <c r="H43" s="23"/>
      <c r="I43" s="48">
        <f t="shared" si="16"/>
        <v>4889829</v>
      </c>
      <c r="J43" s="48">
        <f t="shared" si="17"/>
        <v>507358</v>
      </c>
      <c r="K43" s="11"/>
      <c r="L43" s="19" t="str">
        <f>Price!A43</f>
        <v xml:space="preserve">ramiona 480-580 HL Top       </v>
      </c>
      <c r="M43" s="6" t="str">
        <f>Price!B43</f>
        <v>22L3900</v>
      </c>
      <c r="N43" s="6" t="str">
        <f>Price!C43</f>
        <v>NI</v>
      </c>
      <c r="O43" s="88">
        <f>Price!D43</f>
        <v>0</v>
      </c>
      <c r="P43" s="7"/>
      <c r="Q43" s="8">
        <f t="shared" si="18"/>
        <v>156.95116999999999</v>
      </c>
      <c r="R43" s="107">
        <f>Price!F43</f>
        <v>156.95116999999999</v>
      </c>
      <c r="S43" s="76"/>
      <c r="T43" s="3">
        <f>Price!G43</f>
        <v>4889829</v>
      </c>
      <c r="U43" s="3">
        <f>Price!H43</f>
        <v>507358</v>
      </c>
      <c r="V43" s="4"/>
      <c r="W43" s="4"/>
      <c r="X43" s="10"/>
      <c r="Y43" s="10"/>
    </row>
    <row r="44" spans="1:25" x14ac:dyDescent="0.25">
      <c r="A44" s="32" t="str">
        <f t="shared" ref="A44:A61" si="19">L44</f>
        <v xml:space="preserve">stablizacja poprzeczna HL Top       </v>
      </c>
      <c r="B44" s="33" t="str">
        <f t="shared" ref="B44:B61" si="20">M44</f>
        <v>22Q1076U</v>
      </c>
      <c r="C44" s="33" t="str">
        <f t="shared" ref="C44:C61" si="21">N44</f>
        <v>EV</v>
      </c>
      <c r="D44" s="33">
        <f t="shared" ref="D44:D61" si="22">O44</f>
        <v>0</v>
      </c>
      <c r="E44" s="34">
        <f t="shared" ref="E44:E61" si="23">P44</f>
        <v>0</v>
      </c>
      <c r="F44" s="8">
        <f t="shared" si="1"/>
        <v>36.874780000000001</v>
      </c>
      <c r="G44" s="23"/>
      <c r="H44" s="23"/>
      <c r="I44" s="48">
        <f t="shared" ref="I44:I61" si="24">T44</f>
        <v>6826344</v>
      </c>
      <c r="J44" s="48">
        <f t="shared" ref="J44:J61" si="25">U44</f>
        <v>507365</v>
      </c>
      <c r="K44" s="22"/>
      <c r="L44" s="19" t="str">
        <f>Price!A44</f>
        <v xml:space="preserve">stablizacja poprzeczna HL Top       </v>
      </c>
      <c r="M44" s="6" t="str">
        <f>Price!B44</f>
        <v>22Q1076U</v>
      </c>
      <c r="N44" s="6" t="str">
        <f>Price!C44</f>
        <v>EV</v>
      </c>
      <c r="O44" s="88">
        <f>Price!D44</f>
        <v>0</v>
      </c>
      <c r="P44" s="7"/>
      <c r="Q44" s="8">
        <f t="shared" si="18"/>
        <v>36.874780000000001</v>
      </c>
      <c r="R44" s="107">
        <f>Price!F44</f>
        <v>36.874780000000001</v>
      </c>
      <c r="S44" s="76"/>
      <c r="T44" s="3">
        <f>Price!G44</f>
        <v>6826344</v>
      </c>
      <c r="U44" s="3">
        <f>Price!H44</f>
        <v>507365</v>
      </c>
      <c r="V44" s="4"/>
      <c r="W44" s="4"/>
      <c r="X44" s="10"/>
      <c r="Y44" s="10"/>
    </row>
    <row r="45" spans="1:25" x14ac:dyDescent="0.25">
      <c r="A45" s="32" t="str">
        <f t="shared" si="19"/>
        <v xml:space="preserve">przedłużka do stabilizacji poprzecznej Aventos HL Top    </v>
      </c>
      <c r="B45" s="33" t="str">
        <f t="shared" si="20"/>
        <v>22Q080Z</v>
      </c>
      <c r="C45" s="33" t="str">
        <f t="shared" si="21"/>
        <v>EV</v>
      </c>
      <c r="D45" s="33">
        <f t="shared" si="22"/>
        <v>0</v>
      </c>
      <c r="E45" s="34">
        <f t="shared" si="23"/>
        <v>0</v>
      </c>
      <c r="F45" s="8">
        <f t="shared" ref="F45:F113" si="26">Q45</f>
        <v>33.577959999999997</v>
      </c>
      <c r="G45" s="23"/>
      <c r="H45" s="23"/>
      <c r="I45" s="48">
        <f t="shared" si="24"/>
        <v>2272763</v>
      </c>
      <c r="J45" s="48">
        <f t="shared" si="25"/>
        <v>507366</v>
      </c>
      <c r="K45" s="22"/>
      <c r="L45" s="19" t="str">
        <f>Price!A45</f>
        <v xml:space="preserve">przedłużka do stabilizacji poprzecznej Aventos HL Top    </v>
      </c>
      <c r="M45" s="6" t="str">
        <f>Price!B45</f>
        <v>22Q080Z</v>
      </c>
      <c r="N45" s="6" t="str">
        <f>Price!C45</f>
        <v>EV</v>
      </c>
      <c r="O45" s="88">
        <f>Price!D45</f>
        <v>0</v>
      </c>
      <c r="P45" s="7"/>
      <c r="Q45" s="8">
        <f t="shared" si="18"/>
        <v>33.577959999999997</v>
      </c>
      <c r="R45" s="107">
        <f>Price!F45</f>
        <v>33.577959999999997</v>
      </c>
      <c r="S45" s="76"/>
      <c r="T45" s="3">
        <f>Price!G45</f>
        <v>2272763</v>
      </c>
      <c r="U45" s="3">
        <f>Price!H45</f>
        <v>507366</v>
      </c>
      <c r="V45" s="4"/>
      <c r="W45" s="4"/>
      <c r="X45" s="10"/>
      <c r="Y45" s="10"/>
    </row>
    <row r="46" spans="1:25" x14ac:dyDescent="0.25">
      <c r="A46" s="32" t="str">
        <f t="shared" si="19"/>
        <v xml:space="preserve">          </v>
      </c>
      <c r="B46" s="33">
        <f t="shared" si="20"/>
        <v>0</v>
      </c>
      <c r="C46" s="33">
        <f t="shared" si="21"/>
        <v>0</v>
      </c>
      <c r="D46" s="33">
        <f t="shared" si="22"/>
        <v>0</v>
      </c>
      <c r="E46" s="34">
        <f t="shared" si="23"/>
        <v>0</v>
      </c>
      <c r="F46" s="8">
        <f t="shared" si="26"/>
        <v>0</v>
      </c>
      <c r="G46" s="23"/>
      <c r="H46" s="23"/>
      <c r="I46" s="48">
        <f t="shared" si="24"/>
        <v>0</v>
      </c>
      <c r="J46" s="48">
        <f t="shared" si="25"/>
        <v>0</v>
      </c>
      <c r="K46" s="22"/>
      <c r="L46" s="19" t="str">
        <f>Price!A46</f>
        <v xml:space="preserve">          </v>
      </c>
      <c r="M46" s="6">
        <f>Price!B46</f>
        <v>0</v>
      </c>
      <c r="N46" s="6">
        <f>Price!C46</f>
        <v>0</v>
      </c>
      <c r="O46" s="88">
        <f>Price!D46</f>
        <v>0</v>
      </c>
      <c r="P46" s="7"/>
      <c r="Q46" s="8">
        <f t="shared" si="18"/>
        <v>0</v>
      </c>
      <c r="R46" s="107">
        <f>Price!F46</f>
        <v>0</v>
      </c>
      <c r="S46" s="76"/>
      <c r="T46" s="3">
        <f>Price!G46</f>
        <v>0</v>
      </c>
      <c r="U46" s="3">
        <f>Price!H46</f>
        <v>0</v>
      </c>
      <c r="V46" s="4"/>
      <c r="W46" s="4"/>
      <c r="X46" s="10"/>
      <c r="Y46" s="10"/>
    </row>
    <row r="47" spans="1:25" x14ac:dyDescent="0.25">
      <c r="A47" s="32" t="str">
        <f t="shared" ref="A47:A53" si="27">L47</f>
        <v xml:space="preserve">Zaślepki HF/HL/HS - Top bez SD jasnoszare HGR   </v>
      </c>
      <c r="B47" s="33" t="str">
        <f t="shared" ref="B47:B53" si="28">M47</f>
        <v>22.8000</v>
      </c>
      <c r="C47" s="33" t="str">
        <f t="shared" ref="C47:C53" si="29">N47</f>
        <v>HGR</v>
      </c>
      <c r="D47" s="33">
        <f t="shared" ref="D47:D53" si="30">O47</f>
        <v>0</v>
      </c>
      <c r="E47" s="34">
        <f t="shared" ref="E47:E53" si="31">P47</f>
        <v>0</v>
      </c>
      <c r="F47" s="8">
        <f t="shared" ref="F47:F53" si="32">Q47</f>
        <v>27.586120000000001</v>
      </c>
      <c r="G47" s="23"/>
      <c r="H47" s="23"/>
      <c r="I47" s="48">
        <f t="shared" ref="I47:I53" si="33">T47</f>
        <v>1783069</v>
      </c>
      <c r="J47" s="48">
        <f t="shared" ref="J47:J53" si="34">U47</f>
        <v>507344</v>
      </c>
      <c r="K47" s="22"/>
      <c r="L47" s="19" t="str">
        <f>Price!A47</f>
        <v xml:space="preserve">Zaślepki HF/HL/HS - Top bez SD jasnoszare HGR   </v>
      </c>
      <c r="M47" s="6" t="str">
        <f>Price!B47</f>
        <v>22.8000</v>
      </c>
      <c r="N47" s="6" t="str">
        <f>Price!C47</f>
        <v>HGR</v>
      </c>
      <c r="O47" s="88">
        <f>Price!D47</f>
        <v>0</v>
      </c>
      <c r="P47" s="7"/>
      <c r="Q47" s="8">
        <f t="shared" ref="Q47:Q53" si="35">R47*(100-$F$6)/100</f>
        <v>27.586120000000001</v>
      </c>
      <c r="R47" s="107">
        <f>Price!F47</f>
        <v>27.586120000000001</v>
      </c>
      <c r="S47" s="76"/>
      <c r="T47" s="3">
        <f>Price!G47</f>
        <v>1783069</v>
      </c>
      <c r="U47" s="3">
        <f>Price!H47</f>
        <v>507344</v>
      </c>
      <c r="V47" s="4"/>
      <c r="W47" s="4"/>
      <c r="X47" s="10"/>
      <c r="Y47" s="10"/>
    </row>
    <row r="48" spans="1:25" x14ac:dyDescent="0.25">
      <c r="A48" s="32" t="str">
        <f t="shared" si="27"/>
        <v xml:space="preserve">zaślepki HF/HL/HS - Top bez SD ciemnoszare TGR   </v>
      </c>
      <c r="B48" s="33" t="str">
        <f t="shared" si="28"/>
        <v>22.8000</v>
      </c>
      <c r="C48" s="33" t="str">
        <f t="shared" si="29"/>
        <v>TGR</v>
      </c>
      <c r="D48" s="33">
        <f t="shared" si="30"/>
        <v>0</v>
      </c>
      <c r="E48" s="34">
        <f t="shared" si="31"/>
        <v>0</v>
      </c>
      <c r="F48" s="8">
        <f t="shared" si="32"/>
        <v>30.106369999999998</v>
      </c>
      <c r="G48" s="23"/>
      <c r="H48" s="23"/>
      <c r="I48" s="48">
        <f t="shared" si="33"/>
        <v>9355276</v>
      </c>
      <c r="J48" s="48">
        <f t="shared" si="34"/>
        <v>507345</v>
      </c>
      <c r="K48" s="22"/>
      <c r="L48" s="19" t="str">
        <f>Price!A48</f>
        <v xml:space="preserve">zaślepki HF/HL/HS - Top bez SD ciemnoszare TGR   </v>
      </c>
      <c r="M48" s="6" t="str">
        <f>Price!B48</f>
        <v>22.8000</v>
      </c>
      <c r="N48" s="6" t="str">
        <f>Price!C48</f>
        <v>TGR</v>
      </c>
      <c r="O48" s="88">
        <f>Price!D48</f>
        <v>0</v>
      </c>
      <c r="P48" s="7"/>
      <c r="Q48" s="8">
        <f t="shared" si="35"/>
        <v>30.106369999999998</v>
      </c>
      <c r="R48" s="107">
        <f>Price!F48</f>
        <v>30.106369999999998</v>
      </c>
      <c r="S48" s="76"/>
      <c r="T48" s="3">
        <f>Price!G48</f>
        <v>9355276</v>
      </c>
      <c r="U48" s="3">
        <f>Price!H48</f>
        <v>507345</v>
      </c>
      <c r="V48" s="4"/>
      <c r="W48" s="4"/>
      <c r="X48" s="10"/>
      <c r="Y48" s="10"/>
    </row>
    <row r="49" spans="1:25" x14ac:dyDescent="0.25">
      <c r="A49" s="32" t="str">
        <f t="shared" si="27"/>
        <v xml:space="preserve">Zaślepki HF/HL/HS - Top bez SD białe SW   </v>
      </c>
      <c r="B49" s="33" t="str">
        <f t="shared" si="28"/>
        <v>22.8000</v>
      </c>
      <c r="C49" s="33" t="str">
        <f t="shared" si="29"/>
        <v>SW</v>
      </c>
      <c r="D49" s="33">
        <f t="shared" si="30"/>
        <v>0</v>
      </c>
      <c r="E49" s="34">
        <f t="shared" si="31"/>
        <v>0</v>
      </c>
      <c r="F49" s="8">
        <f t="shared" si="32"/>
        <v>30.106369999999998</v>
      </c>
      <c r="G49" s="23"/>
      <c r="H49" s="23"/>
      <c r="I49" s="48">
        <f t="shared" si="33"/>
        <v>3337819</v>
      </c>
      <c r="J49" s="48">
        <f t="shared" si="34"/>
        <v>507343</v>
      </c>
      <c r="K49" s="22"/>
      <c r="L49" s="19" t="str">
        <f>Price!A49</f>
        <v xml:space="preserve">Zaślepki HF/HL/HS - Top bez SD białe SW   </v>
      </c>
      <c r="M49" s="6" t="str">
        <f>Price!B49</f>
        <v>22.8000</v>
      </c>
      <c r="N49" s="6" t="str">
        <f>Price!C49</f>
        <v>SW</v>
      </c>
      <c r="O49" s="88">
        <f>Price!D49</f>
        <v>0</v>
      </c>
      <c r="P49" s="7"/>
      <c r="Q49" s="8">
        <f t="shared" si="35"/>
        <v>30.106369999999998</v>
      </c>
      <c r="R49" s="107">
        <f>Price!F49</f>
        <v>30.106369999999998</v>
      </c>
      <c r="S49" s="76"/>
      <c r="T49" s="3">
        <f>Price!G49</f>
        <v>3337819</v>
      </c>
      <c r="U49" s="3">
        <f>Price!H49</f>
        <v>507343</v>
      </c>
      <c r="V49" s="4"/>
      <c r="W49" s="4"/>
      <c r="X49" s="10"/>
      <c r="Y49" s="10"/>
    </row>
    <row r="50" spans="1:25" x14ac:dyDescent="0.25">
      <c r="A50" s="32" t="str">
        <f t="shared" si="27"/>
        <v xml:space="preserve">zaślepki HF/HL/HS - Top do SD jasnoszare HGR   </v>
      </c>
      <c r="B50" s="33" t="str">
        <f t="shared" si="28"/>
        <v>23.8000</v>
      </c>
      <c r="C50" s="33" t="str">
        <f t="shared" si="29"/>
        <v>HGR</v>
      </c>
      <c r="D50" s="33">
        <f t="shared" si="30"/>
        <v>0</v>
      </c>
      <c r="E50" s="34">
        <f t="shared" si="31"/>
        <v>0</v>
      </c>
      <c r="F50" s="8">
        <f t="shared" si="32"/>
        <v>284.41748999999999</v>
      </c>
      <c r="G50" s="23"/>
      <c r="H50" s="23"/>
      <c r="I50" s="48">
        <f t="shared" si="33"/>
        <v>8097114</v>
      </c>
      <c r="J50" s="48">
        <f t="shared" si="34"/>
        <v>507347</v>
      </c>
      <c r="K50" s="22"/>
      <c r="L50" s="19" t="str">
        <f>Price!A50</f>
        <v xml:space="preserve">zaślepki HF/HL/HS - Top do SD jasnoszare HGR   </v>
      </c>
      <c r="M50" s="6" t="str">
        <f>Price!B50</f>
        <v>23.8000</v>
      </c>
      <c r="N50" s="6" t="str">
        <f>Price!C50</f>
        <v>HGR</v>
      </c>
      <c r="O50" s="88">
        <f>Price!D50</f>
        <v>0</v>
      </c>
      <c r="P50" s="7"/>
      <c r="Q50" s="8">
        <f t="shared" si="35"/>
        <v>284.41748999999999</v>
      </c>
      <c r="R50" s="107">
        <f>Price!F50</f>
        <v>284.41748999999999</v>
      </c>
      <c r="S50" s="76"/>
      <c r="T50" s="3">
        <f>Price!G50</f>
        <v>8097114</v>
      </c>
      <c r="U50" s="3">
        <f>Price!H50</f>
        <v>507347</v>
      </c>
      <c r="V50" s="4"/>
      <c r="W50" s="4"/>
      <c r="X50" s="10"/>
      <c r="Y50" s="10"/>
    </row>
    <row r="51" spans="1:25" x14ac:dyDescent="0.25">
      <c r="A51" s="32" t="str">
        <f t="shared" si="27"/>
        <v xml:space="preserve">Zaślepki HF/HL/HS - Top do SD ciemnoszare TGR   </v>
      </c>
      <c r="B51" s="33" t="str">
        <f t="shared" si="28"/>
        <v>23.8000</v>
      </c>
      <c r="C51" s="33" t="str">
        <f t="shared" si="29"/>
        <v>TGR</v>
      </c>
      <c r="D51" s="33">
        <f t="shared" si="30"/>
        <v>0</v>
      </c>
      <c r="E51" s="34">
        <f t="shared" si="31"/>
        <v>0</v>
      </c>
      <c r="F51" s="8">
        <f t="shared" si="32"/>
        <v>295.60313000000002</v>
      </c>
      <c r="G51" s="23"/>
      <c r="H51" s="23"/>
      <c r="I51" s="48">
        <f t="shared" si="33"/>
        <v>1947248</v>
      </c>
      <c r="J51" s="48">
        <f t="shared" si="34"/>
        <v>507348</v>
      </c>
      <c r="K51" s="22"/>
      <c r="L51" s="19" t="str">
        <f>Price!A51</f>
        <v xml:space="preserve">Zaślepki HF/HL/HS - Top do SD ciemnoszare TGR   </v>
      </c>
      <c r="M51" s="6" t="str">
        <f>Price!B51</f>
        <v>23.8000</v>
      </c>
      <c r="N51" s="6" t="str">
        <f>Price!C51</f>
        <v>TGR</v>
      </c>
      <c r="O51" s="88">
        <f>Price!D51</f>
        <v>0</v>
      </c>
      <c r="P51" s="7"/>
      <c r="Q51" s="8">
        <f t="shared" si="35"/>
        <v>295.60313000000002</v>
      </c>
      <c r="R51" s="107">
        <f>Price!F51</f>
        <v>295.60313000000002</v>
      </c>
      <c r="S51" s="76"/>
      <c r="T51" s="3">
        <f>Price!G51</f>
        <v>1947248</v>
      </c>
      <c r="U51" s="3">
        <f>Price!H51</f>
        <v>507348</v>
      </c>
      <c r="V51" s="4"/>
      <c r="W51" s="4"/>
      <c r="X51" s="10"/>
      <c r="Y51" s="10"/>
    </row>
    <row r="52" spans="1:25" x14ac:dyDescent="0.25">
      <c r="A52" s="32" t="str">
        <f t="shared" si="27"/>
        <v xml:space="preserve">Zaślepki HF/HL/HS - Top do SD białe SW   </v>
      </c>
      <c r="B52" s="33" t="str">
        <f t="shared" si="28"/>
        <v>23.8000</v>
      </c>
      <c r="C52" s="33" t="str">
        <f t="shared" si="29"/>
        <v>SW</v>
      </c>
      <c r="D52" s="33">
        <f t="shared" si="30"/>
        <v>0</v>
      </c>
      <c r="E52" s="34">
        <f t="shared" si="31"/>
        <v>0</v>
      </c>
      <c r="F52" s="8">
        <f t="shared" si="32"/>
        <v>295.60313000000002</v>
      </c>
      <c r="G52" s="23"/>
      <c r="H52" s="23"/>
      <c r="I52" s="48">
        <f t="shared" si="33"/>
        <v>5427233</v>
      </c>
      <c r="J52" s="48">
        <f t="shared" si="34"/>
        <v>507346</v>
      </c>
      <c r="K52" s="22"/>
      <c r="L52" s="19" t="str">
        <f>Price!A52</f>
        <v xml:space="preserve">Zaślepki HF/HL/HS - Top do SD białe SW   </v>
      </c>
      <c r="M52" s="6" t="str">
        <f>Price!B52</f>
        <v>23.8000</v>
      </c>
      <c r="N52" s="6" t="str">
        <f>Price!C52</f>
        <v>SW</v>
      </c>
      <c r="O52" s="88">
        <f>Price!D52</f>
        <v>0</v>
      </c>
      <c r="P52" s="7"/>
      <c r="Q52" s="8">
        <f t="shared" si="35"/>
        <v>295.60313000000002</v>
      </c>
      <c r="R52" s="107">
        <f>Price!F52</f>
        <v>295.60313000000002</v>
      </c>
      <c r="S52" s="76"/>
      <c r="T52" s="3">
        <f>Price!G52</f>
        <v>5427233</v>
      </c>
      <c r="U52" s="3">
        <f>Price!H52</f>
        <v>507346</v>
      </c>
      <c r="V52" s="4"/>
      <c r="W52" s="4"/>
      <c r="X52" s="10"/>
      <c r="Y52" s="10"/>
    </row>
    <row r="53" spans="1:25" x14ac:dyDescent="0.25">
      <c r="A53" s="32" t="str">
        <f t="shared" si="27"/>
        <v xml:space="preserve">          </v>
      </c>
      <c r="B53" s="33">
        <f t="shared" si="28"/>
        <v>0</v>
      </c>
      <c r="C53" s="33">
        <f t="shared" si="29"/>
        <v>0</v>
      </c>
      <c r="D53" s="33">
        <f t="shared" si="30"/>
        <v>0</v>
      </c>
      <c r="E53" s="34">
        <f t="shared" si="31"/>
        <v>0</v>
      </c>
      <c r="F53" s="8">
        <f t="shared" si="32"/>
        <v>0</v>
      </c>
      <c r="G53" s="23"/>
      <c r="H53" s="23"/>
      <c r="I53" s="48">
        <f t="shared" si="33"/>
        <v>0</v>
      </c>
      <c r="J53" s="48">
        <f t="shared" si="34"/>
        <v>0</v>
      </c>
      <c r="K53" s="22"/>
      <c r="L53" s="19" t="str">
        <f>Price!A53</f>
        <v xml:space="preserve">          </v>
      </c>
      <c r="M53" s="6">
        <f>Price!B53</f>
        <v>0</v>
      </c>
      <c r="N53" s="6">
        <f>Price!C53</f>
        <v>0</v>
      </c>
      <c r="O53" s="88">
        <f>Price!D53</f>
        <v>0</v>
      </c>
      <c r="P53" s="7"/>
      <c r="Q53" s="8">
        <f t="shared" si="35"/>
        <v>0</v>
      </c>
      <c r="R53" s="107">
        <f>Price!F53</f>
        <v>0</v>
      </c>
      <c r="S53" s="76"/>
      <c r="T53" s="3">
        <f>Price!G53</f>
        <v>0</v>
      </c>
      <c r="U53" s="3">
        <f>Price!H53</f>
        <v>0</v>
      </c>
      <c r="V53" s="4"/>
      <c r="W53" s="4"/>
      <c r="X53" s="10"/>
      <c r="Y53" s="10"/>
    </row>
    <row r="54" spans="1:25" x14ac:dyDescent="0.25">
      <c r="A54" s="32" t="str">
        <f t="shared" si="19"/>
        <v xml:space="preserve">Aventos HK top słaby       </v>
      </c>
      <c r="B54" s="33" t="str">
        <f t="shared" si="20"/>
        <v>22K2300</v>
      </c>
      <c r="C54" s="33" t="str">
        <f t="shared" si="21"/>
        <v>ZN</v>
      </c>
      <c r="D54" s="33">
        <f t="shared" si="22"/>
        <v>0</v>
      </c>
      <c r="E54" s="34">
        <f t="shared" si="23"/>
        <v>0</v>
      </c>
      <c r="F54" s="8">
        <f t="shared" si="26"/>
        <v>161.11304000000001</v>
      </c>
      <c r="G54" s="23"/>
      <c r="H54" s="23"/>
      <c r="I54" s="48">
        <f t="shared" si="24"/>
        <v>7628604</v>
      </c>
      <c r="J54" s="48">
        <f t="shared" si="25"/>
        <v>347810</v>
      </c>
      <c r="K54" s="22"/>
      <c r="L54" s="19" t="str">
        <f>Price!A54</f>
        <v xml:space="preserve">Aventos HK top słaby       </v>
      </c>
      <c r="M54" s="6" t="str">
        <f>Price!B54</f>
        <v>22K2300</v>
      </c>
      <c r="N54" s="6" t="str">
        <f>Price!C54</f>
        <v>ZN</v>
      </c>
      <c r="O54" s="88">
        <f>Price!D54</f>
        <v>0</v>
      </c>
      <c r="P54" s="7"/>
      <c r="Q54" s="8">
        <f t="shared" si="18"/>
        <v>161.11304000000001</v>
      </c>
      <c r="R54" s="107">
        <f>Price!F54</f>
        <v>161.11304000000001</v>
      </c>
      <c r="S54" s="76"/>
      <c r="T54" s="3">
        <f>Price!G54</f>
        <v>7628604</v>
      </c>
      <c r="U54" s="3">
        <f>Price!H54</f>
        <v>347810</v>
      </c>
      <c r="V54" s="4"/>
      <c r="W54" s="4"/>
      <c r="X54" s="10"/>
      <c r="Y54" s="10"/>
    </row>
    <row r="55" spans="1:25" x14ac:dyDescent="0.25">
      <c r="A55" s="32" t="str">
        <f t="shared" si="19"/>
        <v xml:space="preserve">Aventos HK top średni       </v>
      </c>
      <c r="B55" s="33" t="str">
        <f t="shared" si="20"/>
        <v>22K2500</v>
      </c>
      <c r="C55" s="33" t="str">
        <f t="shared" si="21"/>
        <v>ZN</v>
      </c>
      <c r="D55" s="33">
        <f t="shared" si="22"/>
        <v>0</v>
      </c>
      <c r="E55" s="34">
        <f t="shared" si="23"/>
        <v>0</v>
      </c>
      <c r="F55" s="8">
        <f t="shared" si="26"/>
        <v>161.11304000000001</v>
      </c>
      <c r="G55" s="23"/>
      <c r="H55" s="23"/>
      <c r="I55" s="48">
        <f t="shared" si="24"/>
        <v>1069731</v>
      </c>
      <c r="J55" s="48">
        <f t="shared" si="25"/>
        <v>347811</v>
      </c>
      <c r="K55" s="22"/>
      <c r="L55" s="19" t="str">
        <f>Price!A55</f>
        <v xml:space="preserve">Aventos HK top średni       </v>
      </c>
      <c r="M55" s="6" t="str">
        <f>Price!B55</f>
        <v>22K2500</v>
      </c>
      <c r="N55" s="6" t="str">
        <f>Price!C55</f>
        <v>ZN</v>
      </c>
      <c r="O55" s="88">
        <f>Price!D55</f>
        <v>0</v>
      </c>
      <c r="P55" s="7"/>
      <c r="Q55" s="8">
        <f t="shared" si="18"/>
        <v>161.11304000000001</v>
      </c>
      <c r="R55" s="107">
        <f>Price!F55</f>
        <v>161.11304000000001</v>
      </c>
      <c r="S55" s="76"/>
      <c r="T55" s="3">
        <f>Price!G55</f>
        <v>1069731</v>
      </c>
      <c r="U55" s="3">
        <f>Price!H55</f>
        <v>347811</v>
      </c>
      <c r="V55" s="4"/>
      <c r="W55" s="4"/>
      <c r="X55" s="10"/>
      <c r="Y55" s="10"/>
    </row>
    <row r="56" spans="1:25" x14ac:dyDescent="0.25">
      <c r="A56" s="32" t="str">
        <f t="shared" si="19"/>
        <v xml:space="preserve">Aventos HK top mocny       </v>
      </c>
      <c r="B56" s="33" t="str">
        <f t="shared" si="20"/>
        <v>22K2700</v>
      </c>
      <c r="C56" s="33" t="str">
        <f t="shared" si="21"/>
        <v>ZN</v>
      </c>
      <c r="D56" s="33">
        <f t="shared" si="22"/>
        <v>0</v>
      </c>
      <c r="E56" s="34">
        <f t="shared" si="23"/>
        <v>0</v>
      </c>
      <c r="F56" s="8">
        <f t="shared" si="26"/>
        <v>161.90012999999999</v>
      </c>
      <c r="G56" s="23"/>
      <c r="H56" s="23"/>
      <c r="I56" s="48">
        <f t="shared" si="24"/>
        <v>8762537</v>
      </c>
      <c r="J56" s="48">
        <f t="shared" si="25"/>
        <v>347812</v>
      </c>
      <c r="K56" s="22"/>
      <c r="L56" s="19" t="str">
        <f>Price!A56</f>
        <v xml:space="preserve">Aventos HK top mocny       </v>
      </c>
      <c r="M56" s="6" t="str">
        <f>Price!B56</f>
        <v>22K2700</v>
      </c>
      <c r="N56" s="6" t="str">
        <f>Price!C56</f>
        <v>ZN</v>
      </c>
      <c r="O56" s="88">
        <f>Price!D56</f>
        <v>0</v>
      </c>
      <c r="P56" s="7"/>
      <c r="Q56" s="8">
        <f t="shared" si="18"/>
        <v>161.90012999999999</v>
      </c>
      <c r="R56" s="107">
        <f>Price!F56</f>
        <v>161.90012999999999</v>
      </c>
      <c r="S56" s="76"/>
      <c r="T56" s="3">
        <f>Price!G56</f>
        <v>8762537</v>
      </c>
      <c r="U56" s="3">
        <f>Price!H56</f>
        <v>347812</v>
      </c>
      <c r="V56" s="4"/>
      <c r="W56" s="4"/>
      <c r="X56" s="10"/>
      <c r="Y56" s="10"/>
    </row>
    <row r="57" spans="1:25" x14ac:dyDescent="0.25">
      <c r="A57" s="32" t="str">
        <f t="shared" si="19"/>
        <v xml:space="preserve">Aventos HK top najmocnieszy       </v>
      </c>
      <c r="B57" s="33" t="str">
        <f t="shared" si="20"/>
        <v>22K2900</v>
      </c>
      <c r="C57" s="33" t="str">
        <f t="shared" si="21"/>
        <v>ZN</v>
      </c>
      <c r="D57" s="33">
        <f t="shared" si="22"/>
        <v>0</v>
      </c>
      <c r="E57" s="34">
        <f t="shared" si="23"/>
        <v>0</v>
      </c>
      <c r="F57" s="8">
        <f t="shared" si="26"/>
        <v>189.43150000000003</v>
      </c>
      <c r="G57" s="23"/>
      <c r="H57" s="23"/>
      <c r="I57" s="48">
        <f t="shared" si="24"/>
        <v>6635469</v>
      </c>
      <c r="J57" s="48">
        <f t="shared" si="25"/>
        <v>347813</v>
      </c>
      <c r="K57" s="22"/>
      <c r="L57" s="19" t="str">
        <f>Price!A57</f>
        <v xml:space="preserve">Aventos HK top najmocnieszy       </v>
      </c>
      <c r="M57" s="6" t="str">
        <f>Price!B57</f>
        <v>22K2900</v>
      </c>
      <c r="N57" s="6" t="str">
        <f>Price!C57</f>
        <v>ZN</v>
      </c>
      <c r="O57" s="88">
        <f>Price!D57</f>
        <v>0</v>
      </c>
      <c r="P57" s="7"/>
      <c r="Q57" s="8">
        <f t="shared" si="18"/>
        <v>189.43150000000003</v>
      </c>
      <c r="R57" s="107">
        <f>Price!F57</f>
        <v>189.4315</v>
      </c>
      <c r="S57" s="76"/>
      <c r="T57" s="3">
        <f>Price!G57</f>
        <v>6635469</v>
      </c>
      <c r="U57" s="3">
        <f>Price!H57</f>
        <v>347813</v>
      </c>
      <c r="V57" s="4"/>
      <c r="W57" s="4"/>
      <c r="X57" s="10"/>
      <c r="Y57" s="10"/>
    </row>
    <row r="58" spans="1:25" x14ac:dyDescent="0.25">
      <c r="A58" s="32" t="str">
        <f t="shared" si="19"/>
        <v xml:space="preserve">Aventos HK top słaby z eurowkrętami     </v>
      </c>
      <c r="B58" s="33" t="str">
        <f t="shared" si="20"/>
        <v>22K2310</v>
      </c>
      <c r="C58" s="33" t="str">
        <f t="shared" si="21"/>
        <v>ZN</v>
      </c>
      <c r="D58" s="33">
        <f t="shared" si="22"/>
        <v>0</v>
      </c>
      <c r="E58" s="34">
        <f t="shared" si="23"/>
        <v>0</v>
      </c>
      <c r="F58" s="8">
        <f t="shared" si="26"/>
        <v>176.89797999999999</v>
      </c>
      <c r="G58" s="23"/>
      <c r="H58" s="23"/>
      <c r="I58" s="48">
        <f t="shared" si="24"/>
        <v>8508486</v>
      </c>
      <c r="J58" s="48">
        <f t="shared" si="25"/>
        <v>378189</v>
      </c>
      <c r="K58" s="22"/>
      <c r="L58" s="19" t="str">
        <f>Price!A58</f>
        <v xml:space="preserve">Aventos HK top słaby z eurowkrętami     </v>
      </c>
      <c r="M58" s="6" t="str">
        <f>Price!B58</f>
        <v>22K2310</v>
      </c>
      <c r="N58" s="6" t="str">
        <f>Price!C58</f>
        <v>ZN</v>
      </c>
      <c r="O58" s="88">
        <f>Price!D58</f>
        <v>0</v>
      </c>
      <c r="P58" s="7"/>
      <c r="Q58" s="8">
        <f t="shared" si="18"/>
        <v>176.89797999999999</v>
      </c>
      <c r="R58" s="107">
        <f>Price!F58</f>
        <v>176.89797999999999</v>
      </c>
      <c r="S58" s="76"/>
      <c r="T58" s="3">
        <f>Price!G58</f>
        <v>8508486</v>
      </c>
      <c r="U58" s="3">
        <f>Price!H58</f>
        <v>378189</v>
      </c>
      <c r="V58" s="4"/>
      <c r="W58" s="4"/>
      <c r="X58" s="10"/>
      <c r="Y58" s="10"/>
    </row>
    <row r="59" spans="1:25" x14ac:dyDescent="0.25">
      <c r="A59" s="32" t="str">
        <f t="shared" si="19"/>
        <v xml:space="preserve">Aventos HK top średni z eurowkrętami     </v>
      </c>
      <c r="B59" s="33" t="str">
        <f t="shared" si="20"/>
        <v>22K2510</v>
      </c>
      <c r="C59" s="33" t="str">
        <f t="shared" si="21"/>
        <v>ZN</v>
      </c>
      <c r="D59" s="33">
        <f t="shared" si="22"/>
        <v>0</v>
      </c>
      <c r="E59" s="34">
        <f t="shared" si="23"/>
        <v>0</v>
      </c>
      <c r="F59" s="8">
        <f t="shared" si="26"/>
        <v>176.89797999999999</v>
      </c>
      <c r="G59" s="23"/>
      <c r="H59" s="23"/>
      <c r="I59" s="48">
        <f t="shared" si="24"/>
        <v>7690323</v>
      </c>
      <c r="J59" s="48">
        <f t="shared" si="25"/>
        <v>378190</v>
      </c>
      <c r="K59" s="22"/>
      <c r="L59" s="19" t="str">
        <f>Price!A59</f>
        <v xml:space="preserve">Aventos HK top średni z eurowkrętami     </v>
      </c>
      <c r="M59" s="6" t="str">
        <f>Price!B59</f>
        <v>22K2510</v>
      </c>
      <c r="N59" s="6" t="str">
        <f>Price!C59</f>
        <v>ZN</v>
      </c>
      <c r="O59" s="88">
        <f>Price!D59</f>
        <v>0</v>
      </c>
      <c r="P59" s="7"/>
      <c r="Q59" s="8">
        <f t="shared" si="18"/>
        <v>176.89797999999999</v>
      </c>
      <c r="R59" s="107">
        <f>Price!F59</f>
        <v>176.89797999999999</v>
      </c>
      <c r="S59" s="76"/>
      <c r="T59" s="3">
        <f>Price!G59</f>
        <v>7690323</v>
      </c>
      <c r="U59" s="3">
        <f>Price!H59</f>
        <v>378190</v>
      </c>
      <c r="V59" s="4"/>
      <c r="W59" s="4"/>
      <c r="X59" s="10"/>
      <c r="Y59" s="10"/>
    </row>
    <row r="60" spans="1:25" x14ac:dyDescent="0.25">
      <c r="A60" s="32" t="str">
        <f t="shared" si="19"/>
        <v xml:space="preserve">Aventos HK top mocny z eurowkrętami     </v>
      </c>
      <c r="B60" s="33" t="str">
        <f t="shared" si="20"/>
        <v>22K2710</v>
      </c>
      <c r="C60" s="33" t="str">
        <f t="shared" si="21"/>
        <v>ZN</v>
      </c>
      <c r="D60" s="33">
        <f t="shared" si="22"/>
        <v>0</v>
      </c>
      <c r="E60" s="34">
        <f t="shared" si="23"/>
        <v>0</v>
      </c>
      <c r="F60" s="8">
        <f t="shared" si="26"/>
        <v>177.76220000000001</v>
      </c>
      <c r="G60" s="23"/>
      <c r="H60" s="23"/>
      <c r="I60" s="48">
        <f t="shared" si="24"/>
        <v>1388111</v>
      </c>
      <c r="J60" s="48">
        <f t="shared" si="25"/>
        <v>378191</v>
      </c>
      <c r="K60" s="22"/>
      <c r="L60" s="19" t="str">
        <f>Price!A60</f>
        <v xml:space="preserve">Aventos HK top mocny z eurowkrętami     </v>
      </c>
      <c r="M60" s="6" t="str">
        <f>Price!B60</f>
        <v>22K2710</v>
      </c>
      <c r="N60" s="6" t="str">
        <f>Price!C60</f>
        <v>ZN</v>
      </c>
      <c r="O60" s="88">
        <f>Price!D60</f>
        <v>0</v>
      </c>
      <c r="P60" s="7"/>
      <c r="Q60" s="8">
        <f t="shared" si="18"/>
        <v>177.76220000000001</v>
      </c>
      <c r="R60" s="107">
        <f>Price!F60</f>
        <v>177.76220000000001</v>
      </c>
      <c r="S60" s="76"/>
      <c r="T60" s="3">
        <f>Price!G60</f>
        <v>1388111</v>
      </c>
      <c r="U60" s="3">
        <f>Price!H60</f>
        <v>378191</v>
      </c>
      <c r="V60" s="4"/>
      <c r="W60" s="4"/>
      <c r="X60" s="10"/>
      <c r="Y60" s="10"/>
    </row>
    <row r="61" spans="1:25" x14ac:dyDescent="0.25">
      <c r="A61" s="32" t="str">
        <f t="shared" si="19"/>
        <v xml:space="preserve">Aventos HK top najmocniejszy z eurowkrętami     </v>
      </c>
      <c r="B61" s="33" t="str">
        <f t="shared" si="20"/>
        <v>22K2910</v>
      </c>
      <c r="C61" s="33" t="str">
        <f t="shared" si="21"/>
        <v>ZN</v>
      </c>
      <c r="D61" s="33">
        <f t="shared" si="22"/>
        <v>0</v>
      </c>
      <c r="E61" s="34">
        <f t="shared" si="23"/>
        <v>0</v>
      </c>
      <c r="F61" s="8">
        <f t="shared" si="26"/>
        <v>207.99098000000001</v>
      </c>
      <c r="G61" s="23"/>
      <c r="H61" s="23"/>
      <c r="I61" s="48">
        <f t="shared" si="24"/>
        <v>5482270</v>
      </c>
      <c r="J61" s="48">
        <f t="shared" si="25"/>
        <v>378193</v>
      </c>
      <c r="K61" s="24"/>
      <c r="L61" s="19" t="str">
        <f>Price!A61</f>
        <v xml:space="preserve">Aventos HK top najmocniejszy z eurowkrętami     </v>
      </c>
      <c r="M61" s="6" t="str">
        <f>Price!B61</f>
        <v>22K2910</v>
      </c>
      <c r="N61" s="6" t="str">
        <f>Price!C61</f>
        <v>ZN</v>
      </c>
      <c r="O61" s="88">
        <f>Price!D61</f>
        <v>0</v>
      </c>
      <c r="P61" s="7"/>
      <c r="Q61" s="8">
        <f t="shared" si="18"/>
        <v>207.99098000000001</v>
      </c>
      <c r="R61" s="107">
        <f>Price!F61</f>
        <v>207.99098000000001</v>
      </c>
      <c r="S61" s="76"/>
      <c r="T61" s="3">
        <f>Price!G61</f>
        <v>5482270</v>
      </c>
      <c r="U61" s="3">
        <f>Price!H61</f>
        <v>378193</v>
      </c>
      <c r="V61" s="4"/>
      <c r="W61" s="12"/>
      <c r="X61" s="10"/>
      <c r="Y61" s="10"/>
    </row>
    <row r="62" spans="1:25" x14ac:dyDescent="0.25">
      <c r="A62" s="32" t="str">
        <f t="shared" ref="A62:A67" si="36">L62</f>
        <v xml:space="preserve">zaślepki HK top bez S-D szare     </v>
      </c>
      <c r="B62" s="33" t="str">
        <f t="shared" ref="B62:B67" si="37">M62</f>
        <v>22K8000</v>
      </c>
      <c r="C62" s="33" t="str">
        <f t="shared" ref="C62:C67" si="38">N62</f>
        <v xml:space="preserve">HG </v>
      </c>
      <c r="D62" s="33">
        <f t="shared" ref="D62:D67" si="39">O62</f>
        <v>0</v>
      </c>
      <c r="E62" s="34">
        <f t="shared" ref="E62:E67" si="40">P62</f>
        <v>0</v>
      </c>
      <c r="F62" s="8">
        <f t="shared" si="26"/>
        <v>23.190790000000003</v>
      </c>
      <c r="G62" s="23"/>
      <c r="H62" s="23"/>
      <c r="I62" s="48">
        <f t="shared" ref="I62:I67" si="41">T62</f>
        <v>7985876</v>
      </c>
      <c r="J62" s="48">
        <f t="shared" ref="J62:J67" si="42">U62</f>
        <v>347833</v>
      </c>
      <c r="K62" s="24"/>
      <c r="L62" s="19" t="str">
        <f>Price!A62</f>
        <v xml:space="preserve">zaślepki HK top bez S-D szare     </v>
      </c>
      <c r="M62" s="6" t="str">
        <f>Price!B62</f>
        <v>22K8000</v>
      </c>
      <c r="N62" s="6" t="str">
        <f>Price!C62</f>
        <v xml:space="preserve">HG </v>
      </c>
      <c r="O62" s="88">
        <f>Price!D62</f>
        <v>0</v>
      </c>
      <c r="P62" s="7"/>
      <c r="Q62" s="8">
        <f t="shared" si="18"/>
        <v>23.190790000000003</v>
      </c>
      <c r="R62" s="107">
        <f>Price!F62</f>
        <v>23.19079</v>
      </c>
      <c r="S62" s="76"/>
      <c r="T62" s="3">
        <f>Price!G62</f>
        <v>7985876</v>
      </c>
      <c r="U62" s="3">
        <f>Price!H62</f>
        <v>347833</v>
      </c>
      <c r="V62" s="4"/>
      <c r="W62" s="12"/>
      <c r="X62" s="10"/>
      <c r="Y62" s="10"/>
    </row>
    <row r="63" spans="1:25" x14ac:dyDescent="0.25">
      <c r="A63" s="32" t="str">
        <f t="shared" si="36"/>
        <v xml:space="preserve">zaślepki HK top bez S-D ciemnoszare metalowe    </v>
      </c>
      <c r="B63" s="33" t="str">
        <f t="shared" si="37"/>
        <v>22K8000</v>
      </c>
      <c r="C63" s="33" t="str">
        <f t="shared" si="38"/>
        <v>TGR</v>
      </c>
      <c r="D63" s="33">
        <f t="shared" si="39"/>
        <v>0</v>
      </c>
      <c r="E63" s="34">
        <f t="shared" si="40"/>
        <v>0</v>
      </c>
      <c r="F63" s="8">
        <f t="shared" si="26"/>
        <v>25.393930000000001</v>
      </c>
      <c r="G63" s="23"/>
      <c r="H63" s="23"/>
      <c r="I63" s="48">
        <f t="shared" si="41"/>
        <v>7926396</v>
      </c>
      <c r="J63" s="48">
        <f t="shared" si="42"/>
        <v>347835</v>
      </c>
      <c r="K63" s="26"/>
      <c r="L63" s="19" t="str">
        <f>Price!A63</f>
        <v xml:space="preserve">zaślepki HK top bez S-D ciemnoszare metalowe    </v>
      </c>
      <c r="M63" s="6" t="str">
        <f>Price!B63</f>
        <v>22K8000</v>
      </c>
      <c r="N63" s="6" t="str">
        <f>Price!C63</f>
        <v>TGR</v>
      </c>
      <c r="O63" s="88">
        <f>Price!D63</f>
        <v>0</v>
      </c>
      <c r="P63" s="7"/>
      <c r="Q63" s="8">
        <f t="shared" si="18"/>
        <v>25.393930000000001</v>
      </c>
      <c r="R63" s="107">
        <f>Price!F63</f>
        <v>25.393930000000001</v>
      </c>
      <c r="S63" s="76"/>
      <c r="T63" s="3">
        <f>Price!G63</f>
        <v>7926396</v>
      </c>
      <c r="U63" s="3">
        <f>Price!H63</f>
        <v>347835</v>
      </c>
      <c r="V63" s="4"/>
      <c r="W63" s="12"/>
      <c r="X63" s="10"/>
      <c r="Y63" s="10"/>
    </row>
    <row r="64" spans="1:25" x14ac:dyDescent="0.25">
      <c r="A64" s="32" t="str">
        <f t="shared" si="36"/>
        <v xml:space="preserve">zaślepki HK top bez S-D jedwabiście białe    </v>
      </c>
      <c r="B64" s="33" t="str">
        <f t="shared" si="37"/>
        <v>22K8000</v>
      </c>
      <c r="C64" s="33" t="str">
        <f t="shared" si="38"/>
        <v xml:space="preserve">SW </v>
      </c>
      <c r="D64" s="33">
        <f t="shared" si="39"/>
        <v>0</v>
      </c>
      <c r="E64" s="34">
        <f t="shared" si="40"/>
        <v>0</v>
      </c>
      <c r="F64" s="8">
        <f t="shared" si="26"/>
        <v>25.393930000000001</v>
      </c>
      <c r="G64" s="23"/>
      <c r="H64" s="23"/>
      <c r="I64" s="48">
        <f t="shared" si="41"/>
        <v>4824637</v>
      </c>
      <c r="J64" s="48">
        <f t="shared" si="42"/>
        <v>347834</v>
      </c>
      <c r="K64" s="26"/>
      <c r="L64" s="19" t="str">
        <f>Price!A64</f>
        <v xml:space="preserve">zaślepki HK top bez S-D jedwabiście białe    </v>
      </c>
      <c r="M64" s="6" t="str">
        <f>Price!B64</f>
        <v>22K8000</v>
      </c>
      <c r="N64" s="6" t="str">
        <f>Price!C64</f>
        <v xml:space="preserve">SW </v>
      </c>
      <c r="O64" s="88">
        <f>Price!D64</f>
        <v>0</v>
      </c>
      <c r="P64" s="7"/>
      <c r="Q64" s="8">
        <f t="shared" si="18"/>
        <v>25.393930000000001</v>
      </c>
      <c r="R64" s="107">
        <f>Price!F64</f>
        <v>25.393930000000001</v>
      </c>
      <c r="S64" s="76"/>
      <c r="T64" s="3">
        <f>Price!G64</f>
        <v>4824637</v>
      </c>
      <c r="U64" s="3">
        <f>Price!H64</f>
        <v>347834</v>
      </c>
      <c r="V64" s="4"/>
      <c r="W64" s="12"/>
      <c r="X64" s="10"/>
      <c r="Y64" s="10"/>
    </row>
    <row r="65" spans="1:25" x14ac:dyDescent="0.25">
      <c r="A65" s="32" t="str">
        <f t="shared" si="36"/>
        <v xml:space="preserve">zaślepki HK top do S-D jasnoszare     </v>
      </c>
      <c r="B65" s="33" t="str">
        <f t="shared" si="37"/>
        <v>23K8000</v>
      </c>
      <c r="C65" s="33" t="str">
        <f t="shared" si="38"/>
        <v xml:space="preserve">HG </v>
      </c>
      <c r="D65" s="33">
        <f t="shared" si="39"/>
        <v>0</v>
      </c>
      <c r="E65" s="34">
        <f t="shared" si="40"/>
        <v>0</v>
      </c>
      <c r="F65" s="8">
        <f t="shared" si="26"/>
        <v>273.56473</v>
      </c>
      <c r="G65" s="23"/>
      <c r="H65" s="23"/>
      <c r="I65" s="48">
        <f t="shared" si="41"/>
        <v>2111215</v>
      </c>
      <c r="J65" s="48">
        <f t="shared" si="42"/>
        <v>347836</v>
      </c>
      <c r="K65" s="26"/>
      <c r="L65" s="19" t="str">
        <f>Price!A65</f>
        <v xml:space="preserve">zaślepki HK top do S-D jasnoszare     </v>
      </c>
      <c r="M65" s="6" t="str">
        <f>Price!B65</f>
        <v>23K8000</v>
      </c>
      <c r="N65" s="6" t="str">
        <f>Price!C65</f>
        <v xml:space="preserve">HG </v>
      </c>
      <c r="O65" s="88">
        <f>Price!D65</f>
        <v>0</v>
      </c>
      <c r="P65" s="7"/>
      <c r="Q65" s="8">
        <f t="shared" si="18"/>
        <v>273.56473</v>
      </c>
      <c r="R65" s="107">
        <f>Price!F65</f>
        <v>273.56473</v>
      </c>
      <c r="S65" s="76"/>
      <c r="T65" s="3">
        <f>Price!G65</f>
        <v>2111215</v>
      </c>
      <c r="U65" s="3">
        <f>Price!H65</f>
        <v>347836</v>
      </c>
      <c r="V65" s="4"/>
      <c r="W65" s="12"/>
      <c r="X65" s="10"/>
      <c r="Y65" s="10"/>
    </row>
    <row r="66" spans="1:25" x14ac:dyDescent="0.25">
      <c r="A66" s="32" t="str">
        <f t="shared" si="36"/>
        <v xml:space="preserve">zaślepki HK top do S-D ciemnoszare metalowe    </v>
      </c>
      <c r="B66" s="33" t="str">
        <f t="shared" si="37"/>
        <v>23K8000</v>
      </c>
      <c r="C66" s="33" t="str">
        <f t="shared" si="38"/>
        <v>TGR</v>
      </c>
      <c r="D66" s="33">
        <f t="shared" si="39"/>
        <v>0</v>
      </c>
      <c r="E66" s="34">
        <f t="shared" si="40"/>
        <v>0</v>
      </c>
      <c r="F66" s="8">
        <f t="shared" si="26"/>
        <v>284.75036999999998</v>
      </c>
      <c r="G66" s="23"/>
      <c r="H66" s="23"/>
      <c r="I66" s="48">
        <f t="shared" si="41"/>
        <v>8732964</v>
      </c>
      <c r="J66" s="48">
        <f t="shared" si="42"/>
        <v>347838</v>
      </c>
      <c r="K66" s="26"/>
      <c r="L66" s="19" t="str">
        <f>Price!A66</f>
        <v xml:space="preserve">zaślepki HK top do S-D ciemnoszare metalowe    </v>
      </c>
      <c r="M66" s="6" t="str">
        <f>Price!B66</f>
        <v>23K8000</v>
      </c>
      <c r="N66" s="6" t="str">
        <f>Price!C66</f>
        <v>TGR</v>
      </c>
      <c r="O66" s="88">
        <f>Price!D66</f>
        <v>0</v>
      </c>
      <c r="P66" s="7"/>
      <c r="Q66" s="8">
        <f t="shared" si="18"/>
        <v>284.75036999999998</v>
      </c>
      <c r="R66" s="107">
        <f>Price!F66</f>
        <v>284.75036999999998</v>
      </c>
      <c r="S66" s="76"/>
      <c r="T66" s="3">
        <f>Price!G66</f>
        <v>8732964</v>
      </c>
      <c r="U66" s="3">
        <f>Price!H66</f>
        <v>347838</v>
      </c>
      <c r="V66" s="4"/>
      <c r="W66" s="12"/>
      <c r="X66" s="10"/>
      <c r="Y66" s="10"/>
    </row>
    <row r="67" spans="1:25" x14ac:dyDescent="0.25">
      <c r="A67" s="32" t="str">
        <f t="shared" si="36"/>
        <v xml:space="preserve">zaślepki HK top do S-D jedwabiście białe    </v>
      </c>
      <c r="B67" s="33" t="str">
        <f t="shared" si="37"/>
        <v>23K8000</v>
      </c>
      <c r="C67" s="33" t="str">
        <f t="shared" si="38"/>
        <v xml:space="preserve">SW </v>
      </c>
      <c r="D67" s="33">
        <f t="shared" si="39"/>
        <v>0</v>
      </c>
      <c r="E67" s="34">
        <f t="shared" si="40"/>
        <v>0</v>
      </c>
      <c r="F67" s="8">
        <f t="shared" si="26"/>
        <v>284.75036999999998</v>
      </c>
      <c r="G67" s="23"/>
      <c r="H67" s="23"/>
      <c r="I67" s="48">
        <f t="shared" si="41"/>
        <v>1065531</v>
      </c>
      <c r="J67" s="48">
        <f t="shared" si="42"/>
        <v>347837</v>
      </c>
      <c r="K67" s="25"/>
      <c r="L67" s="19" t="str">
        <f>Price!A67</f>
        <v xml:space="preserve">zaślepki HK top do S-D jedwabiście białe    </v>
      </c>
      <c r="M67" s="6" t="str">
        <f>Price!B67</f>
        <v>23K8000</v>
      </c>
      <c r="N67" s="6" t="str">
        <f>Price!C67</f>
        <v xml:space="preserve">SW </v>
      </c>
      <c r="O67" s="88">
        <f>Price!D67</f>
        <v>0</v>
      </c>
      <c r="P67" s="7"/>
      <c r="Q67" s="8">
        <f t="shared" si="18"/>
        <v>284.75036999999998</v>
      </c>
      <c r="R67" s="107">
        <f>Price!F67</f>
        <v>284.75036999999998</v>
      </c>
      <c r="S67" s="76"/>
      <c r="T67" s="3">
        <f>Price!G67</f>
        <v>1065531</v>
      </c>
      <c r="U67" s="3">
        <f>Price!H67</f>
        <v>347837</v>
      </c>
      <c r="V67" s="4"/>
      <c r="W67" s="12"/>
      <c r="X67" s="10"/>
      <c r="Y67" s="10"/>
    </row>
    <row r="68" spans="1:25" x14ac:dyDescent="0.25">
      <c r="A68" s="32" t="str">
        <f>L68</f>
        <v xml:space="preserve">          </v>
      </c>
      <c r="B68" s="33">
        <f>M68</f>
        <v>0</v>
      </c>
      <c r="C68" s="33">
        <f>N68</f>
        <v>0</v>
      </c>
      <c r="D68" s="33">
        <f>O68</f>
        <v>0</v>
      </c>
      <c r="E68" s="34">
        <f>P68</f>
        <v>0</v>
      </c>
      <c r="F68" s="8">
        <f t="shared" si="26"/>
        <v>0</v>
      </c>
      <c r="G68" s="23"/>
      <c r="H68" s="23"/>
      <c r="I68" s="48">
        <f>T68</f>
        <v>0</v>
      </c>
      <c r="J68" s="48">
        <f>U68</f>
        <v>0</v>
      </c>
      <c r="K68" s="26"/>
      <c r="L68" s="19" t="str">
        <f>Price!A68</f>
        <v xml:space="preserve">          </v>
      </c>
      <c r="M68" s="6">
        <f>Price!B68</f>
        <v>0</v>
      </c>
      <c r="N68" s="6">
        <f>Price!C68</f>
        <v>0</v>
      </c>
      <c r="O68" s="88">
        <f>Price!D68</f>
        <v>0</v>
      </c>
      <c r="P68" s="7"/>
      <c r="Q68" s="8">
        <f t="shared" si="18"/>
        <v>0</v>
      </c>
      <c r="R68" s="107">
        <f>Price!F68</f>
        <v>0</v>
      </c>
      <c r="S68" s="76"/>
      <c r="T68" s="3">
        <f>Price!G68</f>
        <v>0</v>
      </c>
      <c r="U68" s="3">
        <f>Price!H68</f>
        <v>0</v>
      </c>
      <c r="V68" s="4"/>
      <c r="W68" s="12"/>
      <c r="X68" s="10"/>
      <c r="Y68" s="10"/>
    </row>
    <row r="69" spans="1:25" x14ac:dyDescent="0.25">
      <c r="A69" s="32" t="str">
        <f t="shared" ref="A69:A82" si="43">L69</f>
        <v xml:space="preserve">Aventos HK top słaby Tip-on      </v>
      </c>
      <c r="B69" s="33" t="str">
        <f t="shared" ref="B69:B82" si="44">M69</f>
        <v>22K2300T</v>
      </c>
      <c r="C69" s="33" t="str">
        <f t="shared" ref="C69:C82" si="45">N69</f>
        <v>ZN</v>
      </c>
      <c r="D69" s="33">
        <f t="shared" ref="D69:D82" si="46">O69</f>
        <v>0</v>
      </c>
      <c r="E69" s="34">
        <f t="shared" ref="E69:E82" si="47">P69</f>
        <v>0</v>
      </c>
      <c r="F69" s="8">
        <f t="shared" si="26"/>
        <v>172.91319999999999</v>
      </c>
      <c r="G69" s="23"/>
      <c r="H69" s="23"/>
      <c r="I69" s="48">
        <f t="shared" ref="I69:I82" si="48">T69</f>
        <v>4205572</v>
      </c>
      <c r="J69" s="48">
        <f t="shared" ref="J69:J82" si="49">U69</f>
        <v>347814</v>
      </c>
      <c r="K69" s="26"/>
      <c r="L69" s="19" t="str">
        <f>Price!A69</f>
        <v xml:space="preserve">Aventos HK top słaby Tip-on      </v>
      </c>
      <c r="M69" s="6" t="str">
        <f>Price!B69</f>
        <v>22K2300T</v>
      </c>
      <c r="N69" s="6" t="str">
        <f>Price!C69</f>
        <v>ZN</v>
      </c>
      <c r="O69" s="88">
        <f>Price!D69</f>
        <v>0</v>
      </c>
      <c r="P69" s="7"/>
      <c r="Q69" s="8">
        <f t="shared" si="18"/>
        <v>172.91319999999999</v>
      </c>
      <c r="R69" s="107">
        <f>Price!F69</f>
        <v>172.91319999999999</v>
      </c>
      <c r="S69" s="76"/>
      <c r="T69" s="3">
        <f>Price!G69</f>
        <v>4205572</v>
      </c>
      <c r="U69" s="3">
        <f>Price!H69</f>
        <v>347814</v>
      </c>
      <c r="V69" s="4"/>
      <c r="W69" s="12"/>
      <c r="X69" s="10"/>
      <c r="Y69" s="10"/>
    </row>
    <row r="70" spans="1:25" x14ac:dyDescent="0.25">
      <c r="A70" s="32" t="str">
        <f t="shared" si="43"/>
        <v xml:space="preserve">Aventos HK top średni Tip-on      </v>
      </c>
      <c r="B70" s="33" t="str">
        <f t="shared" si="44"/>
        <v>22K2500T</v>
      </c>
      <c r="C70" s="33" t="str">
        <f t="shared" si="45"/>
        <v>ZN</v>
      </c>
      <c r="D70" s="33">
        <f t="shared" si="46"/>
        <v>0</v>
      </c>
      <c r="E70" s="34">
        <f t="shared" si="47"/>
        <v>0</v>
      </c>
      <c r="F70" s="8">
        <f t="shared" si="26"/>
        <v>172.91319999999999</v>
      </c>
      <c r="G70" s="23"/>
      <c r="H70" s="23"/>
      <c r="I70" s="48">
        <f t="shared" si="48"/>
        <v>2753075</v>
      </c>
      <c r="J70" s="48">
        <f t="shared" si="49"/>
        <v>347826</v>
      </c>
      <c r="K70" s="26"/>
      <c r="L70" s="19" t="str">
        <f>Price!A70</f>
        <v xml:space="preserve">Aventos HK top średni Tip-on      </v>
      </c>
      <c r="M70" s="6" t="str">
        <f>Price!B70</f>
        <v>22K2500T</v>
      </c>
      <c r="N70" s="6" t="str">
        <f>Price!C70</f>
        <v>ZN</v>
      </c>
      <c r="O70" s="88">
        <f>Price!D70</f>
        <v>0</v>
      </c>
      <c r="P70" s="7"/>
      <c r="Q70" s="8">
        <f t="shared" si="18"/>
        <v>172.91319999999999</v>
      </c>
      <c r="R70" s="107">
        <f>Price!F70</f>
        <v>172.91319999999999</v>
      </c>
      <c r="S70" s="76"/>
      <c r="T70" s="3">
        <f>Price!G70</f>
        <v>2753075</v>
      </c>
      <c r="U70" s="3">
        <f>Price!H70</f>
        <v>347826</v>
      </c>
      <c r="V70" s="4"/>
      <c r="W70" s="12"/>
      <c r="X70" s="10"/>
      <c r="Y70" s="10"/>
    </row>
    <row r="71" spans="1:25" x14ac:dyDescent="0.25">
      <c r="A71" s="32" t="str">
        <f t="shared" si="43"/>
        <v xml:space="preserve">Aventos HK top mocny Tip-on      </v>
      </c>
      <c r="B71" s="33" t="str">
        <f t="shared" si="44"/>
        <v>22K2700T</v>
      </c>
      <c r="C71" s="33" t="str">
        <f t="shared" si="45"/>
        <v>ZN</v>
      </c>
      <c r="D71" s="33">
        <f t="shared" si="46"/>
        <v>0</v>
      </c>
      <c r="E71" s="34">
        <f t="shared" si="47"/>
        <v>0</v>
      </c>
      <c r="F71" s="8">
        <f t="shared" si="26"/>
        <v>183.9254</v>
      </c>
      <c r="G71" s="23"/>
      <c r="H71" s="23"/>
      <c r="I71" s="48">
        <f t="shared" si="48"/>
        <v>2855682</v>
      </c>
      <c r="J71" s="48">
        <f t="shared" si="49"/>
        <v>347827</v>
      </c>
      <c r="K71" s="25"/>
      <c r="L71" s="19" t="str">
        <f>Price!A71</f>
        <v xml:space="preserve">Aventos HK top mocny Tip-on      </v>
      </c>
      <c r="M71" s="6" t="str">
        <f>Price!B71</f>
        <v>22K2700T</v>
      </c>
      <c r="N71" s="6" t="str">
        <f>Price!C71</f>
        <v>ZN</v>
      </c>
      <c r="O71" s="88">
        <f>Price!D71</f>
        <v>0</v>
      </c>
      <c r="P71" s="7"/>
      <c r="Q71" s="8">
        <f t="shared" si="18"/>
        <v>183.9254</v>
      </c>
      <c r="R71" s="107">
        <f>Price!F71</f>
        <v>183.9254</v>
      </c>
      <c r="S71" s="76"/>
      <c r="T71" s="3">
        <f>Price!G71</f>
        <v>2855682</v>
      </c>
      <c r="U71" s="3">
        <f>Price!H71</f>
        <v>347827</v>
      </c>
      <c r="V71" s="4"/>
      <c r="W71" s="12"/>
      <c r="X71" s="10"/>
      <c r="Y71" s="10"/>
    </row>
    <row r="72" spans="1:25" x14ac:dyDescent="0.25">
      <c r="A72" s="32" t="str">
        <f t="shared" si="43"/>
        <v xml:space="preserve">Aventos HK top najmocniejszy Tip-on      </v>
      </c>
      <c r="B72" s="33" t="str">
        <f t="shared" si="44"/>
        <v>22K2900T</v>
      </c>
      <c r="C72" s="33" t="str">
        <f t="shared" si="45"/>
        <v>ZN</v>
      </c>
      <c r="D72" s="33">
        <f t="shared" si="46"/>
        <v>0</v>
      </c>
      <c r="E72" s="34">
        <f t="shared" si="47"/>
        <v>0</v>
      </c>
      <c r="F72" s="8">
        <f t="shared" si="26"/>
        <v>211.45676</v>
      </c>
      <c r="G72" s="23"/>
      <c r="H72" s="23"/>
      <c r="I72" s="48">
        <f t="shared" si="48"/>
        <v>8220095</v>
      </c>
      <c r="J72" s="48">
        <f t="shared" si="49"/>
        <v>347828</v>
      </c>
      <c r="K72" s="26"/>
      <c r="L72" s="19" t="str">
        <f>Price!A72</f>
        <v xml:space="preserve">Aventos HK top najmocniejszy Tip-on      </v>
      </c>
      <c r="M72" s="6" t="str">
        <f>Price!B72</f>
        <v>22K2900T</v>
      </c>
      <c r="N72" s="6" t="str">
        <f>Price!C72</f>
        <v>ZN</v>
      </c>
      <c r="O72" s="88">
        <f>Price!D72</f>
        <v>0</v>
      </c>
      <c r="P72" s="7"/>
      <c r="Q72" s="8">
        <f t="shared" si="18"/>
        <v>211.45676</v>
      </c>
      <c r="R72" s="107">
        <f>Price!F72</f>
        <v>211.45676</v>
      </c>
      <c r="S72" s="76"/>
      <c r="T72" s="3">
        <f>Price!G72</f>
        <v>8220095</v>
      </c>
      <c r="U72" s="3">
        <f>Price!H72</f>
        <v>347828</v>
      </c>
      <c r="V72" s="4"/>
      <c r="W72" s="12"/>
      <c r="X72" s="10"/>
      <c r="Y72" s="10"/>
    </row>
    <row r="73" spans="1:25" x14ac:dyDescent="0.25">
      <c r="A73" s="32" t="str">
        <f t="shared" si="43"/>
        <v xml:space="preserve">Aventos HK top słaby Tip-on z eurowkrętami    </v>
      </c>
      <c r="B73" s="33" t="str">
        <f t="shared" si="44"/>
        <v>22K2310T</v>
      </c>
      <c r="C73" s="33" t="str">
        <f t="shared" si="45"/>
        <v>ZN</v>
      </c>
      <c r="D73" s="33">
        <f t="shared" si="46"/>
        <v>0</v>
      </c>
      <c r="E73" s="34">
        <f t="shared" si="47"/>
        <v>0</v>
      </c>
      <c r="F73" s="8">
        <f t="shared" si="26"/>
        <v>189.85409999999999</v>
      </c>
      <c r="G73" s="23"/>
      <c r="H73" s="23"/>
      <c r="I73" s="48">
        <f t="shared" si="48"/>
        <v>9708169</v>
      </c>
      <c r="J73" s="48">
        <f t="shared" si="49"/>
        <v>378200</v>
      </c>
      <c r="K73" s="26"/>
      <c r="L73" s="19" t="str">
        <f>Price!A73</f>
        <v xml:space="preserve">Aventos HK top słaby Tip-on z eurowkrętami    </v>
      </c>
      <c r="M73" s="6" t="str">
        <f>Price!B73</f>
        <v>22K2310T</v>
      </c>
      <c r="N73" s="6" t="str">
        <f>Price!C73</f>
        <v>ZN</v>
      </c>
      <c r="O73" s="88">
        <f>Price!D73</f>
        <v>0</v>
      </c>
      <c r="P73" s="7"/>
      <c r="Q73" s="8">
        <f t="shared" si="18"/>
        <v>189.85409999999999</v>
      </c>
      <c r="R73" s="107">
        <f>Price!F73</f>
        <v>189.85409999999999</v>
      </c>
      <c r="S73" s="76"/>
      <c r="T73" s="3">
        <f>Price!G73</f>
        <v>9708169</v>
      </c>
      <c r="U73" s="3">
        <f>Price!H73</f>
        <v>378200</v>
      </c>
      <c r="V73" s="4"/>
      <c r="W73" s="12"/>
      <c r="X73" s="10"/>
      <c r="Y73" s="10"/>
    </row>
    <row r="74" spans="1:25" x14ac:dyDescent="0.25">
      <c r="A74" s="32" t="str">
        <f t="shared" si="43"/>
        <v xml:space="preserve">Aventos HK top średni Tip-on z eurowkrętami    </v>
      </c>
      <c r="B74" s="33" t="str">
        <f t="shared" si="44"/>
        <v>22K2510T</v>
      </c>
      <c r="C74" s="33" t="str">
        <f t="shared" si="45"/>
        <v>ZN</v>
      </c>
      <c r="D74" s="33">
        <f t="shared" si="46"/>
        <v>0</v>
      </c>
      <c r="E74" s="34">
        <f t="shared" si="47"/>
        <v>0</v>
      </c>
      <c r="F74" s="8">
        <f t="shared" si="26"/>
        <v>189.85409999999999</v>
      </c>
      <c r="G74" s="23"/>
      <c r="H74" s="23"/>
      <c r="I74" s="48">
        <f t="shared" si="48"/>
        <v>2414504</v>
      </c>
      <c r="J74" s="48">
        <f t="shared" si="49"/>
        <v>378202</v>
      </c>
      <c r="K74" s="26"/>
      <c r="L74" s="19" t="str">
        <f>Price!A74</f>
        <v xml:space="preserve">Aventos HK top średni Tip-on z eurowkrętami    </v>
      </c>
      <c r="M74" s="6" t="str">
        <f>Price!B74</f>
        <v>22K2510T</v>
      </c>
      <c r="N74" s="6" t="str">
        <f>Price!C74</f>
        <v>ZN</v>
      </c>
      <c r="O74" s="88">
        <f>Price!D74</f>
        <v>0</v>
      </c>
      <c r="P74" s="7"/>
      <c r="Q74" s="8">
        <f t="shared" si="18"/>
        <v>189.85409999999999</v>
      </c>
      <c r="R74" s="107">
        <f>Price!F74</f>
        <v>189.85409999999999</v>
      </c>
      <c r="S74" s="76"/>
      <c r="T74" s="3">
        <f>Price!G74</f>
        <v>2414504</v>
      </c>
      <c r="U74" s="3">
        <f>Price!H74</f>
        <v>378202</v>
      </c>
      <c r="V74" s="4"/>
      <c r="W74" s="12"/>
      <c r="X74" s="10"/>
      <c r="Y74" s="10"/>
    </row>
    <row r="75" spans="1:25" x14ac:dyDescent="0.25">
      <c r="A75" s="32" t="str">
        <f t="shared" si="43"/>
        <v xml:space="preserve">Aventos HK top mocny Tip-on z eurowkrętami    </v>
      </c>
      <c r="B75" s="33" t="str">
        <f t="shared" si="44"/>
        <v>22K2710T</v>
      </c>
      <c r="C75" s="33" t="str">
        <f t="shared" si="45"/>
        <v>ZN</v>
      </c>
      <c r="D75" s="33">
        <f t="shared" si="46"/>
        <v>0</v>
      </c>
      <c r="E75" s="34">
        <f t="shared" si="47"/>
        <v>0</v>
      </c>
      <c r="F75" s="8">
        <f t="shared" si="26"/>
        <v>201.94534999999999</v>
      </c>
      <c r="G75" s="23"/>
      <c r="H75" s="23"/>
      <c r="I75" s="48">
        <f t="shared" si="48"/>
        <v>1422889</v>
      </c>
      <c r="J75" s="48">
        <f t="shared" si="49"/>
        <v>378203</v>
      </c>
      <c r="K75" s="25"/>
      <c r="L75" s="19" t="str">
        <f>Price!A75</f>
        <v xml:space="preserve">Aventos HK top mocny Tip-on z eurowkrętami    </v>
      </c>
      <c r="M75" s="6" t="str">
        <f>Price!B75</f>
        <v>22K2710T</v>
      </c>
      <c r="N75" s="6" t="str">
        <f>Price!C75</f>
        <v>ZN</v>
      </c>
      <c r="O75" s="88">
        <f>Price!D75</f>
        <v>0</v>
      </c>
      <c r="P75" s="7"/>
      <c r="Q75" s="8">
        <f t="shared" si="18"/>
        <v>201.94534999999999</v>
      </c>
      <c r="R75" s="107">
        <f>Price!F75</f>
        <v>201.94534999999999</v>
      </c>
      <c r="S75" s="76"/>
      <c r="T75" s="3">
        <f>Price!G75</f>
        <v>1422889</v>
      </c>
      <c r="U75" s="3">
        <f>Price!H75</f>
        <v>378203</v>
      </c>
      <c r="V75" s="4"/>
      <c r="W75" s="4"/>
      <c r="X75" s="10"/>
      <c r="Y75" s="10"/>
    </row>
    <row r="76" spans="1:25" x14ac:dyDescent="0.25">
      <c r="A76" s="32" t="str">
        <f t="shared" si="43"/>
        <v xml:space="preserve">Aventos HK top najmocniejszy Tip-on z eurowkrętami    </v>
      </c>
      <c r="B76" s="33" t="str">
        <f t="shared" si="44"/>
        <v>22K2910T</v>
      </c>
      <c r="C76" s="33" t="str">
        <f t="shared" si="45"/>
        <v>ZN</v>
      </c>
      <c r="D76" s="33">
        <f t="shared" si="46"/>
        <v>0</v>
      </c>
      <c r="E76" s="34">
        <f t="shared" si="47"/>
        <v>0</v>
      </c>
      <c r="F76" s="8">
        <f t="shared" si="26"/>
        <v>232.17408</v>
      </c>
      <c r="G76" s="23"/>
      <c r="H76" s="23"/>
      <c r="I76" s="48">
        <f t="shared" si="48"/>
        <v>7716804</v>
      </c>
      <c r="J76" s="48">
        <f t="shared" si="49"/>
        <v>378204</v>
      </c>
      <c r="K76" s="25"/>
      <c r="L76" s="19" t="str">
        <f>Price!A76</f>
        <v xml:space="preserve">Aventos HK top najmocniejszy Tip-on z eurowkrętami    </v>
      </c>
      <c r="M76" s="6" t="str">
        <f>Price!B76</f>
        <v>22K2910T</v>
      </c>
      <c r="N76" s="6" t="str">
        <f>Price!C76</f>
        <v>ZN</v>
      </c>
      <c r="O76" s="88">
        <f>Price!D76</f>
        <v>0</v>
      </c>
      <c r="P76" s="7"/>
      <c r="Q76" s="8">
        <f t="shared" si="18"/>
        <v>232.17408</v>
      </c>
      <c r="R76" s="107">
        <f>Price!F76</f>
        <v>232.17408</v>
      </c>
      <c r="S76" s="76"/>
      <c r="T76" s="3">
        <f>Price!G76</f>
        <v>7716804</v>
      </c>
      <c r="U76" s="3">
        <f>Price!H76</f>
        <v>378204</v>
      </c>
      <c r="V76" s="4"/>
      <c r="W76" s="4"/>
      <c r="X76" s="10"/>
      <c r="Y76" s="10"/>
    </row>
    <row r="77" spans="1:25" x14ac:dyDescent="0.25">
      <c r="A77" s="32" t="str">
        <f t="shared" si="43"/>
        <v xml:space="preserve">          </v>
      </c>
      <c r="B77" s="33">
        <f t="shared" si="44"/>
        <v>0</v>
      </c>
      <c r="C77" s="33">
        <f t="shared" si="45"/>
        <v>0</v>
      </c>
      <c r="D77" s="33">
        <f t="shared" si="46"/>
        <v>0</v>
      </c>
      <c r="E77" s="34">
        <f t="shared" si="47"/>
        <v>0</v>
      </c>
      <c r="F77" s="8">
        <f t="shared" si="26"/>
        <v>0</v>
      </c>
      <c r="G77" s="23"/>
      <c r="H77" s="23"/>
      <c r="I77" s="48">
        <f t="shared" si="48"/>
        <v>0</v>
      </c>
      <c r="J77" s="48">
        <f t="shared" si="49"/>
        <v>0</v>
      </c>
      <c r="K77" s="26"/>
      <c r="L77" s="19" t="str">
        <f>Price!A77</f>
        <v xml:space="preserve">          </v>
      </c>
      <c r="M77" s="6">
        <f>Price!B77</f>
        <v>0</v>
      </c>
      <c r="N77" s="6">
        <f>Price!C77</f>
        <v>0</v>
      </c>
      <c r="O77" s="88">
        <f>Price!D77</f>
        <v>0</v>
      </c>
      <c r="P77" s="7"/>
      <c r="Q77" s="8">
        <f t="shared" si="18"/>
        <v>0</v>
      </c>
      <c r="R77" s="107">
        <f>Price!F77</f>
        <v>0</v>
      </c>
      <c r="S77" s="76"/>
      <c r="T77" s="3">
        <f>Price!G77</f>
        <v>0</v>
      </c>
      <c r="U77" s="3">
        <f>Price!H77</f>
        <v>0</v>
      </c>
      <c r="V77" s="4"/>
      <c r="W77" s="4"/>
      <c r="X77" s="10"/>
      <c r="Y77" s="10"/>
    </row>
    <row r="78" spans="1:25" x14ac:dyDescent="0.25">
      <c r="A78" s="32" t="str">
        <f t="shared" si="43"/>
        <v xml:space="preserve">mocowanie frontu do HK Top, HS/Top, HL/Top    </v>
      </c>
      <c r="B78" s="33" t="str">
        <f t="shared" si="44"/>
        <v>20S4200</v>
      </c>
      <c r="C78" s="33" t="str">
        <f t="shared" si="45"/>
        <v>NI</v>
      </c>
      <c r="D78" s="33">
        <f t="shared" si="46"/>
        <v>0</v>
      </c>
      <c r="E78" s="34">
        <f t="shared" si="47"/>
        <v>0</v>
      </c>
      <c r="F78" s="8">
        <f t="shared" si="26"/>
        <v>9.9925899999999999</v>
      </c>
      <c r="G78" s="23"/>
      <c r="H78" s="23"/>
      <c r="I78" s="48">
        <f t="shared" si="48"/>
        <v>7241746</v>
      </c>
      <c r="J78" s="48">
        <f t="shared" si="49"/>
        <v>13781</v>
      </c>
      <c r="K78" s="21"/>
      <c r="L78" s="19" t="str">
        <f>Price!A78</f>
        <v xml:space="preserve">mocowanie frontu do HK Top, HS/Top, HL/Top    </v>
      </c>
      <c r="M78" s="6" t="str">
        <f>Price!B78</f>
        <v>20S4200</v>
      </c>
      <c r="N78" s="6" t="str">
        <f>Price!C78</f>
        <v>NI</v>
      </c>
      <c r="O78" s="88">
        <f>Price!D78</f>
        <v>0</v>
      </c>
      <c r="P78" s="7"/>
      <c r="Q78" s="8">
        <f t="shared" si="18"/>
        <v>9.9925899999999999</v>
      </c>
      <c r="R78" s="107">
        <f>Price!F78</f>
        <v>9.9925899999999999</v>
      </c>
      <c r="S78" s="76"/>
      <c r="T78" s="3">
        <f>Price!G78</f>
        <v>7241746</v>
      </c>
      <c r="U78" s="3">
        <f>Price!H78</f>
        <v>13781</v>
      </c>
      <c r="V78" s="4"/>
      <c r="W78" s="4"/>
      <c r="X78" s="10"/>
      <c r="Y78" s="10"/>
    </row>
    <row r="79" spans="1:25" x14ac:dyDescent="0.25">
      <c r="A79" s="32" t="str">
        <f t="shared" si="43"/>
        <v xml:space="preserve">mocowanie frontu HS, HK top, HL Expando    </v>
      </c>
      <c r="B79" s="33" t="str">
        <f t="shared" si="44"/>
        <v>20S42E1</v>
      </c>
      <c r="C79" s="33" t="str">
        <f t="shared" si="45"/>
        <v>NI</v>
      </c>
      <c r="D79" s="33">
        <f t="shared" si="46"/>
        <v>0</v>
      </c>
      <c r="E79" s="34">
        <f t="shared" si="47"/>
        <v>0</v>
      </c>
      <c r="F79" s="8">
        <f t="shared" si="26"/>
        <v>6.2138699999999991</v>
      </c>
      <c r="G79" s="23"/>
      <c r="H79" s="23"/>
      <c r="I79" s="48">
        <f t="shared" si="48"/>
        <v>8860933</v>
      </c>
      <c r="J79" s="48">
        <f t="shared" si="49"/>
        <v>23789</v>
      </c>
      <c r="K79" s="21"/>
      <c r="L79" s="19" t="str">
        <f>Price!A79</f>
        <v xml:space="preserve">mocowanie frontu HS, HK top, HL Expando    </v>
      </c>
      <c r="M79" s="6" t="str">
        <f>Price!B79</f>
        <v>20S42E1</v>
      </c>
      <c r="N79" s="6" t="str">
        <f>Price!C79</f>
        <v>NI</v>
      </c>
      <c r="O79" s="88">
        <f>Price!D79</f>
        <v>0</v>
      </c>
      <c r="P79" s="7"/>
      <c r="Q79" s="8">
        <f t="shared" si="18"/>
        <v>6.2138699999999991</v>
      </c>
      <c r="R79" s="107">
        <f>Price!F79</f>
        <v>6.21387</v>
      </c>
      <c r="S79" s="76"/>
      <c r="T79" s="3">
        <f>Price!G79</f>
        <v>8860933</v>
      </c>
      <c r="U79" s="3">
        <f>Price!H79</f>
        <v>23789</v>
      </c>
      <c r="V79" s="4"/>
      <c r="W79" s="4"/>
      <c r="X79" s="10"/>
      <c r="Y79" s="10"/>
    </row>
    <row r="80" spans="1:25" x14ac:dyDescent="0.25">
      <c r="A80" s="32" t="str">
        <f t="shared" si="43"/>
        <v>mocow. frontu do cienkich materiałów Aventos HK, HL, HS, Expando T</v>
      </c>
      <c r="B80" s="33" t="str">
        <f t="shared" si="44"/>
        <v>20S42T1</v>
      </c>
      <c r="C80" s="33" t="str">
        <f t="shared" si="45"/>
        <v>NI</v>
      </c>
      <c r="D80" s="33">
        <f t="shared" si="46"/>
        <v>0</v>
      </c>
      <c r="E80" s="34">
        <f t="shared" si="47"/>
        <v>0</v>
      </c>
      <c r="F80" s="8">
        <f t="shared" si="26"/>
        <v>31.992830000000005</v>
      </c>
      <c r="G80" s="23"/>
      <c r="H80" s="23"/>
      <c r="I80" s="48">
        <f t="shared" si="48"/>
        <v>3613770</v>
      </c>
      <c r="J80" s="48">
        <f t="shared" si="49"/>
        <v>347993</v>
      </c>
      <c r="K80" s="21"/>
      <c r="L80" s="19" t="str">
        <f>Price!A80</f>
        <v>mocow. frontu do cienkich materiałów Aventos HK, HL, HS, Expando T</v>
      </c>
      <c r="M80" s="6" t="str">
        <f>Price!B80</f>
        <v>20S42T1</v>
      </c>
      <c r="N80" s="6" t="str">
        <f>Price!C80</f>
        <v>NI</v>
      </c>
      <c r="O80" s="88">
        <f>Price!D80</f>
        <v>0</v>
      </c>
      <c r="P80" s="7"/>
      <c r="Q80" s="8">
        <f t="shared" si="18"/>
        <v>31.992830000000005</v>
      </c>
      <c r="R80" s="107">
        <f>Price!F80</f>
        <v>31.992830000000001</v>
      </c>
      <c r="S80" s="76"/>
      <c r="T80" s="3">
        <f>Price!G80</f>
        <v>3613770</v>
      </c>
      <c r="U80" s="3">
        <f>Price!H80</f>
        <v>347993</v>
      </c>
      <c r="V80" s="4"/>
      <c r="W80" s="4"/>
      <c r="X80" s="10"/>
      <c r="Y80" s="10"/>
    </row>
    <row r="81" spans="1:25" x14ac:dyDescent="0.25">
      <c r="A81" s="32" t="str">
        <f t="shared" si="43"/>
        <v xml:space="preserve">mocowanie frontu alu HK Top, HS/Top, HL/Top    </v>
      </c>
      <c r="B81" s="33" t="str">
        <f t="shared" si="44"/>
        <v>20S4200A</v>
      </c>
      <c r="C81" s="33" t="str">
        <f t="shared" si="45"/>
        <v>NI</v>
      </c>
      <c r="D81" s="33">
        <f t="shared" si="46"/>
        <v>0</v>
      </c>
      <c r="E81" s="34">
        <f t="shared" si="47"/>
        <v>0</v>
      </c>
      <c r="F81" s="8">
        <f t="shared" si="26"/>
        <v>43.392219999999995</v>
      </c>
      <c r="G81" s="23"/>
      <c r="H81" s="23"/>
      <c r="I81" s="48">
        <f t="shared" si="48"/>
        <v>7484703</v>
      </c>
      <c r="J81" s="48">
        <f t="shared" si="49"/>
        <v>13782</v>
      </c>
      <c r="K81" s="21"/>
      <c r="L81" s="19" t="str">
        <f>Price!A81</f>
        <v xml:space="preserve">mocowanie frontu alu HK Top, HS/Top, HL/Top    </v>
      </c>
      <c r="M81" s="6" t="str">
        <f>Price!B81</f>
        <v>20S4200A</v>
      </c>
      <c r="N81" s="6" t="str">
        <f>Price!C81</f>
        <v>NI</v>
      </c>
      <c r="O81" s="88">
        <f>Price!D81</f>
        <v>0</v>
      </c>
      <c r="P81" s="7"/>
      <c r="Q81" s="8">
        <f t="shared" si="18"/>
        <v>43.392219999999995</v>
      </c>
      <c r="R81" s="107">
        <f>Price!F81</f>
        <v>43.392220000000002</v>
      </c>
      <c r="S81" s="76"/>
      <c r="T81" s="3">
        <f>Price!G81</f>
        <v>7484703</v>
      </c>
      <c r="U81" s="3">
        <f>Price!H81</f>
        <v>13782</v>
      </c>
      <c r="V81" s="4"/>
      <c r="W81" s="4"/>
      <c r="X81" s="10"/>
      <c r="Y81" s="10"/>
    </row>
    <row r="82" spans="1:25" x14ac:dyDescent="0.25">
      <c r="A82" s="32" t="str">
        <f t="shared" si="43"/>
        <v xml:space="preserve">          </v>
      </c>
      <c r="B82" s="33">
        <f t="shared" si="44"/>
        <v>0</v>
      </c>
      <c r="C82" s="33">
        <f t="shared" si="45"/>
        <v>0</v>
      </c>
      <c r="D82" s="33">
        <f t="shared" si="46"/>
        <v>0</v>
      </c>
      <c r="E82" s="34">
        <f t="shared" si="47"/>
        <v>0</v>
      </c>
      <c r="F82" s="8">
        <f t="shared" si="26"/>
        <v>0</v>
      </c>
      <c r="G82" s="23"/>
      <c r="H82" s="23"/>
      <c r="I82" s="48">
        <f t="shared" si="48"/>
        <v>0</v>
      </c>
      <c r="J82" s="48">
        <f t="shared" si="49"/>
        <v>0</v>
      </c>
      <c r="K82" s="21"/>
      <c r="L82" s="19" t="str">
        <f>Price!A82</f>
        <v xml:space="preserve">          </v>
      </c>
      <c r="M82" s="6">
        <f>Price!B82</f>
        <v>0</v>
      </c>
      <c r="N82" s="6">
        <f>Price!C82</f>
        <v>0</v>
      </c>
      <c r="O82" s="88">
        <f>Price!D82</f>
        <v>0</v>
      </c>
      <c r="P82" s="7"/>
      <c r="Q82" s="8">
        <f t="shared" si="18"/>
        <v>0</v>
      </c>
      <c r="R82" s="107">
        <f>Price!F82</f>
        <v>0</v>
      </c>
      <c r="S82" s="76"/>
      <c r="T82" s="3">
        <f>Price!G82</f>
        <v>0</v>
      </c>
      <c r="U82" s="3">
        <f>Price!H82</f>
        <v>0</v>
      </c>
      <c r="V82" s="4"/>
      <c r="W82" s="4"/>
      <c r="X82" s="10"/>
      <c r="Y82" s="10"/>
    </row>
    <row r="83" spans="1:25" x14ac:dyDescent="0.25">
      <c r="A83" s="32" t="str">
        <f t="shared" ref="A83:A101" si="50">L83</f>
        <v xml:space="preserve">Aventos HK-S słaby jasnoszary, zaślepka      </v>
      </c>
      <c r="B83" s="33" t="str">
        <f t="shared" ref="B83:B101" si="51">M83</f>
        <v>20K2B00.06</v>
      </c>
      <c r="C83" s="33" t="str">
        <f t="shared" ref="C83:C101" si="52">N83</f>
        <v>HGIG</v>
      </c>
      <c r="D83" s="33">
        <f t="shared" ref="D83:D101" si="53">O83</f>
        <v>0</v>
      </c>
      <c r="E83" s="34">
        <f t="shared" ref="E83:E101" si="54">P83</f>
        <v>0</v>
      </c>
      <c r="F83" s="8">
        <f t="shared" si="26"/>
        <v>76.927710000000005</v>
      </c>
      <c r="G83" s="23"/>
      <c r="H83" s="23"/>
      <c r="I83" s="48">
        <f t="shared" ref="I83:I101" si="55">T83</f>
        <v>7793681</v>
      </c>
      <c r="J83" s="48">
        <f t="shared" ref="J83:J101" si="56">U83</f>
        <v>231749</v>
      </c>
      <c r="K83" s="21"/>
      <c r="L83" s="19" t="str">
        <f>Price!A83</f>
        <v xml:space="preserve">Aventos HK-S słaby jasnoszary, zaślepka      </v>
      </c>
      <c r="M83" s="6" t="str">
        <f>Price!B83</f>
        <v>20K2B00.06</v>
      </c>
      <c r="N83" s="6" t="str">
        <f>Price!C83</f>
        <v>HGIG</v>
      </c>
      <c r="O83" s="88">
        <f>Price!D83</f>
        <v>0</v>
      </c>
      <c r="P83" s="7"/>
      <c r="Q83" s="8">
        <f t="shared" si="18"/>
        <v>76.927710000000005</v>
      </c>
      <c r="R83" s="107">
        <f>Price!F83</f>
        <v>76.927710000000005</v>
      </c>
      <c r="S83" s="76"/>
      <c r="T83" s="3">
        <f>Price!G83</f>
        <v>7793681</v>
      </c>
      <c r="U83" s="3">
        <f>Price!H83</f>
        <v>231749</v>
      </c>
      <c r="V83" s="4"/>
      <c r="W83" s="4"/>
      <c r="X83" s="10"/>
      <c r="Y83" s="10"/>
    </row>
    <row r="84" spans="1:25" x14ac:dyDescent="0.25">
      <c r="A84" s="32" t="str">
        <f t="shared" si="50"/>
        <v xml:space="preserve">Aventos HK-S słaby, szary, nowa zaślepka     </v>
      </c>
      <c r="B84" s="33" t="str">
        <f t="shared" si="51"/>
        <v>20K2B00.06</v>
      </c>
      <c r="C84" s="33" t="str">
        <f t="shared" si="52"/>
        <v>TGIG</v>
      </c>
      <c r="D84" s="33">
        <f t="shared" si="53"/>
        <v>0</v>
      </c>
      <c r="E84" s="34">
        <f t="shared" si="54"/>
        <v>0</v>
      </c>
      <c r="F84" s="8">
        <f t="shared" si="26"/>
        <v>79.448830000000001</v>
      </c>
      <c r="G84" s="23"/>
      <c r="H84" s="23"/>
      <c r="I84" s="48">
        <f t="shared" si="55"/>
        <v>1314203</v>
      </c>
      <c r="J84" s="48">
        <f t="shared" si="56"/>
        <v>346195</v>
      </c>
      <c r="K84" s="21"/>
      <c r="L84" s="19" t="str">
        <f>Price!A84</f>
        <v xml:space="preserve">Aventos HK-S słaby, szary, nowa zaślepka     </v>
      </c>
      <c r="M84" s="6" t="str">
        <f>Price!B84</f>
        <v>20K2B00.06</v>
      </c>
      <c r="N84" s="6" t="str">
        <f>Price!C84</f>
        <v>TGIG</v>
      </c>
      <c r="O84" s="88">
        <f>Price!D84</f>
        <v>0</v>
      </c>
      <c r="P84" s="7"/>
      <c r="Q84" s="8">
        <f t="shared" si="18"/>
        <v>79.448830000000001</v>
      </c>
      <c r="R84" s="107">
        <f>Price!F84</f>
        <v>79.448830000000001</v>
      </c>
      <c r="S84" s="76"/>
      <c r="T84" s="3">
        <f>Price!G84</f>
        <v>1314203</v>
      </c>
      <c r="U84" s="3">
        <f>Price!H84</f>
        <v>346195</v>
      </c>
      <c r="V84" s="4"/>
      <c r="W84" s="4"/>
      <c r="X84" s="10"/>
      <c r="Y84" s="10"/>
    </row>
    <row r="85" spans="1:25" x14ac:dyDescent="0.25">
      <c r="A85" s="32" t="str">
        <f t="shared" si="50"/>
        <v xml:space="preserve">Aventos HK-S słaby jedwabiście biały, zaślepka     </v>
      </c>
      <c r="B85" s="33" t="str">
        <f t="shared" si="51"/>
        <v>20K2B00.06</v>
      </c>
      <c r="C85" s="33" t="str">
        <f t="shared" si="52"/>
        <v>SWIG</v>
      </c>
      <c r="D85" s="33">
        <f t="shared" si="53"/>
        <v>0</v>
      </c>
      <c r="E85" s="34">
        <f t="shared" si="54"/>
        <v>0</v>
      </c>
      <c r="F85" s="8">
        <f t="shared" si="26"/>
        <v>79.448830000000001</v>
      </c>
      <c r="G85" s="23"/>
      <c r="H85" s="23"/>
      <c r="I85" s="48">
        <f t="shared" si="55"/>
        <v>8195173</v>
      </c>
      <c r="J85" s="48">
        <f t="shared" si="56"/>
        <v>231752</v>
      </c>
      <c r="K85" s="21"/>
      <c r="L85" s="19" t="str">
        <f>Price!A85</f>
        <v xml:space="preserve">Aventos HK-S słaby jedwabiście biały, zaślepka     </v>
      </c>
      <c r="M85" s="6" t="str">
        <f>Price!B85</f>
        <v>20K2B00.06</v>
      </c>
      <c r="N85" s="6" t="str">
        <f>Price!C85</f>
        <v>SWIG</v>
      </c>
      <c r="O85" s="88">
        <f>Price!D85</f>
        <v>0</v>
      </c>
      <c r="P85" s="7"/>
      <c r="Q85" s="8">
        <f t="shared" si="18"/>
        <v>79.448830000000001</v>
      </c>
      <c r="R85" s="107">
        <f>Price!F85</f>
        <v>79.448830000000001</v>
      </c>
      <c r="S85" s="76"/>
      <c r="T85" s="3">
        <f>Price!G85</f>
        <v>8195173</v>
      </c>
      <c r="U85" s="3">
        <f>Price!H85</f>
        <v>231752</v>
      </c>
      <c r="V85" s="4"/>
      <c r="W85" s="4"/>
      <c r="X85" s="10"/>
      <c r="Y85" s="10"/>
    </row>
    <row r="86" spans="1:25" x14ac:dyDescent="0.25">
      <c r="A86" s="32" t="str">
        <f t="shared" si="50"/>
        <v xml:space="preserve">Aventos HK-S średni jasnoszary, zaślepka      </v>
      </c>
      <c r="B86" s="33" t="str">
        <f t="shared" si="51"/>
        <v>20K2C00.06</v>
      </c>
      <c r="C86" s="33" t="str">
        <f t="shared" si="52"/>
        <v>HGIG</v>
      </c>
      <c r="D86" s="33">
        <f t="shared" si="53"/>
        <v>0</v>
      </c>
      <c r="E86" s="34">
        <f t="shared" si="54"/>
        <v>0</v>
      </c>
      <c r="F86" s="8">
        <f t="shared" si="26"/>
        <v>82.860640000000004</v>
      </c>
      <c r="G86" s="23"/>
      <c r="H86" s="23"/>
      <c r="I86" s="48">
        <f t="shared" si="55"/>
        <v>3472109</v>
      </c>
      <c r="J86" s="48">
        <f t="shared" si="56"/>
        <v>231750</v>
      </c>
      <c r="K86" s="21"/>
      <c r="L86" s="19" t="str">
        <f>Price!A86</f>
        <v xml:space="preserve">Aventos HK-S średni jasnoszary, zaślepka      </v>
      </c>
      <c r="M86" s="6" t="str">
        <f>Price!B86</f>
        <v>20K2C00.06</v>
      </c>
      <c r="N86" s="6" t="str">
        <f>Price!C86</f>
        <v>HGIG</v>
      </c>
      <c r="O86" s="88">
        <f>Price!D86</f>
        <v>0</v>
      </c>
      <c r="P86" s="7"/>
      <c r="Q86" s="8">
        <f t="shared" si="18"/>
        <v>82.860640000000004</v>
      </c>
      <c r="R86" s="107">
        <f>Price!F86</f>
        <v>82.860640000000004</v>
      </c>
      <c r="S86" s="76"/>
      <c r="T86" s="3">
        <f>Price!G86</f>
        <v>3472109</v>
      </c>
      <c r="U86" s="3">
        <f>Price!H86</f>
        <v>231750</v>
      </c>
      <c r="V86" s="4"/>
      <c r="W86" s="4"/>
      <c r="X86" s="10"/>
      <c r="Y86" s="10"/>
    </row>
    <row r="87" spans="1:25" x14ac:dyDescent="0.25">
      <c r="A87" s="32" t="str">
        <f t="shared" si="50"/>
        <v xml:space="preserve">Aventos HK-S średni, szary, zaślepka      </v>
      </c>
      <c r="B87" s="33" t="str">
        <f t="shared" si="51"/>
        <v>20K2C00.06</v>
      </c>
      <c r="C87" s="33" t="str">
        <f t="shared" si="52"/>
        <v>TGIG</v>
      </c>
      <c r="D87" s="33">
        <f t="shared" si="53"/>
        <v>0</v>
      </c>
      <c r="E87" s="34">
        <f t="shared" si="54"/>
        <v>0</v>
      </c>
      <c r="F87" s="8">
        <f t="shared" si="26"/>
        <v>85.38176</v>
      </c>
      <c r="G87" s="23"/>
      <c r="H87" s="23"/>
      <c r="I87" s="48">
        <f t="shared" si="55"/>
        <v>1834965</v>
      </c>
      <c r="J87" s="48">
        <f t="shared" si="56"/>
        <v>346199</v>
      </c>
      <c r="K87" s="21"/>
      <c r="L87" s="19" t="str">
        <f>Price!A87</f>
        <v xml:space="preserve">Aventos HK-S średni, szary, zaślepka      </v>
      </c>
      <c r="M87" s="6" t="str">
        <f>Price!B87</f>
        <v>20K2C00.06</v>
      </c>
      <c r="N87" s="6" t="str">
        <f>Price!C87</f>
        <v>TGIG</v>
      </c>
      <c r="O87" s="88">
        <f>Price!D87</f>
        <v>0</v>
      </c>
      <c r="P87" s="7"/>
      <c r="Q87" s="8">
        <f t="shared" si="18"/>
        <v>85.38176</v>
      </c>
      <c r="R87" s="107">
        <f>Price!F87</f>
        <v>85.38176</v>
      </c>
      <c r="S87" s="76"/>
      <c r="T87" s="3">
        <f>Price!G87</f>
        <v>1834965</v>
      </c>
      <c r="U87" s="3">
        <f>Price!H87</f>
        <v>346199</v>
      </c>
      <c r="V87" s="4"/>
      <c r="W87" s="4"/>
      <c r="X87" s="10"/>
      <c r="Y87" s="10"/>
    </row>
    <row r="88" spans="1:25" x14ac:dyDescent="0.25">
      <c r="A88" s="32" t="str">
        <f t="shared" si="50"/>
        <v xml:space="preserve">Aventos HK-S średni jedwabiście biały, zaślepka     </v>
      </c>
      <c r="B88" s="33" t="str">
        <f t="shared" si="51"/>
        <v>20K2C00.06</v>
      </c>
      <c r="C88" s="33" t="str">
        <f t="shared" si="52"/>
        <v>SWIG</v>
      </c>
      <c r="D88" s="33">
        <f t="shared" si="53"/>
        <v>0</v>
      </c>
      <c r="E88" s="34">
        <f t="shared" si="54"/>
        <v>0</v>
      </c>
      <c r="F88" s="8">
        <f t="shared" si="26"/>
        <v>85.38176</v>
      </c>
      <c r="G88" s="23"/>
      <c r="H88" s="23"/>
      <c r="I88" s="48">
        <f t="shared" si="55"/>
        <v>6816509</v>
      </c>
      <c r="J88" s="48">
        <f t="shared" si="56"/>
        <v>231753</v>
      </c>
      <c r="K88" s="21"/>
      <c r="L88" s="19" t="str">
        <f>Price!A88</f>
        <v xml:space="preserve">Aventos HK-S średni jedwabiście biały, zaślepka     </v>
      </c>
      <c r="M88" s="6" t="str">
        <f>Price!B88</f>
        <v>20K2C00.06</v>
      </c>
      <c r="N88" s="6" t="str">
        <f>Price!C88</f>
        <v>SWIG</v>
      </c>
      <c r="O88" s="88">
        <f>Price!D88</f>
        <v>0</v>
      </c>
      <c r="P88" s="7"/>
      <c r="Q88" s="8">
        <f t="shared" si="18"/>
        <v>85.38176</v>
      </c>
      <c r="R88" s="107">
        <f>Price!F88</f>
        <v>85.38176</v>
      </c>
      <c r="S88" s="76"/>
      <c r="T88" s="3">
        <f>Price!G88</f>
        <v>6816509</v>
      </c>
      <c r="U88" s="3">
        <f>Price!H88</f>
        <v>231753</v>
      </c>
      <c r="V88" s="4"/>
      <c r="W88" s="4"/>
      <c r="X88" s="10"/>
      <c r="Y88" s="10"/>
    </row>
    <row r="89" spans="1:25" x14ac:dyDescent="0.25">
      <c r="A89" s="32" t="str">
        <f t="shared" si="50"/>
        <v xml:space="preserve">Aventos HK-S mocny jasnoszary, zaślepka      </v>
      </c>
      <c r="B89" s="33" t="str">
        <f t="shared" si="51"/>
        <v>20K2E00.06</v>
      </c>
      <c r="C89" s="33" t="str">
        <f t="shared" si="52"/>
        <v>HGIG</v>
      </c>
      <c r="D89" s="33">
        <f t="shared" si="53"/>
        <v>0</v>
      </c>
      <c r="E89" s="34">
        <f t="shared" si="54"/>
        <v>0</v>
      </c>
      <c r="F89" s="8">
        <f t="shared" si="26"/>
        <v>82.860640000000004</v>
      </c>
      <c r="G89" s="23"/>
      <c r="H89" s="23"/>
      <c r="I89" s="48">
        <f t="shared" si="55"/>
        <v>9851106</v>
      </c>
      <c r="J89" s="48">
        <f t="shared" si="56"/>
        <v>231751</v>
      </c>
      <c r="K89" s="21"/>
      <c r="L89" s="19" t="str">
        <f>Price!A89</f>
        <v xml:space="preserve">Aventos HK-S mocny jasnoszary, zaślepka      </v>
      </c>
      <c r="M89" s="6" t="str">
        <f>Price!B89</f>
        <v>20K2E00.06</v>
      </c>
      <c r="N89" s="6" t="str">
        <f>Price!C89</f>
        <v>HGIG</v>
      </c>
      <c r="O89" s="88">
        <f>Price!D89</f>
        <v>0</v>
      </c>
      <c r="P89" s="7"/>
      <c r="Q89" s="8">
        <f t="shared" si="18"/>
        <v>82.860640000000004</v>
      </c>
      <c r="R89" s="107">
        <f>Price!F89</f>
        <v>82.860640000000004</v>
      </c>
      <c r="S89" s="76"/>
      <c r="T89" s="3">
        <f>Price!G89</f>
        <v>9851106</v>
      </c>
      <c r="U89" s="3">
        <f>Price!H89</f>
        <v>231751</v>
      </c>
      <c r="V89" s="4"/>
      <c r="W89" s="4"/>
      <c r="X89" s="10"/>
      <c r="Y89" s="10"/>
    </row>
    <row r="90" spans="1:25" x14ac:dyDescent="0.25">
      <c r="A90" s="32" t="str">
        <f t="shared" si="50"/>
        <v xml:space="preserve">Aventos HK-S mocny, szary, nowa zaślepka     </v>
      </c>
      <c r="B90" s="33" t="str">
        <f t="shared" si="51"/>
        <v>20K2E00.06</v>
      </c>
      <c r="C90" s="33" t="str">
        <f t="shared" si="52"/>
        <v>TGIG</v>
      </c>
      <c r="D90" s="33">
        <f t="shared" si="53"/>
        <v>0</v>
      </c>
      <c r="E90" s="34">
        <f t="shared" si="54"/>
        <v>0</v>
      </c>
      <c r="F90" s="8">
        <f t="shared" si="26"/>
        <v>85.38176</v>
      </c>
      <c r="G90" s="23"/>
      <c r="H90" s="23"/>
      <c r="I90" s="48">
        <f t="shared" si="55"/>
        <v>9248128</v>
      </c>
      <c r="J90" s="48">
        <f t="shared" si="56"/>
        <v>346212</v>
      </c>
      <c r="K90" s="21"/>
      <c r="L90" s="19" t="str">
        <f>Price!A90</f>
        <v xml:space="preserve">Aventos HK-S mocny, szary, nowa zaślepka     </v>
      </c>
      <c r="M90" s="6" t="str">
        <f>Price!B90</f>
        <v>20K2E00.06</v>
      </c>
      <c r="N90" s="6" t="str">
        <f>Price!C90</f>
        <v>TGIG</v>
      </c>
      <c r="O90" s="88">
        <f>Price!D90</f>
        <v>0</v>
      </c>
      <c r="P90" s="7"/>
      <c r="Q90" s="8">
        <f t="shared" si="18"/>
        <v>85.38176</v>
      </c>
      <c r="R90" s="107">
        <f>Price!F90</f>
        <v>85.38176</v>
      </c>
      <c r="S90" s="76"/>
      <c r="T90" s="3">
        <f>Price!G90</f>
        <v>9248128</v>
      </c>
      <c r="U90" s="3">
        <f>Price!H90</f>
        <v>346212</v>
      </c>
      <c r="V90" s="4"/>
      <c r="W90" s="4"/>
      <c r="X90" s="10"/>
      <c r="Y90" s="10"/>
    </row>
    <row r="91" spans="1:25" x14ac:dyDescent="0.25">
      <c r="A91" s="32" t="str">
        <f t="shared" si="50"/>
        <v xml:space="preserve">Aventos HK-S mocny jedwabiście biały      </v>
      </c>
      <c r="B91" s="33" t="str">
        <f t="shared" si="51"/>
        <v>20K2E00.06</v>
      </c>
      <c r="C91" s="33" t="str">
        <f t="shared" si="52"/>
        <v>SWIG</v>
      </c>
      <c r="D91" s="33">
        <f t="shared" si="53"/>
        <v>0</v>
      </c>
      <c r="E91" s="34">
        <f t="shared" si="54"/>
        <v>0</v>
      </c>
      <c r="F91" s="8">
        <f t="shared" si="26"/>
        <v>85.38176</v>
      </c>
      <c r="G91" s="23"/>
      <c r="H91" s="23"/>
      <c r="I91" s="48">
        <f t="shared" si="55"/>
        <v>3420861</v>
      </c>
      <c r="J91" s="48">
        <f t="shared" si="56"/>
        <v>231754</v>
      </c>
      <c r="K91" s="11"/>
      <c r="L91" s="19" t="str">
        <f>Price!A91</f>
        <v xml:space="preserve">Aventos HK-S mocny jedwabiście biały      </v>
      </c>
      <c r="M91" s="6" t="str">
        <f>Price!B91</f>
        <v>20K2E00.06</v>
      </c>
      <c r="N91" s="6" t="str">
        <f>Price!C91</f>
        <v>SWIG</v>
      </c>
      <c r="O91" s="88">
        <f>Price!D91</f>
        <v>0</v>
      </c>
      <c r="P91" s="7"/>
      <c r="Q91" s="8">
        <f t="shared" si="18"/>
        <v>85.38176</v>
      </c>
      <c r="R91" s="107">
        <f>Price!F91</f>
        <v>85.38176</v>
      </c>
      <c r="S91" s="76"/>
      <c r="T91" s="3">
        <f>Price!G91</f>
        <v>3420861</v>
      </c>
      <c r="U91" s="3">
        <f>Price!H91</f>
        <v>231754</v>
      </c>
      <c r="V91" s="4"/>
      <c r="W91" s="4"/>
      <c r="X91" s="10"/>
      <c r="Y91" s="10"/>
    </row>
    <row r="92" spans="1:25" x14ac:dyDescent="0.25">
      <c r="A92" s="32" t="str">
        <f t="shared" si="50"/>
        <v xml:space="preserve">          </v>
      </c>
      <c r="B92" s="33">
        <f t="shared" si="51"/>
        <v>0</v>
      </c>
      <c r="C92" s="33">
        <f t="shared" si="52"/>
        <v>0</v>
      </c>
      <c r="D92" s="33">
        <f t="shared" si="53"/>
        <v>0</v>
      </c>
      <c r="E92" s="34">
        <f t="shared" si="54"/>
        <v>0</v>
      </c>
      <c r="F92" s="8">
        <f t="shared" si="26"/>
        <v>0</v>
      </c>
      <c r="G92" s="23"/>
      <c r="H92" s="23"/>
      <c r="I92" s="48">
        <f t="shared" si="55"/>
        <v>0</v>
      </c>
      <c r="J92" s="48">
        <f t="shared" si="56"/>
        <v>0</v>
      </c>
      <c r="K92" s="11"/>
      <c r="L92" s="19" t="str">
        <f>Price!A92</f>
        <v xml:space="preserve">          </v>
      </c>
      <c r="M92" s="6">
        <f>Price!B92</f>
        <v>0</v>
      </c>
      <c r="N92" s="6">
        <f>Price!C92</f>
        <v>0</v>
      </c>
      <c r="O92" s="88">
        <f>Price!D92</f>
        <v>0</v>
      </c>
      <c r="P92" s="7"/>
      <c r="Q92" s="8">
        <f t="shared" si="18"/>
        <v>0</v>
      </c>
      <c r="R92" s="107">
        <f>Price!F92</f>
        <v>0</v>
      </c>
      <c r="S92" s="76"/>
      <c r="T92" s="3">
        <f>Price!G92</f>
        <v>0</v>
      </c>
      <c r="U92" s="3">
        <f>Price!H92</f>
        <v>0</v>
      </c>
      <c r="V92" s="4"/>
      <c r="W92" s="4"/>
      <c r="X92" s="10"/>
      <c r="Y92" s="10"/>
    </row>
    <row r="93" spans="1:25" x14ac:dyDescent="0.25">
      <c r="A93" s="32" t="str">
        <f t="shared" si="50"/>
        <v xml:space="preserve">Aventos HK-S Tip-on słaby jasnoszary bez Tip-on krytka   </v>
      </c>
      <c r="B93" s="33" t="str">
        <f t="shared" si="51"/>
        <v>20K2B00T06</v>
      </c>
      <c r="C93" s="33" t="str">
        <f t="shared" si="52"/>
        <v>HGIG</v>
      </c>
      <c r="D93" s="33">
        <f t="shared" si="53"/>
        <v>0</v>
      </c>
      <c r="E93" s="34">
        <f t="shared" si="54"/>
        <v>0</v>
      </c>
      <c r="F93" s="8">
        <f t="shared" si="26"/>
        <v>77.645600000000002</v>
      </c>
      <c r="G93" s="23"/>
      <c r="H93" s="23"/>
      <c r="I93" s="48">
        <f t="shared" si="55"/>
        <v>2133123</v>
      </c>
      <c r="J93" s="48">
        <f t="shared" si="56"/>
        <v>393971</v>
      </c>
      <c r="K93" s="11"/>
      <c r="L93" s="19" t="str">
        <f>Price!A93</f>
        <v xml:space="preserve">Aventos HK-S Tip-on słaby jasnoszary bez Tip-on krytka   </v>
      </c>
      <c r="M93" s="6" t="str">
        <f>Price!B93</f>
        <v>20K2B00T06</v>
      </c>
      <c r="N93" s="6" t="str">
        <f>Price!C93</f>
        <v>HGIG</v>
      </c>
      <c r="O93" s="88">
        <f>Price!D93</f>
        <v>0</v>
      </c>
      <c r="P93" s="7"/>
      <c r="Q93" s="8">
        <f t="shared" si="18"/>
        <v>77.645600000000002</v>
      </c>
      <c r="R93" s="107">
        <f>Price!F93</f>
        <v>77.645600000000002</v>
      </c>
      <c r="S93" s="76"/>
      <c r="T93" s="3">
        <f>Price!G93</f>
        <v>2133123</v>
      </c>
      <c r="U93" s="3">
        <f>Price!H93</f>
        <v>393971</v>
      </c>
      <c r="V93" s="4"/>
      <c r="W93" s="4"/>
      <c r="X93" s="10"/>
      <c r="Y93" s="10"/>
    </row>
    <row r="94" spans="1:25" x14ac:dyDescent="0.25">
      <c r="A94" s="32" t="str">
        <f t="shared" si="50"/>
        <v xml:space="preserve">Aventos HK-S Tip-on słaby ciemnoszary bez Tip-on zaślepka   </v>
      </c>
      <c r="B94" s="33" t="str">
        <f t="shared" si="51"/>
        <v>20K2B00T06</v>
      </c>
      <c r="C94" s="33" t="str">
        <f t="shared" si="52"/>
        <v>TGIG</v>
      </c>
      <c r="D94" s="33">
        <f t="shared" si="53"/>
        <v>0</v>
      </c>
      <c r="E94" s="34">
        <f t="shared" si="54"/>
        <v>0</v>
      </c>
      <c r="F94" s="8">
        <f t="shared" si="26"/>
        <v>80.166719999999998</v>
      </c>
      <c r="G94" s="23"/>
      <c r="H94" s="23"/>
      <c r="I94" s="48">
        <f t="shared" si="55"/>
        <v>9870309</v>
      </c>
      <c r="J94" s="48">
        <f t="shared" si="56"/>
        <v>393972</v>
      </c>
      <c r="K94" s="11"/>
      <c r="L94" s="19" t="str">
        <f>Price!A94</f>
        <v xml:space="preserve">Aventos HK-S Tip-on słaby ciemnoszary bez Tip-on zaślepka   </v>
      </c>
      <c r="M94" s="6" t="str">
        <f>Price!B94</f>
        <v>20K2B00T06</v>
      </c>
      <c r="N94" s="6" t="str">
        <f>Price!C94</f>
        <v>TGIG</v>
      </c>
      <c r="O94" s="88">
        <f>Price!D94</f>
        <v>0</v>
      </c>
      <c r="P94" s="7"/>
      <c r="Q94" s="8">
        <f t="shared" si="18"/>
        <v>80.166719999999998</v>
      </c>
      <c r="R94" s="107">
        <f>Price!F94</f>
        <v>80.166719999999998</v>
      </c>
      <c r="S94" s="76"/>
      <c r="T94" s="3">
        <f>Price!G94</f>
        <v>9870309</v>
      </c>
      <c r="U94" s="3">
        <f>Price!H94</f>
        <v>393972</v>
      </c>
      <c r="V94" s="4"/>
      <c r="W94" s="4"/>
      <c r="X94" s="10"/>
      <c r="Y94" s="10"/>
    </row>
    <row r="95" spans="1:25" x14ac:dyDescent="0.25">
      <c r="A95" s="32" t="str">
        <f t="shared" si="50"/>
        <v xml:space="preserve">Aventos HK-S Tip-on słaby jedwabiście biały     </v>
      </c>
      <c r="B95" s="33" t="str">
        <f t="shared" si="51"/>
        <v>20K2B00T06</v>
      </c>
      <c r="C95" s="33" t="str">
        <f t="shared" si="52"/>
        <v>SWIG</v>
      </c>
      <c r="D95" s="33">
        <f t="shared" si="53"/>
        <v>0</v>
      </c>
      <c r="E95" s="34">
        <f t="shared" si="54"/>
        <v>0</v>
      </c>
      <c r="F95" s="8">
        <f t="shared" si="26"/>
        <v>80.166719999999998</v>
      </c>
      <c r="G95" s="23"/>
      <c r="H95" s="23"/>
      <c r="I95" s="48">
        <f t="shared" si="55"/>
        <v>1449278</v>
      </c>
      <c r="J95" s="48">
        <f t="shared" si="56"/>
        <v>393973</v>
      </c>
      <c r="K95" s="20"/>
      <c r="L95" s="19" t="str">
        <f>Price!A95</f>
        <v xml:space="preserve">Aventos HK-S Tip-on słaby jedwabiście biały     </v>
      </c>
      <c r="M95" s="6" t="str">
        <f>Price!B95</f>
        <v>20K2B00T06</v>
      </c>
      <c r="N95" s="6" t="str">
        <f>Price!C95</f>
        <v>SWIG</v>
      </c>
      <c r="O95" s="88">
        <f>Price!D95</f>
        <v>0</v>
      </c>
      <c r="P95" s="7"/>
      <c r="Q95" s="8">
        <f t="shared" si="18"/>
        <v>80.166719999999998</v>
      </c>
      <c r="R95" s="107">
        <f>Price!F95</f>
        <v>80.166719999999998</v>
      </c>
      <c r="S95" s="76"/>
      <c r="T95" s="3">
        <f>Price!G95</f>
        <v>1449278</v>
      </c>
      <c r="U95" s="3">
        <f>Price!H95</f>
        <v>393973</v>
      </c>
      <c r="V95" s="4"/>
      <c r="W95" s="4"/>
      <c r="X95" s="10"/>
      <c r="Y95" s="10"/>
    </row>
    <row r="96" spans="1:25" x14ac:dyDescent="0.25">
      <c r="A96" s="32" t="str">
        <f t="shared" si="50"/>
        <v xml:space="preserve">Aventos HK-S Tip-on średni jasnoszary bez Tip-on zaślepka   </v>
      </c>
      <c r="B96" s="33" t="str">
        <f t="shared" si="51"/>
        <v>20K2C00T06</v>
      </c>
      <c r="C96" s="33" t="str">
        <f t="shared" si="52"/>
        <v>HGIG</v>
      </c>
      <c r="D96" s="33">
        <f t="shared" si="53"/>
        <v>0</v>
      </c>
      <c r="E96" s="34">
        <f t="shared" si="54"/>
        <v>0</v>
      </c>
      <c r="F96" s="8">
        <f t="shared" si="26"/>
        <v>84.296419999999998</v>
      </c>
      <c r="G96" s="23"/>
      <c r="H96" s="23"/>
      <c r="I96" s="48">
        <f t="shared" si="55"/>
        <v>6990853</v>
      </c>
      <c r="J96" s="48">
        <f t="shared" si="56"/>
        <v>393975</v>
      </c>
      <c r="K96" s="11"/>
      <c r="L96" s="19" t="str">
        <f>Price!A96</f>
        <v xml:space="preserve">Aventos HK-S Tip-on średni jasnoszary bez Tip-on zaślepka   </v>
      </c>
      <c r="M96" s="6" t="str">
        <f>Price!B96</f>
        <v>20K2C00T06</v>
      </c>
      <c r="N96" s="6" t="str">
        <f>Price!C96</f>
        <v>HGIG</v>
      </c>
      <c r="O96" s="88">
        <f>Price!D96</f>
        <v>0</v>
      </c>
      <c r="P96" s="7"/>
      <c r="Q96" s="8">
        <f t="shared" ref="Q96:Q156" si="57">R96*(100-$F$6)/100</f>
        <v>84.296419999999998</v>
      </c>
      <c r="R96" s="107">
        <f>Price!F96</f>
        <v>84.296419999999998</v>
      </c>
      <c r="S96" s="76"/>
      <c r="T96" s="3">
        <f>Price!G96</f>
        <v>6990853</v>
      </c>
      <c r="U96" s="3">
        <f>Price!H96</f>
        <v>393975</v>
      </c>
      <c r="V96" s="4"/>
      <c r="W96" s="4"/>
      <c r="X96" s="10"/>
      <c r="Y96" s="10"/>
    </row>
    <row r="97" spans="1:25" x14ac:dyDescent="0.25">
      <c r="A97" s="32" t="str">
        <f t="shared" si="50"/>
        <v xml:space="preserve">Aventos HK-S Tip-on średni ciemnoszary bez Tip-on zaślepka   </v>
      </c>
      <c r="B97" s="33" t="str">
        <f t="shared" si="51"/>
        <v>20K2C00T06</v>
      </c>
      <c r="C97" s="33" t="str">
        <f t="shared" si="52"/>
        <v>TGIG</v>
      </c>
      <c r="D97" s="33">
        <f t="shared" si="53"/>
        <v>0</v>
      </c>
      <c r="E97" s="34">
        <f t="shared" si="54"/>
        <v>0</v>
      </c>
      <c r="F97" s="8">
        <f t="shared" si="26"/>
        <v>86.817539999999994</v>
      </c>
      <c r="G97" s="23"/>
      <c r="H97" s="23"/>
      <c r="I97" s="48">
        <f t="shared" si="55"/>
        <v>3405617</v>
      </c>
      <c r="J97" s="48">
        <f t="shared" si="56"/>
        <v>393976</v>
      </c>
      <c r="K97" s="11"/>
      <c r="L97" s="19" t="str">
        <f>Price!A97</f>
        <v xml:space="preserve">Aventos HK-S Tip-on średni ciemnoszary bez Tip-on zaślepka   </v>
      </c>
      <c r="M97" s="6" t="str">
        <f>Price!B97</f>
        <v>20K2C00T06</v>
      </c>
      <c r="N97" s="6" t="str">
        <f>Price!C97</f>
        <v>TGIG</v>
      </c>
      <c r="O97" s="88">
        <f>Price!D97</f>
        <v>0</v>
      </c>
      <c r="P97" s="7"/>
      <c r="Q97" s="8">
        <f t="shared" si="57"/>
        <v>86.817539999999994</v>
      </c>
      <c r="R97" s="107">
        <f>Price!F97</f>
        <v>86.817539999999994</v>
      </c>
      <c r="S97" s="76"/>
      <c r="T97" s="3">
        <f>Price!G97</f>
        <v>3405617</v>
      </c>
      <c r="U97" s="3">
        <f>Price!H97</f>
        <v>393976</v>
      </c>
      <c r="V97" s="4"/>
      <c r="W97" s="4"/>
      <c r="X97" s="10"/>
      <c r="Y97" s="10"/>
    </row>
    <row r="98" spans="1:25" x14ac:dyDescent="0.25">
      <c r="A98" s="32" t="str">
        <f t="shared" si="50"/>
        <v xml:space="preserve">Aventos HK-S Tip-on średni biały bez Tip-On zaślepka   </v>
      </c>
      <c r="B98" s="33" t="str">
        <f t="shared" si="51"/>
        <v>20K2C00T06</v>
      </c>
      <c r="C98" s="33" t="str">
        <f t="shared" si="52"/>
        <v>SWIG</v>
      </c>
      <c r="D98" s="33">
        <f t="shared" si="53"/>
        <v>0</v>
      </c>
      <c r="E98" s="34">
        <f t="shared" si="54"/>
        <v>0</v>
      </c>
      <c r="F98" s="8">
        <f t="shared" si="26"/>
        <v>86.817539999999994</v>
      </c>
      <c r="G98" s="23"/>
      <c r="H98" s="23"/>
      <c r="I98" s="48">
        <f t="shared" si="55"/>
        <v>7769517</v>
      </c>
      <c r="J98" s="48">
        <f t="shared" si="56"/>
        <v>393977</v>
      </c>
      <c r="K98" s="11"/>
      <c r="L98" s="19" t="str">
        <f>Price!A98</f>
        <v xml:space="preserve">Aventos HK-S Tip-on średni biały bez Tip-On zaślepka   </v>
      </c>
      <c r="M98" s="6" t="str">
        <f>Price!B98</f>
        <v>20K2C00T06</v>
      </c>
      <c r="N98" s="6" t="str">
        <f>Price!C98</f>
        <v>SWIG</v>
      </c>
      <c r="O98" s="88">
        <f>Price!D98</f>
        <v>0</v>
      </c>
      <c r="P98" s="7"/>
      <c r="Q98" s="8">
        <f t="shared" si="57"/>
        <v>86.817539999999994</v>
      </c>
      <c r="R98" s="107">
        <f>Price!F98</f>
        <v>86.817539999999994</v>
      </c>
      <c r="S98" s="76"/>
      <c r="T98" s="3">
        <f>Price!G98</f>
        <v>7769517</v>
      </c>
      <c r="U98" s="3">
        <f>Price!H98</f>
        <v>393977</v>
      </c>
      <c r="V98" s="4"/>
      <c r="W98" s="4"/>
      <c r="X98" s="10"/>
      <c r="Y98" s="10"/>
    </row>
    <row r="99" spans="1:25" x14ac:dyDescent="0.25">
      <c r="A99" s="32" t="str">
        <f t="shared" si="50"/>
        <v xml:space="preserve">Aventos HK-S Tip-on mocny jasnoszary bez Tip-on zaślepka   </v>
      </c>
      <c r="B99" s="33" t="str">
        <f t="shared" si="51"/>
        <v>20K2E00T06</v>
      </c>
      <c r="C99" s="33" t="str">
        <f t="shared" si="52"/>
        <v>HGIG</v>
      </c>
      <c r="D99" s="33">
        <f t="shared" si="53"/>
        <v>0</v>
      </c>
      <c r="E99" s="34">
        <f t="shared" si="54"/>
        <v>0</v>
      </c>
      <c r="F99" s="8">
        <f t="shared" si="26"/>
        <v>84.296419999999998</v>
      </c>
      <c r="G99" s="23"/>
      <c r="H99" s="23"/>
      <c r="I99" s="48">
        <f t="shared" si="55"/>
        <v>5494621</v>
      </c>
      <c r="J99" s="48">
        <f t="shared" si="56"/>
        <v>393979</v>
      </c>
      <c r="K99" s="11"/>
      <c r="L99" s="19" t="str">
        <f>Price!A99</f>
        <v xml:space="preserve">Aventos HK-S Tip-on mocny jasnoszary bez Tip-on zaślepka   </v>
      </c>
      <c r="M99" s="6" t="str">
        <f>Price!B99</f>
        <v>20K2E00T06</v>
      </c>
      <c r="N99" s="6" t="str">
        <f>Price!C99</f>
        <v>HGIG</v>
      </c>
      <c r="O99" s="88">
        <f>Price!D99</f>
        <v>0</v>
      </c>
      <c r="P99" s="7"/>
      <c r="Q99" s="8">
        <f t="shared" si="57"/>
        <v>84.296419999999998</v>
      </c>
      <c r="R99" s="107">
        <f>Price!F99</f>
        <v>84.296419999999998</v>
      </c>
      <c r="S99" s="76"/>
      <c r="T99" s="3">
        <f>Price!G99</f>
        <v>5494621</v>
      </c>
      <c r="U99" s="3">
        <f>Price!H99</f>
        <v>393979</v>
      </c>
      <c r="V99" s="4"/>
      <c r="W99" s="4"/>
      <c r="X99" s="10"/>
      <c r="Y99" s="10"/>
    </row>
    <row r="100" spans="1:25" x14ac:dyDescent="0.25">
      <c r="A100" s="32" t="str">
        <f t="shared" si="50"/>
        <v xml:space="preserve">Aventos HK-S Tip-on mocny ciemnoszary bez Tip-on zaślepka   </v>
      </c>
      <c r="B100" s="33" t="str">
        <f t="shared" si="51"/>
        <v>20K2E00T06</v>
      </c>
      <c r="C100" s="33" t="str">
        <f t="shared" si="52"/>
        <v>TGIG</v>
      </c>
      <c r="D100" s="33">
        <f t="shared" si="53"/>
        <v>0</v>
      </c>
      <c r="E100" s="34">
        <f t="shared" si="54"/>
        <v>0</v>
      </c>
      <c r="F100" s="8">
        <f t="shared" si="26"/>
        <v>86.817539999999994</v>
      </c>
      <c r="G100" s="23"/>
      <c r="H100" s="23"/>
      <c r="I100" s="48">
        <f t="shared" si="55"/>
        <v>9373568</v>
      </c>
      <c r="J100" s="48">
        <f t="shared" si="56"/>
        <v>393981</v>
      </c>
      <c r="K100" s="20"/>
      <c r="L100" s="19" t="str">
        <f>Price!A100</f>
        <v xml:space="preserve">Aventos HK-S Tip-on mocny ciemnoszary bez Tip-on zaślepka   </v>
      </c>
      <c r="M100" s="6" t="str">
        <f>Price!B100</f>
        <v>20K2E00T06</v>
      </c>
      <c r="N100" s="6" t="str">
        <f>Price!C100</f>
        <v>TGIG</v>
      </c>
      <c r="O100" s="88">
        <f>Price!D100</f>
        <v>0</v>
      </c>
      <c r="P100" s="7"/>
      <c r="Q100" s="8">
        <f t="shared" si="57"/>
        <v>86.817539999999994</v>
      </c>
      <c r="R100" s="107">
        <f>Price!F100</f>
        <v>86.817539999999994</v>
      </c>
      <c r="S100" s="76"/>
      <c r="T100" s="3">
        <f>Price!G100</f>
        <v>9373568</v>
      </c>
      <c r="U100" s="3">
        <f>Price!H100</f>
        <v>393981</v>
      </c>
      <c r="V100" s="4"/>
      <c r="W100" s="4"/>
      <c r="X100" s="10"/>
      <c r="Y100" s="10"/>
    </row>
    <row r="101" spans="1:25" x14ac:dyDescent="0.25">
      <c r="A101" s="32" t="str">
        <f t="shared" si="50"/>
        <v xml:space="preserve">Aventos HK-S Tip-on mocny biały bez Tip-on zaślepka   </v>
      </c>
      <c r="B101" s="33" t="str">
        <f t="shared" si="51"/>
        <v>20K2E00T06</v>
      </c>
      <c r="C101" s="33" t="str">
        <f t="shared" si="52"/>
        <v>SWIG</v>
      </c>
      <c r="D101" s="33">
        <f t="shared" si="53"/>
        <v>0</v>
      </c>
      <c r="E101" s="34">
        <f t="shared" si="54"/>
        <v>0</v>
      </c>
      <c r="F101" s="8">
        <f t="shared" si="26"/>
        <v>86.817539999999994</v>
      </c>
      <c r="G101" s="23"/>
      <c r="H101" s="23"/>
      <c r="I101" s="48">
        <f t="shared" si="55"/>
        <v>7935712</v>
      </c>
      <c r="J101" s="48">
        <f t="shared" si="56"/>
        <v>393982</v>
      </c>
      <c r="K101" s="11"/>
      <c r="L101" s="19" t="str">
        <f>Price!A101</f>
        <v xml:space="preserve">Aventos HK-S Tip-on mocny biały bez Tip-on zaślepka   </v>
      </c>
      <c r="M101" s="6" t="str">
        <f>Price!B101</f>
        <v>20K2E00T06</v>
      </c>
      <c r="N101" s="6" t="str">
        <f>Price!C101</f>
        <v>SWIG</v>
      </c>
      <c r="O101" s="88">
        <f>Price!D101</f>
        <v>0</v>
      </c>
      <c r="P101" s="7"/>
      <c r="Q101" s="8">
        <f t="shared" si="57"/>
        <v>86.817539999999994</v>
      </c>
      <c r="R101" s="107">
        <f>Price!F101</f>
        <v>86.817539999999994</v>
      </c>
      <c r="S101" s="76"/>
      <c r="T101" s="3">
        <f>Price!G101</f>
        <v>7935712</v>
      </c>
      <c r="U101" s="3">
        <f>Price!H101</f>
        <v>393982</v>
      </c>
      <c r="V101" s="4"/>
      <c r="W101" s="4"/>
      <c r="X101" s="10"/>
      <c r="Y101" s="10"/>
    </row>
    <row r="102" spans="1:25" x14ac:dyDescent="0.25">
      <c r="A102" s="32" t="str">
        <f t="shared" ref="A102:A157" si="58">L102</f>
        <v xml:space="preserve">          </v>
      </c>
      <c r="B102" s="33">
        <f t="shared" ref="B102:B157" si="59">M102</f>
        <v>0</v>
      </c>
      <c r="C102" s="33">
        <f t="shared" ref="C102:C157" si="60">N102</f>
        <v>0</v>
      </c>
      <c r="D102" s="33">
        <f t="shared" ref="D102:D157" si="61">O102</f>
        <v>0</v>
      </c>
      <c r="E102" s="34">
        <f t="shared" ref="E102:E157" si="62">P102</f>
        <v>0</v>
      </c>
      <c r="F102" s="8">
        <f t="shared" si="26"/>
        <v>0</v>
      </c>
      <c r="G102" s="23"/>
      <c r="H102" s="23"/>
      <c r="I102" s="48">
        <f t="shared" ref="I102:I157" si="63">T102</f>
        <v>0</v>
      </c>
      <c r="J102" s="48">
        <f t="shared" ref="J102:J157" si="64">U102</f>
        <v>0</v>
      </c>
      <c r="K102" s="11"/>
      <c r="L102" s="19" t="str">
        <f>Price!A102</f>
        <v xml:space="preserve">          </v>
      </c>
      <c r="M102" s="6">
        <f>Price!B102</f>
        <v>0</v>
      </c>
      <c r="N102" s="6">
        <f>Price!C102</f>
        <v>0</v>
      </c>
      <c r="O102" s="88">
        <f>Price!D102</f>
        <v>0</v>
      </c>
      <c r="P102" s="7"/>
      <c r="Q102" s="8">
        <f t="shared" si="57"/>
        <v>0</v>
      </c>
      <c r="R102" s="107">
        <f>Price!F102</f>
        <v>0</v>
      </c>
      <c r="S102" s="76"/>
      <c r="T102" s="3">
        <f>Price!G102</f>
        <v>0</v>
      </c>
      <c r="U102" s="3">
        <f>Price!H102</f>
        <v>0</v>
      </c>
      <c r="V102" s="4"/>
      <c r="W102" s="4"/>
      <c r="X102" s="10"/>
      <c r="Y102" s="10"/>
    </row>
    <row r="103" spans="1:25" x14ac:dyDescent="0.25">
      <c r="A103" s="32" t="str">
        <f t="shared" si="58"/>
        <v xml:space="preserve">P+L, okucie Aventos HK-S do wąskich ALU ramek   </v>
      </c>
      <c r="B103" s="33" t="str">
        <f t="shared" si="59"/>
        <v>20K4A00A02</v>
      </c>
      <c r="C103" s="33" t="str">
        <f t="shared" si="60"/>
        <v>NI</v>
      </c>
      <c r="D103" s="33">
        <f t="shared" si="61"/>
        <v>0</v>
      </c>
      <c r="E103" s="34">
        <f t="shared" si="62"/>
        <v>0</v>
      </c>
      <c r="F103" s="8">
        <f t="shared" si="26"/>
        <v>21.740570000000002</v>
      </c>
      <c r="G103" s="23"/>
      <c r="H103" s="23"/>
      <c r="I103" s="48">
        <f t="shared" si="63"/>
        <v>7542129</v>
      </c>
      <c r="J103" s="48">
        <f t="shared" si="64"/>
        <v>203389</v>
      </c>
      <c r="K103" s="11"/>
      <c r="L103" s="19" t="str">
        <f>Price!A103</f>
        <v xml:space="preserve">P+L, okucie Aventos HK-S do wąskich ALU ramek   </v>
      </c>
      <c r="M103" s="6" t="str">
        <f>Price!B103</f>
        <v>20K4A00A02</v>
      </c>
      <c r="N103" s="6" t="str">
        <f>Price!C103</f>
        <v>NI</v>
      </c>
      <c r="O103" s="88">
        <f>Price!D103</f>
        <v>0</v>
      </c>
      <c r="P103" s="7"/>
      <c r="Q103" s="8">
        <f t="shared" si="57"/>
        <v>21.740570000000002</v>
      </c>
      <c r="R103" s="107">
        <f>Price!F103</f>
        <v>21.740570000000002</v>
      </c>
      <c r="S103" s="76"/>
      <c r="T103" s="3">
        <f>Price!G103</f>
        <v>7542129</v>
      </c>
      <c r="U103" s="3">
        <f>Price!H103</f>
        <v>203389</v>
      </c>
      <c r="V103" s="4"/>
      <c r="W103" s="4"/>
      <c r="X103" s="10"/>
      <c r="Y103" s="10"/>
    </row>
    <row r="104" spans="1:25" x14ac:dyDescent="0.25">
      <c r="A104" s="32" t="str">
        <f t="shared" si="58"/>
        <v xml:space="preserve">ogranicznik na 75° do HK-S      </v>
      </c>
      <c r="B104" s="33" t="str">
        <f t="shared" si="59"/>
        <v>20K7A11</v>
      </c>
      <c r="C104" s="33" t="str">
        <f t="shared" si="60"/>
        <v>TGR</v>
      </c>
      <c r="D104" s="33">
        <f t="shared" si="61"/>
        <v>0</v>
      </c>
      <c r="E104" s="34">
        <f t="shared" si="62"/>
        <v>0</v>
      </c>
      <c r="F104" s="8">
        <f t="shared" si="26"/>
        <v>1.7642599999999999</v>
      </c>
      <c r="G104" s="23"/>
      <c r="H104" s="23"/>
      <c r="I104" s="48">
        <f t="shared" si="63"/>
        <v>8671840</v>
      </c>
      <c r="J104" s="48">
        <f t="shared" si="64"/>
        <v>13906</v>
      </c>
      <c r="K104" s="11"/>
      <c r="L104" s="19" t="str">
        <f>Price!A104</f>
        <v xml:space="preserve">ogranicznik na 75° do HK-S      </v>
      </c>
      <c r="M104" s="6" t="str">
        <f>Price!B104</f>
        <v>20K7A11</v>
      </c>
      <c r="N104" s="6" t="str">
        <f>Price!C104</f>
        <v>TGR</v>
      </c>
      <c r="O104" s="88">
        <f>Price!D104</f>
        <v>0</v>
      </c>
      <c r="P104" s="7"/>
      <c r="Q104" s="8">
        <f t="shared" si="57"/>
        <v>1.7642599999999999</v>
      </c>
      <c r="R104" s="107">
        <f>Price!F104</f>
        <v>1.7642599999999999</v>
      </c>
      <c r="S104" s="76"/>
      <c r="T104" s="3">
        <f>Price!G104</f>
        <v>8671840</v>
      </c>
      <c r="U104" s="3">
        <f>Price!H104</f>
        <v>13906</v>
      </c>
      <c r="V104" s="4"/>
      <c r="W104" s="4"/>
      <c r="X104" s="10"/>
      <c r="Y104" s="10"/>
    </row>
    <row r="105" spans="1:25" x14ac:dyDescent="0.25">
      <c r="A105" s="32" t="str">
        <f t="shared" si="58"/>
        <v xml:space="preserve">ogranicznik na 100° do HK-S      </v>
      </c>
      <c r="B105" s="33" t="str">
        <f t="shared" si="59"/>
        <v>20K7A41</v>
      </c>
      <c r="C105" s="33" t="str">
        <f t="shared" si="60"/>
        <v>TGR</v>
      </c>
      <c r="D105" s="33">
        <f t="shared" si="61"/>
        <v>0</v>
      </c>
      <c r="E105" s="34">
        <f t="shared" si="62"/>
        <v>0</v>
      </c>
      <c r="F105" s="8">
        <f t="shared" si="26"/>
        <v>1.7642599999999999</v>
      </c>
      <c r="G105" s="23"/>
      <c r="H105" s="23"/>
      <c r="I105" s="48">
        <f t="shared" si="63"/>
        <v>8671910</v>
      </c>
      <c r="J105" s="48">
        <f t="shared" si="64"/>
        <v>13905</v>
      </c>
      <c r="K105" s="20"/>
      <c r="L105" s="19" t="str">
        <f>Price!A105</f>
        <v xml:space="preserve">ogranicznik na 100° do HK-S      </v>
      </c>
      <c r="M105" s="6" t="str">
        <f>Price!B105</f>
        <v>20K7A41</v>
      </c>
      <c r="N105" s="6" t="str">
        <f>Price!C105</f>
        <v>TGR</v>
      </c>
      <c r="O105" s="88">
        <f>Price!D105</f>
        <v>0</v>
      </c>
      <c r="P105" s="7"/>
      <c r="Q105" s="8">
        <f t="shared" si="57"/>
        <v>1.7642599999999999</v>
      </c>
      <c r="R105" s="107">
        <f>Price!F105</f>
        <v>1.7642599999999999</v>
      </c>
      <c r="S105" s="76"/>
      <c r="T105" s="3">
        <f>Price!G105</f>
        <v>8671910</v>
      </c>
      <c r="U105" s="3">
        <f>Price!H105</f>
        <v>13905</v>
      </c>
      <c r="V105" s="4"/>
      <c r="W105" s="4"/>
      <c r="X105" s="10"/>
      <c r="Y105" s="10"/>
    </row>
    <row r="106" spans="1:25" x14ac:dyDescent="0.25">
      <c r="A106" s="32" t="str">
        <f t="shared" si="58"/>
        <v xml:space="preserve">          </v>
      </c>
      <c r="B106" s="33">
        <f t="shared" si="59"/>
        <v>0</v>
      </c>
      <c r="C106" s="33">
        <f t="shared" si="60"/>
        <v>0</v>
      </c>
      <c r="D106" s="33">
        <f t="shared" si="61"/>
        <v>0</v>
      </c>
      <c r="E106" s="34">
        <f t="shared" si="62"/>
        <v>0</v>
      </c>
      <c r="F106" s="8">
        <f t="shared" si="26"/>
        <v>0</v>
      </c>
      <c r="G106" s="23"/>
      <c r="H106" s="23"/>
      <c r="I106" s="48">
        <f t="shared" si="63"/>
        <v>0</v>
      </c>
      <c r="J106" s="48">
        <f t="shared" si="64"/>
        <v>0</v>
      </c>
      <c r="K106" s="11"/>
      <c r="L106" s="19" t="str">
        <f>Price!A106</f>
        <v xml:space="preserve">          </v>
      </c>
      <c r="M106" s="6">
        <f>Price!B106</f>
        <v>0</v>
      </c>
      <c r="N106" s="6">
        <f>Price!C106</f>
        <v>0</v>
      </c>
      <c r="O106" s="88">
        <f>Price!D106</f>
        <v>0</v>
      </c>
      <c r="P106" s="7"/>
      <c r="Q106" s="8">
        <f t="shared" si="57"/>
        <v>0</v>
      </c>
      <c r="R106" s="107">
        <f>Price!F106</f>
        <v>0</v>
      </c>
      <c r="S106" s="76"/>
      <c r="T106" s="3">
        <f>Price!G106</f>
        <v>0</v>
      </c>
      <c r="U106" s="3">
        <f>Price!H106</f>
        <v>0</v>
      </c>
      <c r="V106" s="4"/>
      <c r="W106" s="4"/>
      <c r="X106" s="10"/>
      <c r="Y106" s="10"/>
    </row>
    <row r="107" spans="1:25" x14ac:dyDescent="0.25">
      <c r="A107" s="32" t="str">
        <f t="shared" si="58"/>
        <v xml:space="preserve">          </v>
      </c>
      <c r="B107" s="33">
        <f t="shared" si="59"/>
        <v>0</v>
      </c>
      <c r="C107" s="33">
        <f t="shared" si="60"/>
        <v>0</v>
      </c>
      <c r="D107" s="33">
        <f t="shared" si="61"/>
        <v>0</v>
      </c>
      <c r="E107" s="34">
        <f t="shared" si="62"/>
        <v>0</v>
      </c>
      <c r="F107" s="8">
        <f t="shared" si="26"/>
        <v>0</v>
      </c>
      <c r="G107" s="23"/>
      <c r="H107" s="23"/>
      <c r="I107" s="48">
        <f t="shared" si="63"/>
        <v>0</v>
      </c>
      <c r="J107" s="48">
        <f t="shared" si="64"/>
        <v>0</v>
      </c>
      <c r="K107" s="11"/>
      <c r="L107" s="19" t="str">
        <f>Price!A107</f>
        <v xml:space="preserve">          </v>
      </c>
      <c r="M107" s="6">
        <f>Price!B107</f>
        <v>0</v>
      </c>
      <c r="N107" s="6">
        <f>Price!C107</f>
        <v>0</v>
      </c>
      <c r="O107" s="88">
        <f>Price!D107</f>
        <v>0</v>
      </c>
      <c r="P107" s="7"/>
      <c r="Q107" s="8">
        <f t="shared" si="57"/>
        <v>0</v>
      </c>
      <c r="R107" s="107">
        <f>Price!F107</f>
        <v>0</v>
      </c>
      <c r="S107" s="76"/>
      <c r="T107" s="3">
        <f>Price!G107</f>
        <v>0</v>
      </c>
      <c r="U107" s="3">
        <f>Price!H107</f>
        <v>0</v>
      </c>
      <c r="V107" s="4"/>
      <c r="W107" s="4"/>
      <c r="X107" s="10"/>
      <c r="Y107" s="10"/>
    </row>
    <row r="108" spans="1:25" x14ac:dyDescent="0.25">
      <c r="A108" s="32" t="str">
        <f t="shared" si="58"/>
        <v xml:space="preserve">Aventos HK-XS słaby        </v>
      </c>
      <c r="B108" s="33" t="str">
        <f t="shared" si="59"/>
        <v>20K1101</v>
      </c>
      <c r="C108" s="33" t="str">
        <f t="shared" si="60"/>
        <v>NI</v>
      </c>
      <c r="D108" s="33">
        <f t="shared" si="61"/>
        <v>0</v>
      </c>
      <c r="E108" s="34">
        <f t="shared" si="62"/>
        <v>0</v>
      </c>
      <c r="F108" s="8">
        <f t="shared" si="26"/>
        <v>32.283230000000003</v>
      </c>
      <c r="G108" s="23"/>
      <c r="H108" s="23"/>
      <c r="I108" s="48">
        <f t="shared" si="63"/>
        <v>8572348</v>
      </c>
      <c r="J108" s="48">
        <f t="shared" si="64"/>
        <v>247121</v>
      </c>
      <c r="K108" s="20"/>
      <c r="L108" s="19" t="str">
        <f>Price!A108</f>
        <v xml:space="preserve">Aventos HK-XS słaby        </v>
      </c>
      <c r="M108" s="6" t="str">
        <f>Price!B108</f>
        <v>20K1101</v>
      </c>
      <c r="N108" s="6" t="str">
        <f>Price!C108</f>
        <v>NI</v>
      </c>
      <c r="O108" s="88">
        <f>Price!D108</f>
        <v>0</v>
      </c>
      <c r="P108" s="7"/>
      <c r="Q108" s="8">
        <f t="shared" si="57"/>
        <v>32.283230000000003</v>
      </c>
      <c r="R108" s="107">
        <f>Price!F108</f>
        <v>32.283230000000003</v>
      </c>
      <c r="S108" s="76"/>
      <c r="T108" s="3">
        <f>Price!G108</f>
        <v>8572348</v>
      </c>
      <c r="U108" s="3">
        <f>Price!H108</f>
        <v>247121</v>
      </c>
      <c r="V108" s="4"/>
      <c r="W108" s="4"/>
      <c r="X108" s="10"/>
      <c r="Y108" s="10"/>
    </row>
    <row r="109" spans="1:25" x14ac:dyDescent="0.25">
      <c r="A109" s="32" t="str">
        <f t="shared" si="58"/>
        <v xml:space="preserve">Aventos HK-XS średni        </v>
      </c>
      <c r="B109" s="33" t="str">
        <f t="shared" si="59"/>
        <v>20K1301</v>
      </c>
      <c r="C109" s="33" t="str">
        <f t="shared" si="60"/>
        <v>NI</v>
      </c>
      <c r="D109" s="33">
        <f t="shared" si="61"/>
        <v>0</v>
      </c>
      <c r="E109" s="34">
        <f t="shared" si="62"/>
        <v>0</v>
      </c>
      <c r="F109" s="8">
        <f t="shared" si="26"/>
        <v>32.283230000000003</v>
      </c>
      <c r="G109" s="23"/>
      <c r="H109" s="23"/>
      <c r="I109" s="48">
        <f t="shared" si="63"/>
        <v>9330897</v>
      </c>
      <c r="J109" s="48">
        <f t="shared" si="64"/>
        <v>247122</v>
      </c>
      <c r="K109" s="11"/>
      <c r="L109" s="19" t="str">
        <f>Price!A109</f>
        <v xml:space="preserve">Aventos HK-XS średni        </v>
      </c>
      <c r="M109" s="6" t="str">
        <f>Price!B109</f>
        <v>20K1301</v>
      </c>
      <c r="N109" s="6" t="str">
        <f>Price!C109</f>
        <v>NI</v>
      </c>
      <c r="O109" s="88">
        <f>Price!D109</f>
        <v>0</v>
      </c>
      <c r="P109" s="7"/>
      <c r="Q109" s="8">
        <f t="shared" si="57"/>
        <v>32.283230000000003</v>
      </c>
      <c r="R109" s="107">
        <f>Price!F109</f>
        <v>32.283230000000003</v>
      </c>
      <c r="S109" s="76"/>
      <c r="T109" s="3">
        <f>Price!G109</f>
        <v>9330897</v>
      </c>
      <c r="U109" s="3">
        <f>Price!H109</f>
        <v>247122</v>
      </c>
      <c r="V109" s="4"/>
      <c r="W109" s="4"/>
      <c r="X109" s="10"/>
      <c r="Y109" s="10"/>
    </row>
    <row r="110" spans="1:25" x14ac:dyDescent="0.25">
      <c r="A110" s="32" t="str">
        <f t="shared" si="58"/>
        <v xml:space="preserve">Aventos HK-XS mocny        </v>
      </c>
      <c r="B110" s="33" t="str">
        <f t="shared" si="59"/>
        <v>20K1501</v>
      </c>
      <c r="C110" s="33" t="str">
        <f t="shared" si="60"/>
        <v>NI</v>
      </c>
      <c r="D110" s="33">
        <f t="shared" si="61"/>
        <v>0</v>
      </c>
      <c r="E110" s="34">
        <f t="shared" si="62"/>
        <v>0</v>
      </c>
      <c r="F110" s="8">
        <f t="shared" si="26"/>
        <v>32.283230000000003</v>
      </c>
      <c r="G110" s="23"/>
      <c r="H110" s="23"/>
      <c r="I110" s="48">
        <f t="shared" si="63"/>
        <v>1615152</v>
      </c>
      <c r="J110" s="48">
        <f t="shared" si="64"/>
        <v>247123</v>
      </c>
      <c r="K110" s="11"/>
      <c r="L110" s="19" t="str">
        <f>Price!A110</f>
        <v xml:space="preserve">Aventos HK-XS mocny        </v>
      </c>
      <c r="M110" s="6" t="str">
        <f>Price!B110</f>
        <v>20K1501</v>
      </c>
      <c r="N110" s="6" t="str">
        <f>Price!C110</f>
        <v>NI</v>
      </c>
      <c r="O110" s="88">
        <f>Price!D110</f>
        <v>0</v>
      </c>
      <c r="P110" s="7"/>
      <c r="Q110" s="8">
        <f t="shared" si="57"/>
        <v>32.283230000000003</v>
      </c>
      <c r="R110" s="107">
        <f>Price!F110</f>
        <v>32.283230000000003</v>
      </c>
      <c r="S110" s="76"/>
      <c r="T110" s="3">
        <f>Price!G110</f>
        <v>1615152</v>
      </c>
      <c r="U110" s="3">
        <f>Price!H110</f>
        <v>247123</v>
      </c>
      <c r="V110" s="4"/>
      <c r="W110" s="4"/>
      <c r="X110" s="10"/>
      <c r="Y110" s="10"/>
    </row>
    <row r="111" spans="1:25" x14ac:dyDescent="0.25">
      <c r="A111" s="32" t="str">
        <f t="shared" si="58"/>
        <v xml:space="preserve">          </v>
      </c>
      <c r="B111" s="33">
        <f t="shared" si="59"/>
        <v>0</v>
      </c>
      <c r="C111" s="33">
        <f t="shared" si="60"/>
        <v>0</v>
      </c>
      <c r="D111" s="33">
        <f t="shared" si="61"/>
        <v>0</v>
      </c>
      <c r="E111" s="34">
        <f t="shared" si="62"/>
        <v>0</v>
      </c>
      <c r="F111" s="8">
        <f t="shared" si="26"/>
        <v>0</v>
      </c>
      <c r="G111" s="23"/>
      <c r="H111" s="23"/>
      <c r="I111" s="48">
        <f t="shared" si="63"/>
        <v>0</v>
      </c>
      <c r="J111" s="48">
        <f t="shared" si="64"/>
        <v>0</v>
      </c>
      <c r="K111" s="20"/>
      <c r="L111" s="19" t="str">
        <f>Price!A111</f>
        <v xml:space="preserve">          </v>
      </c>
      <c r="M111" s="6">
        <f>Price!B111</f>
        <v>0</v>
      </c>
      <c r="N111" s="6">
        <f>Price!C111</f>
        <v>0</v>
      </c>
      <c r="O111" s="88">
        <f>Price!D111</f>
        <v>0</v>
      </c>
      <c r="P111" s="7"/>
      <c r="Q111" s="8">
        <f t="shared" si="57"/>
        <v>0</v>
      </c>
      <c r="R111" s="107">
        <f>Price!F111</f>
        <v>0</v>
      </c>
      <c r="S111" s="76"/>
      <c r="T111" s="3">
        <f>Price!G111</f>
        <v>0</v>
      </c>
      <c r="U111" s="3">
        <f>Price!H111</f>
        <v>0</v>
      </c>
      <c r="V111" s="4"/>
      <c r="W111" s="4"/>
      <c r="X111" s="10"/>
      <c r="Y111" s="10"/>
    </row>
    <row r="112" spans="1:25" x14ac:dyDescent="0.25">
      <c r="A112" s="32" t="str">
        <f t="shared" si="58"/>
        <v xml:space="preserve">Aventos HK-XS Tip-on słaby       </v>
      </c>
      <c r="B112" s="33" t="str">
        <f t="shared" si="59"/>
        <v>20K1101T</v>
      </c>
      <c r="C112" s="33" t="str">
        <f t="shared" si="60"/>
        <v>NI</v>
      </c>
      <c r="D112" s="33">
        <f t="shared" si="61"/>
        <v>0</v>
      </c>
      <c r="E112" s="34">
        <f t="shared" si="62"/>
        <v>0</v>
      </c>
      <c r="F112" s="8">
        <f t="shared" si="26"/>
        <v>34.735590000000002</v>
      </c>
      <c r="G112" s="23"/>
      <c r="H112" s="23"/>
      <c r="I112" s="48">
        <f t="shared" si="63"/>
        <v>4857465</v>
      </c>
      <c r="J112" s="48">
        <f t="shared" si="64"/>
        <v>247124</v>
      </c>
      <c r="K112" s="20"/>
      <c r="L112" s="19" t="str">
        <f>Price!A112</f>
        <v xml:space="preserve">Aventos HK-XS Tip-on słaby       </v>
      </c>
      <c r="M112" s="6" t="str">
        <f>Price!B112</f>
        <v>20K1101T</v>
      </c>
      <c r="N112" s="6" t="str">
        <f>Price!C112</f>
        <v>NI</v>
      </c>
      <c r="O112" s="88">
        <f>Price!D112</f>
        <v>0</v>
      </c>
      <c r="P112" s="7"/>
      <c r="Q112" s="8">
        <f t="shared" si="57"/>
        <v>34.735590000000002</v>
      </c>
      <c r="R112" s="107">
        <f>Price!F112</f>
        <v>34.735590000000002</v>
      </c>
      <c r="S112" s="76"/>
      <c r="T112" s="3">
        <f>Price!G112</f>
        <v>4857465</v>
      </c>
      <c r="U112" s="3">
        <f>Price!H112</f>
        <v>247124</v>
      </c>
      <c r="V112" s="4"/>
      <c r="W112" s="4"/>
      <c r="X112" s="10"/>
      <c r="Y112" s="10"/>
    </row>
    <row r="113" spans="1:25" x14ac:dyDescent="0.25">
      <c r="A113" s="32" t="str">
        <f t="shared" si="58"/>
        <v xml:space="preserve">Aventos HK-XS Tip-on średni       </v>
      </c>
      <c r="B113" s="33" t="str">
        <f t="shared" si="59"/>
        <v>20K1301T</v>
      </c>
      <c r="C113" s="33" t="str">
        <f t="shared" si="60"/>
        <v>NI</v>
      </c>
      <c r="D113" s="33">
        <f t="shared" si="61"/>
        <v>0</v>
      </c>
      <c r="E113" s="34">
        <f t="shared" si="62"/>
        <v>0</v>
      </c>
      <c r="F113" s="8">
        <f t="shared" si="26"/>
        <v>34.735590000000002</v>
      </c>
      <c r="G113" s="23"/>
      <c r="H113" s="23"/>
      <c r="I113" s="48">
        <f t="shared" si="63"/>
        <v>9519259</v>
      </c>
      <c r="J113" s="48">
        <f t="shared" si="64"/>
        <v>247125</v>
      </c>
      <c r="K113" s="11"/>
      <c r="L113" s="19" t="str">
        <f>Price!A113</f>
        <v xml:space="preserve">Aventos HK-XS Tip-on średni       </v>
      </c>
      <c r="M113" s="6" t="str">
        <f>Price!B113</f>
        <v>20K1301T</v>
      </c>
      <c r="N113" s="6" t="str">
        <f>Price!C113</f>
        <v>NI</v>
      </c>
      <c r="O113" s="88">
        <f>Price!D113</f>
        <v>0</v>
      </c>
      <c r="P113" s="7"/>
      <c r="Q113" s="8">
        <f t="shared" si="57"/>
        <v>34.735590000000002</v>
      </c>
      <c r="R113" s="107">
        <f>Price!F113</f>
        <v>34.735590000000002</v>
      </c>
      <c r="S113" s="76"/>
      <c r="T113" s="3">
        <f>Price!G113</f>
        <v>9519259</v>
      </c>
      <c r="U113" s="3">
        <f>Price!H113</f>
        <v>247125</v>
      </c>
      <c r="V113" s="4"/>
      <c r="W113" s="4"/>
      <c r="X113" s="10"/>
      <c r="Y113" s="10"/>
    </row>
    <row r="114" spans="1:25" x14ac:dyDescent="0.25">
      <c r="A114" s="32" t="str">
        <f t="shared" si="58"/>
        <v xml:space="preserve">Aventos HK-XS Tip-on mocny       </v>
      </c>
      <c r="B114" s="33" t="str">
        <f t="shared" si="59"/>
        <v>20K1501T</v>
      </c>
      <c r="C114" s="33" t="str">
        <f t="shared" si="60"/>
        <v>NI</v>
      </c>
      <c r="D114" s="33">
        <f t="shared" si="61"/>
        <v>0</v>
      </c>
      <c r="E114" s="34">
        <f t="shared" si="62"/>
        <v>0</v>
      </c>
      <c r="F114" s="8">
        <f t="shared" ref="F114:F122" si="65">Q114</f>
        <v>34.735590000000002</v>
      </c>
      <c r="G114" s="23"/>
      <c r="H114" s="23"/>
      <c r="I114" s="48">
        <f t="shared" si="63"/>
        <v>8041284</v>
      </c>
      <c r="J114" s="48">
        <f t="shared" si="64"/>
        <v>247126</v>
      </c>
      <c r="K114" s="11"/>
      <c r="L114" s="19" t="str">
        <f>Price!A114</f>
        <v xml:space="preserve">Aventos HK-XS Tip-on mocny       </v>
      </c>
      <c r="M114" s="6" t="str">
        <f>Price!B114</f>
        <v>20K1501T</v>
      </c>
      <c r="N114" s="6" t="str">
        <f>Price!C114</f>
        <v>NI</v>
      </c>
      <c r="O114" s="88">
        <f>Price!D114</f>
        <v>0</v>
      </c>
      <c r="P114" s="7"/>
      <c r="Q114" s="8">
        <f t="shared" si="57"/>
        <v>34.735590000000002</v>
      </c>
      <c r="R114" s="107">
        <f>Price!F114</f>
        <v>34.735590000000002</v>
      </c>
      <c r="S114" s="76"/>
      <c r="T114" s="3">
        <f>Price!G114</f>
        <v>8041284</v>
      </c>
      <c r="U114" s="3">
        <f>Price!H114</f>
        <v>247126</v>
      </c>
      <c r="V114" s="4"/>
      <c r="W114" s="4"/>
      <c r="X114" s="10"/>
      <c r="Y114" s="10"/>
    </row>
    <row r="115" spans="1:25" x14ac:dyDescent="0.25">
      <c r="A115" s="32" t="str">
        <f t="shared" si="58"/>
        <v xml:space="preserve">          </v>
      </c>
      <c r="B115" s="33">
        <f t="shared" si="59"/>
        <v>0</v>
      </c>
      <c r="C115" s="33">
        <f t="shared" si="60"/>
        <v>0</v>
      </c>
      <c r="D115" s="33">
        <f t="shared" si="61"/>
        <v>0</v>
      </c>
      <c r="E115" s="34">
        <f t="shared" si="62"/>
        <v>0</v>
      </c>
      <c r="F115" s="8">
        <f t="shared" si="65"/>
        <v>0</v>
      </c>
      <c r="G115" s="23"/>
      <c r="H115" s="23"/>
      <c r="I115" s="48">
        <f t="shared" si="63"/>
        <v>0</v>
      </c>
      <c r="J115" s="48">
        <f t="shared" si="64"/>
        <v>0</v>
      </c>
      <c r="K115" s="20"/>
      <c r="L115" s="19" t="str">
        <f>Price!A115</f>
        <v xml:space="preserve">          </v>
      </c>
      <c r="M115" s="6">
        <f>Price!B115</f>
        <v>0</v>
      </c>
      <c r="N115" s="6">
        <f>Price!C115</f>
        <v>0</v>
      </c>
      <c r="O115" s="88">
        <f>Price!D115</f>
        <v>0</v>
      </c>
      <c r="P115" s="7"/>
      <c r="Q115" s="8">
        <f t="shared" si="57"/>
        <v>0</v>
      </c>
      <c r="R115" s="107">
        <f>Price!F115</f>
        <v>0</v>
      </c>
      <c r="S115" s="76"/>
      <c r="T115" s="3">
        <f>Price!G115</f>
        <v>0</v>
      </c>
      <c r="U115" s="3">
        <f>Price!H115</f>
        <v>0</v>
      </c>
      <c r="V115" s="4"/>
      <c r="W115" s="4"/>
      <c r="X115" s="10"/>
      <c r="Y115" s="10"/>
    </row>
    <row r="116" spans="1:25" x14ac:dyDescent="0.25">
      <c r="A116" s="32" t="str">
        <f t="shared" si="58"/>
        <v xml:space="preserve">czop boczny do korpusu HK-XS wkręt     </v>
      </c>
      <c r="B116" s="33" t="str">
        <f t="shared" si="59"/>
        <v>20K5101</v>
      </c>
      <c r="C116" s="33" t="str">
        <f t="shared" si="60"/>
        <v>NI</v>
      </c>
      <c r="D116" s="33">
        <f t="shared" si="61"/>
        <v>0</v>
      </c>
      <c r="E116" s="34">
        <f t="shared" si="62"/>
        <v>0</v>
      </c>
      <c r="F116" s="8">
        <f t="shared" si="65"/>
        <v>2.0432700000000001</v>
      </c>
      <c r="G116" s="23"/>
      <c r="H116" s="23"/>
      <c r="I116" s="48">
        <f t="shared" si="63"/>
        <v>1409446</v>
      </c>
      <c r="J116" s="48">
        <f t="shared" si="64"/>
        <v>247127</v>
      </c>
      <c r="K116" s="21"/>
      <c r="L116" s="19" t="str">
        <f>Price!A116</f>
        <v xml:space="preserve">czop boczny do korpusu HK-XS wkręt     </v>
      </c>
      <c r="M116" s="6" t="str">
        <f>Price!B116</f>
        <v>20K5101</v>
      </c>
      <c r="N116" s="6" t="str">
        <f>Price!C116</f>
        <v>NI</v>
      </c>
      <c r="O116" s="88">
        <f>Price!D116</f>
        <v>0</v>
      </c>
      <c r="P116" s="7"/>
      <c r="Q116" s="8">
        <f t="shared" si="57"/>
        <v>2.0432700000000001</v>
      </c>
      <c r="R116" s="107">
        <f>Price!F116</f>
        <v>2.0432700000000001</v>
      </c>
      <c r="S116" s="76"/>
      <c r="T116" s="3">
        <f>Price!G116</f>
        <v>1409446</v>
      </c>
      <c r="U116" s="3">
        <f>Price!H116</f>
        <v>247127</v>
      </c>
      <c r="V116" s="4"/>
      <c r="W116" s="4"/>
      <c r="X116" s="10"/>
      <c r="Y116" s="10"/>
    </row>
    <row r="117" spans="1:25" x14ac:dyDescent="0.25">
      <c r="A117" s="32" t="str">
        <f t="shared" si="58"/>
        <v xml:space="preserve">czop boczny do korpusu HK-XS Exp     </v>
      </c>
      <c r="B117" s="33" t="str">
        <f t="shared" si="59"/>
        <v>20K51E1</v>
      </c>
      <c r="C117" s="33" t="str">
        <f t="shared" si="60"/>
        <v>NI</v>
      </c>
      <c r="D117" s="33">
        <f t="shared" si="61"/>
        <v>0</v>
      </c>
      <c r="E117" s="34">
        <f t="shared" si="62"/>
        <v>0</v>
      </c>
      <c r="F117" s="8">
        <f t="shared" si="65"/>
        <v>2.7593999999999999</v>
      </c>
      <c r="G117" s="23"/>
      <c r="H117" s="23"/>
      <c r="I117" s="48">
        <f t="shared" si="63"/>
        <v>5296642</v>
      </c>
      <c r="J117" s="48">
        <f t="shared" si="64"/>
        <v>247128</v>
      </c>
      <c r="K117" s="21"/>
      <c r="L117" s="19" t="str">
        <f>Price!A117</f>
        <v xml:space="preserve">czop boczny do korpusu HK-XS Exp     </v>
      </c>
      <c r="M117" s="6" t="str">
        <f>Price!B117</f>
        <v>20K51E1</v>
      </c>
      <c r="N117" s="6" t="str">
        <f>Price!C117</f>
        <v>NI</v>
      </c>
      <c r="O117" s="88">
        <f>Price!D117</f>
        <v>0</v>
      </c>
      <c r="P117" s="7"/>
      <c r="Q117" s="8">
        <f t="shared" si="57"/>
        <v>2.7593999999999999</v>
      </c>
      <c r="R117" s="107">
        <f>Price!F117</f>
        <v>2.7593999999999999</v>
      </c>
      <c r="S117" s="76"/>
      <c r="T117" s="3">
        <f>Price!G117</f>
        <v>5296642</v>
      </c>
      <c r="U117" s="3">
        <f>Price!H117</f>
        <v>247128</v>
      </c>
      <c r="V117" s="4"/>
      <c r="W117" s="4"/>
      <c r="X117" s="10"/>
      <c r="Y117" s="10"/>
    </row>
    <row r="118" spans="1:25" x14ac:dyDescent="0.25">
      <c r="A118" s="32" t="str">
        <f t="shared" si="58"/>
        <v xml:space="preserve">          </v>
      </c>
      <c r="B118" s="33">
        <f t="shared" si="59"/>
        <v>0</v>
      </c>
      <c r="C118" s="33">
        <f t="shared" si="60"/>
        <v>0</v>
      </c>
      <c r="D118" s="33">
        <f t="shared" si="61"/>
        <v>0</v>
      </c>
      <c r="E118" s="34">
        <f t="shared" si="62"/>
        <v>0</v>
      </c>
      <c r="F118" s="8">
        <f t="shared" si="65"/>
        <v>0</v>
      </c>
      <c r="G118" s="23"/>
      <c r="H118" s="23"/>
      <c r="I118" s="48">
        <f t="shared" si="63"/>
        <v>0</v>
      </c>
      <c r="J118" s="48">
        <f t="shared" si="64"/>
        <v>0</v>
      </c>
      <c r="K118" s="11"/>
      <c r="L118" s="19" t="str">
        <f>Price!A118</f>
        <v xml:space="preserve">          </v>
      </c>
      <c r="M118" s="6">
        <f>Price!B118</f>
        <v>0</v>
      </c>
      <c r="N118" s="6">
        <f>Price!C118</f>
        <v>0</v>
      </c>
      <c r="O118" s="88">
        <f>Price!D118</f>
        <v>0</v>
      </c>
      <c r="P118" s="7"/>
      <c r="Q118" s="8">
        <f t="shared" si="57"/>
        <v>0</v>
      </c>
      <c r="R118" s="107">
        <f>Price!F118</f>
        <v>0</v>
      </c>
      <c r="S118" s="76"/>
      <c r="T118" s="3">
        <f>Price!G118</f>
        <v>0</v>
      </c>
      <c r="U118" s="3">
        <f>Price!H118</f>
        <v>0</v>
      </c>
      <c r="V118" s="4"/>
      <c r="W118" s="4"/>
      <c r="X118" s="10"/>
      <c r="Y118" s="10"/>
    </row>
    <row r="119" spans="1:25" x14ac:dyDescent="0.25">
      <c r="A119" s="32" t="str">
        <f t="shared" si="58"/>
        <v xml:space="preserve">mocowanie frontu HK-XS wkręt       </v>
      </c>
      <c r="B119" s="33" t="str">
        <f t="shared" si="59"/>
        <v>20K4101</v>
      </c>
      <c r="C119" s="33" t="str">
        <f t="shared" si="60"/>
        <v>NI</v>
      </c>
      <c r="D119" s="33">
        <f t="shared" si="61"/>
        <v>0</v>
      </c>
      <c r="E119" s="34">
        <f t="shared" si="62"/>
        <v>0</v>
      </c>
      <c r="F119" s="8">
        <f t="shared" si="65"/>
        <v>1.38934</v>
      </c>
      <c r="G119" s="23"/>
      <c r="H119" s="23"/>
      <c r="I119" s="48">
        <f t="shared" si="63"/>
        <v>8910604</v>
      </c>
      <c r="J119" s="48">
        <f t="shared" si="64"/>
        <v>247129</v>
      </c>
      <c r="K119" s="11"/>
      <c r="L119" s="19" t="str">
        <f>Price!A119</f>
        <v xml:space="preserve">mocowanie frontu HK-XS wkręt       </v>
      </c>
      <c r="M119" s="6" t="str">
        <f>Price!B119</f>
        <v>20K4101</v>
      </c>
      <c r="N119" s="6" t="str">
        <f>Price!C119</f>
        <v>NI</v>
      </c>
      <c r="O119" s="88">
        <f>Price!D119</f>
        <v>0</v>
      </c>
      <c r="P119" s="7"/>
      <c r="Q119" s="8">
        <f t="shared" si="57"/>
        <v>1.38934</v>
      </c>
      <c r="R119" s="107">
        <f>Price!F119</f>
        <v>1.38934</v>
      </c>
      <c r="S119" s="76"/>
      <c r="T119" s="3">
        <f>Price!G119</f>
        <v>8910604</v>
      </c>
      <c r="U119" s="3">
        <f>Price!H119</f>
        <v>247129</v>
      </c>
      <c r="V119" s="4"/>
      <c r="W119" s="4"/>
      <c r="X119" s="10"/>
      <c r="Y119" s="10"/>
    </row>
    <row r="120" spans="1:25" x14ac:dyDescent="0.25">
      <c r="A120" s="32" t="str">
        <f t="shared" si="58"/>
        <v xml:space="preserve">mocowanie frontu HK-XS Expando       </v>
      </c>
      <c r="B120" s="33" t="str">
        <f t="shared" si="59"/>
        <v>20K41E1</v>
      </c>
      <c r="C120" s="33" t="str">
        <f t="shared" si="60"/>
        <v>NI</v>
      </c>
      <c r="D120" s="33">
        <f t="shared" si="61"/>
        <v>0</v>
      </c>
      <c r="E120" s="34">
        <f t="shared" si="62"/>
        <v>0</v>
      </c>
      <c r="F120" s="8">
        <f t="shared" si="65"/>
        <v>2.10547</v>
      </c>
      <c r="G120" s="23"/>
      <c r="H120" s="23"/>
      <c r="I120" s="48">
        <f t="shared" si="63"/>
        <v>5697170</v>
      </c>
      <c r="J120" s="48">
        <f t="shared" si="64"/>
        <v>247130</v>
      </c>
      <c r="K120" s="20"/>
      <c r="L120" s="19" t="str">
        <f>Price!A120</f>
        <v xml:space="preserve">mocowanie frontu HK-XS Expando       </v>
      </c>
      <c r="M120" s="6" t="str">
        <f>Price!B120</f>
        <v>20K41E1</v>
      </c>
      <c r="N120" s="6" t="str">
        <f>Price!C120</f>
        <v>NI</v>
      </c>
      <c r="O120" s="88">
        <f>Price!D120</f>
        <v>0</v>
      </c>
      <c r="P120" s="7"/>
      <c r="Q120" s="8">
        <f t="shared" si="57"/>
        <v>2.10547</v>
      </c>
      <c r="R120" s="107">
        <f>Price!F120</f>
        <v>2.10547</v>
      </c>
      <c r="S120" s="76"/>
      <c r="T120" s="3">
        <f>Price!G120</f>
        <v>5697170</v>
      </c>
      <c r="U120" s="3">
        <f>Price!H120</f>
        <v>247130</v>
      </c>
      <c r="V120" s="4"/>
      <c r="W120" s="4"/>
      <c r="X120" s="10"/>
      <c r="Y120" s="10"/>
    </row>
    <row r="121" spans="1:25" x14ac:dyDescent="0.25">
      <c r="A121" s="32" t="str">
        <f t="shared" si="58"/>
        <v xml:space="preserve">mocowanie frontu HK-XS alu ramka      </v>
      </c>
      <c r="B121" s="33" t="str">
        <f t="shared" si="59"/>
        <v>20K4101A</v>
      </c>
      <c r="C121" s="33" t="str">
        <f t="shared" si="60"/>
        <v>NI</v>
      </c>
      <c r="D121" s="33">
        <f t="shared" si="61"/>
        <v>0</v>
      </c>
      <c r="E121" s="34">
        <f t="shared" si="62"/>
        <v>0</v>
      </c>
      <c r="F121" s="8">
        <f t="shared" si="65"/>
        <v>10.277819999999998</v>
      </c>
      <c r="G121" s="23"/>
      <c r="H121" s="23"/>
      <c r="I121" s="48">
        <f t="shared" si="63"/>
        <v>1452554</v>
      </c>
      <c r="J121" s="48">
        <f t="shared" si="64"/>
        <v>247131</v>
      </c>
      <c r="K121" s="21"/>
      <c r="L121" s="19" t="str">
        <f>Price!A121</f>
        <v xml:space="preserve">mocowanie frontu HK-XS alu ramka      </v>
      </c>
      <c r="M121" s="6" t="str">
        <f>Price!B121</f>
        <v>20K4101A</v>
      </c>
      <c r="N121" s="6" t="str">
        <f>Price!C121</f>
        <v>NI</v>
      </c>
      <c r="O121" s="88">
        <f>Price!D121</f>
        <v>0</v>
      </c>
      <c r="P121" s="7"/>
      <c r="Q121" s="8">
        <f t="shared" si="57"/>
        <v>10.277819999999998</v>
      </c>
      <c r="R121" s="107">
        <f>Price!F121</f>
        <v>10.27782</v>
      </c>
      <c r="S121" s="76"/>
      <c r="T121" s="3">
        <f>Price!G121</f>
        <v>1452554</v>
      </c>
      <c r="U121" s="3">
        <f>Price!H121</f>
        <v>247131</v>
      </c>
      <c r="V121" s="4"/>
      <c r="W121" s="4"/>
      <c r="X121" s="10"/>
      <c r="Y121" s="10"/>
    </row>
    <row r="122" spans="1:25" x14ac:dyDescent="0.25">
      <c r="A122" s="32" t="str">
        <f t="shared" si="58"/>
        <v xml:space="preserve">          </v>
      </c>
      <c r="B122" s="33">
        <f t="shared" si="59"/>
        <v>0</v>
      </c>
      <c r="C122" s="33">
        <f t="shared" si="60"/>
        <v>0</v>
      </c>
      <c r="D122" s="33">
        <f t="shared" si="61"/>
        <v>0</v>
      </c>
      <c r="E122" s="34">
        <f t="shared" si="62"/>
        <v>0</v>
      </c>
      <c r="F122" s="8">
        <f t="shared" si="65"/>
        <v>0</v>
      </c>
      <c r="G122" s="23"/>
      <c r="H122" s="23"/>
      <c r="I122" s="48">
        <f t="shared" si="63"/>
        <v>0</v>
      </c>
      <c r="J122" s="48">
        <f t="shared" si="64"/>
        <v>0</v>
      </c>
      <c r="K122" s="21"/>
      <c r="L122" s="19" t="str">
        <f>Price!A122</f>
        <v xml:space="preserve">          </v>
      </c>
      <c r="M122" s="6">
        <f>Price!B122</f>
        <v>0</v>
      </c>
      <c r="N122" s="6">
        <f>Price!C122</f>
        <v>0</v>
      </c>
      <c r="O122" s="88">
        <f>Price!D122</f>
        <v>0</v>
      </c>
      <c r="P122" s="7"/>
      <c r="Q122" s="8">
        <f t="shared" si="57"/>
        <v>0</v>
      </c>
      <c r="R122" s="107">
        <f>Price!F122</f>
        <v>0</v>
      </c>
      <c r="S122" s="76"/>
      <c r="T122" s="3">
        <f>Price!G122</f>
        <v>0</v>
      </c>
      <c r="U122" s="3">
        <f>Price!H122</f>
        <v>0</v>
      </c>
      <c r="V122" s="4"/>
      <c r="W122" s="4"/>
      <c r="X122" s="10"/>
      <c r="Y122" s="10"/>
    </row>
    <row r="123" spans="1:25" x14ac:dyDescent="0.25">
      <c r="A123" s="32" t="str">
        <f t="shared" ref="A123:F123" si="66">L123</f>
        <v xml:space="preserve">specjalne wkręty 3.53x9.5mm do szerokich ramek     </v>
      </c>
      <c r="B123" s="33" t="str">
        <f t="shared" si="66"/>
        <v>660.0950</v>
      </c>
      <c r="C123" s="33" t="str">
        <f t="shared" si="66"/>
        <v>NI</v>
      </c>
      <c r="D123" s="33">
        <f t="shared" si="66"/>
        <v>0</v>
      </c>
      <c r="E123" s="34">
        <f t="shared" si="66"/>
        <v>0</v>
      </c>
      <c r="F123" s="8">
        <f t="shared" si="66"/>
        <v>0.18570999999999999</v>
      </c>
      <c r="G123" s="23"/>
      <c r="H123" s="23"/>
      <c r="I123" s="48">
        <f>T123</f>
        <v>8385455</v>
      </c>
      <c r="J123" s="48">
        <f>U123</f>
        <v>13681</v>
      </c>
      <c r="K123" s="21"/>
      <c r="L123" s="471" t="str">
        <f>Price!A123</f>
        <v xml:space="preserve">specjalne wkręty 3.53x9.5mm do szerokich ramek     </v>
      </c>
      <c r="M123" s="472" t="str">
        <f>Price!B123</f>
        <v>660.0950</v>
      </c>
      <c r="N123" s="472" t="str">
        <f>Price!C123</f>
        <v>NI</v>
      </c>
      <c r="O123" s="476">
        <f>Price!D123</f>
        <v>0</v>
      </c>
      <c r="P123" s="477"/>
      <c r="Q123" s="473">
        <f>R123*(100-$F$6)/100</f>
        <v>0.18570999999999999</v>
      </c>
      <c r="R123" s="478">
        <f>Price!F123</f>
        <v>0.18570999999999999</v>
      </c>
      <c r="S123" s="479"/>
      <c r="T123" s="480">
        <f>Price!G123</f>
        <v>8385455</v>
      </c>
      <c r="U123" s="480">
        <f>Price!H123</f>
        <v>13681</v>
      </c>
      <c r="V123" s="4"/>
      <c r="W123" s="4"/>
      <c r="X123" s="10"/>
      <c r="Y123" s="10"/>
    </row>
    <row r="124" spans="1:25" x14ac:dyDescent="0.25">
      <c r="A124" s="32" t="str">
        <f t="shared" ref="A124:A147" si="67">L124</f>
        <v xml:space="preserve">          </v>
      </c>
      <c r="B124" s="33">
        <f t="shared" ref="B124:B147" si="68">M124</f>
        <v>0</v>
      </c>
      <c r="C124" s="33">
        <f t="shared" ref="C124:C147" si="69">N124</f>
        <v>0</v>
      </c>
      <c r="D124" s="33">
        <f t="shared" ref="D124:D147" si="70">O124</f>
        <v>0</v>
      </c>
      <c r="E124" s="34">
        <f t="shared" ref="E124:E147" si="71">P124</f>
        <v>0</v>
      </c>
      <c r="F124" s="8">
        <f t="shared" ref="F124:F147" si="72">Q124</f>
        <v>0</v>
      </c>
      <c r="G124" s="23"/>
      <c r="H124" s="23"/>
      <c r="I124" s="48">
        <f t="shared" ref="I124:I147" si="73">T124</f>
        <v>0</v>
      </c>
      <c r="J124" s="48">
        <f t="shared" ref="J124:J147" si="74">U124</f>
        <v>0</v>
      </c>
      <c r="K124" s="21"/>
      <c r="L124" s="19" t="str">
        <f>Price!A124</f>
        <v xml:space="preserve">          </v>
      </c>
      <c r="M124" s="6">
        <f>Price!B124</f>
        <v>0</v>
      </c>
      <c r="N124" s="6">
        <f>Price!C124</f>
        <v>0</v>
      </c>
      <c r="O124" s="876">
        <f>Price!D124</f>
        <v>0</v>
      </c>
      <c r="P124" s="19">
        <f>Price!E124</f>
        <v>0</v>
      </c>
      <c r="Q124" s="8">
        <f t="shared" si="57"/>
        <v>0</v>
      </c>
      <c r="R124" s="107">
        <f>Price!F124</f>
        <v>0</v>
      </c>
      <c r="S124" s="76"/>
      <c r="T124" s="3">
        <f>Price!G124</f>
        <v>0</v>
      </c>
      <c r="U124" s="3">
        <f>Price!H124</f>
        <v>0</v>
      </c>
      <c r="V124" s="4"/>
      <c r="W124" s="4"/>
      <c r="X124" s="10"/>
      <c r="Y124" s="10"/>
    </row>
    <row r="125" spans="1:25" x14ac:dyDescent="0.25">
      <c r="A125" s="32" t="str">
        <f t="shared" si="67"/>
        <v xml:space="preserve">Aventos HKi słaby Blumotion Onyx      </v>
      </c>
      <c r="B125" s="33" t="str">
        <f t="shared" si="68"/>
        <v>24K2300</v>
      </c>
      <c r="C125" s="33" t="str">
        <f t="shared" si="69"/>
        <v>OS</v>
      </c>
      <c r="D125" s="33">
        <f t="shared" si="70"/>
        <v>0</v>
      </c>
      <c r="E125" s="34">
        <f t="shared" si="71"/>
        <v>0</v>
      </c>
      <c r="F125" s="8">
        <f t="shared" si="72"/>
        <v>879.54648999999995</v>
      </c>
      <c r="G125" s="23"/>
      <c r="H125" s="23"/>
      <c r="I125" s="48">
        <f t="shared" si="73"/>
        <v>9375108</v>
      </c>
      <c r="J125" s="48">
        <f t="shared" si="74"/>
        <v>497327</v>
      </c>
      <c r="K125" s="21"/>
      <c r="L125" s="19" t="str">
        <f>Price!A125</f>
        <v xml:space="preserve">Aventos HKi słaby Blumotion Onyx      </v>
      </c>
      <c r="M125" s="6" t="str">
        <f>Price!B125</f>
        <v>24K2300</v>
      </c>
      <c r="N125" s="6" t="str">
        <f>Price!C125</f>
        <v>OS</v>
      </c>
      <c r="O125" s="876">
        <f>Price!D125</f>
        <v>0</v>
      </c>
      <c r="P125" s="7"/>
      <c r="Q125" s="8">
        <f t="shared" si="57"/>
        <v>879.54648999999995</v>
      </c>
      <c r="R125" s="107">
        <f>Price!F125</f>
        <v>879.54648999999995</v>
      </c>
      <c r="S125" s="76"/>
      <c r="T125" s="3">
        <f>Price!G125</f>
        <v>9375108</v>
      </c>
      <c r="U125" s="3">
        <f>Price!H125</f>
        <v>497327</v>
      </c>
      <c r="V125" s="4"/>
      <c r="W125" s="4"/>
      <c r="X125" s="10"/>
      <c r="Y125" s="10"/>
    </row>
    <row r="126" spans="1:25" x14ac:dyDescent="0.25">
      <c r="A126" s="32" t="str">
        <f t="shared" si="67"/>
        <v xml:space="preserve">Aventos HKi średni Blumotion Onyx      </v>
      </c>
      <c r="B126" s="33" t="str">
        <f t="shared" si="68"/>
        <v>24K2500</v>
      </c>
      <c r="C126" s="33" t="str">
        <f t="shared" si="69"/>
        <v>OS</v>
      </c>
      <c r="D126" s="33">
        <f t="shared" si="70"/>
        <v>0</v>
      </c>
      <c r="E126" s="34">
        <f t="shared" si="71"/>
        <v>0</v>
      </c>
      <c r="F126" s="8">
        <f t="shared" si="72"/>
        <v>879.54648999999995</v>
      </c>
      <c r="G126" s="23"/>
      <c r="H126" s="23"/>
      <c r="I126" s="48">
        <f t="shared" si="73"/>
        <v>4333468</v>
      </c>
      <c r="J126" s="48">
        <f t="shared" si="74"/>
        <v>497328</v>
      </c>
      <c r="K126" s="21"/>
      <c r="L126" s="19" t="str">
        <f>Price!A126</f>
        <v xml:space="preserve">Aventos HKi średni Blumotion Onyx      </v>
      </c>
      <c r="M126" s="6" t="str">
        <f>Price!B126</f>
        <v>24K2500</v>
      </c>
      <c r="N126" s="6" t="str">
        <f>Price!C126</f>
        <v>OS</v>
      </c>
      <c r="O126" s="876">
        <f>Price!D126</f>
        <v>0</v>
      </c>
      <c r="P126" s="7"/>
      <c r="Q126" s="8">
        <f t="shared" si="57"/>
        <v>879.54648999999995</v>
      </c>
      <c r="R126" s="107">
        <f>Price!F126</f>
        <v>879.54648999999995</v>
      </c>
      <c r="S126" s="76"/>
      <c r="T126" s="3">
        <f>Price!G126</f>
        <v>4333468</v>
      </c>
      <c r="U126" s="3">
        <f>Price!H126</f>
        <v>497328</v>
      </c>
      <c r="V126" s="4"/>
      <c r="W126" s="4"/>
      <c r="X126" s="10"/>
      <c r="Y126" s="10"/>
    </row>
    <row r="127" spans="1:25" x14ac:dyDescent="0.25">
      <c r="A127" s="32" t="str">
        <f t="shared" si="67"/>
        <v xml:space="preserve">Aventos HKi mocny Blumotion Onyx      </v>
      </c>
      <c r="B127" s="33" t="str">
        <f t="shared" si="68"/>
        <v>24K2700</v>
      </c>
      <c r="C127" s="33" t="str">
        <f t="shared" si="69"/>
        <v>OS</v>
      </c>
      <c r="D127" s="33">
        <f t="shared" si="70"/>
        <v>0</v>
      </c>
      <c r="E127" s="34">
        <f t="shared" si="71"/>
        <v>0</v>
      </c>
      <c r="F127" s="8">
        <f t="shared" si="72"/>
        <v>894.84276</v>
      </c>
      <c r="G127" s="23"/>
      <c r="H127" s="23"/>
      <c r="I127" s="48">
        <f t="shared" si="73"/>
        <v>3327428</v>
      </c>
      <c r="J127" s="48">
        <f t="shared" si="74"/>
        <v>497329</v>
      </c>
      <c r="K127" s="21"/>
      <c r="L127" s="19" t="str">
        <f>Price!A127</f>
        <v xml:space="preserve">Aventos HKi mocny Blumotion Onyx      </v>
      </c>
      <c r="M127" s="6" t="str">
        <f>Price!B127</f>
        <v>24K2700</v>
      </c>
      <c r="N127" s="6" t="str">
        <f>Price!C127</f>
        <v>OS</v>
      </c>
      <c r="O127" s="876">
        <f>Price!D127</f>
        <v>0</v>
      </c>
      <c r="P127" s="7"/>
      <c r="Q127" s="8">
        <f t="shared" si="57"/>
        <v>894.84276</v>
      </c>
      <c r="R127" s="107">
        <f>Price!F127</f>
        <v>894.84276</v>
      </c>
      <c r="S127" s="76"/>
      <c r="T127" s="3">
        <f>Price!G127</f>
        <v>3327428</v>
      </c>
      <c r="U127" s="3">
        <f>Price!H127</f>
        <v>497329</v>
      </c>
      <c r="V127" s="4"/>
      <c r="W127" s="4"/>
      <c r="X127" s="10"/>
      <c r="Y127" s="10"/>
    </row>
    <row r="128" spans="1:25" x14ac:dyDescent="0.25">
      <c r="A128" s="32" t="str">
        <f t="shared" si="67"/>
        <v xml:space="preserve">Aventos HKi najmocniejszy Blumotion Onyx      </v>
      </c>
      <c r="B128" s="33" t="str">
        <f t="shared" si="68"/>
        <v>24K2800</v>
      </c>
      <c r="C128" s="33" t="str">
        <f t="shared" si="69"/>
        <v>OS</v>
      </c>
      <c r="D128" s="33">
        <f t="shared" si="70"/>
        <v>0</v>
      </c>
      <c r="E128" s="34">
        <f t="shared" si="71"/>
        <v>0</v>
      </c>
      <c r="F128" s="8">
        <f t="shared" si="72"/>
        <v>933.08410000000003</v>
      </c>
      <c r="G128" s="23"/>
      <c r="H128" s="23"/>
      <c r="I128" s="48">
        <f t="shared" si="73"/>
        <v>9445829</v>
      </c>
      <c r="J128" s="48">
        <f t="shared" si="74"/>
        <v>497330</v>
      </c>
      <c r="K128" s="21"/>
      <c r="L128" s="19" t="str">
        <f>Price!A128</f>
        <v xml:space="preserve">Aventos HKi najmocniejszy Blumotion Onyx      </v>
      </c>
      <c r="M128" s="6" t="str">
        <f>Price!B128</f>
        <v>24K2800</v>
      </c>
      <c r="N128" s="6" t="str">
        <f>Price!C128</f>
        <v>OS</v>
      </c>
      <c r="O128" s="876">
        <f>Price!D128</f>
        <v>0</v>
      </c>
      <c r="P128" s="7"/>
      <c r="Q128" s="8">
        <f t="shared" si="57"/>
        <v>933.08410000000003</v>
      </c>
      <c r="R128" s="107">
        <f>Price!F128</f>
        <v>933.08410000000003</v>
      </c>
      <c r="S128" s="76"/>
      <c r="T128" s="3">
        <f>Price!G128</f>
        <v>9445829</v>
      </c>
      <c r="U128" s="3">
        <f>Price!H128</f>
        <v>497330</v>
      </c>
      <c r="V128" s="4"/>
      <c r="W128" s="4"/>
      <c r="X128" s="10"/>
      <c r="Y128" s="10"/>
    </row>
    <row r="129" spans="1:25" x14ac:dyDescent="0.25">
      <c r="A129" s="32" t="str">
        <f t="shared" si="67"/>
        <v xml:space="preserve">          </v>
      </c>
      <c r="B129" s="33">
        <f t="shared" si="68"/>
        <v>0</v>
      </c>
      <c r="C129" s="33">
        <f t="shared" si="69"/>
        <v>0</v>
      </c>
      <c r="D129" s="33">
        <f t="shared" si="70"/>
        <v>0</v>
      </c>
      <c r="E129" s="34">
        <f t="shared" si="71"/>
        <v>0</v>
      </c>
      <c r="F129" s="8">
        <f t="shared" si="72"/>
        <v>0</v>
      </c>
      <c r="G129" s="23"/>
      <c r="H129" s="23"/>
      <c r="I129" s="48">
        <f t="shared" si="73"/>
        <v>0</v>
      </c>
      <c r="J129" s="48">
        <f t="shared" si="74"/>
        <v>0</v>
      </c>
      <c r="K129" s="21"/>
      <c r="L129" s="19" t="str">
        <f>Price!A129</f>
        <v xml:space="preserve">          </v>
      </c>
      <c r="M129" s="6">
        <f>Price!B129</f>
        <v>0</v>
      </c>
      <c r="N129" s="6">
        <f>Price!C129</f>
        <v>0</v>
      </c>
      <c r="O129" s="876">
        <f>Price!D129</f>
        <v>0</v>
      </c>
      <c r="P129" s="7"/>
      <c r="Q129" s="8">
        <f t="shared" si="57"/>
        <v>0</v>
      </c>
      <c r="R129" s="107">
        <f>Price!F129</f>
        <v>0</v>
      </c>
      <c r="S129" s="76"/>
      <c r="T129" s="3">
        <f>Price!G129</f>
        <v>0</v>
      </c>
      <c r="U129" s="3">
        <f>Price!H129</f>
        <v>0</v>
      </c>
      <c r="V129" s="4"/>
      <c r="W129" s="4"/>
      <c r="X129" s="10"/>
      <c r="Y129" s="10"/>
    </row>
    <row r="130" spans="1:25" x14ac:dyDescent="0.25">
      <c r="A130" s="32" t="str">
        <f t="shared" si="67"/>
        <v xml:space="preserve">Aventos HKi słaby Tip-on Onyx      </v>
      </c>
      <c r="B130" s="33" t="str">
        <f t="shared" si="68"/>
        <v>24K2300T</v>
      </c>
      <c r="C130" s="33" t="str">
        <f t="shared" si="69"/>
        <v>OS</v>
      </c>
      <c r="D130" s="33">
        <f t="shared" si="70"/>
        <v>0</v>
      </c>
      <c r="E130" s="34">
        <f t="shared" si="71"/>
        <v>0</v>
      </c>
      <c r="F130" s="8">
        <f t="shared" si="72"/>
        <v>891.34664000000009</v>
      </c>
      <c r="G130" s="23"/>
      <c r="H130" s="23"/>
      <c r="I130" s="48">
        <f t="shared" si="73"/>
        <v>9348915</v>
      </c>
      <c r="J130" s="48">
        <f t="shared" si="74"/>
        <v>497331</v>
      </c>
      <c r="K130" s="21"/>
      <c r="L130" s="19" t="str">
        <f>Price!A130</f>
        <v xml:space="preserve">Aventos HKi słaby Tip-on Onyx      </v>
      </c>
      <c r="M130" s="6" t="str">
        <f>Price!B130</f>
        <v>24K2300T</v>
      </c>
      <c r="N130" s="6" t="str">
        <f>Price!C130</f>
        <v>OS</v>
      </c>
      <c r="O130" s="876">
        <f>Price!D130</f>
        <v>0</v>
      </c>
      <c r="P130" s="7"/>
      <c r="Q130" s="8">
        <f t="shared" si="57"/>
        <v>891.34664000000009</v>
      </c>
      <c r="R130" s="107">
        <f>Price!F130</f>
        <v>891.34663999999998</v>
      </c>
      <c r="S130" s="76"/>
      <c r="T130" s="3">
        <f>Price!G130</f>
        <v>9348915</v>
      </c>
      <c r="U130" s="3">
        <f>Price!H130</f>
        <v>497331</v>
      </c>
      <c r="V130" s="4"/>
      <c r="W130" s="4"/>
      <c r="X130" s="10"/>
      <c r="Y130" s="10"/>
    </row>
    <row r="131" spans="1:25" x14ac:dyDescent="0.25">
      <c r="A131" s="32" t="str">
        <f t="shared" si="67"/>
        <v xml:space="preserve">Aventos HKi średni Tip-on Onyx      </v>
      </c>
      <c r="B131" s="33" t="str">
        <f t="shared" si="68"/>
        <v>24K2500T</v>
      </c>
      <c r="C131" s="33" t="str">
        <f t="shared" si="69"/>
        <v>OS</v>
      </c>
      <c r="D131" s="33">
        <f t="shared" si="70"/>
        <v>0</v>
      </c>
      <c r="E131" s="34">
        <f t="shared" si="71"/>
        <v>0</v>
      </c>
      <c r="F131" s="8">
        <f t="shared" si="72"/>
        <v>891.34664000000009</v>
      </c>
      <c r="G131" s="23"/>
      <c r="H131" s="23"/>
      <c r="I131" s="48">
        <f t="shared" si="73"/>
        <v>3988041</v>
      </c>
      <c r="J131" s="48">
        <f t="shared" si="74"/>
        <v>497332</v>
      </c>
      <c r="K131" s="21"/>
      <c r="L131" s="19" t="str">
        <f>Price!A131</f>
        <v xml:space="preserve">Aventos HKi średni Tip-on Onyx      </v>
      </c>
      <c r="M131" s="6" t="str">
        <f>Price!B131</f>
        <v>24K2500T</v>
      </c>
      <c r="N131" s="6" t="str">
        <f>Price!C131</f>
        <v>OS</v>
      </c>
      <c r="O131" s="876">
        <f>Price!D131</f>
        <v>0</v>
      </c>
      <c r="P131" s="7"/>
      <c r="Q131" s="8">
        <f t="shared" si="57"/>
        <v>891.34664000000009</v>
      </c>
      <c r="R131" s="107">
        <f>Price!F131</f>
        <v>891.34663999999998</v>
      </c>
      <c r="S131" s="76"/>
      <c r="T131" s="3">
        <f>Price!G131</f>
        <v>3988041</v>
      </c>
      <c r="U131" s="3">
        <f>Price!H131</f>
        <v>497332</v>
      </c>
      <c r="V131" s="4"/>
      <c r="W131" s="4"/>
      <c r="X131" s="10"/>
      <c r="Y131" s="10"/>
    </row>
    <row r="132" spans="1:25" x14ac:dyDescent="0.25">
      <c r="A132" s="32" t="str">
        <f t="shared" si="67"/>
        <v xml:space="preserve">Aventos HKi silny Tip-on Onyx      </v>
      </c>
      <c r="B132" s="33" t="str">
        <f t="shared" si="68"/>
        <v>24K2700T</v>
      </c>
      <c r="C132" s="33" t="str">
        <f t="shared" si="69"/>
        <v>OS</v>
      </c>
      <c r="D132" s="33">
        <f t="shared" si="70"/>
        <v>0</v>
      </c>
      <c r="E132" s="34">
        <f t="shared" si="71"/>
        <v>0</v>
      </c>
      <c r="F132" s="8">
        <f t="shared" si="72"/>
        <v>916.86846999999989</v>
      </c>
      <c r="G132" s="23"/>
      <c r="H132" s="23"/>
      <c r="I132" s="48">
        <f t="shared" si="73"/>
        <v>3401692</v>
      </c>
      <c r="J132" s="48">
        <f t="shared" si="74"/>
        <v>497333</v>
      </c>
      <c r="K132" s="21"/>
      <c r="L132" s="19" t="str">
        <f>Price!A132</f>
        <v xml:space="preserve">Aventos HKi silny Tip-on Onyx      </v>
      </c>
      <c r="M132" s="6" t="str">
        <f>Price!B132</f>
        <v>24K2700T</v>
      </c>
      <c r="N132" s="6" t="str">
        <f>Price!C132</f>
        <v>OS</v>
      </c>
      <c r="O132" s="876">
        <f>Price!D132</f>
        <v>0</v>
      </c>
      <c r="P132" s="7"/>
      <c r="Q132" s="8">
        <f t="shared" si="57"/>
        <v>916.86846999999989</v>
      </c>
      <c r="R132" s="107">
        <f>Price!F132</f>
        <v>916.86847</v>
      </c>
      <c r="S132" s="76"/>
      <c r="T132" s="3">
        <f>Price!G132</f>
        <v>3401692</v>
      </c>
      <c r="U132" s="3">
        <f>Price!H132</f>
        <v>497333</v>
      </c>
      <c r="V132" s="4"/>
      <c r="W132" s="4"/>
      <c r="X132" s="10"/>
      <c r="Y132" s="10"/>
    </row>
    <row r="133" spans="1:25" x14ac:dyDescent="0.25">
      <c r="A133" s="32" t="str">
        <f t="shared" si="67"/>
        <v xml:space="preserve">Aventos HKi najsilniejszy Tip-on Onyx      </v>
      </c>
      <c r="B133" s="33" t="str">
        <f t="shared" si="68"/>
        <v>24K2800T</v>
      </c>
      <c r="C133" s="33" t="str">
        <f t="shared" si="69"/>
        <v>OS</v>
      </c>
      <c r="D133" s="33">
        <f t="shared" si="70"/>
        <v>0</v>
      </c>
      <c r="E133" s="34">
        <f t="shared" si="71"/>
        <v>0</v>
      </c>
      <c r="F133" s="8">
        <f t="shared" si="72"/>
        <v>955.10937000000001</v>
      </c>
      <c r="G133" s="23"/>
      <c r="H133" s="23"/>
      <c r="I133" s="48">
        <f t="shared" si="73"/>
        <v>3061597</v>
      </c>
      <c r="J133" s="48">
        <f t="shared" si="74"/>
        <v>497334</v>
      </c>
      <c r="K133" s="21"/>
      <c r="L133" s="19" t="str">
        <f>Price!A133</f>
        <v xml:space="preserve">Aventos HKi najsilniejszy Tip-on Onyx      </v>
      </c>
      <c r="M133" s="6" t="str">
        <f>Price!B133</f>
        <v>24K2800T</v>
      </c>
      <c r="N133" s="6" t="str">
        <f>Price!C133</f>
        <v>OS</v>
      </c>
      <c r="O133" s="876">
        <f>Price!D133</f>
        <v>0</v>
      </c>
      <c r="P133" s="7"/>
      <c r="Q133" s="8">
        <f t="shared" si="57"/>
        <v>955.10937000000001</v>
      </c>
      <c r="R133" s="107">
        <f>Price!F133</f>
        <v>955.10937000000001</v>
      </c>
      <c r="S133" s="76"/>
      <c r="T133" s="3">
        <f>Price!G133</f>
        <v>3061597</v>
      </c>
      <c r="U133" s="3">
        <f>Price!H133</f>
        <v>497334</v>
      </c>
      <c r="V133" s="4"/>
      <c r="W133" s="4"/>
      <c r="X133" s="10"/>
      <c r="Y133" s="10"/>
    </row>
    <row r="134" spans="1:25" x14ac:dyDescent="0.25">
      <c r="A134" s="32" t="str">
        <f t="shared" si="67"/>
        <v xml:space="preserve">          </v>
      </c>
      <c r="B134" s="33">
        <f t="shared" si="68"/>
        <v>0</v>
      </c>
      <c r="C134" s="33">
        <f t="shared" si="69"/>
        <v>0</v>
      </c>
      <c r="D134" s="33">
        <f t="shared" si="70"/>
        <v>0</v>
      </c>
      <c r="E134" s="34">
        <f t="shared" si="71"/>
        <v>0</v>
      </c>
      <c r="F134" s="8">
        <f t="shared" si="72"/>
        <v>0</v>
      </c>
      <c r="G134" s="23"/>
      <c r="H134" s="23"/>
      <c r="I134" s="48">
        <f t="shared" si="73"/>
        <v>0</v>
      </c>
      <c r="J134" s="48">
        <f t="shared" si="74"/>
        <v>0</v>
      </c>
      <c r="K134" s="21"/>
      <c r="L134" s="19" t="str">
        <f>Price!A134</f>
        <v xml:space="preserve">          </v>
      </c>
      <c r="M134" s="6">
        <f>Price!B134</f>
        <v>0</v>
      </c>
      <c r="N134" s="6">
        <f>Price!C134</f>
        <v>0</v>
      </c>
      <c r="O134" s="876">
        <f>Price!D134</f>
        <v>0</v>
      </c>
      <c r="P134" s="7"/>
      <c r="Q134" s="8">
        <f t="shared" si="57"/>
        <v>0</v>
      </c>
      <c r="R134" s="107">
        <f>Price!F134</f>
        <v>0</v>
      </c>
      <c r="S134" s="76"/>
      <c r="T134" s="3">
        <f>Price!G134</f>
        <v>0</v>
      </c>
      <c r="U134" s="3">
        <f>Price!H134</f>
        <v>0</v>
      </c>
      <c r="V134" s="4"/>
      <c r="W134" s="4"/>
      <c r="X134" s="10"/>
      <c r="Y134" s="10"/>
    </row>
    <row r="135" spans="1:25" x14ac:dyDescent="0.25">
      <c r="A135" s="32" t="str">
        <f t="shared" si="67"/>
        <v xml:space="preserve">Aventos HKi mocowanie frontu Expando Onyx     </v>
      </c>
      <c r="B135" s="33" t="str">
        <f t="shared" si="68"/>
        <v>24K42E1</v>
      </c>
      <c r="C135" s="33" t="str">
        <f t="shared" si="69"/>
        <v>OS</v>
      </c>
      <c r="D135" s="33">
        <f t="shared" si="70"/>
        <v>0</v>
      </c>
      <c r="E135" s="34">
        <f t="shared" si="71"/>
        <v>0</v>
      </c>
      <c r="F135" s="8">
        <f t="shared" si="72"/>
        <v>22.944630000000004</v>
      </c>
      <c r="G135" s="23"/>
      <c r="H135" s="23"/>
      <c r="I135" s="48">
        <f t="shared" si="73"/>
        <v>4845277</v>
      </c>
      <c r="J135" s="48">
        <f t="shared" si="74"/>
        <v>497336</v>
      </c>
      <c r="K135" s="21"/>
      <c r="L135" s="19" t="str">
        <f>Price!A135</f>
        <v xml:space="preserve">Aventos HKi mocowanie frontu Expando Onyx     </v>
      </c>
      <c r="M135" s="6" t="str">
        <f>Price!B135</f>
        <v>24K42E1</v>
      </c>
      <c r="N135" s="6" t="str">
        <f>Price!C135</f>
        <v>OS</v>
      </c>
      <c r="O135" s="876">
        <f>Price!D135</f>
        <v>0</v>
      </c>
      <c r="P135" s="7"/>
      <c r="Q135" s="8">
        <f t="shared" si="57"/>
        <v>22.944630000000004</v>
      </c>
      <c r="R135" s="107">
        <f>Price!F135</f>
        <v>22.94463</v>
      </c>
      <c r="S135" s="76"/>
      <c r="T135" s="3">
        <f>Price!G135</f>
        <v>4845277</v>
      </c>
      <c r="U135" s="3">
        <f>Price!H135</f>
        <v>497336</v>
      </c>
      <c r="V135" s="4"/>
      <c r="W135" s="4"/>
      <c r="X135" s="10"/>
      <c r="Y135" s="10"/>
    </row>
    <row r="136" spans="1:25" x14ac:dyDescent="0.25">
      <c r="A136" s="32" t="str">
        <f t="shared" si="67"/>
        <v xml:space="preserve">Aventos HKi mocowanie frontu alu ramki Onyx    </v>
      </c>
      <c r="B136" s="33" t="str">
        <f t="shared" si="68"/>
        <v>24K4201A</v>
      </c>
      <c r="C136" s="33" t="str">
        <f t="shared" si="69"/>
        <v>OS</v>
      </c>
      <c r="D136" s="33">
        <f t="shared" si="70"/>
        <v>0</v>
      </c>
      <c r="E136" s="34">
        <f t="shared" si="71"/>
        <v>0</v>
      </c>
      <c r="F136" s="8">
        <f t="shared" si="72"/>
        <v>25.238869999999999</v>
      </c>
      <c r="G136" s="23"/>
      <c r="H136" s="23"/>
      <c r="I136" s="48">
        <f t="shared" si="73"/>
        <v>2551910</v>
      </c>
      <c r="J136" s="48">
        <f t="shared" si="74"/>
        <v>497337</v>
      </c>
      <c r="K136" s="21"/>
      <c r="L136" s="19" t="str">
        <f>Price!A136</f>
        <v xml:space="preserve">Aventos HKi mocowanie frontu alu ramki Onyx    </v>
      </c>
      <c r="M136" s="6" t="str">
        <f>Price!B136</f>
        <v>24K4201A</v>
      </c>
      <c r="N136" s="6" t="str">
        <f>Price!C136</f>
        <v>OS</v>
      </c>
      <c r="O136" s="876">
        <f>Price!D136</f>
        <v>0</v>
      </c>
      <c r="P136" s="7"/>
      <c r="Q136" s="8">
        <f t="shared" si="57"/>
        <v>25.238869999999999</v>
      </c>
      <c r="R136" s="107">
        <f>Price!F136</f>
        <v>25.238869999999999</v>
      </c>
      <c r="S136" s="76"/>
      <c r="T136" s="3">
        <f>Price!G136</f>
        <v>2551910</v>
      </c>
      <c r="U136" s="3">
        <f>Price!H136</f>
        <v>497337</v>
      </c>
      <c r="V136" s="4"/>
      <c r="W136" s="4"/>
      <c r="X136" s="10"/>
      <c r="Y136" s="10"/>
    </row>
    <row r="137" spans="1:25" x14ac:dyDescent="0.25">
      <c r="A137" s="32" t="str">
        <f t="shared" si="67"/>
        <v xml:space="preserve">          </v>
      </c>
      <c r="B137" s="33">
        <f t="shared" si="68"/>
        <v>0</v>
      </c>
      <c r="C137" s="33">
        <f t="shared" si="69"/>
        <v>0</v>
      </c>
      <c r="D137" s="33">
        <f t="shared" si="70"/>
        <v>0</v>
      </c>
      <c r="E137" s="34">
        <f t="shared" si="71"/>
        <v>0</v>
      </c>
      <c r="F137" s="8">
        <f t="shared" si="72"/>
        <v>0</v>
      </c>
      <c r="G137" s="23"/>
      <c r="H137" s="23"/>
      <c r="I137" s="48">
        <f t="shared" si="73"/>
        <v>0</v>
      </c>
      <c r="J137" s="48">
        <f t="shared" si="74"/>
        <v>0</v>
      </c>
      <c r="K137" s="21"/>
      <c r="L137" s="19" t="str">
        <f>Price!A137</f>
        <v xml:space="preserve">          </v>
      </c>
      <c r="M137" s="6">
        <f>Price!B137</f>
        <v>0</v>
      </c>
      <c r="N137" s="6">
        <f>Price!C137</f>
        <v>0</v>
      </c>
      <c r="O137" s="876">
        <f>Price!D137</f>
        <v>0</v>
      </c>
      <c r="P137" s="7"/>
      <c r="Q137" s="8">
        <f t="shared" si="57"/>
        <v>0</v>
      </c>
      <c r="R137" s="107">
        <f>Price!F137</f>
        <v>0</v>
      </c>
      <c r="S137" s="76"/>
      <c r="T137" s="3">
        <f>Price!G137</f>
        <v>0</v>
      </c>
      <c r="U137" s="3">
        <f>Price!H137</f>
        <v>0</v>
      </c>
      <c r="V137" s="4"/>
      <c r="W137" s="4"/>
      <c r="X137" s="10"/>
      <c r="Y137" s="10"/>
    </row>
    <row r="138" spans="1:25" x14ac:dyDescent="0.25">
      <c r="A138" s="32" t="str">
        <f t="shared" si="67"/>
        <v xml:space="preserve">Aventos HKi zestaw zaślepek jedwabiście biały SW    </v>
      </c>
      <c r="B138" s="33" t="str">
        <f t="shared" si="68"/>
        <v>24K8000</v>
      </c>
      <c r="C138" s="33" t="str">
        <f t="shared" si="69"/>
        <v>SW</v>
      </c>
      <c r="D138" s="33">
        <f t="shared" si="70"/>
        <v>0</v>
      </c>
      <c r="E138" s="34">
        <f t="shared" si="71"/>
        <v>0</v>
      </c>
      <c r="F138" s="8">
        <f t="shared" si="72"/>
        <v>75.625519999999995</v>
      </c>
      <c r="G138" s="23"/>
      <c r="H138" s="23"/>
      <c r="I138" s="48">
        <f t="shared" si="73"/>
        <v>6690522</v>
      </c>
      <c r="J138" s="48">
        <f t="shared" si="74"/>
        <v>497339</v>
      </c>
      <c r="K138" s="21"/>
      <c r="L138" s="19" t="str">
        <f>Price!A138</f>
        <v xml:space="preserve">Aventos HKi zestaw zaślepek jedwabiście biały SW    </v>
      </c>
      <c r="M138" s="6" t="str">
        <f>Price!B138</f>
        <v>24K8000</v>
      </c>
      <c r="N138" s="6" t="str">
        <f>Price!C138</f>
        <v>SW</v>
      </c>
      <c r="O138" s="876">
        <f>Price!D138</f>
        <v>0</v>
      </c>
      <c r="P138" s="7"/>
      <c r="Q138" s="8">
        <f t="shared" si="57"/>
        <v>75.625519999999995</v>
      </c>
      <c r="R138" s="107">
        <f>Price!F138</f>
        <v>75.625519999999995</v>
      </c>
      <c r="S138" s="76"/>
      <c r="T138" s="3">
        <f>Price!G138</f>
        <v>6690522</v>
      </c>
      <c r="U138" s="3">
        <f>Price!H138</f>
        <v>497339</v>
      </c>
      <c r="V138" s="4"/>
      <c r="W138" s="4"/>
      <c r="X138" s="10"/>
      <c r="Y138" s="10"/>
    </row>
    <row r="139" spans="1:25" x14ac:dyDescent="0.25">
      <c r="A139" s="32" t="str">
        <f t="shared" si="67"/>
        <v xml:space="preserve">Aventos HKi zestaw zaślepek szary HG     </v>
      </c>
      <c r="B139" s="33" t="str">
        <f t="shared" si="68"/>
        <v>24K8000</v>
      </c>
      <c r="C139" s="33" t="str">
        <f t="shared" si="69"/>
        <v>HGR</v>
      </c>
      <c r="D139" s="33">
        <f t="shared" si="70"/>
        <v>0</v>
      </c>
      <c r="E139" s="34">
        <f t="shared" si="71"/>
        <v>0</v>
      </c>
      <c r="F139" s="8">
        <f t="shared" si="72"/>
        <v>73.422380000000004</v>
      </c>
      <c r="G139" s="23"/>
      <c r="H139" s="23"/>
      <c r="I139" s="48">
        <f t="shared" si="73"/>
        <v>2627505</v>
      </c>
      <c r="J139" s="48">
        <f t="shared" si="74"/>
        <v>497340</v>
      </c>
      <c r="K139" s="21"/>
      <c r="L139" s="19" t="str">
        <f>Price!A139</f>
        <v xml:space="preserve">Aventos HKi zestaw zaślepek szary HG     </v>
      </c>
      <c r="M139" s="6" t="str">
        <f>Price!B139</f>
        <v>24K8000</v>
      </c>
      <c r="N139" s="6" t="str">
        <f>Price!C139</f>
        <v>HGR</v>
      </c>
      <c r="O139" s="876">
        <f>Price!D139</f>
        <v>0</v>
      </c>
      <c r="P139" s="7"/>
      <c r="Q139" s="8">
        <f t="shared" si="57"/>
        <v>73.422380000000004</v>
      </c>
      <c r="R139" s="107">
        <f>Price!F139</f>
        <v>73.422380000000004</v>
      </c>
      <c r="S139" s="76"/>
      <c r="T139" s="3">
        <f>Price!G139</f>
        <v>2627505</v>
      </c>
      <c r="U139" s="3">
        <f>Price!H139</f>
        <v>497340</v>
      </c>
      <c r="V139" s="4"/>
      <c r="W139" s="4"/>
      <c r="X139" s="10"/>
      <c r="Y139" s="10"/>
    </row>
    <row r="140" spans="1:25" x14ac:dyDescent="0.25">
      <c r="A140" s="32" t="str">
        <f t="shared" si="67"/>
        <v xml:space="preserve">24K8000 Aventos Hki zestaw zaślepek ciemnoszary TG    </v>
      </c>
      <c r="B140" s="33" t="str">
        <f t="shared" si="68"/>
        <v>24K8000</v>
      </c>
      <c r="C140" s="33" t="str">
        <f t="shared" si="69"/>
        <v>TGR</v>
      </c>
      <c r="D140" s="33">
        <f t="shared" si="70"/>
        <v>0</v>
      </c>
      <c r="E140" s="34">
        <f t="shared" si="71"/>
        <v>0</v>
      </c>
      <c r="F140" s="8">
        <f t="shared" si="72"/>
        <v>75.625519999999995</v>
      </c>
      <c r="G140" s="23"/>
      <c r="H140" s="23"/>
      <c r="I140" s="48">
        <f t="shared" si="73"/>
        <v>4948789</v>
      </c>
      <c r="J140" s="48">
        <f t="shared" si="74"/>
        <v>497341</v>
      </c>
      <c r="K140" s="21"/>
      <c r="L140" s="19" t="str">
        <f>Price!A140</f>
        <v xml:space="preserve">24K8000 Aventos Hki zestaw zaślepek ciemnoszary TG    </v>
      </c>
      <c r="M140" s="6" t="str">
        <f>Price!B140</f>
        <v>24K8000</v>
      </c>
      <c r="N140" s="6" t="str">
        <f>Price!C140</f>
        <v>TGR</v>
      </c>
      <c r="O140" s="876">
        <f>Price!D140</f>
        <v>0</v>
      </c>
      <c r="P140" s="7"/>
      <c r="Q140" s="8">
        <f t="shared" si="57"/>
        <v>75.625519999999995</v>
      </c>
      <c r="R140" s="107">
        <f>Price!F140</f>
        <v>75.625519999999995</v>
      </c>
      <c r="S140" s="76"/>
      <c r="T140" s="3">
        <f>Price!G140</f>
        <v>4948789</v>
      </c>
      <c r="U140" s="3">
        <f>Price!H140</f>
        <v>497341</v>
      </c>
      <c r="V140" s="4"/>
      <c r="W140" s="4"/>
      <c r="X140" s="10"/>
      <c r="Y140" s="10"/>
    </row>
    <row r="141" spans="1:25" x14ac:dyDescent="0.25">
      <c r="A141" s="32" t="str">
        <f t="shared" si="67"/>
        <v xml:space="preserve">          </v>
      </c>
      <c r="B141" s="33">
        <f t="shared" si="68"/>
        <v>0</v>
      </c>
      <c r="C141" s="33">
        <f t="shared" si="69"/>
        <v>0</v>
      </c>
      <c r="D141" s="33">
        <f t="shared" si="70"/>
        <v>0</v>
      </c>
      <c r="E141" s="34">
        <f t="shared" si="71"/>
        <v>0</v>
      </c>
      <c r="F141" s="8">
        <f t="shared" si="72"/>
        <v>0</v>
      </c>
      <c r="G141" s="23"/>
      <c r="H141" s="23"/>
      <c r="I141" s="48">
        <f t="shared" si="73"/>
        <v>0</v>
      </c>
      <c r="J141" s="48">
        <f t="shared" si="74"/>
        <v>0</v>
      </c>
      <c r="K141" s="21"/>
      <c r="L141" s="19" t="str">
        <f>Price!A141</f>
        <v xml:space="preserve">          </v>
      </c>
      <c r="M141" s="6">
        <f>Price!B141</f>
        <v>0</v>
      </c>
      <c r="N141" s="6">
        <f>Price!C141</f>
        <v>0</v>
      </c>
      <c r="O141" s="876">
        <f>Price!D141</f>
        <v>0</v>
      </c>
      <c r="P141" s="7"/>
      <c r="Q141" s="8">
        <f t="shared" si="57"/>
        <v>0</v>
      </c>
      <c r="R141" s="107">
        <f>Price!F141</f>
        <v>0</v>
      </c>
      <c r="S141" s="76"/>
      <c r="T141" s="3">
        <f>Price!G141</f>
        <v>0</v>
      </c>
      <c r="U141" s="3">
        <f>Price!H141</f>
        <v>0</v>
      </c>
      <c r="V141" s="4"/>
      <c r="W141" s="4"/>
      <c r="X141" s="10"/>
      <c r="Y141" s="10"/>
    </row>
    <row r="142" spans="1:25" x14ac:dyDescent="0.25">
      <c r="A142" s="32" t="str">
        <f t="shared" si="67"/>
        <v xml:space="preserve">          </v>
      </c>
      <c r="B142" s="33">
        <f t="shared" si="68"/>
        <v>0</v>
      </c>
      <c r="C142" s="33">
        <f t="shared" si="69"/>
        <v>0</v>
      </c>
      <c r="D142" s="33">
        <f t="shared" si="70"/>
        <v>0</v>
      </c>
      <c r="E142" s="34">
        <f t="shared" si="71"/>
        <v>0</v>
      </c>
      <c r="F142" s="8">
        <f t="shared" si="72"/>
        <v>0</v>
      </c>
      <c r="G142" s="23"/>
      <c r="H142" s="23"/>
      <c r="I142" s="48">
        <f t="shared" si="73"/>
        <v>0</v>
      </c>
      <c r="J142" s="48">
        <f t="shared" si="74"/>
        <v>0</v>
      </c>
      <c r="K142" s="21"/>
      <c r="L142" s="19" t="str">
        <f>Price!A142</f>
        <v xml:space="preserve">          </v>
      </c>
      <c r="M142" s="6">
        <f>Price!B142</f>
        <v>0</v>
      </c>
      <c r="N142" s="6">
        <f>Price!C142</f>
        <v>0</v>
      </c>
      <c r="O142" s="876">
        <f>Price!D142</f>
        <v>0</v>
      </c>
      <c r="P142" s="7"/>
      <c r="Q142" s="8">
        <f t="shared" si="57"/>
        <v>0</v>
      </c>
      <c r="R142" s="107">
        <f>Price!F142</f>
        <v>0</v>
      </c>
      <c r="S142" s="76"/>
      <c r="T142" s="3">
        <f>Price!G142</f>
        <v>0</v>
      </c>
      <c r="U142" s="3">
        <f>Price!H142</f>
        <v>0</v>
      </c>
      <c r="V142" s="4"/>
      <c r="W142" s="4"/>
      <c r="X142" s="10"/>
      <c r="Y142" s="10"/>
    </row>
    <row r="143" spans="1:25" x14ac:dyDescent="0.25">
      <c r="A143" s="32" t="str">
        <f t="shared" si="67"/>
        <v xml:space="preserve">Szablon do znakowania z kołkami do HK Top   </v>
      </c>
      <c r="B143" s="33" t="str">
        <f t="shared" si="68"/>
        <v>ZML.2200</v>
      </c>
      <c r="C143" s="33" t="str">
        <f t="shared" si="69"/>
        <v>OR</v>
      </c>
      <c r="D143" s="33">
        <f t="shared" si="70"/>
        <v>0</v>
      </c>
      <c r="E143" s="34">
        <f t="shared" si="71"/>
        <v>0</v>
      </c>
      <c r="F143" s="8">
        <f t="shared" si="72"/>
        <v>106.17119999999998</v>
      </c>
      <c r="G143" s="23"/>
      <c r="H143" s="23"/>
      <c r="I143" s="48">
        <f t="shared" si="73"/>
        <v>4719614</v>
      </c>
      <c r="J143" s="48">
        <f t="shared" si="74"/>
        <v>393783</v>
      </c>
      <c r="K143" s="11"/>
      <c r="L143" s="19" t="str">
        <f>Price!A143</f>
        <v xml:space="preserve">Szablon do znakowania z kołkami do HK Top   </v>
      </c>
      <c r="M143" s="6" t="str">
        <f>Price!B143</f>
        <v>ZML.2200</v>
      </c>
      <c r="N143" s="6" t="str">
        <f>Price!C143</f>
        <v>OR</v>
      </c>
      <c r="O143" s="88">
        <f>Price!D143</f>
        <v>0</v>
      </c>
      <c r="P143" s="7"/>
      <c r="Q143" s="8">
        <f>R143*(100-$F$6)/100</f>
        <v>106.17119999999998</v>
      </c>
      <c r="R143" s="107">
        <f>Price!F143</f>
        <v>106.1712</v>
      </c>
      <c r="S143" s="76"/>
      <c r="T143" s="3">
        <f>Price!G143</f>
        <v>4719614</v>
      </c>
      <c r="U143" s="3">
        <f>Price!H143</f>
        <v>393783</v>
      </c>
      <c r="V143" s="4"/>
      <c r="W143" s="4"/>
      <c r="X143" s="10"/>
      <c r="Y143" s="10"/>
    </row>
    <row r="144" spans="1:25" x14ac:dyDescent="0.25">
      <c r="A144" s="32" t="str">
        <f t="shared" ref="A144:F145" si="75">L144</f>
        <v xml:space="preserve">Zestaw wstępnie wyfrezowanych półfabrykatów HKi      </v>
      </c>
      <c r="B144" s="33" t="str">
        <f t="shared" si="75"/>
        <v>24K7100</v>
      </c>
      <c r="C144" s="33" t="str">
        <f t="shared" si="75"/>
        <v>NA</v>
      </c>
      <c r="D144" s="33">
        <f t="shared" si="75"/>
        <v>0</v>
      </c>
      <c r="E144" s="34">
        <f t="shared" si="75"/>
        <v>0</v>
      </c>
      <c r="F144" s="8">
        <f t="shared" si="75"/>
        <v>314.61586999999997</v>
      </c>
      <c r="G144" s="23"/>
      <c r="H144" s="23"/>
      <c r="I144" s="48">
        <f>T144</f>
        <v>6883114</v>
      </c>
      <c r="J144" s="48">
        <f>U144</f>
        <v>503313</v>
      </c>
      <c r="K144" s="11"/>
      <c r="L144" s="19" t="str">
        <f>Price!A144</f>
        <v xml:space="preserve">Zestaw wstępnie wyfrezowanych półfabrykatów HKi      </v>
      </c>
      <c r="M144" s="6" t="str">
        <f>Price!B144</f>
        <v>24K7100</v>
      </c>
      <c r="N144" s="6" t="str">
        <f>Price!C144</f>
        <v>NA</v>
      </c>
      <c r="O144" s="88">
        <f>Price!D144</f>
        <v>0</v>
      </c>
      <c r="P144" s="7"/>
      <c r="Q144" s="8">
        <f>R144*(100-$F$6)/100</f>
        <v>314.61586999999997</v>
      </c>
      <c r="R144" s="107">
        <f>Price!F144</f>
        <v>314.61586999999997</v>
      </c>
      <c r="S144" s="76"/>
      <c r="T144" s="3">
        <f>Price!G144</f>
        <v>6883114</v>
      </c>
      <c r="U144" s="3">
        <f>Price!H144</f>
        <v>503313</v>
      </c>
      <c r="V144" s="4"/>
      <c r="W144" s="4"/>
      <c r="X144" s="10"/>
      <c r="Y144" s="10"/>
    </row>
    <row r="145" spans="1:25" x14ac:dyDescent="0.25">
      <c r="A145" s="32" t="str">
        <f t="shared" si="75"/>
        <v xml:space="preserve">Podkładka do Aventos HKi       </v>
      </c>
      <c r="B145" s="33" t="str">
        <f t="shared" si="75"/>
        <v>M45.1010</v>
      </c>
      <c r="C145" s="33" t="str">
        <f t="shared" si="75"/>
        <v>NA</v>
      </c>
      <c r="D145" s="33">
        <f t="shared" si="75"/>
        <v>0</v>
      </c>
      <c r="E145" s="34">
        <f t="shared" si="75"/>
        <v>0</v>
      </c>
      <c r="F145" s="8">
        <f t="shared" si="75"/>
        <v>94.213800000000006</v>
      </c>
      <c r="G145" s="23"/>
      <c r="H145" s="23"/>
      <c r="I145" s="48">
        <f>T145</f>
        <v>7376602</v>
      </c>
      <c r="J145" s="48">
        <f>U145</f>
        <v>503317</v>
      </c>
      <c r="K145" s="11"/>
      <c r="L145" s="19" t="str">
        <f>Price!A145</f>
        <v xml:space="preserve">Podkładka do Aventos HKi       </v>
      </c>
      <c r="M145" s="6" t="str">
        <f>Price!B145</f>
        <v>M45.1010</v>
      </c>
      <c r="N145" s="6" t="str">
        <f>Price!C145</f>
        <v>NA</v>
      </c>
      <c r="O145" s="88">
        <f>Price!D145</f>
        <v>0</v>
      </c>
      <c r="P145" s="7"/>
      <c r="Q145" s="8">
        <f>R145*(100-$F$6)/100</f>
        <v>94.213800000000006</v>
      </c>
      <c r="R145" s="107">
        <f>Price!F145</f>
        <v>94.213800000000006</v>
      </c>
      <c r="S145" s="76"/>
      <c r="T145" s="3">
        <f>Price!G145</f>
        <v>7376602</v>
      </c>
      <c r="U145" s="3">
        <f>Price!H145</f>
        <v>503317</v>
      </c>
      <c r="V145" s="4"/>
      <c r="W145" s="4"/>
      <c r="X145" s="10"/>
      <c r="Y145" s="10"/>
    </row>
    <row r="146" spans="1:25" x14ac:dyDescent="0.25">
      <c r="A146" s="32" t="str">
        <f t="shared" si="67"/>
        <v xml:space="preserve">          </v>
      </c>
      <c r="B146" s="33">
        <f t="shared" si="68"/>
        <v>0</v>
      </c>
      <c r="C146" s="33">
        <f t="shared" si="69"/>
        <v>0</v>
      </c>
      <c r="D146" s="33">
        <f t="shared" si="70"/>
        <v>0</v>
      </c>
      <c r="E146" s="34">
        <f t="shared" si="71"/>
        <v>0</v>
      </c>
      <c r="F146" s="8">
        <f t="shared" si="72"/>
        <v>0</v>
      </c>
      <c r="G146" s="23"/>
      <c r="H146" s="23"/>
      <c r="I146" s="48">
        <f t="shared" si="73"/>
        <v>0</v>
      </c>
      <c r="J146" s="48">
        <f t="shared" si="74"/>
        <v>0</v>
      </c>
      <c r="K146" s="21"/>
      <c r="L146" s="19" t="str">
        <f>Price!A146</f>
        <v xml:space="preserve">          </v>
      </c>
      <c r="M146" s="6">
        <f>Price!B146</f>
        <v>0</v>
      </c>
      <c r="N146" s="6">
        <f>Price!C146</f>
        <v>0</v>
      </c>
      <c r="O146" s="876">
        <f>Price!D146</f>
        <v>0</v>
      </c>
      <c r="P146" s="7"/>
      <c r="Q146" s="8">
        <f t="shared" si="57"/>
        <v>0</v>
      </c>
      <c r="R146" s="107">
        <f>Price!F146</f>
        <v>0</v>
      </c>
      <c r="S146" s="76"/>
      <c r="T146" s="3">
        <f>Price!G146</f>
        <v>0</v>
      </c>
      <c r="U146" s="3">
        <f>Price!H146</f>
        <v>0</v>
      </c>
      <c r="V146" s="4"/>
      <c r="W146" s="4"/>
      <c r="X146" s="10"/>
      <c r="Y146" s="10"/>
    </row>
    <row r="147" spans="1:25" x14ac:dyDescent="0.25">
      <c r="A147" s="32" t="str">
        <f t="shared" si="67"/>
        <v xml:space="preserve">          </v>
      </c>
      <c r="B147" s="33">
        <f t="shared" si="68"/>
        <v>0</v>
      </c>
      <c r="C147" s="33">
        <f t="shared" si="69"/>
        <v>0</v>
      </c>
      <c r="D147" s="33">
        <f t="shared" si="70"/>
        <v>0</v>
      </c>
      <c r="E147" s="34">
        <f t="shared" si="71"/>
        <v>0</v>
      </c>
      <c r="F147" s="8">
        <f t="shared" si="72"/>
        <v>0</v>
      </c>
      <c r="G147" s="23"/>
      <c r="H147" s="23"/>
      <c r="I147" s="48">
        <f t="shared" si="73"/>
        <v>0</v>
      </c>
      <c r="J147" s="48">
        <f t="shared" si="74"/>
        <v>0</v>
      </c>
      <c r="K147" s="21"/>
      <c r="L147" s="19" t="str">
        <f>Price!A147</f>
        <v xml:space="preserve">          </v>
      </c>
      <c r="M147" s="6">
        <f>Price!B147</f>
        <v>0</v>
      </c>
      <c r="N147" s="6">
        <f>Price!C147</f>
        <v>0</v>
      </c>
      <c r="O147" s="876">
        <f>Price!D147</f>
        <v>0</v>
      </c>
      <c r="P147" s="7"/>
      <c r="Q147" s="8">
        <f t="shared" si="57"/>
        <v>0</v>
      </c>
      <c r="R147" s="107">
        <f>Price!F147</f>
        <v>0</v>
      </c>
      <c r="S147" s="76"/>
      <c r="T147" s="3">
        <f>Price!G147</f>
        <v>0</v>
      </c>
      <c r="U147" s="3">
        <f>Price!H147</f>
        <v>0</v>
      </c>
      <c r="V147" s="4"/>
      <c r="W147" s="4"/>
      <c r="X147" s="10"/>
      <c r="Y147" s="10"/>
    </row>
    <row r="148" spans="1:25" x14ac:dyDescent="0.25">
      <c r="A148" s="32" t="str">
        <f t="shared" si="58"/>
        <v xml:space="preserve">nakładany z tłumieniem wkręt 110°      </v>
      </c>
      <c r="B148" s="33" t="str">
        <f t="shared" si="59"/>
        <v> 71B3550</v>
      </c>
      <c r="C148" s="33" t="str">
        <f t="shared" si="60"/>
        <v>NI</v>
      </c>
      <c r="D148" s="33">
        <f t="shared" si="61"/>
        <v>0</v>
      </c>
      <c r="E148" s="34">
        <f t="shared" si="62"/>
        <v>0</v>
      </c>
      <c r="F148" s="8">
        <f t="shared" ref="F148:F167" si="76">Q148</f>
        <v>10.385860000000001</v>
      </c>
      <c r="G148" s="23"/>
      <c r="H148" s="23"/>
      <c r="I148" s="48">
        <f t="shared" si="63"/>
        <v>8884623</v>
      </c>
      <c r="J148" s="48">
        <f t="shared" si="64"/>
        <v>12047</v>
      </c>
      <c r="K148" s="21"/>
      <c r="L148" s="19" t="str">
        <f>Price!A153</f>
        <v xml:space="preserve">nakładany z tłumieniem wkręt 110°      </v>
      </c>
      <c r="M148" s="6" t="str">
        <f>Price!B153</f>
        <v> 71B3550</v>
      </c>
      <c r="N148" s="6" t="str">
        <f>Price!C153</f>
        <v>NI</v>
      </c>
      <c r="O148" s="88">
        <f>Price!D153</f>
        <v>0</v>
      </c>
      <c r="P148" s="7"/>
      <c r="Q148" s="8">
        <f t="shared" si="57"/>
        <v>10.385860000000001</v>
      </c>
      <c r="R148" s="107">
        <f>Price!F153</f>
        <v>10.385859999999999</v>
      </c>
      <c r="S148" s="76"/>
      <c r="T148" s="3">
        <f>Price!G153</f>
        <v>8884623</v>
      </c>
      <c r="U148" s="67">
        <f>Price!H153</f>
        <v>12047</v>
      </c>
      <c r="V148" s="4"/>
      <c r="W148" s="4"/>
      <c r="X148" s="10"/>
      <c r="Y148" s="10"/>
    </row>
    <row r="149" spans="1:25" x14ac:dyDescent="0.25">
      <c r="A149" s="32" t="str">
        <f t="shared" si="58"/>
        <v xml:space="preserve">nakładany z tłumieniem Expando 110°      </v>
      </c>
      <c r="B149" s="33" t="str">
        <f t="shared" si="59"/>
        <v> 71B358E</v>
      </c>
      <c r="C149" s="33" t="str">
        <f t="shared" si="60"/>
        <v>NI</v>
      </c>
      <c r="D149" s="33">
        <f t="shared" si="61"/>
        <v>0</v>
      </c>
      <c r="E149" s="34">
        <f t="shared" si="62"/>
        <v>0</v>
      </c>
      <c r="F149" s="8">
        <f t="shared" si="76"/>
        <v>10.731</v>
      </c>
      <c r="G149" s="23"/>
      <c r="H149" s="23"/>
      <c r="I149" s="48">
        <f t="shared" si="63"/>
        <v>8885233</v>
      </c>
      <c r="J149" s="48">
        <f t="shared" si="64"/>
        <v>12064</v>
      </c>
      <c r="K149" s="21"/>
      <c r="L149" s="19" t="str">
        <f>Price!A154</f>
        <v xml:space="preserve">nakładany z tłumieniem Expando 110°      </v>
      </c>
      <c r="M149" s="6" t="str">
        <f>Price!B154</f>
        <v> 71B358E</v>
      </c>
      <c r="N149" s="6" t="str">
        <f>Price!C154</f>
        <v>NI</v>
      </c>
      <c r="O149" s="88">
        <f>Price!D154</f>
        <v>0</v>
      </c>
      <c r="P149" s="7"/>
      <c r="Q149" s="8">
        <f>R149*(100-$F$6)/100</f>
        <v>10.731</v>
      </c>
      <c r="R149" s="107">
        <f>Price!F154</f>
        <v>10.731</v>
      </c>
      <c r="S149" s="76"/>
      <c r="T149" s="3">
        <f>Price!G154</f>
        <v>8885233</v>
      </c>
      <c r="U149" s="67">
        <f>Price!H154</f>
        <v>12064</v>
      </c>
      <c r="V149" s="4"/>
      <c r="W149" s="4"/>
      <c r="X149" s="10"/>
      <c r="Y149" s="10"/>
    </row>
    <row r="150" spans="1:25" x14ac:dyDescent="0.25">
      <c r="A150" s="32" t="str">
        <f t="shared" si="58"/>
        <v xml:space="preserve">nakładany Tip-on wkręt 110°       </v>
      </c>
      <c r="B150" s="33" t="str">
        <f t="shared" si="59"/>
        <v> 70T3550.TL</v>
      </c>
      <c r="C150" s="33" t="str">
        <f t="shared" si="60"/>
        <v>NI</v>
      </c>
      <c r="D150" s="33">
        <f t="shared" si="61"/>
        <v>0</v>
      </c>
      <c r="E150" s="34">
        <f t="shared" si="62"/>
        <v>0</v>
      </c>
      <c r="F150" s="8">
        <f t="shared" si="76"/>
        <v>5.6034400000000009</v>
      </c>
      <c r="G150" s="23"/>
      <c r="H150" s="23"/>
      <c r="I150" s="48">
        <f t="shared" si="63"/>
        <v>9001883</v>
      </c>
      <c r="J150" s="48">
        <f t="shared" si="64"/>
        <v>226668</v>
      </c>
      <c r="K150" s="21"/>
      <c r="L150" s="471" t="str">
        <f>Price!A155</f>
        <v xml:space="preserve">nakładany Tip-on wkręt 110°       </v>
      </c>
      <c r="M150" s="472" t="str">
        <f>Price!B155</f>
        <v> 70T3550.TL</v>
      </c>
      <c r="N150" s="472" t="str">
        <f>Price!C155</f>
        <v>NI</v>
      </c>
      <c r="O150" s="476">
        <f>Price!D155</f>
        <v>0</v>
      </c>
      <c r="P150" s="477"/>
      <c r="Q150" s="473">
        <f t="shared" si="57"/>
        <v>5.6034400000000009</v>
      </c>
      <c r="R150" s="478">
        <f>Price!F155</f>
        <v>5.60344</v>
      </c>
      <c r="S150" s="479"/>
      <c r="T150" s="480">
        <f>Price!G155</f>
        <v>9001883</v>
      </c>
      <c r="U150" s="474">
        <f>Price!H155</f>
        <v>226668</v>
      </c>
      <c r="V150" s="4"/>
      <c r="W150" s="4"/>
      <c r="X150" s="10"/>
      <c r="Y150" s="10"/>
    </row>
    <row r="151" spans="1:25" x14ac:dyDescent="0.25">
      <c r="A151" s="32" t="str">
        <f t="shared" si="58"/>
        <v xml:space="preserve">nakładany Tip-on Expando 110°       </v>
      </c>
      <c r="B151" s="33" t="str">
        <f t="shared" si="59"/>
        <v> 70T358E.TL</v>
      </c>
      <c r="C151" s="33" t="str">
        <f t="shared" si="60"/>
        <v>NI</v>
      </c>
      <c r="D151" s="33">
        <f t="shared" si="61"/>
        <v>0</v>
      </c>
      <c r="E151" s="34">
        <f t="shared" si="62"/>
        <v>0</v>
      </c>
      <c r="F151" s="8">
        <f t="shared" si="76"/>
        <v>5.5332499999999989</v>
      </c>
      <c r="G151" s="23"/>
      <c r="H151" s="23"/>
      <c r="I151" s="48">
        <f t="shared" ref="I151:J153" si="77">T151</f>
        <v>9295093</v>
      </c>
      <c r="J151" s="48">
        <f t="shared" si="77"/>
        <v>226669</v>
      </c>
      <c r="K151" s="21"/>
      <c r="L151" s="19" t="str">
        <f>Price!A156</f>
        <v xml:space="preserve">nakładany Tip-on Expando 110°       </v>
      </c>
      <c r="M151" s="6" t="str">
        <f>Price!B156</f>
        <v> 70T358E.TL</v>
      </c>
      <c r="N151" s="6" t="str">
        <f>Price!C156</f>
        <v>NI</v>
      </c>
      <c r="O151" s="88">
        <f>Price!D156</f>
        <v>0</v>
      </c>
      <c r="P151" s="7"/>
      <c r="Q151" s="8">
        <f>R151*(100-$F$6)/100</f>
        <v>5.5332499999999989</v>
      </c>
      <c r="R151" s="107">
        <f>Price!F156</f>
        <v>5.5332499999999998</v>
      </c>
      <c r="S151" s="76"/>
      <c r="T151" s="3">
        <f>Price!G156</f>
        <v>9295093</v>
      </c>
      <c r="U151" s="67">
        <f>Price!H156</f>
        <v>226669</v>
      </c>
      <c r="V151" s="4"/>
      <c r="W151" s="4"/>
      <c r="X151" s="10"/>
      <c r="Y151" s="10"/>
    </row>
    <row r="152" spans="1:25" x14ac:dyDescent="0.25">
      <c r="A152" s="32" t="str">
        <f t="shared" ref="A152:E153" si="78">L152</f>
        <v xml:space="preserve">Zawias do cieńkich materiałów z Blumotion, Expando T, 110°  </v>
      </c>
      <c r="B152" s="33" t="str">
        <f t="shared" si="78"/>
        <v xml:space="preserve"> 71B453T</v>
      </c>
      <c r="C152" s="33" t="str">
        <f t="shared" si="78"/>
        <v>NI</v>
      </c>
      <c r="D152" s="33">
        <f t="shared" si="78"/>
        <v>0</v>
      </c>
      <c r="E152" s="34">
        <f t="shared" si="78"/>
        <v>0</v>
      </c>
      <c r="F152" s="8">
        <f t="shared" si="76"/>
        <v>41.185140000000004</v>
      </c>
      <c r="G152" s="23"/>
      <c r="H152" s="23"/>
      <c r="I152" s="48">
        <f t="shared" si="77"/>
        <v>7021363</v>
      </c>
      <c r="J152" s="481">
        <f t="shared" si="77"/>
        <v>347988</v>
      </c>
      <c r="K152" s="21"/>
      <c r="L152" s="471" t="str">
        <f>Price!A157</f>
        <v xml:space="preserve">Zawias do cieńkich materiałów z Blumotion, Expando T, 110°  </v>
      </c>
      <c r="M152" s="472" t="str">
        <f>Price!B157</f>
        <v xml:space="preserve"> 71B453T</v>
      </c>
      <c r="N152" s="472" t="str">
        <f>Price!C157</f>
        <v>NI</v>
      </c>
      <c r="O152" s="476">
        <f>Price!D157</f>
        <v>0</v>
      </c>
      <c r="P152" s="477"/>
      <c r="Q152" s="473">
        <f>R152*(100-$F$6)/100</f>
        <v>41.185140000000004</v>
      </c>
      <c r="R152" s="478">
        <f>Price!F157</f>
        <v>41.185139999999997</v>
      </c>
      <c r="S152" s="479"/>
      <c r="T152" s="482">
        <f>Price!G157</f>
        <v>7021363</v>
      </c>
      <c r="U152" s="482">
        <f>Price!H157</f>
        <v>347988</v>
      </c>
      <c r="V152" s="4"/>
      <c r="W152" s="10"/>
      <c r="X152" s="10"/>
    </row>
    <row r="153" spans="1:25" x14ac:dyDescent="0.25">
      <c r="A153" s="32" t="str">
        <f t="shared" si="78"/>
        <v xml:space="preserve">Zawias do cieńkich materiałów, Expando T, 110°    </v>
      </c>
      <c r="B153" s="33" t="str">
        <f t="shared" si="78"/>
        <v xml:space="preserve"> 70T453T.TL</v>
      </c>
      <c r="C153" s="33" t="str">
        <f t="shared" si="78"/>
        <v>NI</v>
      </c>
      <c r="D153" s="33">
        <f t="shared" si="78"/>
        <v>0</v>
      </c>
      <c r="E153" s="34">
        <f t="shared" si="78"/>
        <v>0</v>
      </c>
      <c r="F153" s="8">
        <f t="shared" si="76"/>
        <v>35.323819999999998</v>
      </c>
      <c r="G153" s="23"/>
      <c r="H153" s="23"/>
      <c r="I153" s="48">
        <f t="shared" si="77"/>
        <v>1524002</v>
      </c>
      <c r="J153" s="481">
        <f t="shared" si="77"/>
        <v>347989</v>
      </c>
      <c r="K153" s="21"/>
      <c r="L153" s="448" t="str">
        <f>Price!A158</f>
        <v xml:space="preserve">Zawias do cieńkich materiałów, Expando T, 110°    </v>
      </c>
      <c r="M153" s="449" t="str">
        <f>Price!B158</f>
        <v xml:space="preserve"> 70T453T.TL</v>
      </c>
      <c r="N153" s="449" t="str">
        <f>Price!C158</f>
        <v>NI</v>
      </c>
      <c r="O153" s="450">
        <f>Price!D158</f>
        <v>0</v>
      </c>
      <c r="P153" s="451"/>
      <c r="Q153" s="452">
        <f>R153*(100-$F$6)/100</f>
        <v>35.323819999999998</v>
      </c>
      <c r="R153" s="453">
        <f>Price!F158</f>
        <v>35.323819999999998</v>
      </c>
      <c r="S153" s="454"/>
      <c r="T153" s="455">
        <f>Price!G158</f>
        <v>1524002</v>
      </c>
      <c r="U153" s="455">
        <f>Price!H158</f>
        <v>347989</v>
      </c>
      <c r="V153" s="4"/>
      <c r="W153" s="10"/>
      <c r="X153" s="10"/>
    </row>
    <row r="154" spans="1:25" x14ac:dyDescent="0.25">
      <c r="A154" s="32" t="str">
        <f t="shared" si="58"/>
        <v xml:space="preserve">alu nakładany z tłumieniem 95°      </v>
      </c>
      <c r="B154" s="33" t="str">
        <f t="shared" si="59"/>
        <v> 71B950A</v>
      </c>
      <c r="C154" s="33" t="str">
        <f t="shared" si="60"/>
        <v>NI</v>
      </c>
      <c r="D154" s="33">
        <f t="shared" si="61"/>
        <v>0</v>
      </c>
      <c r="E154" s="34">
        <f t="shared" si="62"/>
        <v>0</v>
      </c>
      <c r="F154" s="8">
        <f t="shared" si="76"/>
        <v>19.826509999999999</v>
      </c>
      <c r="G154" s="23"/>
      <c r="H154" s="23"/>
      <c r="I154" s="48">
        <f t="shared" si="63"/>
        <v>9350813</v>
      </c>
      <c r="J154" s="48">
        <f t="shared" si="64"/>
        <v>118033</v>
      </c>
      <c r="K154" s="21"/>
      <c r="L154" s="19" t="str">
        <f>Price!A160</f>
        <v xml:space="preserve">alu nakładany z tłumieniem 95°      </v>
      </c>
      <c r="M154" s="6" t="str">
        <f>Price!B160</f>
        <v> 71B950A</v>
      </c>
      <c r="N154" s="6" t="str">
        <f>Price!C160</f>
        <v>NI</v>
      </c>
      <c r="O154" s="88">
        <f>Price!D160</f>
        <v>0</v>
      </c>
      <c r="P154" s="7"/>
      <c r="Q154" s="8">
        <f t="shared" si="57"/>
        <v>19.826509999999999</v>
      </c>
      <c r="R154" s="107">
        <f>Price!F160</f>
        <v>19.826509999999999</v>
      </c>
      <c r="S154" s="76"/>
      <c r="T154" s="3">
        <f>Price!G160</f>
        <v>9350813</v>
      </c>
      <c r="U154" s="67">
        <f>Price!H160</f>
        <v>118033</v>
      </c>
      <c r="V154" s="4"/>
      <c r="W154" s="4"/>
      <c r="X154" s="10"/>
      <c r="Y154" s="10"/>
    </row>
    <row r="155" spans="1:25" x14ac:dyDescent="0.25">
      <c r="A155" s="32" t="str">
        <f t="shared" si="58"/>
        <v xml:space="preserve">ogranicznik na 86° do 71B3xxx      </v>
      </c>
      <c r="B155" s="33" t="str">
        <f t="shared" si="59"/>
        <v> 70T3553</v>
      </c>
      <c r="C155" s="33" t="str">
        <f t="shared" si="60"/>
        <v>S</v>
      </c>
      <c r="D155" s="33">
        <f t="shared" si="61"/>
        <v>0</v>
      </c>
      <c r="E155" s="34">
        <f t="shared" si="62"/>
        <v>0</v>
      </c>
      <c r="F155" s="8">
        <f t="shared" si="76"/>
        <v>1.5719799999999997</v>
      </c>
      <c r="G155" s="23"/>
      <c r="H155" s="23"/>
      <c r="I155" s="48">
        <f t="shared" si="63"/>
        <v>9048274</v>
      </c>
      <c r="J155" s="48">
        <f t="shared" si="64"/>
        <v>12039</v>
      </c>
      <c r="K155" s="21"/>
      <c r="L155" s="471" t="str">
        <f>Price!A181</f>
        <v xml:space="preserve">ogranicznik na 86° do 71B3xxx      </v>
      </c>
      <c r="M155" s="472" t="str">
        <f>Price!B181</f>
        <v> 70T3553</v>
      </c>
      <c r="N155" s="472" t="str">
        <f>Price!C181</f>
        <v>S</v>
      </c>
      <c r="O155" s="476">
        <f>Price!D181</f>
        <v>0</v>
      </c>
      <c r="P155" s="477"/>
      <c r="Q155" s="473">
        <f t="shared" si="57"/>
        <v>1.5719799999999997</v>
      </c>
      <c r="R155" s="478">
        <f>Price!F181</f>
        <v>1.5719799999999999</v>
      </c>
      <c r="S155" s="479"/>
      <c r="T155" s="480">
        <f>Price!G181</f>
        <v>9048274</v>
      </c>
      <c r="U155" s="474">
        <f>Price!H181</f>
        <v>12039</v>
      </c>
      <c r="V155" s="4"/>
      <c r="W155" s="4"/>
      <c r="X155" s="10"/>
      <c r="Y155" s="10"/>
    </row>
    <row r="156" spans="1:25" x14ac:dyDescent="0.25">
      <c r="A156" s="32" t="str">
        <f t="shared" si="58"/>
        <v xml:space="preserve">          </v>
      </c>
      <c r="B156" s="33">
        <f t="shared" si="59"/>
        <v>0</v>
      </c>
      <c r="C156" s="33">
        <f t="shared" si="60"/>
        <v>0</v>
      </c>
      <c r="D156" s="33">
        <f t="shared" si="61"/>
        <v>0</v>
      </c>
      <c r="E156" s="34">
        <f t="shared" si="62"/>
        <v>0</v>
      </c>
      <c r="F156" s="8">
        <f t="shared" si="76"/>
        <v>0</v>
      </c>
      <c r="G156" s="23"/>
      <c r="H156" s="23"/>
      <c r="I156" s="48">
        <f t="shared" si="63"/>
        <v>0</v>
      </c>
      <c r="J156" s="48">
        <f t="shared" si="64"/>
        <v>0</v>
      </c>
      <c r="K156" s="21"/>
      <c r="L156" s="19" t="str">
        <f>Price!A124</f>
        <v xml:space="preserve">          </v>
      </c>
      <c r="M156" s="6">
        <f>Price!B124</f>
        <v>0</v>
      </c>
      <c r="N156" s="6">
        <f>Price!C124</f>
        <v>0</v>
      </c>
      <c r="O156" s="88">
        <f>Price!D124</f>
        <v>0</v>
      </c>
      <c r="P156" s="7"/>
      <c r="Q156" s="8">
        <f t="shared" si="57"/>
        <v>0</v>
      </c>
      <c r="R156" s="107">
        <f>Price!F124</f>
        <v>0</v>
      </c>
      <c r="S156" s="76"/>
      <c r="T156" s="3">
        <f>Price!G124</f>
        <v>0</v>
      </c>
      <c r="U156" s="3">
        <f>Price!H124</f>
        <v>0</v>
      </c>
      <c r="V156" s="4"/>
      <c r="W156" s="4"/>
      <c r="X156" s="10"/>
      <c r="Y156" s="10"/>
    </row>
    <row r="157" spans="1:25" x14ac:dyDescent="0.25">
      <c r="A157" s="32" t="str">
        <f t="shared" si="58"/>
        <v xml:space="preserve">          </v>
      </c>
      <c r="B157" s="33">
        <f t="shared" si="59"/>
        <v>0</v>
      </c>
      <c r="C157" s="33">
        <f t="shared" si="60"/>
        <v>0</v>
      </c>
      <c r="D157" s="33">
        <f t="shared" si="61"/>
        <v>0</v>
      </c>
      <c r="E157" s="34">
        <f t="shared" si="62"/>
        <v>0</v>
      </c>
      <c r="F157" s="8">
        <f t="shared" si="76"/>
        <v>0</v>
      </c>
      <c r="G157" s="23"/>
      <c r="H157" s="23"/>
      <c r="I157" s="48">
        <f t="shared" si="63"/>
        <v>0</v>
      </c>
      <c r="J157" s="48">
        <f t="shared" si="64"/>
        <v>0</v>
      </c>
      <c r="K157" s="21"/>
      <c r="L157" s="19" t="str">
        <f>Price!A142</f>
        <v xml:space="preserve">          </v>
      </c>
      <c r="M157" s="6">
        <f>Price!B142</f>
        <v>0</v>
      </c>
      <c r="N157" s="6">
        <f>Price!C142</f>
        <v>0</v>
      </c>
      <c r="O157" s="88">
        <f>Price!D142</f>
        <v>0</v>
      </c>
      <c r="P157" s="7"/>
      <c r="Q157" s="8">
        <f t="shared" ref="Q157:Q168" si="79">R157*(100-$F$6)/100</f>
        <v>0</v>
      </c>
      <c r="R157" s="107">
        <f>Price!F142</f>
        <v>0</v>
      </c>
      <c r="S157" s="76"/>
      <c r="T157" s="3">
        <f>Price!G142</f>
        <v>0</v>
      </c>
      <c r="U157" s="3">
        <f>Price!H142</f>
        <v>0</v>
      </c>
      <c r="V157" s="4"/>
      <c r="W157" s="4"/>
      <c r="X157" s="10"/>
      <c r="Y157" s="10"/>
    </row>
    <row r="158" spans="1:25" x14ac:dyDescent="0.25">
      <c r="A158" s="32" t="str">
        <f t="shared" ref="A158:A167" si="80">L158</f>
        <v xml:space="preserve">kołek Expando T        </v>
      </c>
      <c r="B158" s="33" t="str">
        <f t="shared" ref="B158:B167" si="81">M158</f>
        <v>70T4532T</v>
      </c>
      <c r="C158" s="33" t="str">
        <f t="shared" ref="C158:C167" si="82">N158</f>
        <v>DGR</v>
      </c>
      <c r="D158" s="33">
        <f t="shared" ref="D158:D167" si="83">O158</f>
        <v>0</v>
      </c>
      <c r="E158" s="34">
        <f t="shared" ref="E158:E167" si="84">P158</f>
        <v>0</v>
      </c>
      <c r="F158" s="8">
        <f t="shared" si="76"/>
        <v>6.9475599999999993</v>
      </c>
      <c r="G158" s="23"/>
      <c r="H158" s="23"/>
      <c r="I158" s="48">
        <f t="shared" ref="I158:I170" si="85">T158</f>
        <v>4958478</v>
      </c>
      <c r="J158" s="48">
        <f t="shared" ref="J158:J170" si="86">U158</f>
        <v>347999</v>
      </c>
      <c r="K158" s="11"/>
      <c r="L158" s="19" t="str">
        <f>Price!A149</f>
        <v xml:space="preserve">kołek Expando T        </v>
      </c>
      <c r="M158" s="6" t="str">
        <f>Price!B149</f>
        <v>70T4532T</v>
      </c>
      <c r="N158" s="6" t="str">
        <f>Price!C149</f>
        <v>DGR</v>
      </c>
      <c r="O158" s="88">
        <f>Price!D149</f>
        <v>0</v>
      </c>
      <c r="P158" s="7"/>
      <c r="Q158" s="8">
        <f t="shared" si="79"/>
        <v>6.9475599999999993</v>
      </c>
      <c r="R158" s="107">
        <f>Price!F149</f>
        <v>6.9475600000000002</v>
      </c>
      <c r="S158" s="76"/>
      <c r="T158" s="414">
        <f>Price!G149</f>
        <v>4958478</v>
      </c>
      <c r="U158" s="67">
        <f>Price!H149</f>
        <v>347999</v>
      </c>
      <c r="V158" s="4"/>
      <c r="W158" s="4"/>
      <c r="X158" s="10"/>
      <c r="Y158" s="10"/>
    </row>
    <row r="159" spans="1:25" x14ac:dyDescent="0.25">
      <c r="A159" s="32" t="str">
        <f t="shared" si="80"/>
        <v xml:space="preserve">          </v>
      </c>
      <c r="B159" s="33">
        <f t="shared" si="81"/>
        <v>0</v>
      </c>
      <c r="C159" s="33">
        <f t="shared" si="82"/>
        <v>0</v>
      </c>
      <c r="D159" s="33">
        <f t="shared" si="83"/>
        <v>0</v>
      </c>
      <c r="E159" s="34">
        <f t="shared" si="84"/>
        <v>0</v>
      </c>
      <c r="F159" s="8">
        <f t="shared" si="76"/>
        <v>0</v>
      </c>
      <c r="G159" s="23"/>
      <c r="H159" s="23"/>
      <c r="I159" s="48">
        <f t="shared" si="85"/>
        <v>0</v>
      </c>
      <c r="J159" s="48">
        <f t="shared" si="86"/>
        <v>0</v>
      </c>
      <c r="K159" s="11"/>
      <c r="L159" s="19" t="str">
        <f>Price!A146</f>
        <v xml:space="preserve">          </v>
      </c>
      <c r="M159" s="6">
        <f>Price!B146</f>
        <v>0</v>
      </c>
      <c r="N159" s="6">
        <f>Price!C146</f>
        <v>0</v>
      </c>
      <c r="O159" s="88">
        <f>Price!D146</f>
        <v>0</v>
      </c>
      <c r="P159" s="7"/>
      <c r="Q159" s="8">
        <f t="shared" si="79"/>
        <v>0</v>
      </c>
      <c r="R159" s="107">
        <f>Price!F146</f>
        <v>0</v>
      </c>
      <c r="S159" s="76"/>
      <c r="T159" s="3">
        <f>Price!G146</f>
        <v>0</v>
      </c>
      <c r="U159" s="3">
        <f>Price!H146</f>
        <v>0</v>
      </c>
      <c r="V159" s="4"/>
      <c r="W159" s="4"/>
      <c r="X159" s="10"/>
      <c r="Y159" s="10"/>
    </row>
    <row r="160" spans="1:25" x14ac:dyDescent="0.25">
      <c r="A160" s="32" t="str">
        <f t="shared" si="80"/>
        <v xml:space="preserve">prowadnik krzyżakowy, wkręt 8,5mm       </v>
      </c>
      <c r="B160" s="33" t="str">
        <f t="shared" si="81"/>
        <v>173L6100</v>
      </c>
      <c r="C160" s="33" t="str">
        <f t="shared" si="82"/>
        <v>NI</v>
      </c>
      <c r="D160" s="33">
        <f t="shared" si="83"/>
        <v>0</v>
      </c>
      <c r="E160" s="34">
        <f t="shared" si="84"/>
        <v>0</v>
      </c>
      <c r="F160" s="8">
        <f t="shared" si="76"/>
        <v>0.68708000000000002</v>
      </c>
      <c r="G160" s="23"/>
      <c r="H160" s="23"/>
      <c r="I160" s="48">
        <f t="shared" si="85"/>
        <v>7480175</v>
      </c>
      <c r="J160" s="48">
        <f t="shared" si="86"/>
        <v>12306</v>
      </c>
      <c r="K160" s="11"/>
      <c r="L160" s="471" t="str">
        <f>Price!A171</f>
        <v xml:space="preserve">prowadnik krzyżakowy, wkręt 8,5mm       </v>
      </c>
      <c r="M160" s="472" t="str">
        <f>Price!B171</f>
        <v>173L6100</v>
      </c>
      <c r="N160" s="472" t="str">
        <f>Price!C171</f>
        <v>NI</v>
      </c>
      <c r="O160" s="476">
        <f>Price!D171</f>
        <v>0</v>
      </c>
      <c r="P160" s="477"/>
      <c r="Q160" s="473">
        <f t="shared" si="79"/>
        <v>0.68708000000000002</v>
      </c>
      <c r="R160" s="478">
        <f>Price!F171</f>
        <v>0.68708000000000002</v>
      </c>
      <c r="S160" s="479"/>
      <c r="T160" s="480">
        <f>Price!G171</f>
        <v>7480175</v>
      </c>
      <c r="U160" s="474">
        <f>Price!H171</f>
        <v>12306</v>
      </c>
      <c r="V160" s="4"/>
      <c r="W160" s="4"/>
      <c r="X160" s="10"/>
      <c r="Y160" s="10"/>
    </row>
    <row r="161" spans="1:25" x14ac:dyDescent="0.25">
      <c r="A161" s="32" t="str">
        <f t="shared" si="80"/>
        <v xml:space="preserve">prowadnik Expando 8 5mm -5      </v>
      </c>
      <c r="B161" s="33" t="str">
        <f t="shared" si="81"/>
        <v>174E6100.01</v>
      </c>
      <c r="C161" s="33" t="str">
        <f t="shared" si="82"/>
        <v>NI</v>
      </c>
      <c r="D161" s="33">
        <f t="shared" si="83"/>
        <v>0</v>
      </c>
      <c r="E161" s="34">
        <f t="shared" si="84"/>
        <v>0</v>
      </c>
      <c r="F161" s="8">
        <f t="shared" si="76"/>
        <v>1.0634600000000001</v>
      </c>
      <c r="G161" s="23"/>
      <c r="H161" s="23"/>
      <c r="I161" s="48">
        <f t="shared" si="85"/>
        <v>9120278</v>
      </c>
      <c r="J161" s="48">
        <f t="shared" si="86"/>
        <v>12302</v>
      </c>
      <c r="K161" s="11"/>
      <c r="L161" s="19" t="str">
        <f>Price!A172</f>
        <v xml:space="preserve">prowadnik Expando 8 5mm -5      </v>
      </c>
      <c r="M161" s="6" t="str">
        <f>Price!B172</f>
        <v>174E6100.01</v>
      </c>
      <c r="N161" s="6" t="str">
        <f>Price!C172</f>
        <v>NI</v>
      </c>
      <c r="O161" s="88">
        <f>Price!D172</f>
        <v>0</v>
      </c>
      <c r="P161" s="7"/>
      <c r="Q161" s="8">
        <f t="shared" si="79"/>
        <v>1.0634600000000001</v>
      </c>
      <c r="R161" s="107">
        <f>Price!F172</f>
        <v>1.0634600000000001</v>
      </c>
      <c r="S161" s="76"/>
      <c r="T161" s="3">
        <f>Price!G172</f>
        <v>9120278</v>
      </c>
      <c r="U161" s="67">
        <f>Price!H172</f>
        <v>12302</v>
      </c>
      <c r="V161" s="4"/>
      <c r="W161" s="4"/>
      <c r="X161" s="10"/>
      <c r="Y161" s="10"/>
    </row>
    <row r="162" spans="1:25" x14ac:dyDescent="0.25">
      <c r="A162" s="32" t="str">
        <f t="shared" si="80"/>
        <v xml:space="preserve">prowadnik krzyżakowy mimośród wkręt 8 5mm     </v>
      </c>
      <c r="B162" s="33" t="str">
        <f t="shared" si="81"/>
        <v>173H7100</v>
      </c>
      <c r="C162" s="33" t="str">
        <f t="shared" si="82"/>
        <v>NI</v>
      </c>
      <c r="D162" s="33">
        <f t="shared" si="83"/>
        <v>0</v>
      </c>
      <c r="E162" s="34">
        <f t="shared" si="84"/>
        <v>0</v>
      </c>
      <c r="F162" s="8">
        <f t="shared" si="76"/>
        <v>1.7393000000000001</v>
      </c>
      <c r="G162" s="23"/>
      <c r="H162" s="23"/>
      <c r="I162" s="48">
        <f t="shared" si="85"/>
        <v>8748653</v>
      </c>
      <c r="J162" s="48">
        <f t="shared" si="86"/>
        <v>12340</v>
      </c>
      <c r="K162" s="20"/>
      <c r="L162" s="471" t="str">
        <f>Price!A167</f>
        <v xml:space="preserve">prowadnik krzyżakowy mimośród wkręt 8 5mm     </v>
      </c>
      <c r="M162" s="472" t="str">
        <f>Price!B167</f>
        <v>173H7100</v>
      </c>
      <c r="N162" s="472" t="str">
        <f>Price!C167</f>
        <v>NI</v>
      </c>
      <c r="O162" s="476">
        <f>Price!D167</f>
        <v>0</v>
      </c>
      <c r="P162" s="477"/>
      <c r="Q162" s="473">
        <f t="shared" si="79"/>
        <v>1.7393000000000001</v>
      </c>
      <c r="R162" s="478">
        <f>Price!F167</f>
        <v>1.7393000000000001</v>
      </c>
      <c r="S162" s="479"/>
      <c r="T162" s="480">
        <f>Price!G167</f>
        <v>8748653</v>
      </c>
      <c r="U162" s="474">
        <f>Price!H167</f>
        <v>12340</v>
      </c>
      <c r="V162" s="4"/>
      <c r="W162" s="4"/>
      <c r="X162" s="10"/>
      <c r="Y162" s="10"/>
    </row>
    <row r="163" spans="1:25" x14ac:dyDescent="0.25">
      <c r="A163" s="32" t="str">
        <f t="shared" si="80"/>
        <v xml:space="preserve">prowadnik krzyżakowy mimośród Expando 8 5mm     </v>
      </c>
      <c r="B163" s="33" t="str">
        <f t="shared" si="81"/>
        <v>174H7100E </v>
      </c>
      <c r="C163" s="33" t="str">
        <f t="shared" si="82"/>
        <v>NI</v>
      </c>
      <c r="D163" s="33">
        <f t="shared" si="83"/>
        <v>0</v>
      </c>
      <c r="E163" s="34">
        <f t="shared" si="84"/>
        <v>0</v>
      </c>
      <c r="F163" s="8">
        <f t="shared" si="76"/>
        <v>2.1260500000000002</v>
      </c>
      <c r="G163" s="23"/>
      <c r="H163" s="23"/>
      <c r="I163" s="48">
        <f t="shared" si="85"/>
        <v>9340977</v>
      </c>
      <c r="J163" s="48">
        <f t="shared" si="86"/>
        <v>12312</v>
      </c>
      <c r="K163" s="11"/>
      <c r="L163" s="19" t="str">
        <f>Price!A168</f>
        <v xml:space="preserve">prowadnik krzyżakowy mimośród Expando 8 5mm     </v>
      </c>
      <c r="M163" s="6" t="str">
        <f>Price!B168</f>
        <v>174H7100E </v>
      </c>
      <c r="N163" s="6" t="str">
        <f>Price!C168</f>
        <v>NI</v>
      </c>
      <c r="O163" s="88">
        <f>Price!D168</f>
        <v>0</v>
      </c>
      <c r="P163" s="7"/>
      <c r="Q163" s="8">
        <f t="shared" si="79"/>
        <v>2.1260500000000002</v>
      </c>
      <c r="R163" s="107">
        <f>Price!F168</f>
        <v>2.1260500000000002</v>
      </c>
      <c r="S163" s="76"/>
      <c r="T163" s="3">
        <f>Price!G168</f>
        <v>9340977</v>
      </c>
      <c r="U163" s="67">
        <f>Price!H168</f>
        <v>12312</v>
      </c>
      <c r="V163" s="4"/>
      <c r="W163" s="4"/>
      <c r="X163" s="10"/>
      <c r="Y163" s="10"/>
    </row>
    <row r="164" spans="1:25" x14ac:dyDescent="0.25">
      <c r="A164" s="32" t="str">
        <f t="shared" si="80"/>
        <v xml:space="preserve">prowadnik prosty wkręt 8 5mm      </v>
      </c>
      <c r="B164" s="33" t="str">
        <f t="shared" si="81"/>
        <v>175H5400 </v>
      </c>
      <c r="C164" s="33" t="str">
        <f t="shared" si="82"/>
        <v>NI</v>
      </c>
      <c r="D164" s="33">
        <f t="shared" si="83"/>
        <v>0</v>
      </c>
      <c r="E164" s="34">
        <f t="shared" si="84"/>
        <v>0</v>
      </c>
      <c r="F164" s="8">
        <f t="shared" si="76"/>
        <v>2.7772899999999998</v>
      </c>
      <c r="G164" s="23"/>
      <c r="H164" s="23"/>
      <c r="I164" s="48">
        <f t="shared" si="85"/>
        <v>8002803</v>
      </c>
      <c r="J164" s="48">
        <f t="shared" si="86"/>
        <v>12323</v>
      </c>
      <c r="K164" s="11"/>
      <c r="L164" s="475" t="str">
        <f>Price!A164</f>
        <v xml:space="preserve">prowadnik prosty wkręt 8 5mm      </v>
      </c>
      <c r="M164" s="472" t="str">
        <f>Price!B164</f>
        <v>175H5400 </v>
      </c>
      <c r="N164" s="472" t="str">
        <f>Price!C164</f>
        <v>NI</v>
      </c>
      <c r="O164" s="476">
        <f>Price!D164</f>
        <v>0</v>
      </c>
      <c r="P164" s="477"/>
      <c r="Q164" s="473">
        <f t="shared" si="79"/>
        <v>2.7772899999999998</v>
      </c>
      <c r="R164" s="478">
        <f>Price!F164</f>
        <v>2.7772899999999998</v>
      </c>
      <c r="S164" s="479"/>
      <c r="T164" s="480">
        <f>Price!G164</f>
        <v>8002803</v>
      </c>
      <c r="U164" s="474">
        <f>Price!H164</f>
        <v>12323</v>
      </c>
      <c r="V164" s="4"/>
      <c r="W164" s="4"/>
      <c r="X164" s="10"/>
      <c r="Y164" s="10"/>
    </row>
    <row r="165" spans="1:25" x14ac:dyDescent="0.25">
      <c r="A165" s="32" t="str">
        <f t="shared" si="80"/>
        <v xml:space="preserve">prowadnik prosty Expando 8 5mm      </v>
      </c>
      <c r="B165" s="33" t="str">
        <f t="shared" si="81"/>
        <v>177H5400E</v>
      </c>
      <c r="C165" s="33" t="str">
        <f t="shared" si="82"/>
        <v>NI</v>
      </c>
      <c r="D165" s="33">
        <f t="shared" si="83"/>
        <v>0</v>
      </c>
      <c r="E165" s="34">
        <f t="shared" si="84"/>
        <v>0</v>
      </c>
      <c r="F165" s="8">
        <f t="shared" si="76"/>
        <v>2.7738499999999999</v>
      </c>
      <c r="G165" s="23"/>
      <c r="H165" s="23"/>
      <c r="I165" s="48">
        <f t="shared" si="85"/>
        <v>8115693</v>
      </c>
      <c r="J165" s="48">
        <f t="shared" si="86"/>
        <v>12326</v>
      </c>
      <c r="K165" s="11"/>
      <c r="L165" s="470" t="str">
        <f>Price!A165</f>
        <v xml:space="preserve">prowadnik prosty Expando 8 5mm      </v>
      </c>
      <c r="M165" s="6" t="str">
        <f>Price!B165</f>
        <v>177H5400E</v>
      </c>
      <c r="N165" s="6" t="str">
        <f>Price!C165</f>
        <v>NI</v>
      </c>
      <c r="O165" s="88">
        <f>Price!D165</f>
        <v>0</v>
      </c>
      <c r="P165" s="7"/>
      <c r="Q165" s="8">
        <f t="shared" si="79"/>
        <v>2.7738499999999999</v>
      </c>
      <c r="R165" s="107">
        <f>Price!F165</f>
        <v>2.7738499999999999</v>
      </c>
      <c r="S165" s="76"/>
      <c r="T165" s="3">
        <f>Price!G165</f>
        <v>8115693</v>
      </c>
      <c r="U165" s="67">
        <f>Price!H165</f>
        <v>12326</v>
      </c>
      <c r="V165" s="4"/>
      <c r="W165" s="4"/>
      <c r="X165" s="10"/>
      <c r="Y165" s="10"/>
    </row>
    <row r="166" spans="1:25" x14ac:dyDescent="0.25">
      <c r="A166" s="32" t="str">
        <f t="shared" si="80"/>
        <v xml:space="preserve">prowadnik prosty wkręt 8 5mm stal     </v>
      </c>
      <c r="B166" s="33" t="str">
        <f t="shared" si="81"/>
        <v>175H3100</v>
      </c>
      <c r="C166" s="33" t="str">
        <f t="shared" si="82"/>
        <v>NI</v>
      </c>
      <c r="D166" s="33">
        <f t="shared" si="83"/>
        <v>0</v>
      </c>
      <c r="E166" s="34">
        <f t="shared" si="84"/>
        <v>0</v>
      </c>
      <c r="F166" s="8">
        <f t="shared" si="76"/>
        <v>1.65564</v>
      </c>
      <c r="G166" s="23"/>
      <c r="H166" s="23"/>
      <c r="I166" s="48">
        <f t="shared" si="85"/>
        <v>5891994</v>
      </c>
      <c r="J166" s="48">
        <f t="shared" si="86"/>
        <v>203387</v>
      </c>
      <c r="L166" s="471" t="str">
        <f>Price!A162</f>
        <v xml:space="preserve">prowadnik prosty wkręt 8 5mm stal     </v>
      </c>
      <c r="M166" s="472" t="str">
        <f>Price!B162</f>
        <v>175H3100</v>
      </c>
      <c r="N166" s="472" t="str">
        <f>Price!C162</f>
        <v>NI</v>
      </c>
      <c r="O166" s="476">
        <f>Price!D162</f>
        <v>0</v>
      </c>
      <c r="P166" s="477"/>
      <c r="Q166" s="473">
        <f t="shared" si="79"/>
        <v>1.65564</v>
      </c>
      <c r="R166" s="478">
        <f>Price!F162</f>
        <v>1.65564</v>
      </c>
      <c r="S166" s="479"/>
      <c r="T166" s="480">
        <f>Price!G162</f>
        <v>5891994</v>
      </c>
      <c r="U166" s="474">
        <f>Price!H162</f>
        <v>203387</v>
      </c>
    </row>
    <row r="167" spans="1:25" x14ac:dyDescent="0.25">
      <c r="A167" s="32" t="str">
        <f t="shared" si="80"/>
        <v xml:space="preserve">prowadnik prosty Expando 8 5mm stal     </v>
      </c>
      <c r="B167" s="33" t="str">
        <f t="shared" si="81"/>
        <v>177H3100E </v>
      </c>
      <c r="C167" s="33" t="str">
        <f t="shared" si="82"/>
        <v>NI</v>
      </c>
      <c r="D167" s="33">
        <f t="shared" si="83"/>
        <v>0</v>
      </c>
      <c r="E167" s="34">
        <f t="shared" si="84"/>
        <v>0</v>
      </c>
      <c r="F167" s="8">
        <f t="shared" si="76"/>
        <v>1.8724499999999999</v>
      </c>
      <c r="G167" s="23"/>
      <c r="H167" s="23"/>
      <c r="I167" s="48">
        <f t="shared" si="85"/>
        <v>4787251</v>
      </c>
      <c r="J167" s="48">
        <f t="shared" si="86"/>
        <v>211476</v>
      </c>
      <c r="L167" s="19" t="str">
        <f>Price!A163</f>
        <v xml:space="preserve">prowadnik prosty Expando 8 5mm stal     </v>
      </c>
      <c r="M167" s="6" t="str">
        <f>Price!B163</f>
        <v>177H3100E </v>
      </c>
      <c r="N167" s="6" t="str">
        <f>Price!C163</f>
        <v>NI</v>
      </c>
      <c r="O167" s="88">
        <f>Price!D163</f>
        <v>0</v>
      </c>
      <c r="P167" s="7"/>
      <c r="Q167" s="8">
        <f t="shared" si="79"/>
        <v>1.8724499999999999</v>
      </c>
      <c r="R167" s="107">
        <f>Price!F163</f>
        <v>1.8724499999999999</v>
      </c>
      <c r="S167" s="76"/>
      <c r="T167" s="3">
        <f>Price!G163</f>
        <v>4787251</v>
      </c>
      <c r="U167" s="67">
        <f>Price!H163</f>
        <v>211476</v>
      </c>
    </row>
    <row r="168" spans="1:25" x14ac:dyDescent="0.25">
      <c r="A168" s="32" t="str">
        <f t="shared" ref="A168:F168" si="87">L168</f>
        <v xml:space="preserve">zaślepka ramienia do zawiasu nakładanego, bez logo    </v>
      </c>
      <c r="B168" s="33" t="str">
        <f t="shared" si="87"/>
        <v> 70.1503</v>
      </c>
      <c r="C168" s="33" t="str">
        <f t="shared" si="87"/>
        <v>NI</v>
      </c>
      <c r="D168" s="33">
        <f t="shared" si="87"/>
        <v>0</v>
      </c>
      <c r="E168" s="34">
        <f t="shared" si="87"/>
        <v>0</v>
      </c>
      <c r="F168" s="8">
        <f t="shared" si="87"/>
        <v>0.30003000000000002</v>
      </c>
      <c r="G168" s="23"/>
      <c r="H168" s="23"/>
      <c r="I168" s="48">
        <f t="shared" si="85"/>
        <v>3284903</v>
      </c>
      <c r="J168" s="48">
        <f t="shared" si="86"/>
        <v>12093</v>
      </c>
      <c r="K168" s="11"/>
      <c r="L168" s="471" t="str">
        <f>Price!A174</f>
        <v xml:space="preserve">zaślepka ramienia do zawiasu nakładanego, bez logo    </v>
      </c>
      <c r="M168" s="472" t="str">
        <f>Price!B174</f>
        <v> 70.1503</v>
      </c>
      <c r="N168" s="472" t="str">
        <f>Price!C174</f>
        <v>NI</v>
      </c>
      <c r="O168" s="476">
        <f>Price!D174</f>
        <v>0</v>
      </c>
      <c r="P168" s="477"/>
      <c r="Q168" s="473">
        <f t="shared" si="79"/>
        <v>0.30003000000000002</v>
      </c>
      <c r="R168" s="478">
        <f>Price!F174</f>
        <v>0.30003000000000002</v>
      </c>
      <c r="S168" s="479"/>
      <c r="T168" s="480">
        <f>Price!G174</f>
        <v>3284903</v>
      </c>
      <c r="U168" s="474">
        <f>Price!H174</f>
        <v>12093</v>
      </c>
      <c r="V168" s="4"/>
      <c r="W168" s="4"/>
      <c r="X168" s="10"/>
      <c r="Y168" s="10"/>
    </row>
    <row r="169" spans="1:25" x14ac:dyDescent="0.25">
      <c r="A169" s="32">
        <f t="shared" ref="A169:F170" si="88">L169</f>
        <v>0</v>
      </c>
      <c r="B169" s="33">
        <f t="shared" si="88"/>
        <v>0</v>
      </c>
      <c r="C169" s="33">
        <f t="shared" si="88"/>
        <v>0</v>
      </c>
      <c r="D169" s="33">
        <f t="shared" si="88"/>
        <v>0</v>
      </c>
      <c r="E169" s="34">
        <f t="shared" si="88"/>
        <v>0</v>
      </c>
      <c r="F169" s="8">
        <f t="shared" si="88"/>
        <v>0</v>
      </c>
      <c r="G169" s="23"/>
      <c r="H169" s="23"/>
      <c r="I169" s="48">
        <f t="shared" si="85"/>
        <v>0</v>
      </c>
      <c r="J169" s="48">
        <f t="shared" si="86"/>
        <v>0</v>
      </c>
      <c r="L169" s="19"/>
      <c r="M169" s="6"/>
      <c r="N169" s="6"/>
      <c r="O169" s="88"/>
      <c r="P169" s="7"/>
      <c r="Q169" s="8"/>
      <c r="R169" s="107"/>
      <c r="S169" s="76"/>
      <c r="T169" s="3"/>
      <c r="U169" s="3"/>
    </row>
    <row r="170" spans="1:25" x14ac:dyDescent="0.25">
      <c r="A170" s="415" t="str">
        <f t="shared" si="88"/>
        <v xml:space="preserve">          </v>
      </c>
      <c r="B170" s="416">
        <f t="shared" si="88"/>
        <v>0</v>
      </c>
      <c r="C170" s="416">
        <f t="shared" si="88"/>
        <v>0</v>
      </c>
      <c r="D170" s="416">
        <f t="shared" si="88"/>
        <v>0</v>
      </c>
      <c r="E170" s="417">
        <f t="shared" si="88"/>
        <v>0</v>
      </c>
      <c r="F170" s="418">
        <f t="shared" si="88"/>
        <v>0</v>
      </c>
      <c r="G170" s="419"/>
      <c r="H170" s="419"/>
      <c r="I170" s="420">
        <f t="shared" si="85"/>
        <v>0</v>
      </c>
      <c r="J170" s="420">
        <f t="shared" si="86"/>
        <v>0</v>
      </c>
      <c r="K170" s="421"/>
      <c r="L170" s="422" t="str">
        <f>Price!A186</f>
        <v xml:space="preserve">          </v>
      </c>
      <c r="M170" s="423">
        <f>Price!B186</f>
        <v>0</v>
      </c>
      <c r="N170" s="423">
        <f>Price!C186</f>
        <v>0</v>
      </c>
      <c r="O170" s="424">
        <f>Price!D186</f>
        <v>0</v>
      </c>
      <c r="P170" s="425"/>
      <c r="Q170" s="418">
        <f>R170*(100-$F$6)/100</f>
        <v>0</v>
      </c>
      <c r="R170" s="426">
        <f>Price!F186</f>
        <v>0</v>
      </c>
      <c r="S170" s="427"/>
      <c r="T170" s="428">
        <f>Price!G186</f>
        <v>0</v>
      </c>
      <c r="U170" s="429">
        <f>Price!H186</f>
        <v>0</v>
      </c>
    </row>
    <row r="171" spans="1:25" x14ac:dyDescent="0.25">
      <c r="A171" s="32" t="str">
        <f t="shared" ref="A171:A182" si="89">L171</f>
        <v xml:space="preserve">Aventos HF/HL/HS - Top Servo-Drive      </v>
      </c>
      <c r="B171" s="33" t="str">
        <f t="shared" ref="B171:B182" si="90">M171</f>
        <v>23.A000</v>
      </c>
      <c r="C171" s="33" t="str">
        <f t="shared" ref="C171:C182" si="91">N171</f>
        <v>R7037</v>
      </c>
      <c r="D171" s="33">
        <f t="shared" ref="D171:D182" si="92">O171</f>
        <v>0</v>
      </c>
      <c r="E171" s="34">
        <f t="shared" ref="E171:E182" si="93">P171</f>
        <v>0</v>
      </c>
      <c r="F171" s="8">
        <f t="shared" ref="F171:F182" si="94">Q171</f>
        <v>905.30219999999997</v>
      </c>
      <c r="G171" s="23"/>
      <c r="H171" s="23"/>
      <c r="I171" s="48">
        <f t="shared" ref="I171:I182" si="95">T171</f>
        <v>5362207</v>
      </c>
      <c r="J171" s="48">
        <f t="shared" ref="J171:J182" si="96">U171</f>
        <v>507349</v>
      </c>
      <c r="K171" s="21"/>
      <c r="L171" s="19" t="str">
        <f>Price!A187</f>
        <v xml:space="preserve">Aventos HF/HL/HS - Top Servo-Drive      </v>
      </c>
      <c r="M171" s="6" t="str">
        <f>Price!B187</f>
        <v>23.A000</v>
      </c>
      <c r="N171" s="6" t="str">
        <f>Price!C187</f>
        <v>R7037</v>
      </c>
      <c r="O171" s="88">
        <f>Price!D187</f>
        <v>0</v>
      </c>
      <c r="P171" s="7"/>
      <c r="Q171" s="8">
        <f t="shared" ref="Q171:Q182" si="97">R171*(100-$F$6)/100</f>
        <v>905.30219999999997</v>
      </c>
      <c r="R171" s="107">
        <f>Price!F187</f>
        <v>905.30219999999997</v>
      </c>
      <c r="S171" s="76"/>
      <c r="T171" s="3">
        <f>Price!G187</f>
        <v>5362207</v>
      </c>
      <c r="U171" s="3">
        <f>Price!H187</f>
        <v>507349</v>
      </c>
      <c r="V171" s="4"/>
      <c r="W171" s="4"/>
      <c r="X171" s="10"/>
      <c r="Y171" s="10"/>
    </row>
    <row r="172" spans="1:25" x14ac:dyDescent="0.25">
      <c r="A172" s="32" t="str">
        <f t="shared" si="89"/>
        <v xml:space="preserve">Aventos Servo-drive do HK top      </v>
      </c>
      <c r="B172" s="33" t="str">
        <f t="shared" si="90"/>
        <v>23KA000</v>
      </c>
      <c r="C172" s="33" t="str">
        <f t="shared" si="91"/>
        <v>R7037</v>
      </c>
      <c r="D172" s="33">
        <f t="shared" si="92"/>
        <v>0</v>
      </c>
      <c r="E172" s="34">
        <f t="shared" si="93"/>
        <v>0</v>
      </c>
      <c r="F172" s="8">
        <f t="shared" si="94"/>
        <v>905.30219999999997</v>
      </c>
      <c r="G172" s="23"/>
      <c r="H172" s="23"/>
      <c r="I172" s="48">
        <f t="shared" si="95"/>
        <v>9961208</v>
      </c>
      <c r="J172" s="48">
        <f t="shared" si="96"/>
        <v>347839</v>
      </c>
      <c r="K172" s="21"/>
      <c r="L172" s="19" t="str">
        <f>Price!A188</f>
        <v xml:space="preserve">Aventos Servo-drive do HK top      </v>
      </c>
      <c r="M172" s="6" t="str">
        <f>Price!B188</f>
        <v>23KA000</v>
      </c>
      <c r="N172" s="6" t="str">
        <f>Price!C188</f>
        <v>R7037</v>
      </c>
      <c r="O172" s="88">
        <f>Price!D188</f>
        <v>0</v>
      </c>
      <c r="P172" s="7"/>
      <c r="Q172" s="8">
        <f t="shared" si="97"/>
        <v>905.30219999999997</v>
      </c>
      <c r="R172" s="107">
        <f>Price!F188</f>
        <v>905.30219999999997</v>
      </c>
      <c r="S172" s="76"/>
      <c r="T172" s="3">
        <f>Price!G188</f>
        <v>9961208</v>
      </c>
      <c r="U172" s="3">
        <f>Price!H188</f>
        <v>347839</v>
      </c>
      <c r="V172" s="4"/>
      <c r="W172" s="4"/>
      <c r="X172" s="10"/>
      <c r="Y172" s="10"/>
    </row>
    <row r="173" spans="1:25" x14ac:dyDescent="0.25">
      <c r="A173" s="32" t="str">
        <f t="shared" si="89"/>
        <v xml:space="preserve">odbojnik dystansowy 5mm        </v>
      </c>
      <c r="B173" s="33" t="str">
        <f t="shared" si="90"/>
        <v>993.0530</v>
      </c>
      <c r="C173" s="33" t="str">
        <f t="shared" si="91"/>
        <v>R737</v>
      </c>
      <c r="D173" s="33">
        <f t="shared" si="92"/>
        <v>0</v>
      </c>
      <c r="E173" s="34">
        <f t="shared" si="93"/>
        <v>0</v>
      </c>
      <c r="F173" s="8">
        <f t="shared" si="94"/>
        <v>2.4790800000000002</v>
      </c>
      <c r="G173" s="23"/>
      <c r="H173" s="23"/>
      <c r="I173" s="48">
        <f t="shared" si="95"/>
        <v>7834990</v>
      </c>
      <c r="J173" s="48">
        <f t="shared" si="96"/>
        <v>99131</v>
      </c>
      <c r="L173" s="19" t="str">
        <f>Price!A189</f>
        <v xml:space="preserve">odbojnik dystansowy 5mm        </v>
      </c>
      <c r="M173" s="6" t="str">
        <f>Price!B189</f>
        <v>993.0530</v>
      </c>
      <c r="N173" s="6" t="str">
        <f>Price!C189</f>
        <v>R737</v>
      </c>
      <c r="O173" s="88">
        <f>Price!D189</f>
        <v>0</v>
      </c>
      <c r="P173" s="7"/>
      <c r="Q173" s="8">
        <f t="shared" si="97"/>
        <v>2.4790800000000002</v>
      </c>
      <c r="R173" s="107">
        <f>Price!F189</f>
        <v>2.4790800000000002</v>
      </c>
      <c r="S173" s="76"/>
      <c r="T173" s="414">
        <f>Price!G189</f>
        <v>7834990</v>
      </c>
      <c r="U173" s="67">
        <f>Price!H189</f>
        <v>99131</v>
      </c>
    </row>
    <row r="174" spans="1:25" x14ac:dyDescent="0.25">
      <c r="A174" s="32" t="str">
        <f t="shared" si="89"/>
        <v xml:space="preserve">odbojnik dystansowy 8mm        </v>
      </c>
      <c r="B174" s="33" t="str">
        <f t="shared" si="90"/>
        <v>993.0830.01</v>
      </c>
      <c r="C174" s="33" t="str">
        <f t="shared" si="91"/>
        <v>R737</v>
      </c>
      <c r="D174" s="33">
        <f t="shared" si="92"/>
        <v>0</v>
      </c>
      <c r="E174" s="34">
        <f t="shared" si="93"/>
        <v>0</v>
      </c>
      <c r="F174" s="8">
        <f t="shared" si="94"/>
        <v>2.2267899999999998</v>
      </c>
      <c r="G174" s="23"/>
      <c r="H174" s="23"/>
      <c r="I174" s="48">
        <f t="shared" si="95"/>
        <v>7402930</v>
      </c>
      <c r="J174" s="48">
        <f t="shared" si="96"/>
        <v>99120</v>
      </c>
      <c r="L174" s="19" t="str">
        <f>Price!A190</f>
        <v xml:space="preserve">odbojnik dystansowy 8mm        </v>
      </c>
      <c r="M174" s="6" t="str">
        <f>Price!B190</f>
        <v>993.0830.01</v>
      </c>
      <c r="N174" s="6" t="str">
        <f>Price!C190</f>
        <v>R737</v>
      </c>
      <c r="O174" s="88">
        <f>Price!D190</f>
        <v>0</v>
      </c>
      <c r="P174" s="7"/>
      <c r="Q174" s="8">
        <f t="shared" si="97"/>
        <v>2.2267899999999998</v>
      </c>
      <c r="R174" s="107">
        <f>Price!F190</f>
        <v>2.2267899999999998</v>
      </c>
      <c r="S174" s="76"/>
      <c r="T174" s="414">
        <f>Price!G190</f>
        <v>7402930</v>
      </c>
      <c r="U174" s="67">
        <f>Price!H190</f>
        <v>99120</v>
      </c>
    </row>
    <row r="175" spans="1:25" x14ac:dyDescent="0.25">
      <c r="A175" s="32" t="str">
        <f t="shared" si="89"/>
        <v xml:space="preserve">uchwyt kabla do Servodrive       </v>
      </c>
      <c r="B175" s="33" t="str">
        <f t="shared" si="90"/>
        <v>Z10K0009</v>
      </c>
      <c r="C175" s="33" t="str">
        <f t="shared" si="91"/>
        <v>NA</v>
      </c>
      <c r="D175" s="33">
        <f t="shared" si="92"/>
        <v>0</v>
      </c>
      <c r="E175" s="34">
        <f t="shared" si="93"/>
        <v>0</v>
      </c>
      <c r="F175" s="8">
        <f t="shared" si="94"/>
        <v>2.7142900000000001</v>
      </c>
      <c r="G175" s="23"/>
      <c r="H175" s="23"/>
      <c r="I175" s="48">
        <f t="shared" si="95"/>
        <v>7283231</v>
      </c>
      <c r="J175" s="48">
        <f t="shared" si="96"/>
        <v>99105</v>
      </c>
      <c r="L175" s="19" t="str">
        <f>Price!A191</f>
        <v xml:space="preserve">uchwyt kabla do Servodrive       </v>
      </c>
      <c r="M175" s="6" t="str">
        <f>Price!B191</f>
        <v>Z10K0009</v>
      </c>
      <c r="N175" s="6" t="str">
        <f>Price!C191</f>
        <v>NA</v>
      </c>
      <c r="O175" s="88">
        <f>Price!D191</f>
        <v>0</v>
      </c>
      <c r="P175" s="7"/>
      <c r="Q175" s="8">
        <f t="shared" si="97"/>
        <v>2.7142900000000001</v>
      </c>
      <c r="R175" s="107">
        <f>Price!F191</f>
        <v>2.7142900000000001</v>
      </c>
      <c r="S175" s="76"/>
      <c r="T175" s="414">
        <f>Price!G191</f>
        <v>7283231</v>
      </c>
      <c r="U175" s="67">
        <f>Price!H191</f>
        <v>99105</v>
      </c>
    </row>
    <row r="176" spans="1:25" x14ac:dyDescent="0.25">
      <c r="A176" s="32" t="str">
        <f t="shared" si="89"/>
        <v xml:space="preserve">kabel 8m Servodrive        </v>
      </c>
      <c r="B176" s="33" t="str">
        <f t="shared" si="90"/>
        <v>Z10K800AE</v>
      </c>
      <c r="C176" s="33" t="str">
        <f t="shared" si="91"/>
        <v>S</v>
      </c>
      <c r="D176" s="33">
        <f t="shared" si="92"/>
        <v>0</v>
      </c>
      <c r="E176" s="34">
        <f t="shared" si="93"/>
        <v>0</v>
      </c>
      <c r="F176" s="8">
        <f t="shared" si="94"/>
        <v>94.233509999999981</v>
      </c>
      <c r="G176" s="23"/>
      <c r="H176" s="23"/>
      <c r="I176" s="48">
        <f t="shared" si="95"/>
        <v>7550294</v>
      </c>
      <c r="J176" s="48">
        <f t="shared" si="96"/>
        <v>99107</v>
      </c>
      <c r="L176" s="19" t="str">
        <f>Price!A192</f>
        <v xml:space="preserve">kabel 8m Servodrive        </v>
      </c>
      <c r="M176" s="6" t="str">
        <f>Price!B192</f>
        <v>Z10K800AE</v>
      </c>
      <c r="N176" s="6" t="str">
        <f>Price!C192</f>
        <v>S</v>
      </c>
      <c r="O176" s="88">
        <f>Price!D192</f>
        <v>0</v>
      </c>
      <c r="P176" s="7"/>
      <c r="Q176" s="8">
        <f t="shared" si="97"/>
        <v>94.233509999999981</v>
      </c>
      <c r="R176" s="107">
        <f>Price!F192</f>
        <v>94.233509999999995</v>
      </c>
      <c r="S176" s="76"/>
      <c r="T176" s="414">
        <f>Price!G192</f>
        <v>7550294</v>
      </c>
      <c r="U176" s="67">
        <f>Price!H192</f>
        <v>99107</v>
      </c>
    </row>
    <row r="177" spans="1:21" x14ac:dyDescent="0.25">
      <c r="A177" s="32" t="str">
        <f t="shared" si="89"/>
        <v xml:space="preserve">kabel zasilający 2m Servodrive       </v>
      </c>
      <c r="B177" s="33" t="str">
        <f t="shared" si="90"/>
        <v xml:space="preserve">Z10M200E </v>
      </c>
      <c r="C177" s="33" t="str">
        <f t="shared" si="91"/>
        <v>S</v>
      </c>
      <c r="D177" s="33">
        <f t="shared" si="92"/>
        <v>0</v>
      </c>
      <c r="E177" s="34">
        <f t="shared" si="93"/>
        <v>0</v>
      </c>
      <c r="F177" s="8">
        <f t="shared" si="94"/>
        <v>22.853960000000001</v>
      </c>
      <c r="G177" s="23"/>
      <c r="H177" s="23"/>
      <c r="I177" s="48">
        <f t="shared" si="95"/>
        <v>7205784</v>
      </c>
      <c r="J177" s="48">
        <f t="shared" si="96"/>
        <v>99108</v>
      </c>
      <c r="L177" s="19" t="str">
        <f>Price!A193</f>
        <v xml:space="preserve">kabel zasilający 2m Servodrive       </v>
      </c>
      <c r="M177" s="6" t="str">
        <f>Price!B193</f>
        <v xml:space="preserve">Z10M200E </v>
      </c>
      <c r="N177" s="6" t="str">
        <f>Price!C193</f>
        <v>S</v>
      </c>
      <c r="O177" s="88">
        <f>Price!D193</f>
        <v>0</v>
      </c>
      <c r="P177" s="7"/>
      <c r="Q177" s="8">
        <f t="shared" si="97"/>
        <v>22.853960000000001</v>
      </c>
      <c r="R177" s="107">
        <f>Price!F193</f>
        <v>22.853960000000001</v>
      </c>
      <c r="S177" s="76"/>
      <c r="T177" s="414">
        <f>Price!G193</f>
        <v>7205784</v>
      </c>
      <c r="U177" s="67">
        <f>Price!H193</f>
        <v>99108</v>
      </c>
    </row>
    <row r="178" spans="1:21" x14ac:dyDescent="0.25">
      <c r="A178" s="32" t="str">
        <f t="shared" si="89"/>
        <v>transformator Servodrive 24V / 72W</v>
      </c>
      <c r="B178" s="33" t="str">
        <f t="shared" si="90"/>
        <v xml:space="preserve">Z10NE04EE </v>
      </c>
      <c r="C178" s="33" t="str">
        <f t="shared" si="91"/>
        <v>S</v>
      </c>
      <c r="D178" s="33">
        <f t="shared" si="92"/>
        <v>0</v>
      </c>
      <c r="E178" s="34">
        <f t="shared" si="93"/>
        <v>0</v>
      </c>
      <c r="F178" s="8">
        <f t="shared" si="94"/>
        <v>384.03829000000007</v>
      </c>
      <c r="G178" s="23"/>
      <c r="H178" s="23"/>
      <c r="I178" s="48">
        <f t="shared" si="95"/>
        <v>3726359</v>
      </c>
      <c r="J178" s="48" t="str">
        <f t="shared" si="96"/>
        <v>523392</v>
      </c>
      <c r="L178" s="19" t="str">
        <f>Price!A194</f>
        <v>transformator Servodrive 24V / 72W</v>
      </c>
      <c r="M178" s="6" t="str">
        <f>Price!B194</f>
        <v xml:space="preserve">Z10NE04EE </v>
      </c>
      <c r="N178" s="6" t="str">
        <f>Price!C194</f>
        <v>S</v>
      </c>
      <c r="O178" s="88">
        <f>Price!D194</f>
        <v>0</v>
      </c>
      <c r="P178" s="7"/>
      <c r="Q178" s="8">
        <f t="shared" si="97"/>
        <v>384.03829000000007</v>
      </c>
      <c r="R178" s="107">
        <f>Price!F194</f>
        <v>384.03829000000002</v>
      </c>
      <c r="S178" s="76"/>
      <c r="T178" s="414">
        <f>Price!G194</f>
        <v>3726359</v>
      </c>
      <c r="U178" s="67" t="str">
        <f>Price!H194</f>
        <v>523392</v>
      </c>
    </row>
    <row r="179" spans="1:21" x14ac:dyDescent="0.25">
      <c r="A179" s="32" t="str">
        <f t="shared" si="89"/>
        <v xml:space="preserve">uchwyt zasilacza Servodrive do ścianki tylnej     </v>
      </c>
      <c r="B179" s="33" t="str">
        <f t="shared" si="90"/>
        <v>Z10NG120</v>
      </c>
      <c r="C179" s="33" t="str">
        <f t="shared" si="91"/>
        <v>WGR</v>
      </c>
      <c r="D179" s="33">
        <f t="shared" si="92"/>
        <v>0</v>
      </c>
      <c r="E179" s="34">
        <f t="shared" si="93"/>
        <v>0</v>
      </c>
      <c r="F179" s="8">
        <f t="shared" si="94"/>
        <v>12.687549999999998</v>
      </c>
      <c r="G179" s="23"/>
      <c r="H179" s="23"/>
      <c r="I179" s="48">
        <f t="shared" si="95"/>
        <v>9327076</v>
      </c>
      <c r="J179" s="48">
        <f t="shared" si="96"/>
        <v>131344</v>
      </c>
      <c r="L179" s="19" t="str">
        <f>Price!A195</f>
        <v xml:space="preserve">uchwyt zasilacza Servodrive do ścianki tylnej     </v>
      </c>
      <c r="M179" s="6" t="str">
        <f>Price!B195</f>
        <v>Z10NG120</v>
      </c>
      <c r="N179" s="6" t="str">
        <f>Price!C195</f>
        <v>WGR</v>
      </c>
      <c r="O179" s="88">
        <f>Price!D195</f>
        <v>0</v>
      </c>
      <c r="P179" s="7"/>
      <c r="Q179" s="8">
        <f t="shared" si="97"/>
        <v>12.687549999999998</v>
      </c>
      <c r="R179" s="107">
        <f>Price!F195</f>
        <v>12.68755</v>
      </c>
      <c r="S179" s="76"/>
      <c r="T179" s="414">
        <f>Price!G195</f>
        <v>9327076</v>
      </c>
      <c r="U179" s="67">
        <f>Price!H195</f>
        <v>131344</v>
      </c>
    </row>
    <row r="180" spans="1:21" x14ac:dyDescent="0.25">
      <c r="A180" s="32" t="str">
        <f t="shared" si="89"/>
        <v xml:space="preserve">Złącze pionowe i 2x końcówka ochronna przewodu Servodrive   </v>
      </c>
      <c r="B180" s="33" t="str">
        <f t="shared" si="90"/>
        <v>Z10V100E.01</v>
      </c>
      <c r="C180" s="33" t="str">
        <f t="shared" si="91"/>
        <v>S</v>
      </c>
      <c r="D180" s="33">
        <f t="shared" si="92"/>
        <v>0</v>
      </c>
      <c r="E180" s="34">
        <f t="shared" si="93"/>
        <v>0</v>
      </c>
      <c r="F180" s="8">
        <f t="shared" si="94"/>
        <v>22.446619999999999</v>
      </c>
      <c r="G180" s="23"/>
      <c r="H180" s="23"/>
      <c r="I180" s="48">
        <f t="shared" si="95"/>
        <v>8820285</v>
      </c>
      <c r="J180" s="48">
        <f t="shared" si="96"/>
        <v>132954</v>
      </c>
      <c r="L180" s="19" t="str">
        <f>Price!A196</f>
        <v xml:space="preserve">Złącze pionowe i 2x końcówka ochronna przewodu Servodrive   </v>
      </c>
      <c r="M180" s="6" t="str">
        <f>Price!B196</f>
        <v>Z10V100E.01</v>
      </c>
      <c r="N180" s="6" t="str">
        <f>Price!C196</f>
        <v>S</v>
      </c>
      <c r="O180" s="88">
        <f>Price!D196</f>
        <v>0</v>
      </c>
      <c r="P180" s="7"/>
      <c r="Q180" s="8">
        <f t="shared" si="97"/>
        <v>22.446619999999999</v>
      </c>
      <c r="R180" s="107">
        <f>Price!F196</f>
        <v>22.446619999999999</v>
      </c>
      <c r="S180" s="76"/>
      <c r="T180" s="414">
        <f>Price!G196</f>
        <v>8820285</v>
      </c>
      <c r="U180" s="67">
        <f>Price!H196</f>
        <v>132954</v>
      </c>
    </row>
    <row r="181" spans="1:21" x14ac:dyDescent="0.25">
      <c r="A181" s="32" t="str">
        <f t="shared" si="89"/>
        <v xml:space="preserve">Schalt V20 HGR, włącznik Aventos Servo-drive, nowy typ, jasnoszary  </v>
      </c>
      <c r="B181" s="33" t="str">
        <f t="shared" si="90"/>
        <v>23P5020</v>
      </c>
      <c r="C181" s="33" t="str">
        <f t="shared" si="91"/>
        <v>HGR</v>
      </c>
      <c r="D181" s="33">
        <f t="shared" si="92"/>
        <v>0</v>
      </c>
      <c r="E181" s="34">
        <f t="shared" si="93"/>
        <v>0</v>
      </c>
      <c r="F181" s="8">
        <f t="shared" si="94"/>
        <v>105.02671000000001</v>
      </c>
      <c r="G181" s="23"/>
      <c r="H181" s="23"/>
      <c r="I181" s="48">
        <f t="shared" si="95"/>
        <v>8457250</v>
      </c>
      <c r="J181" s="48">
        <f t="shared" si="96"/>
        <v>459669</v>
      </c>
      <c r="L181" s="19" t="str">
        <f>Price!A197</f>
        <v xml:space="preserve">Schalt V20 HGR, włącznik Aventos Servo-drive, nowy typ, jasnoszary  </v>
      </c>
      <c r="M181" s="6" t="str">
        <f>Price!B197</f>
        <v>23P5020</v>
      </c>
      <c r="N181" s="6" t="str">
        <f>Price!C197</f>
        <v>HGR</v>
      </c>
      <c r="O181" s="88">
        <f>Price!D197</f>
        <v>0</v>
      </c>
      <c r="P181" s="7"/>
      <c r="Q181" s="8">
        <f t="shared" si="97"/>
        <v>105.02671000000001</v>
      </c>
      <c r="R181" s="107">
        <f>Price!F197</f>
        <v>105.02670999999999</v>
      </c>
      <c r="S181" s="76"/>
      <c r="T181" s="414">
        <f>Price!G197</f>
        <v>8457250</v>
      </c>
      <c r="U181" s="67">
        <f>Price!H197</f>
        <v>459669</v>
      </c>
    </row>
    <row r="182" spans="1:21" x14ac:dyDescent="0.25">
      <c r="A182" s="32" t="str">
        <f t="shared" si="89"/>
        <v xml:space="preserve">Schalt V20 SW, włącznik Aventos Servo-drive, nowy typ, biały  </v>
      </c>
      <c r="B182" s="33" t="str">
        <f t="shared" si="90"/>
        <v>23P5020</v>
      </c>
      <c r="C182" s="33" t="str">
        <f t="shared" si="91"/>
        <v>SW</v>
      </c>
      <c r="D182" s="33">
        <f t="shared" si="92"/>
        <v>0</v>
      </c>
      <c r="E182" s="34">
        <f t="shared" si="93"/>
        <v>0</v>
      </c>
      <c r="F182" s="8">
        <f t="shared" si="94"/>
        <v>109.22888</v>
      </c>
      <c r="G182" s="23"/>
      <c r="H182" s="23"/>
      <c r="I182" s="48">
        <f t="shared" si="95"/>
        <v>6550469</v>
      </c>
      <c r="J182" s="48">
        <f t="shared" si="96"/>
        <v>419890</v>
      </c>
      <c r="L182" s="19" t="str">
        <f>Price!A198</f>
        <v xml:space="preserve">Schalt V20 SW, włącznik Aventos Servo-drive, nowy typ, biały  </v>
      </c>
      <c r="M182" s="6" t="str">
        <f>Price!B198</f>
        <v>23P5020</v>
      </c>
      <c r="N182" s="6" t="str">
        <f>Price!C198</f>
        <v>SW</v>
      </c>
      <c r="O182" s="88">
        <f>Price!D198</f>
        <v>0</v>
      </c>
      <c r="P182" s="7"/>
      <c r="Q182" s="8">
        <f t="shared" si="97"/>
        <v>109.22888</v>
      </c>
      <c r="R182" s="107">
        <f>Price!F198</f>
        <v>109.22888</v>
      </c>
      <c r="S182" s="76"/>
      <c r="T182" s="414">
        <f>Price!G198</f>
        <v>6550469</v>
      </c>
      <c r="U182" s="67">
        <f>Price!H198</f>
        <v>419890</v>
      </c>
    </row>
    <row r="183" spans="1:21" x14ac:dyDescent="0.25">
      <c r="A183" s="32" t="str">
        <f t="shared" ref="A183:F184" si="98">L183</f>
        <v xml:space="preserve">Schalt V20 TGR, włącznik Aventos Servo-drive, nowy typ, ciemoszary  </v>
      </c>
      <c r="B183" s="33" t="str">
        <f t="shared" si="98"/>
        <v>23P5020</v>
      </c>
      <c r="C183" s="33" t="str">
        <f t="shared" si="98"/>
        <v>TGR</v>
      </c>
      <c r="D183" s="33">
        <f t="shared" si="98"/>
        <v>0</v>
      </c>
      <c r="E183" s="34">
        <f t="shared" si="98"/>
        <v>0</v>
      </c>
      <c r="F183" s="8">
        <f t="shared" si="98"/>
        <v>109.22888</v>
      </c>
      <c r="G183" s="23"/>
      <c r="H183" s="23"/>
      <c r="I183" s="48">
        <f>T183</f>
        <v>2471776</v>
      </c>
      <c r="J183" s="48">
        <f>U183</f>
        <v>416262</v>
      </c>
      <c r="L183" s="19" t="str">
        <f>Price!A199</f>
        <v xml:space="preserve">Schalt V20 TGR, włącznik Aventos Servo-drive, nowy typ, ciemoszary  </v>
      </c>
      <c r="M183" s="6" t="str">
        <f>Price!B199</f>
        <v>23P5020</v>
      </c>
      <c r="N183" s="6" t="str">
        <f>Price!C199</f>
        <v>TGR</v>
      </c>
      <c r="O183" s="88">
        <f>Price!D199</f>
        <v>0</v>
      </c>
      <c r="P183" s="7"/>
      <c r="Q183" s="8">
        <f>R183*(100-$F$6)/100</f>
        <v>109.22888</v>
      </c>
      <c r="R183" s="107">
        <f>Price!F199</f>
        <v>109.22888</v>
      </c>
      <c r="S183" s="76"/>
      <c r="T183" s="414">
        <f>Price!G199</f>
        <v>2471776</v>
      </c>
      <c r="U183" s="67">
        <f>Price!H199</f>
        <v>416262</v>
      </c>
    </row>
    <row r="184" spans="1:21" x14ac:dyDescent="0.25">
      <c r="A184" s="32">
        <f t="shared" si="98"/>
        <v>0</v>
      </c>
      <c r="B184" s="33">
        <f t="shared" si="98"/>
        <v>0</v>
      </c>
      <c r="C184" s="33">
        <f t="shared" si="98"/>
        <v>0</v>
      </c>
      <c r="D184" s="33">
        <f t="shared" si="98"/>
        <v>0</v>
      </c>
      <c r="E184" s="34">
        <f t="shared" si="98"/>
        <v>0</v>
      </c>
      <c r="F184" s="8">
        <f t="shared" si="98"/>
        <v>0</v>
      </c>
      <c r="G184" s="23"/>
      <c r="H184" s="23"/>
      <c r="I184" s="48">
        <f>T184</f>
        <v>0</v>
      </c>
      <c r="J184" s="48">
        <f>U184</f>
        <v>0</v>
      </c>
      <c r="L184" s="19"/>
      <c r="M184" s="6"/>
      <c r="N184" s="6"/>
      <c r="O184" s="88"/>
      <c r="P184" s="7"/>
      <c r="Q184" s="8"/>
      <c r="R184" s="107"/>
      <c r="S184" s="76"/>
      <c r="T184" s="3"/>
      <c r="U184" s="3"/>
    </row>
    <row r="185" spans="1:21" x14ac:dyDescent="0.25">
      <c r="A185" s="32" t="str">
        <f t="shared" ref="A185:A199" si="99">L185</f>
        <v xml:space="preserve">Tip-on do zawiasu 50mm PG, szary     </v>
      </c>
      <c r="B185" s="33" t="str">
        <f t="shared" ref="B185:B199" si="100">M185</f>
        <v>956.1004</v>
      </c>
      <c r="C185" s="33" t="str">
        <f t="shared" ref="C185:C199" si="101">N185</f>
        <v>R7036</v>
      </c>
      <c r="D185" s="33">
        <f t="shared" ref="D185:D199" si="102">O185</f>
        <v>0</v>
      </c>
      <c r="E185" s="34">
        <f t="shared" ref="E185:E199" si="103">P185</f>
        <v>0</v>
      </c>
      <c r="F185" s="8">
        <f t="shared" ref="F185:F190" si="104">Q185</f>
        <v>12.830769999999999</v>
      </c>
      <c r="G185" s="23"/>
      <c r="H185" s="23"/>
      <c r="I185" s="48">
        <f t="shared" ref="I185:I199" si="105">T185</f>
        <v>9638374</v>
      </c>
      <c r="J185" s="48">
        <f t="shared" ref="J185:J199" si="106">U185</f>
        <v>250827</v>
      </c>
      <c r="L185" s="19" t="str">
        <f>Price!A203</f>
        <v xml:space="preserve">Tip-on do zawiasu 50mm PG, szary     </v>
      </c>
      <c r="M185" s="6" t="str">
        <f>Price!B203</f>
        <v>956.1004</v>
      </c>
      <c r="N185" s="6" t="str">
        <f>Price!C203</f>
        <v>R7036</v>
      </c>
      <c r="O185" s="88">
        <f>Price!D203</f>
        <v>0</v>
      </c>
      <c r="P185" s="7"/>
      <c r="Q185" s="8">
        <f t="shared" ref="Q185:Q201" si="107">R185*(100-$F$6)/100</f>
        <v>12.830769999999999</v>
      </c>
      <c r="R185" s="107">
        <f>Price!F203</f>
        <v>12.830769999999999</v>
      </c>
      <c r="S185" s="76"/>
      <c r="T185" s="3">
        <f>Price!G203</f>
        <v>9638374</v>
      </c>
      <c r="U185" s="3">
        <f>Price!H203</f>
        <v>250827</v>
      </c>
    </row>
    <row r="186" spans="1:21" x14ac:dyDescent="0.25">
      <c r="A186" s="32" t="str">
        <f t="shared" si="99"/>
        <v xml:space="preserve">Tip-on do zawiasu 50mm SW, biały     </v>
      </c>
      <c r="B186" s="33" t="str">
        <f t="shared" si="100"/>
        <v>956.1004</v>
      </c>
      <c r="C186" s="33" t="str">
        <f t="shared" si="101"/>
        <v>SW</v>
      </c>
      <c r="D186" s="33">
        <f t="shared" si="102"/>
        <v>0</v>
      </c>
      <c r="E186" s="34">
        <f t="shared" si="103"/>
        <v>0</v>
      </c>
      <c r="F186" s="8">
        <f t="shared" si="104"/>
        <v>12.830769999999999</v>
      </c>
      <c r="G186" s="23"/>
      <c r="H186" s="23"/>
      <c r="I186" s="48">
        <f t="shared" si="105"/>
        <v>5425480</v>
      </c>
      <c r="J186" s="48">
        <f t="shared" si="106"/>
        <v>250826</v>
      </c>
      <c r="L186" s="19" t="str">
        <f>Price!A204</f>
        <v xml:space="preserve">Tip-on do zawiasu 50mm SW, biały     </v>
      </c>
      <c r="M186" s="6" t="str">
        <f>Price!B204</f>
        <v>956.1004</v>
      </c>
      <c r="N186" s="6" t="str">
        <f>Price!C204</f>
        <v>SW</v>
      </c>
      <c r="O186" s="88">
        <f>Price!D204</f>
        <v>0</v>
      </c>
      <c r="P186" s="7"/>
      <c r="Q186" s="8">
        <f t="shared" si="107"/>
        <v>12.830769999999999</v>
      </c>
      <c r="R186" s="107">
        <f>Price!F204</f>
        <v>12.830769999999999</v>
      </c>
      <c r="S186" s="76"/>
      <c r="T186" s="3">
        <f>Price!G204</f>
        <v>5425480</v>
      </c>
      <c r="U186" s="3">
        <f>Price!H204</f>
        <v>250826</v>
      </c>
    </row>
    <row r="187" spans="1:21" x14ac:dyDescent="0.25">
      <c r="A187" s="32" t="str">
        <f t="shared" si="99"/>
        <v xml:space="preserve">Tip-on do zawiasu krótki 50mm z magnesem,komplet, karbon czarny CS </v>
      </c>
      <c r="B187" s="33" t="str">
        <f t="shared" si="100"/>
        <v>956.1004</v>
      </c>
      <c r="C187" s="33" t="str">
        <f t="shared" si="101"/>
        <v>CS</v>
      </c>
      <c r="D187" s="33">
        <f t="shared" si="102"/>
        <v>0</v>
      </c>
      <c r="E187" s="34">
        <f t="shared" si="103"/>
        <v>0</v>
      </c>
      <c r="F187" s="8">
        <f t="shared" si="104"/>
        <v>12.830769999999999</v>
      </c>
      <c r="G187" s="23"/>
      <c r="H187" s="23"/>
      <c r="I187" s="48">
        <f t="shared" si="105"/>
        <v>8847603</v>
      </c>
      <c r="J187" s="48">
        <f t="shared" si="106"/>
        <v>497006</v>
      </c>
      <c r="L187" s="19" t="str">
        <f>Price!A205</f>
        <v xml:space="preserve">Tip-on do zawiasu krótki 50mm z magnesem,komplet, karbon czarny CS </v>
      </c>
      <c r="M187" s="6" t="str">
        <f>Price!B205</f>
        <v>956.1004</v>
      </c>
      <c r="N187" s="6" t="str">
        <f>Price!C205</f>
        <v>CS</v>
      </c>
      <c r="O187" s="88">
        <f>Price!D205</f>
        <v>0</v>
      </c>
      <c r="P187" s="7"/>
      <c r="Q187" s="8">
        <f t="shared" si="107"/>
        <v>12.830769999999999</v>
      </c>
      <c r="R187" s="107">
        <f>Price!F205</f>
        <v>12.830769999999999</v>
      </c>
      <c r="S187" s="76"/>
      <c r="T187" s="3">
        <f>Price!G205</f>
        <v>8847603</v>
      </c>
      <c r="U187" s="3">
        <f>Price!H205</f>
        <v>497006</v>
      </c>
    </row>
    <row r="188" spans="1:21" x14ac:dyDescent="0.25">
      <c r="A188" s="32" t="str">
        <f t="shared" si="99"/>
        <v xml:space="preserve">Tip-on do zawiasu 76mm, PG, szary     </v>
      </c>
      <c r="B188" s="33" t="str">
        <f t="shared" si="100"/>
        <v>956A1004</v>
      </c>
      <c r="C188" s="33" t="str">
        <f t="shared" si="101"/>
        <v>R7036</v>
      </c>
      <c r="D188" s="33">
        <f t="shared" si="102"/>
        <v>0</v>
      </c>
      <c r="E188" s="34">
        <f t="shared" si="103"/>
        <v>0</v>
      </c>
      <c r="F188" s="8">
        <f t="shared" si="104"/>
        <v>16.100000000000001</v>
      </c>
      <c r="G188" s="23"/>
      <c r="H188" s="23"/>
      <c r="I188" s="48">
        <f t="shared" si="105"/>
        <v>3156257</v>
      </c>
      <c r="J188" s="48">
        <f t="shared" si="106"/>
        <v>250833</v>
      </c>
      <c r="L188" s="19" t="str">
        <f>Price!A206</f>
        <v xml:space="preserve">Tip-on do zawiasu 76mm, PG, szary     </v>
      </c>
      <c r="M188" s="6" t="str">
        <f>Price!B206</f>
        <v>956A1004</v>
      </c>
      <c r="N188" s="6" t="str">
        <f>Price!C206</f>
        <v>R7036</v>
      </c>
      <c r="O188" s="88">
        <f>Price!D206</f>
        <v>0</v>
      </c>
      <c r="P188" s="7"/>
      <c r="Q188" s="8">
        <f t="shared" si="107"/>
        <v>16.100000000000001</v>
      </c>
      <c r="R188" s="107">
        <f>Price!F206</f>
        <v>16.100000000000001</v>
      </c>
      <c r="S188" s="76"/>
      <c r="T188" s="3">
        <f>Price!G206</f>
        <v>3156257</v>
      </c>
      <c r="U188" s="3">
        <f>Price!H206</f>
        <v>250833</v>
      </c>
    </row>
    <row r="189" spans="1:21" x14ac:dyDescent="0.25">
      <c r="A189" s="32" t="str">
        <f t="shared" si="99"/>
        <v xml:space="preserve">Tip-on do zawiasu 76mm, SW, biały     </v>
      </c>
      <c r="B189" s="33" t="str">
        <f t="shared" si="100"/>
        <v>956A1004</v>
      </c>
      <c r="C189" s="33" t="str">
        <f t="shared" si="101"/>
        <v>WA</v>
      </c>
      <c r="D189" s="33">
        <f t="shared" si="102"/>
        <v>0</v>
      </c>
      <c r="E189" s="34">
        <f t="shared" si="103"/>
        <v>0</v>
      </c>
      <c r="F189" s="8">
        <f t="shared" si="104"/>
        <v>16.100000000000001</v>
      </c>
      <c r="G189" s="23"/>
      <c r="H189" s="23"/>
      <c r="I189" s="48">
        <f t="shared" si="105"/>
        <v>7156066</v>
      </c>
      <c r="J189" s="48">
        <f t="shared" si="106"/>
        <v>250831</v>
      </c>
      <c r="L189" s="19" t="str">
        <f>Price!A207</f>
        <v xml:space="preserve">Tip-on do zawiasu 76mm, SW, biały     </v>
      </c>
      <c r="M189" s="6" t="str">
        <f>Price!B207</f>
        <v>956A1004</v>
      </c>
      <c r="N189" s="6" t="str">
        <f>Price!C207</f>
        <v>WA</v>
      </c>
      <c r="O189" s="88">
        <f>Price!D207</f>
        <v>0</v>
      </c>
      <c r="P189" s="7"/>
      <c r="Q189" s="8">
        <f t="shared" si="107"/>
        <v>16.100000000000001</v>
      </c>
      <c r="R189" s="107">
        <f>Price!F207</f>
        <v>16.100000000000001</v>
      </c>
      <c r="S189" s="76"/>
      <c r="T189" s="3">
        <f>Price!G207</f>
        <v>7156066</v>
      </c>
      <c r="U189" s="3">
        <f>Price!H207</f>
        <v>250831</v>
      </c>
    </row>
    <row r="190" spans="1:21" x14ac:dyDescent="0.25">
      <c r="A190" s="32" t="str">
        <f t="shared" si="99"/>
        <v>Tip-on do zawiasu długi 76mm z magnesem, komplet, karbon czarny CS</v>
      </c>
      <c r="B190" s="33" t="str">
        <f t="shared" si="100"/>
        <v>956A1004</v>
      </c>
      <c r="C190" s="33" t="str">
        <f t="shared" si="101"/>
        <v>CS</v>
      </c>
      <c r="D190" s="33">
        <f t="shared" si="102"/>
        <v>0</v>
      </c>
      <c r="E190" s="34">
        <f t="shared" si="103"/>
        <v>0</v>
      </c>
      <c r="F190" s="8">
        <f t="shared" si="104"/>
        <v>16.100000000000001</v>
      </c>
      <c r="G190" s="23"/>
      <c r="H190" s="23"/>
      <c r="I190" s="48">
        <f t="shared" si="105"/>
        <v>4284886</v>
      </c>
      <c r="J190" s="48">
        <f t="shared" si="106"/>
        <v>497007</v>
      </c>
      <c r="L190" s="19" t="str">
        <f>Price!A208</f>
        <v>Tip-on do zawiasu długi 76mm z magnesem, komplet, karbon czarny CS</v>
      </c>
      <c r="M190" s="6" t="str">
        <f>Price!B208</f>
        <v>956A1004</v>
      </c>
      <c r="N190" s="6" t="str">
        <f>Price!C208</f>
        <v>CS</v>
      </c>
      <c r="O190" s="88">
        <f>Price!D208</f>
        <v>0</v>
      </c>
      <c r="P190" s="7"/>
      <c r="Q190" s="8">
        <f t="shared" si="107"/>
        <v>16.100000000000001</v>
      </c>
      <c r="R190" s="107">
        <f>Price!F208</f>
        <v>16.100000000000001</v>
      </c>
      <c r="S190" s="76"/>
      <c r="T190" s="3">
        <f>Price!G208</f>
        <v>4284886</v>
      </c>
      <c r="U190" s="3">
        <f>Price!H208</f>
        <v>497007</v>
      </c>
    </row>
    <row r="191" spans="1:21" x14ac:dyDescent="0.25">
      <c r="A191" s="32" t="str">
        <f t="shared" ref="A191:F193" si="108">L191</f>
        <v xml:space="preserve">Tip-on adapter prosty 50mm, szary      </v>
      </c>
      <c r="B191" s="33" t="str">
        <f t="shared" si="108"/>
        <v>956.1201</v>
      </c>
      <c r="C191" s="33" t="str">
        <f t="shared" si="108"/>
        <v>R7036</v>
      </c>
      <c r="D191" s="33">
        <f t="shared" si="108"/>
        <v>0</v>
      </c>
      <c r="E191" s="34">
        <f t="shared" si="108"/>
        <v>0</v>
      </c>
      <c r="F191" s="8">
        <f t="shared" si="108"/>
        <v>2.8605800000000001</v>
      </c>
      <c r="G191" s="23"/>
      <c r="H191" s="23"/>
      <c r="I191" s="48">
        <f t="shared" ref="I191:J193" si="109">T191</f>
        <v>3913370</v>
      </c>
      <c r="J191" s="48">
        <f t="shared" si="109"/>
        <v>250839</v>
      </c>
      <c r="L191" s="19" t="str">
        <f>Price!A211</f>
        <v xml:space="preserve">Tip-on adapter prosty 50mm, szary      </v>
      </c>
      <c r="M191" s="6" t="str">
        <f>Price!B211</f>
        <v>956.1201</v>
      </c>
      <c r="N191" s="6" t="str">
        <f>Price!C211</f>
        <v>R7036</v>
      </c>
      <c r="O191" s="88">
        <f>Price!D211</f>
        <v>0</v>
      </c>
      <c r="P191" s="7"/>
      <c r="Q191" s="8">
        <f t="shared" si="107"/>
        <v>2.8605800000000001</v>
      </c>
      <c r="R191" s="107">
        <f>Price!F211</f>
        <v>2.8605800000000001</v>
      </c>
      <c r="S191" s="76"/>
      <c r="T191" s="3">
        <f>Price!G211</f>
        <v>3913370</v>
      </c>
      <c r="U191" s="3">
        <f>Price!H211</f>
        <v>250839</v>
      </c>
    </row>
    <row r="192" spans="1:21" x14ac:dyDescent="0.25">
      <c r="A192" s="32" t="str">
        <f t="shared" si="108"/>
        <v xml:space="preserve">Tip-on adapter prosty, 50mm, biały      </v>
      </c>
      <c r="B192" s="33" t="str">
        <f t="shared" si="108"/>
        <v>956.1201</v>
      </c>
      <c r="C192" s="33" t="str">
        <f t="shared" si="108"/>
        <v>SW</v>
      </c>
      <c r="D192" s="33">
        <f t="shared" si="108"/>
        <v>0</v>
      </c>
      <c r="E192" s="34">
        <f t="shared" si="108"/>
        <v>0</v>
      </c>
      <c r="F192" s="8">
        <f t="shared" si="108"/>
        <v>2.8605800000000001</v>
      </c>
      <c r="G192" s="23"/>
      <c r="H192" s="23"/>
      <c r="I192" s="48">
        <f t="shared" si="109"/>
        <v>2988448</v>
      </c>
      <c r="J192" s="48">
        <f t="shared" si="109"/>
        <v>250838</v>
      </c>
      <c r="L192" s="19" t="str">
        <f>Price!A212</f>
        <v xml:space="preserve">Tip-on adapter prosty, 50mm, biały      </v>
      </c>
      <c r="M192" s="6" t="str">
        <f>Price!B212</f>
        <v>956.1201</v>
      </c>
      <c r="N192" s="6" t="str">
        <f>Price!C212</f>
        <v>SW</v>
      </c>
      <c r="O192" s="88">
        <f>Price!D212</f>
        <v>0</v>
      </c>
      <c r="P192" s="7"/>
      <c r="Q192" s="8">
        <f t="shared" si="107"/>
        <v>2.8605800000000001</v>
      </c>
      <c r="R192" s="107">
        <f>Price!F212</f>
        <v>2.8605800000000001</v>
      </c>
      <c r="S192" s="76"/>
      <c r="T192" s="3">
        <f>Price!G212</f>
        <v>2988448</v>
      </c>
      <c r="U192" s="3">
        <f>Price!H212</f>
        <v>250838</v>
      </c>
    </row>
    <row r="193" spans="1:21" x14ac:dyDescent="0.25">
      <c r="A193" s="32" t="str">
        <f t="shared" si="108"/>
        <v xml:space="preserve">adapter prosty do Tip-on krótki, wkręt, karbon czarny CS  </v>
      </c>
      <c r="B193" s="33" t="str">
        <f t="shared" si="108"/>
        <v>956.1201</v>
      </c>
      <c r="C193" s="33" t="str">
        <f t="shared" si="108"/>
        <v>CS</v>
      </c>
      <c r="D193" s="33">
        <f t="shared" si="108"/>
        <v>0</v>
      </c>
      <c r="E193" s="34">
        <f t="shared" si="108"/>
        <v>0</v>
      </c>
      <c r="F193" s="8">
        <f t="shared" si="108"/>
        <v>3.1715599999999999</v>
      </c>
      <c r="G193" s="23"/>
      <c r="H193" s="23"/>
      <c r="I193" s="48">
        <f t="shared" si="109"/>
        <v>8711715</v>
      </c>
      <c r="J193" s="48">
        <f t="shared" si="109"/>
        <v>497009</v>
      </c>
      <c r="L193" s="19" t="str">
        <f>Price!A213</f>
        <v xml:space="preserve">adapter prosty do Tip-on krótki, wkręt, karbon czarny CS  </v>
      </c>
      <c r="M193" s="6" t="str">
        <f>Price!B213</f>
        <v>956.1201</v>
      </c>
      <c r="N193" s="6" t="str">
        <f>Price!C213</f>
        <v>CS</v>
      </c>
      <c r="O193" s="88">
        <f>Price!D213</f>
        <v>0</v>
      </c>
      <c r="P193" s="7"/>
      <c r="Q193" s="8">
        <f t="shared" si="107"/>
        <v>3.1715599999999999</v>
      </c>
      <c r="R193" s="107">
        <f>Price!F213</f>
        <v>3.1715599999999999</v>
      </c>
      <c r="S193" s="76"/>
      <c r="T193" s="3">
        <f>Price!G213</f>
        <v>8711715</v>
      </c>
      <c r="U193" s="3">
        <f>Price!H213</f>
        <v>497009</v>
      </c>
    </row>
    <row r="194" spans="1:21" x14ac:dyDescent="0.25">
      <c r="A194" s="32" t="str">
        <f t="shared" si="99"/>
        <v xml:space="preserve">Tip-on adapter prosty, 76mm, szary      </v>
      </c>
      <c r="B194" s="33" t="str">
        <f t="shared" si="100"/>
        <v>956A1201</v>
      </c>
      <c r="C194" s="33" t="str">
        <f t="shared" si="101"/>
        <v>R7036</v>
      </c>
      <c r="D194" s="33">
        <f t="shared" si="102"/>
        <v>0</v>
      </c>
      <c r="E194" s="34">
        <f t="shared" si="103"/>
        <v>0</v>
      </c>
      <c r="F194" s="8">
        <f t="shared" ref="F194:F201" si="110">Q194</f>
        <v>2.8605800000000001</v>
      </c>
      <c r="G194" s="23"/>
      <c r="H194" s="23"/>
      <c r="I194" s="48">
        <f t="shared" si="105"/>
        <v>1743112</v>
      </c>
      <c r="J194" s="48">
        <f t="shared" si="106"/>
        <v>250842</v>
      </c>
      <c r="L194" s="19" t="str">
        <f>Price!A214</f>
        <v xml:space="preserve">Tip-on adapter prosty, 76mm, szary      </v>
      </c>
      <c r="M194" s="6" t="str">
        <f>Price!B214</f>
        <v>956A1201</v>
      </c>
      <c r="N194" s="6" t="str">
        <f>Price!C214</f>
        <v>R7036</v>
      </c>
      <c r="O194" s="88">
        <f>Price!D214</f>
        <v>0</v>
      </c>
      <c r="P194" s="7"/>
      <c r="Q194" s="8">
        <f t="shared" si="107"/>
        <v>2.8605800000000001</v>
      </c>
      <c r="R194" s="107">
        <f>Price!F214</f>
        <v>2.8605800000000001</v>
      </c>
      <c r="S194" s="76"/>
      <c r="T194" s="3">
        <f>Price!G214</f>
        <v>1743112</v>
      </c>
      <c r="U194" s="3">
        <f>Price!H214</f>
        <v>250842</v>
      </c>
    </row>
    <row r="195" spans="1:21" x14ac:dyDescent="0.25">
      <c r="A195" s="32" t="str">
        <f t="shared" si="99"/>
        <v xml:space="preserve">Tip-on adapter prosty, 76mm, biały      </v>
      </c>
      <c r="B195" s="33" t="str">
        <f t="shared" si="100"/>
        <v>956A1201</v>
      </c>
      <c r="C195" s="33" t="str">
        <f t="shared" si="101"/>
        <v>WA</v>
      </c>
      <c r="D195" s="33">
        <f t="shared" si="102"/>
        <v>0</v>
      </c>
      <c r="E195" s="34">
        <f t="shared" si="103"/>
        <v>0</v>
      </c>
      <c r="F195" s="8">
        <f t="shared" si="110"/>
        <v>2.8605800000000001</v>
      </c>
      <c r="G195" s="23"/>
      <c r="H195" s="23"/>
      <c r="I195" s="48">
        <f t="shared" si="105"/>
        <v>3880106</v>
      </c>
      <c r="J195" s="48">
        <f t="shared" si="106"/>
        <v>250841</v>
      </c>
      <c r="L195" s="19" t="str">
        <f>Price!A215</f>
        <v xml:space="preserve">Tip-on adapter prosty, 76mm, biały      </v>
      </c>
      <c r="M195" s="6" t="str">
        <f>Price!B215</f>
        <v>956A1201</v>
      </c>
      <c r="N195" s="6" t="str">
        <f>Price!C215</f>
        <v>WA</v>
      </c>
      <c r="O195" s="88">
        <f>Price!D215</f>
        <v>0</v>
      </c>
      <c r="P195" s="7"/>
      <c r="Q195" s="8">
        <f t="shared" si="107"/>
        <v>2.8605800000000001</v>
      </c>
      <c r="R195" s="107">
        <f>Price!F215</f>
        <v>2.8605800000000001</v>
      </c>
      <c r="S195" s="76"/>
      <c r="T195" s="3">
        <f>Price!G215</f>
        <v>3880106</v>
      </c>
      <c r="U195" s="3">
        <f>Price!H215</f>
        <v>250841</v>
      </c>
    </row>
    <row r="196" spans="1:21" x14ac:dyDescent="0.25">
      <c r="A196" s="32" t="str">
        <f t="shared" si="99"/>
        <v xml:space="preserve">adapter prosty do Tip-on długi, wkręt, karbon czarny CS  </v>
      </c>
      <c r="B196" s="33" t="str">
        <f t="shared" si="100"/>
        <v>956A1201</v>
      </c>
      <c r="C196" s="33" t="str">
        <f t="shared" si="101"/>
        <v>CS</v>
      </c>
      <c r="D196" s="33">
        <f t="shared" si="102"/>
        <v>0</v>
      </c>
      <c r="E196" s="34">
        <f t="shared" si="103"/>
        <v>0</v>
      </c>
      <c r="F196" s="8">
        <f t="shared" si="110"/>
        <v>3.1715599999999999</v>
      </c>
      <c r="G196" s="23"/>
      <c r="H196" s="23"/>
      <c r="I196" s="48">
        <f t="shared" si="105"/>
        <v>3735328</v>
      </c>
      <c r="J196" s="48">
        <f t="shared" si="106"/>
        <v>497010</v>
      </c>
      <c r="L196" s="19" t="str">
        <f>Price!A216</f>
        <v xml:space="preserve">adapter prosty do Tip-on długi, wkręt, karbon czarny CS  </v>
      </c>
      <c r="M196" s="6" t="str">
        <f>Price!B216</f>
        <v>956A1201</v>
      </c>
      <c r="N196" s="6" t="str">
        <f>Price!C216</f>
        <v>CS</v>
      </c>
      <c r="O196" s="88">
        <f>Price!D216</f>
        <v>0</v>
      </c>
      <c r="P196" s="7"/>
      <c r="Q196" s="8">
        <f t="shared" si="107"/>
        <v>3.1715599999999999</v>
      </c>
      <c r="R196" s="107">
        <f>Price!F216</f>
        <v>3.1715599999999999</v>
      </c>
      <c r="S196" s="76"/>
      <c r="T196" s="3">
        <f>Price!G216</f>
        <v>3735328</v>
      </c>
      <c r="U196" s="3">
        <f>Price!H216</f>
        <v>497010</v>
      </c>
    </row>
    <row r="197" spans="1:21" x14ac:dyDescent="0.25">
      <c r="A197" s="32" t="str">
        <f t="shared" si="99"/>
        <v xml:space="preserve">Tip-on adapter krzyżakowy, 76mm, szary      </v>
      </c>
      <c r="B197" s="33" t="str">
        <f t="shared" si="100"/>
        <v>956A1501</v>
      </c>
      <c r="C197" s="33" t="str">
        <f t="shared" si="101"/>
        <v>R7036</v>
      </c>
      <c r="D197" s="33">
        <f t="shared" si="102"/>
        <v>0</v>
      </c>
      <c r="E197" s="34">
        <f t="shared" si="103"/>
        <v>0</v>
      </c>
      <c r="F197" s="8">
        <f t="shared" si="110"/>
        <v>2.0432700000000001</v>
      </c>
      <c r="G197" s="23"/>
      <c r="H197" s="23"/>
      <c r="I197" s="48">
        <f t="shared" si="105"/>
        <v>8814396</v>
      </c>
      <c r="J197" s="48">
        <f t="shared" si="106"/>
        <v>250844</v>
      </c>
      <c r="L197" s="19" t="str">
        <f>Price!A217</f>
        <v xml:space="preserve">Tip-on adapter krzyżakowy, 76mm, szary      </v>
      </c>
      <c r="M197" s="6" t="str">
        <f>Price!B217</f>
        <v>956A1501</v>
      </c>
      <c r="N197" s="6" t="str">
        <f>Price!C217</f>
        <v>R7036</v>
      </c>
      <c r="O197" s="88">
        <f>Price!D217</f>
        <v>0</v>
      </c>
      <c r="P197" s="7"/>
      <c r="Q197" s="8">
        <f t="shared" si="107"/>
        <v>2.0432700000000001</v>
      </c>
      <c r="R197" s="107">
        <f>Price!F217</f>
        <v>2.0432700000000001</v>
      </c>
      <c r="S197" s="76"/>
      <c r="T197" s="3">
        <f>Price!G217</f>
        <v>8814396</v>
      </c>
      <c r="U197" s="3">
        <f>Price!H217</f>
        <v>250844</v>
      </c>
    </row>
    <row r="198" spans="1:21" x14ac:dyDescent="0.25">
      <c r="A198" s="32">
        <f t="shared" si="99"/>
        <v>0</v>
      </c>
      <c r="B198" s="33">
        <f t="shared" si="100"/>
        <v>0</v>
      </c>
      <c r="C198" s="33">
        <f t="shared" si="101"/>
        <v>0</v>
      </c>
      <c r="D198" s="33">
        <f t="shared" si="102"/>
        <v>0</v>
      </c>
      <c r="E198" s="34">
        <f t="shared" si="103"/>
        <v>0</v>
      </c>
      <c r="F198" s="8">
        <f t="shared" si="110"/>
        <v>0</v>
      </c>
      <c r="G198" s="23"/>
      <c r="H198" s="23"/>
      <c r="I198" s="48">
        <f t="shared" si="105"/>
        <v>0</v>
      </c>
      <c r="J198" s="48">
        <f t="shared" si="106"/>
        <v>0</v>
      </c>
      <c r="L198" s="19">
        <f>Price!A218</f>
        <v>0</v>
      </c>
      <c r="M198" s="6">
        <f>Price!B218</f>
        <v>0</v>
      </c>
      <c r="N198" s="6">
        <f>Price!C218</f>
        <v>0</v>
      </c>
      <c r="O198" s="88">
        <f>Price!D218</f>
        <v>0</v>
      </c>
      <c r="P198" s="7"/>
      <c r="Q198" s="8">
        <f t="shared" si="107"/>
        <v>0</v>
      </c>
      <c r="R198" s="107">
        <f>Price!F218</f>
        <v>0</v>
      </c>
      <c r="S198" s="76"/>
      <c r="T198" s="3">
        <f>Price!G218</f>
        <v>0</v>
      </c>
      <c r="U198" s="3">
        <f>Price!H218</f>
        <v>0</v>
      </c>
    </row>
    <row r="199" spans="1:21" x14ac:dyDescent="0.25">
      <c r="A199" s="32" t="str">
        <f t="shared" si="99"/>
        <v>Tutaj możesz wstawić własne pozycje ( kolejnych 10 linijek pojawi się w zamówieniu)</v>
      </c>
      <c r="B199" s="33">
        <f t="shared" si="100"/>
        <v>0</v>
      </c>
      <c r="C199" s="33">
        <f t="shared" si="101"/>
        <v>0</v>
      </c>
      <c r="D199" s="33">
        <f t="shared" si="102"/>
        <v>0</v>
      </c>
      <c r="E199" s="34">
        <f t="shared" si="103"/>
        <v>0</v>
      </c>
      <c r="F199" s="8">
        <f t="shared" si="110"/>
        <v>0</v>
      </c>
      <c r="G199" s="23"/>
      <c r="H199" s="23"/>
      <c r="I199" s="48">
        <f t="shared" si="105"/>
        <v>0</v>
      </c>
      <c r="J199" s="48">
        <f t="shared" si="106"/>
        <v>0</v>
      </c>
      <c r="L199" s="19" t="str">
        <f>Price!A219</f>
        <v>Tutaj możesz wstawić własne pozycje ( kolejnych 10 linijek pojawi się w zamówieniu)</v>
      </c>
      <c r="M199" s="6">
        <f>Price!B219</f>
        <v>0</v>
      </c>
      <c r="N199" s="6">
        <f>Price!C219</f>
        <v>0</v>
      </c>
      <c r="O199" s="88">
        <f>Price!D219</f>
        <v>0</v>
      </c>
      <c r="P199" s="7"/>
      <c r="Q199" s="8">
        <f t="shared" si="107"/>
        <v>0</v>
      </c>
      <c r="R199" s="107">
        <f>Price!F219</f>
        <v>0</v>
      </c>
      <c r="S199" s="76"/>
      <c r="T199" s="3">
        <f>Price!G219</f>
        <v>0</v>
      </c>
      <c r="U199" s="3">
        <f>Price!H219</f>
        <v>0</v>
      </c>
    </row>
    <row r="200" spans="1:21" x14ac:dyDescent="0.25">
      <c r="A200" s="32">
        <f t="shared" ref="A200:E201" si="111">L200</f>
        <v>0</v>
      </c>
      <c r="B200" s="33">
        <f t="shared" si="111"/>
        <v>0</v>
      </c>
      <c r="C200" s="33">
        <f t="shared" si="111"/>
        <v>0</v>
      </c>
      <c r="D200" s="33">
        <f t="shared" si="111"/>
        <v>0</v>
      </c>
      <c r="E200" s="34">
        <f t="shared" si="111"/>
        <v>0</v>
      </c>
      <c r="F200" s="8">
        <f t="shared" si="110"/>
        <v>0</v>
      </c>
      <c r="G200" s="23"/>
      <c r="H200" s="23"/>
      <c r="I200" s="48">
        <f>T200</f>
        <v>0</v>
      </c>
      <c r="J200" s="48">
        <f>U200</f>
        <v>0</v>
      </c>
      <c r="L200" s="19">
        <f>Price!A220</f>
        <v>0</v>
      </c>
      <c r="M200" s="6">
        <f>Price!B220</f>
        <v>0</v>
      </c>
      <c r="N200" s="6">
        <f>Price!C220</f>
        <v>0</v>
      </c>
      <c r="O200" s="88">
        <f>Price!D220</f>
        <v>0</v>
      </c>
      <c r="P200" s="7"/>
      <c r="Q200" s="8">
        <f t="shared" si="107"/>
        <v>0</v>
      </c>
      <c r="R200" s="107">
        <f>Price!F220</f>
        <v>0</v>
      </c>
      <c r="S200" s="76"/>
      <c r="T200" s="3">
        <f>Price!G220</f>
        <v>0</v>
      </c>
      <c r="U200" s="3">
        <f>Price!H220</f>
        <v>0</v>
      </c>
    </row>
    <row r="201" spans="1:21" x14ac:dyDescent="0.25">
      <c r="A201" s="32">
        <f t="shared" si="111"/>
        <v>0</v>
      </c>
      <c r="B201" s="33">
        <f t="shared" si="111"/>
        <v>0</v>
      </c>
      <c r="C201" s="33">
        <f t="shared" si="111"/>
        <v>0</v>
      </c>
      <c r="D201" s="33">
        <f t="shared" si="111"/>
        <v>0</v>
      </c>
      <c r="E201" s="34">
        <f t="shared" si="111"/>
        <v>0</v>
      </c>
      <c r="F201" s="8">
        <f t="shared" si="110"/>
        <v>0</v>
      </c>
      <c r="G201" s="23"/>
      <c r="H201" s="23"/>
      <c r="I201" s="48">
        <f>T201</f>
        <v>0</v>
      </c>
      <c r="J201" s="48">
        <f>U201</f>
        <v>0</v>
      </c>
      <c r="L201" s="19">
        <f>Price!A221</f>
        <v>0</v>
      </c>
      <c r="M201" s="6">
        <f>Price!B221</f>
        <v>0</v>
      </c>
      <c r="N201" s="6">
        <f>Price!C221</f>
        <v>0</v>
      </c>
      <c r="O201" s="88">
        <f>Price!D221</f>
        <v>0</v>
      </c>
      <c r="P201" s="7"/>
      <c r="Q201" s="8">
        <f t="shared" si="107"/>
        <v>0</v>
      </c>
      <c r="R201" s="107">
        <f>Price!F221</f>
        <v>0</v>
      </c>
      <c r="S201" s="76"/>
      <c r="T201" s="3">
        <f>Price!G221</f>
        <v>0</v>
      </c>
      <c r="U201" s="3">
        <f>Price!H221</f>
        <v>0</v>
      </c>
    </row>
    <row r="202" spans="1:21" x14ac:dyDescent="0.25">
      <c r="A202" s="32">
        <f t="shared" ref="A202:A210" si="112">L202</f>
        <v>0</v>
      </c>
      <c r="B202" s="33">
        <f t="shared" ref="B202:B210" si="113">M202</f>
        <v>0</v>
      </c>
      <c r="C202" s="33">
        <f t="shared" ref="C202:C210" si="114">N202</f>
        <v>0</v>
      </c>
      <c r="D202" s="33">
        <f t="shared" ref="D202:D210" si="115">O202</f>
        <v>0</v>
      </c>
      <c r="E202" s="34">
        <f t="shared" ref="E202:E210" si="116">P202</f>
        <v>0</v>
      </c>
      <c r="F202" s="8">
        <f t="shared" ref="F202:F210" si="117">Q202</f>
        <v>0</v>
      </c>
      <c r="G202" s="23"/>
      <c r="H202" s="23"/>
      <c r="I202" s="48">
        <f t="shared" ref="I202:I210" si="118">T202</f>
        <v>0</v>
      </c>
      <c r="J202" s="48">
        <f t="shared" ref="J202:J210" si="119">U202</f>
        <v>0</v>
      </c>
      <c r="L202" s="19">
        <f>Price!A222</f>
        <v>0</v>
      </c>
      <c r="M202" s="6">
        <f>Price!B222</f>
        <v>0</v>
      </c>
      <c r="N202" s="6">
        <f>Price!C222</f>
        <v>0</v>
      </c>
      <c r="O202" s="88">
        <f>Price!D222</f>
        <v>0</v>
      </c>
      <c r="P202" s="7"/>
      <c r="Q202" s="8">
        <f t="shared" ref="Q202:Q210" si="120">R202*(100-$F$6)/100</f>
        <v>0</v>
      </c>
      <c r="R202" s="107">
        <f>Price!F222</f>
        <v>0</v>
      </c>
      <c r="S202" s="76"/>
      <c r="T202" s="3">
        <f>Price!G222</f>
        <v>0</v>
      </c>
      <c r="U202" s="3">
        <f>Price!H222</f>
        <v>0</v>
      </c>
    </row>
    <row r="203" spans="1:21" x14ac:dyDescent="0.25">
      <c r="A203" s="32">
        <f t="shared" si="112"/>
        <v>0</v>
      </c>
      <c r="B203" s="33">
        <f t="shared" si="113"/>
        <v>0</v>
      </c>
      <c r="C203" s="33">
        <f t="shared" si="114"/>
        <v>0</v>
      </c>
      <c r="D203" s="33">
        <f t="shared" si="115"/>
        <v>0</v>
      </c>
      <c r="E203" s="34">
        <f t="shared" si="116"/>
        <v>0</v>
      </c>
      <c r="F203" s="8">
        <f t="shared" si="117"/>
        <v>0</v>
      </c>
      <c r="G203" s="23"/>
      <c r="H203" s="23"/>
      <c r="I203" s="48">
        <f t="shared" si="118"/>
        <v>0</v>
      </c>
      <c r="J203" s="48">
        <f t="shared" si="119"/>
        <v>0</v>
      </c>
      <c r="L203" s="19">
        <f>Price!A223</f>
        <v>0</v>
      </c>
      <c r="M203" s="6">
        <f>Price!B223</f>
        <v>0</v>
      </c>
      <c r="N203" s="6">
        <f>Price!C223</f>
        <v>0</v>
      </c>
      <c r="O203" s="88">
        <f>Price!D223</f>
        <v>0</v>
      </c>
      <c r="P203" s="7"/>
      <c r="Q203" s="8">
        <f t="shared" si="120"/>
        <v>0</v>
      </c>
      <c r="R203" s="107">
        <f>Price!F223</f>
        <v>0</v>
      </c>
      <c r="S203" s="76"/>
      <c r="T203" s="3">
        <f>Price!G223</f>
        <v>0</v>
      </c>
      <c r="U203" s="3">
        <f>Price!H223</f>
        <v>0</v>
      </c>
    </row>
    <row r="204" spans="1:21" x14ac:dyDescent="0.25">
      <c r="A204" s="32">
        <f t="shared" si="112"/>
        <v>0</v>
      </c>
      <c r="B204" s="33">
        <f t="shared" si="113"/>
        <v>0</v>
      </c>
      <c r="C204" s="33">
        <f t="shared" si="114"/>
        <v>0</v>
      </c>
      <c r="D204" s="33">
        <f t="shared" si="115"/>
        <v>0</v>
      </c>
      <c r="E204" s="34">
        <f t="shared" si="116"/>
        <v>0</v>
      </c>
      <c r="F204" s="8">
        <f t="shared" si="117"/>
        <v>0</v>
      </c>
      <c r="G204" s="23"/>
      <c r="H204" s="23"/>
      <c r="I204" s="48">
        <f t="shared" si="118"/>
        <v>0</v>
      </c>
      <c r="J204" s="48">
        <f t="shared" si="119"/>
        <v>0</v>
      </c>
      <c r="L204" s="19">
        <f>Price!A224</f>
        <v>0</v>
      </c>
      <c r="M204" s="6">
        <f>Price!B224</f>
        <v>0</v>
      </c>
      <c r="N204" s="6">
        <f>Price!C224</f>
        <v>0</v>
      </c>
      <c r="O204" s="88">
        <f>Price!D224</f>
        <v>0</v>
      </c>
      <c r="P204" s="7"/>
      <c r="Q204" s="8">
        <f t="shared" si="120"/>
        <v>0</v>
      </c>
      <c r="R204" s="107">
        <f>Price!F224</f>
        <v>0</v>
      </c>
      <c r="S204" s="76"/>
      <c r="T204" s="3">
        <f>Price!G224</f>
        <v>0</v>
      </c>
      <c r="U204" s="3">
        <f>Price!H224</f>
        <v>0</v>
      </c>
    </row>
    <row r="205" spans="1:21" x14ac:dyDescent="0.25">
      <c r="A205" s="32">
        <f t="shared" si="112"/>
        <v>0</v>
      </c>
      <c r="B205" s="33">
        <f t="shared" si="113"/>
        <v>0</v>
      </c>
      <c r="C205" s="33">
        <f t="shared" si="114"/>
        <v>0</v>
      </c>
      <c r="D205" s="33">
        <f t="shared" si="115"/>
        <v>0</v>
      </c>
      <c r="E205" s="34">
        <f t="shared" si="116"/>
        <v>0</v>
      </c>
      <c r="F205" s="8">
        <f t="shared" si="117"/>
        <v>0</v>
      </c>
      <c r="G205" s="23"/>
      <c r="H205" s="23"/>
      <c r="I205" s="48">
        <f t="shared" si="118"/>
        <v>0</v>
      </c>
      <c r="J205" s="48">
        <f t="shared" si="119"/>
        <v>0</v>
      </c>
      <c r="L205" s="19">
        <f>Price!A225</f>
        <v>0</v>
      </c>
      <c r="M205" s="6">
        <f>Price!B225</f>
        <v>0</v>
      </c>
      <c r="N205" s="6">
        <f>Price!C225</f>
        <v>0</v>
      </c>
      <c r="O205" s="88">
        <f>Price!D225</f>
        <v>0</v>
      </c>
      <c r="P205" s="7"/>
      <c r="Q205" s="8">
        <f t="shared" si="120"/>
        <v>0</v>
      </c>
      <c r="R205" s="107">
        <f>Price!F225</f>
        <v>0</v>
      </c>
      <c r="S205" s="76"/>
      <c r="T205" s="3">
        <f>Price!G225</f>
        <v>0</v>
      </c>
      <c r="U205" s="3">
        <f>Price!H225</f>
        <v>0</v>
      </c>
    </row>
    <row r="206" spans="1:21" x14ac:dyDescent="0.25">
      <c r="A206" s="32">
        <f t="shared" si="112"/>
        <v>0</v>
      </c>
      <c r="B206" s="33">
        <f t="shared" si="113"/>
        <v>0</v>
      </c>
      <c r="C206" s="33">
        <f t="shared" si="114"/>
        <v>0</v>
      </c>
      <c r="D206" s="33">
        <f t="shared" si="115"/>
        <v>0</v>
      </c>
      <c r="E206" s="34">
        <f t="shared" si="116"/>
        <v>0</v>
      </c>
      <c r="F206" s="8">
        <f t="shared" si="117"/>
        <v>0</v>
      </c>
      <c r="G206" s="23"/>
      <c r="H206" s="23"/>
      <c r="I206" s="48">
        <f t="shared" si="118"/>
        <v>0</v>
      </c>
      <c r="J206" s="48">
        <f t="shared" si="119"/>
        <v>0</v>
      </c>
      <c r="L206" s="19">
        <f>Price!A226</f>
        <v>0</v>
      </c>
      <c r="M206" s="6">
        <f>Price!B226</f>
        <v>0</v>
      </c>
      <c r="N206" s="6">
        <f>Price!C226</f>
        <v>0</v>
      </c>
      <c r="O206" s="88">
        <f>Price!D226</f>
        <v>0</v>
      </c>
      <c r="P206" s="7"/>
      <c r="Q206" s="8">
        <f t="shared" si="120"/>
        <v>0</v>
      </c>
      <c r="R206" s="107">
        <f>Price!F226</f>
        <v>0</v>
      </c>
      <c r="S206" s="76"/>
      <c r="T206" s="3">
        <f>Price!G226</f>
        <v>0</v>
      </c>
      <c r="U206" s="3">
        <f>Price!H226</f>
        <v>0</v>
      </c>
    </row>
    <row r="207" spans="1:21" x14ac:dyDescent="0.25">
      <c r="A207" s="32">
        <f t="shared" si="112"/>
        <v>0</v>
      </c>
      <c r="B207" s="33">
        <f t="shared" si="113"/>
        <v>0</v>
      </c>
      <c r="C207" s="33">
        <f t="shared" si="114"/>
        <v>0</v>
      </c>
      <c r="D207" s="33">
        <f t="shared" si="115"/>
        <v>0</v>
      </c>
      <c r="E207" s="34">
        <f t="shared" si="116"/>
        <v>0</v>
      </c>
      <c r="F207" s="8">
        <f t="shared" si="117"/>
        <v>0</v>
      </c>
      <c r="G207" s="23"/>
      <c r="H207" s="23"/>
      <c r="I207" s="48">
        <f t="shared" si="118"/>
        <v>0</v>
      </c>
      <c r="J207" s="48">
        <f t="shared" si="119"/>
        <v>0</v>
      </c>
      <c r="L207" s="19">
        <f>Price!A227</f>
        <v>0</v>
      </c>
      <c r="M207" s="6">
        <f>Price!B227</f>
        <v>0</v>
      </c>
      <c r="N207" s="6">
        <f>Price!C227</f>
        <v>0</v>
      </c>
      <c r="O207" s="88">
        <f>Price!D227</f>
        <v>0</v>
      </c>
      <c r="P207" s="7"/>
      <c r="Q207" s="8">
        <f t="shared" si="120"/>
        <v>0</v>
      </c>
      <c r="R207" s="107">
        <f>Price!F227</f>
        <v>0</v>
      </c>
      <c r="S207" s="76"/>
      <c r="T207" s="3">
        <f>Price!G227</f>
        <v>0</v>
      </c>
      <c r="U207" s="3">
        <f>Price!H227</f>
        <v>0</v>
      </c>
    </row>
    <row r="208" spans="1:21" x14ac:dyDescent="0.25">
      <c r="A208" s="32">
        <f t="shared" si="112"/>
        <v>0</v>
      </c>
      <c r="B208" s="33">
        <f t="shared" si="113"/>
        <v>0</v>
      </c>
      <c r="C208" s="33">
        <f t="shared" si="114"/>
        <v>0</v>
      </c>
      <c r="D208" s="33">
        <f t="shared" si="115"/>
        <v>0</v>
      </c>
      <c r="E208" s="34">
        <f t="shared" si="116"/>
        <v>0</v>
      </c>
      <c r="F208" s="8">
        <f t="shared" si="117"/>
        <v>0</v>
      </c>
      <c r="G208" s="23"/>
      <c r="H208" s="23"/>
      <c r="I208" s="48">
        <f t="shared" si="118"/>
        <v>0</v>
      </c>
      <c r="J208" s="48">
        <f t="shared" si="119"/>
        <v>0</v>
      </c>
      <c r="L208" s="19">
        <f>Price!A228</f>
        <v>0</v>
      </c>
      <c r="M208" s="6">
        <f>Price!B228</f>
        <v>0</v>
      </c>
      <c r="N208" s="6">
        <f>Price!C228</f>
        <v>0</v>
      </c>
      <c r="O208" s="88">
        <f>Price!D228</f>
        <v>0</v>
      </c>
      <c r="P208" s="7"/>
      <c r="Q208" s="8">
        <f t="shared" si="120"/>
        <v>0</v>
      </c>
      <c r="R208" s="107">
        <f>Price!F228</f>
        <v>0</v>
      </c>
      <c r="S208" s="76"/>
      <c r="T208" s="3">
        <f>Price!G228</f>
        <v>0</v>
      </c>
      <c r="U208" s="3">
        <f>Price!H228</f>
        <v>0</v>
      </c>
    </row>
    <row r="209" spans="1:21" x14ac:dyDescent="0.25">
      <c r="A209" s="32">
        <f t="shared" si="112"/>
        <v>0</v>
      </c>
      <c r="B209" s="33">
        <f t="shared" si="113"/>
        <v>0</v>
      </c>
      <c r="C209" s="33">
        <f t="shared" si="114"/>
        <v>0</v>
      </c>
      <c r="D209" s="33">
        <f t="shared" si="115"/>
        <v>0</v>
      </c>
      <c r="E209" s="34">
        <f t="shared" si="116"/>
        <v>0</v>
      </c>
      <c r="F209" s="8">
        <f t="shared" si="117"/>
        <v>0</v>
      </c>
      <c r="G209" s="23"/>
      <c r="H209" s="23"/>
      <c r="I209" s="48">
        <f t="shared" si="118"/>
        <v>0</v>
      </c>
      <c r="J209" s="48">
        <f t="shared" si="119"/>
        <v>0</v>
      </c>
      <c r="L209" s="19">
        <f>Price!A229</f>
        <v>0</v>
      </c>
      <c r="M209" s="6">
        <f>Price!B229</f>
        <v>0</v>
      </c>
      <c r="N209" s="6">
        <f>Price!C229</f>
        <v>0</v>
      </c>
      <c r="O209" s="88">
        <f>Price!D229</f>
        <v>0</v>
      </c>
      <c r="P209" s="7"/>
      <c r="Q209" s="8">
        <f t="shared" si="120"/>
        <v>0</v>
      </c>
      <c r="R209" s="107">
        <f>Price!F229</f>
        <v>0</v>
      </c>
      <c r="S209" s="76"/>
      <c r="T209" s="3">
        <f>Price!G229</f>
        <v>0</v>
      </c>
      <c r="U209" s="3">
        <f>Price!H229</f>
        <v>0</v>
      </c>
    </row>
    <row r="210" spans="1:21" x14ac:dyDescent="0.25">
      <c r="A210" s="32">
        <f t="shared" si="112"/>
        <v>0</v>
      </c>
      <c r="B210" s="33">
        <f t="shared" si="113"/>
        <v>0</v>
      </c>
      <c r="C210" s="33">
        <f t="shared" si="114"/>
        <v>0</v>
      </c>
      <c r="D210" s="33">
        <f t="shared" si="115"/>
        <v>0</v>
      </c>
      <c r="E210" s="34">
        <f t="shared" si="116"/>
        <v>0</v>
      </c>
      <c r="F210" s="8">
        <f t="shared" si="117"/>
        <v>0</v>
      </c>
      <c r="G210" s="23"/>
      <c r="H210" s="23"/>
      <c r="I210" s="48">
        <f t="shared" si="118"/>
        <v>0</v>
      </c>
      <c r="J210" s="48">
        <f t="shared" si="119"/>
        <v>0</v>
      </c>
      <c r="L210" s="19">
        <f>Price!A230</f>
        <v>0</v>
      </c>
      <c r="M210" s="6">
        <f>Price!B230</f>
        <v>0</v>
      </c>
      <c r="N210" s="6">
        <f>Price!C230</f>
        <v>0</v>
      </c>
      <c r="O210" s="88">
        <f>Price!D230</f>
        <v>0</v>
      </c>
      <c r="P210" s="7"/>
      <c r="Q210" s="8">
        <f t="shared" si="120"/>
        <v>0</v>
      </c>
      <c r="R210" s="107">
        <f>Price!F230</f>
        <v>0</v>
      </c>
      <c r="S210" s="76"/>
      <c r="T210" s="3">
        <f>Price!G230</f>
        <v>0</v>
      </c>
      <c r="U210" s="3">
        <f>Price!H230</f>
        <v>0</v>
      </c>
    </row>
  </sheetData>
  <sheetProtection algorithmName="SHA-512" hashValue="phNUK0Z6nWfig+R/WJeDwEUvoPmbsn+h2eNh+atLJYXGEQpNSHzh/jGxYaKKrJcZoSHIHZl39kU+qXf6fCZnWA==" saltValue="kljmV8b4lZbyYX7Hn5cweA==" spinCount="100000" sheet="1" selectLockedCells="1" selectUnlockedCells="1"/>
  <mergeCells count="2">
    <mergeCell ref="Q9:Q10"/>
    <mergeCell ref="R9:R10"/>
  </mergeCells>
  <hyperlinks>
    <hyperlink ref="L2" location="Form!A1" tooltip=" " display="Zpět na úvod" xr:uid="{E2BB18CC-8B35-40B2-9907-77D9621FD7FE}"/>
  </hyperlinks>
  <pageMargins left="0.7" right="0.7" top="0.78740157499999996" bottom="0.78740157499999996" header="0.3" footer="0.3"/>
  <pageSetup paperSize="9" orientation="portrait" horizontalDpi="4294967293" verticalDpi="120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75B31-6236-4872-A5B8-208333FE0E67}">
  <sheetPr codeName="List2">
    <tabColor rgb="FFFF0000"/>
  </sheetPr>
  <dimension ref="C2:Y248"/>
  <sheetViews>
    <sheetView showGridLines="0" showRowColHeaders="0" workbookViewId="0">
      <selection activeCell="Y25" sqref="Y25"/>
    </sheetView>
  </sheetViews>
  <sheetFormatPr defaultRowHeight="15" x14ac:dyDescent="0.25"/>
  <cols>
    <col min="8" max="8" width="8.7109375" bestFit="1" customWidth="1"/>
    <col min="9" max="9" width="7" customWidth="1"/>
    <col min="11" max="20" width="8.7109375" hidden="1" customWidth="1"/>
    <col min="21" max="26" width="8.7109375" customWidth="1"/>
  </cols>
  <sheetData>
    <row r="2" spans="6:25" x14ac:dyDescent="0.25">
      <c r="H2" s="1297" t="str">
        <f>ListAVS!$B$169</f>
        <v>Wróć na początek</v>
      </c>
      <c r="I2" s="1297"/>
    </row>
    <row r="10" spans="6:25" x14ac:dyDescent="0.25">
      <c r="F10" s="869"/>
      <c r="G10" s="870"/>
      <c r="H10" s="278" t="str">
        <f>ListAVS!$B$242&amp;" [kg/m3]"</f>
        <v>Masa objętościowa materiału frontu [kg/m3]</v>
      </c>
      <c r="I10" s="820"/>
      <c r="M10" s="354" t="s">
        <v>511</v>
      </c>
      <c r="N10" s="354"/>
      <c r="O10" s="354"/>
      <c r="P10" s="354"/>
      <c r="Q10" s="358"/>
      <c r="R10" s="358"/>
      <c r="S10" s="359"/>
      <c r="T10" s="356"/>
      <c r="U10" s="357"/>
      <c r="V10" s="354"/>
      <c r="W10" s="354"/>
      <c r="X10" s="354"/>
      <c r="Y10" s="354"/>
    </row>
    <row r="11" spans="6:25" ht="14.65" customHeight="1" x14ac:dyDescent="0.25">
      <c r="F11" s="869"/>
      <c r="G11" s="819" t="str">
        <f>ListAVS!$B$90&amp;" "</f>
        <v xml:space="preserve">MDF </v>
      </c>
      <c r="H11" s="616">
        <v>760</v>
      </c>
      <c r="I11" s="1298" t="str">
        <f>ListAVS!$B$107</f>
        <v>Wartości te będą wyświetlane jako domyślne.</v>
      </c>
      <c r="M11" s="355" t="s">
        <v>512</v>
      </c>
      <c r="N11" s="360" t="s">
        <v>326</v>
      </c>
      <c r="O11" s="360" t="s">
        <v>93</v>
      </c>
      <c r="P11" s="360" t="s">
        <v>76</v>
      </c>
      <c r="Q11" s="360" t="s">
        <v>513</v>
      </c>
      <c r="R11" s="360"/>
      <c r="S11" s="359"/>
      <c r="T11" s="356"/>
      <c r="U11" s="357"/>
      <c r="V11" s="354"/>
      <c r="W11" s="354"/>
      <c r="X11" s="354"/>
      <c r="Y11" s="354"/>
    </row>
    <row r="12" spans="6:25" x14ac:dyDescent="0.25">
      <c r="F12" s="869"/>
      <c r="G12" s="819" t="str">
        <f>ListAVS!$B$91&amp;" "</f>
        <v xml:space="preserve">Płyta wiórowa </v>
      </c>
      <c r="H12" s="616">
        <v>680</v>
      </c>
      <c r="I12" s="1298"/>
      <c r="M12" s="354" t="s">
        <v>680</v>
      </c>
      <c r="N12" s="354">
        <v>1</v>
      </c>
      <c r="O12" s="354">
        <v>2700</v>
      </c>
      <c r="P12" s="354">
        <v>11500</v>
      </c>
      <c r="Q12" s="358"/>
      <c r="R12" s="358"/>
      <c r="S12" s="359"/>
      <c r="T12" s="356"/>
      <c r="U12" s="357"/>
      <c r="V12" s="354"/>
      <c r="W12" s="354"/>
      <c r="X12" s="354"/>
      <c r="Y12" s="354"/>
    </row>
    <row r="13" spans="6:25" x14ac:dyDescent="0.25">
      <c r="F13" s="869"/>
      <c r="G13" s="819" t="str">
        <f>ListAVS!$B$96&amp;" "</f>
        <v xml:space="preserve">Płyta kompaktowa </v>
      </c>
      <c r="H13" s="616">
        <v>1350</v>
      </c>
      <c r="I13" s="1298"/>
      <c r="M13" s="354" t="s">
        <v>682</v>
      </c>
      <c r="N13" s="354">
        <v>1</v>
      </c>
      <c r="O13" s="354">
        <v>11500</v>
      </c>
      <c r="P13" s="354">
        <v>19300</v>
      </c>
      <c r="Q13" s="354">
        <v>19300</v>
      </c>
      <c r="R13" s="354"/>
      <c r="S13" s="359"/>
      <c r="T13" s="356"/>
      <c r="U13" s="357"/>
      <c r="V13" s="354"/>
      <c r="W13" s="354"/>
      <c r="X13" s="354"/>
      <c r="Y13" s="354"/>
    </row>
    <row r="14" spans="6:25" x14ac:dyDescent="0.25">
      <c r="F14" s="869"/>
      <c r="G14" s="819" t="str">
        <f>ListAVS!$B$97&amp;" "</f>
        <v xml:space="preserve">Płyta kompozytowa </v>
      </c>
      <c r="H14" s="616">
        <v>1700</v>
      </c>
      <c r="I14" s="1298"/>
      <c r="M14" s="354" t="s">
        <v>682</v>
      </c>
      <c r="N14" s="354">
        <v>1.5</v>
      </c>
      <c r="O14" s="354">
        <v>19300</v>
      </c>
      <c r="P14" s="354">
        <v>28950</v>
      </c>
      <c r="Q14" s="358"/>
      <c r="R14" s="358"/>
      <c r="S14" s="359"/>
      <c r="T14" s="356"/>
      <c r="U14" s="357"/>
      <c r="V14" s="354"/>
      <c r="W14" s="354"/>
      <c r="X14" s="354"/>
      <c r="Y14" s="354"/>
    </row>
    <row r="15" spans="6:25" x14ac:dyDescent="0.25">
      <c r="F15" s="869"/>
      <c r="G15" s="819" t="str">
        <f>ListAVS!$B$98&amp;" "</f>
        <v xml:space="preserve">Kamień </v>
      </c>
      <c r="H15" s="616">
        <v>2600</v>
      </c>
      <c r="I15" s="1298"/>
      <c r="M15" s="354" t="s">
        <v>682</v>
      </c>
      <c r="N15" s="354">
        <v>2</v>
      </c>
      <c r="O15" s="354">
        <v>23000</v>
      </c>
      <c r="P15" s="354">
        <v>38600</v>
      </c>
      <c r="Q15" s="358"/>
      <c r="R15" s="358"/>
      <c r="S15" s="359"/>
      <c r="T15" s="356"/>
      <c r="U15" s="357"/>
      <c r="V15" s="354"/>
      <c r="W15" s="354"/>
      <c r="X15" s="354"/>
      <c r="Y15" s="354"/>
    </row>
    <row r="16" spans="6:25" x14ac:dyDescent="0.25">
      <c r="F16" s="869"/>
      <c r="G16" s="819" t="str">
        <f>ListAVS!$B$99&amp;" "</f>
        <v xml:space="preserve">Ceramika </v>
      </c>
      <c r="H16" s="616">
        <v>2400</v>
      </c>
      <c r="I16" s="1298"/>
      <c r="M16" s="354"/>
      <c r="N16" s="354"/>
      <c r="O16" s="354"/>
      <c r="P16" s="354"/>
      <c r="Q16" s="358"/>
      <c r="R16" s="358"/>
      <c r="S16" s="359"/>
      <c r="T16" s="356"/>
      <c r="U16" s="357"/>
      <c r="V16" s="354"/>
      <c r="W16" s="354"/>
      <c r="X16" s="354"/>
      <c r="Y16" s="354"/>
    </row>
    <row r="17" spans="6:25" x14ac:dyDescent="0.25">
      <c r="F17" s="869"/>
      <c r="G17" s="819" t="str">
        <f>ListAVS!$B$100&amp;" "</f>
        <v xml:space="preserve">Beton </v>
      </c>
      <c r="H17" s="616">
        <v>2300</v>
      </c>
      <c r="I17" s="1298"/>
      <c r="M17" s="355" t="s">
        <v>516</v>
      </c>
      <c r="N17" s="355"/>
      <c r="O17" s="360" t="s">
        <v>93</v>
      </c>
      <c r="P17" s="360" t="s">
        <v>76</v>
      </c>
      <c r="Q17" s="358"/>
      <c r="R17" s="358"/>
      <c r="S17" s="359"/>
      <c r="T17" s="356"/>
      <c r="U17" s="357"/>
      <c r="V17" s="354"/>
      <c r="W17" s="354"/>
      <c r="X17" s="354"/>
      <c r="Y17" s="354"/>
    </row>
    <row r="18" spans="6:25" x14ac:dyDescent="0.25">
      <c r="F18" s="869"/>
      <c r="G18" s="819" t="str">
        <f>ListAVS!$B$101&amp;" "</f>
        <v xml:space="preserve">Szkło </v>
      </c>
      <c r="H18" s="616">
        <v>2500</v>
      </c>
      <c r="I18" s="1298"/>
      <c r="M18" s="354" t="s">
        <v>517</v>
      </c>
      <c r="N18" s="354"/>
      <c r="O18" s="354">
        <v>480</v>
      </c>
      <c r="P18" s="354">
        <v>605</v>
      </c>
      <c r="Q18" s="358"/>
      <c r="R18" s="358"/>
      <c r="S18" s="359"/>
      <c r="T18" s="356"/>
      <c r="U18" s="357"/>
      <c r="V18" s="354"/>
      <c r="W18" s="354"/>
      <c r="X18" s="354"/>
      <c r="Y18" s="354"/>
    </row>
    <row r="19" spans="6:25" x14ac:dyDescent="0.25">
      <c r="F19" s="869"/>
      <c r="G19" s="820"/>
      <c r="H19" s="269" t="str">
        <f>ListAVS!$B$245&amp;" [kg/m3]"</f>
        <v>Podaj masę objętościową [kg/m3]</v>
      </c>
      <c r="I19" s="1298"/>
      <c r="M19" s="354" t="s">
        <v>518</v>
      </c>
      <c r="N19" s="354"/>
      <c r="O19" s="354">
        <v>605</v>
      </c>
      <c r="P19" s="354">
        <v>890</v>
      </c>
      <c r="Q19" s="358"/>
      <c r="R19" s="358"/>
      <c r="S19" s="359"/>
      <c r="T19" s="356"/>
      <c r="U19" s="357"/>
      <c r="V19" s="354"/>
      <c r="W19" s="354"/>
      <c r="X19" s="354"/>
      <c r="Y19" s="354"/>
    </row>
    <row r="20" spans="6:25" x14ac:dyDescent="0.25">
      <c r="F20" s="869"/>
      <c r="G20" s="871"/>
      <c r="H20" s="871"/>
      <c r="I20" s="1298"/>
      <c r="M20" s="354" t="s">
        <v>519</v>
      </c>
      <c r="N20" s="354"/>
      <c r="O20" s="354">
        <v>890</v>
      </c>
      <c r="P20" s="354">
        <v>1200</v>
      </c>
      <c r="Q20" s="358"/>
      <c r="R20" s="358"/>
      <c r="S20" s="359"/>
      <c r="T20" s="356"/>
      <c r="U20" s="357"/>
      <c r="V20" s="354"/>
      <c r="W20" s="354"/>
      <c r="X20" s="354"/>
      <c r="Y20" s="354"/>
    </row>
    <row r="21" spans="6:25" x14ac:dyDescent="0.25">
      <c r="F21" s="869"/>
      <c r="G21" s="819"/>
      <c r="H21" s="872"/>
      <c r="I21" s="1298"/>
      <c r="M21" s="358"/>
      <c r="N21" s="358"/>
      <c r="O21" s="361" t="s">
        <v>61</v>
      </c>
      <c r="P21" s="354">
        <v>1200</v>
      </c>
      <c r="Q21" s="358"/>
      <c r="R21" s="358"/>
      <c r="S21" s="359"/>
      <c r="T21" s="356"/>
      <c r="U21" s="357"/>
      <c r="V21" s="354"/>
      <c r="W21" s="354"/>
      <c r="X21" s="354"/>
      <c r="Y21" s="354"/>
    </row>
    <row r="22" spans="6:25" x14ac:dyDescent="0.25">
      <c r="F22" s="869"/>
      <c r="G22" s="819"/>
      <c r="H22" s="278" t="str">
        <f>ListAVS!$B$247&amp;" [kg/bm]"</f>
        <v>Waga ramki aluminiowej [kg/bm]</v>
      </c>
      <c r="I22" s="1298"/>
      <c r="M22" s="354" t="s">
        <v>702</v>
      </c>
      <c r="Q22" s="358"/>
      <c r="R22" s="358"/>
      <c r="S22" s="359"/>
      <c r="T22" s="356"/>
      <c r="U22" s="357"/>
      <c r="V22" s="354"/>
      <c r="W22" s="354"/>
      <c r="X22" s="354"/>
      <c r="Y22" s="354"/>
    </row>
    <row r="23" spans="6:25" x14ac:dyDescent="0.25">
      <c r="F23" s="869"/>
      <c r="G23" s="820"/>
      <c r="H23" s="821" t="str">
        <f>ListAVS!$B$399</f>
        <v>Wartość proponowana</v>
      </c>
      <c r="I23" s="1298"/>
      <c r="M23" s="355" t="s">
        <v>512</v>
      </c>
      <c r="N23" s="360" t="s">
        <v>326</v>
      </c>
      <c r="O23" s="360" t="s">
        <v>93</v>
      </c>
      <c r="P23" s="360" t="s">
        <v>76</v>
      </c>
      <c r="Q23" s="360" t="s">
        <v>704</v>
      </c>
      <c r="R23" s="360" t="s">
        <v>705</v>
      </c>
      <c r="S23" s="359"/>
      <c r="T23" s="356"/>
      <c r="U23" s="357"/>
      <c r="V23" s="354"/>
      <c r="W23" s="354"/>
      <c r="X23" s="354"/>
      <c r="Y23" s="354"/>
    </row>
    <row r="24" spans="6:25" x14ac:dyDescent="0.25">
      <c r="F24" s="869"/>
      <c r="G24" s="821" t="str">
        <f>ListAVS!$B$19&amp;" "&amp;ListAVS!$B$422&amp;"  "</f>
        <v xml:space="preserve">Szerokie ramki aluminiowe z wpuszczanym szkłem  </v>
      </c>
      <c r="H24" s="617">
        <v>0.62</v>
      </c>
      <c r="I24" s="1298"/>
      <c r="M24" s="354" t="s">
        <v>687</v>
      </c>
      <c r="N24" s="354"/>
      <c r="O24" s="354">
        <v>350</v>
      </c>
      <c r="P24" s="354">
        <v>450</v>
      </c>
      <c r="Q24" s="354">
        <v>2</v>
      </c>
      <c r="R24" s="354">
        <v>11.5</v>
      </c>
      <c r="S24" s="354"/>
      <c r="T24" s="356"/>
      <c r="U24" s="357"/>
      <c r="V24" s="354"/>
      <c r="W24" s="354"/>
      <c r="X24" s="354"/>
      <c r="Y24" s="354"/>
    </row>
    <row r="25" spans="6:25" x14ac:dyDescent="0.25">
      <c r="F25" s="869"/>
      <c r="G25" s="821" t="str">
        <f>ListAVS!$B$19&amp;" "&amp;ListAVS!$B$423&amp;"  "</f>
        <v xml:space="preserve">Szerokie ramki aluminiowe ze szkłem nakładanym lub przyklejanym  </v>
      </c>
      <c r="H25" s="617">
        <v>0.63</v>
      </c>
      <c r="I25" s="1298"/>
      <c r="M25" s="354" t="s">
        <v>703</v>
      </c>
      <c r="N25" s="354"/>
      <c r="O25" s="354">
        <v>450</v>
      </c>
      <c r="P25" s="354">
        <v>540</v>
      </c>
      <c r="Q25" s="354">
        <v>2.5</v>
      </c>
      <c r="R25" s="354">
        <v>12.5</v>
      </c>
      <c r="S25" s="354"/>
      <c r="T25" s="356"/>
      <c r="U25" s="357"/>
      <c r="V25" s="354"/>
      <c r="W25" s="354"/>
      <c r="X25" s="354"/>
      <c r="Y25" s="354"/>
    </row>
    <row r="26" spans="6:25" x14ac:dyDescent="0.25">
      <c r="F26" s="869"/>
      <c r="G26" s="821" t="str">
        <f>ListAVS!$B$405&amp;" [kg/set] *  "</f>
        <v xml:space="preserve">Waga materiału łączącego  [kg/set] *  </v>
      </c>
      <c r="H26" s="617">
        <v>0.61</v>
      </c>
      <c r="I26" s="1298"/>
      <c r="M26" s="354" t="s">
        <v>689</v>
      </c>
      <c r="N26" s="354"/>
      <c r="O26" s="354">
        <v>480</v>
      </c>
      <c r="P26" s="354">
        <v>660</v>
      </c>
      <c r="Q26" s="354">
        <v>2.75</v>
      </c>
      <c r="R26" s="354">
        <v>15.25</v>
      </c>
      <c r="S26" s="354"/>
      <c r="T26" s="356"/>
      <c r="U26" s="357"/>
      <c r="V26" s="354"/>
      <c r="W26" s="354"/>
      <c r="X26" s="354"/>
      <c r="Y26" s="354"/>
    </row>
    <row r="27" spans="6:25" x14ac:dyDescent="0.25">
      <c r="F27" s="869"/>
      <c r="G27" s="823"/>
      <c r="H27" s="279"/>
      <c r="I27" s="1298"/>
      <c r="M27" s="354" t="s">
        <v>691</v>
      </c>
      <c r="N27" s="354"/>
      <c r="O27" s="354">
        <v>650</v>
      </c>
      <c r="P27" s="354">
        <v>800</v>
      </c>
      <c r="Q27" s="354">
        <v>3.5</v>
      </c>
      <c r="R27" s="354">
        <v>18.5</v>
      </c>
      <c r="S27" s="354"/>
      <c r="T27" s="356"/>
      <c r="U27" s="357"/>
      <c r="V27" s="354"/>
      <c r="W27" s="354"/>
      <c r="X27" s="354"/>
      <c r="Y27" s="354"/>
    </row>
    <row r="28" spans="6:25" x14ac:dyDescent="0.25">
      <c r="F28" s="869"/>
      <c r="G28" s="823"/>
      <c r="H28" s="279"/>
      <c r="I28" s="1298"/>
      <c r="M28" s="354"/>
      <c r="N28" s="354"/>
      <c r="O28" s="354"/>
      <c r="P28" s="354"/>
      <c r="Q28" s="354"/>
      <c r="R28" s="354"/>
      <c r="S28" s="354"/>
      <c r="T28" s="356"/>
      <c r="U28" s="357"/>
      <c r="V28" s="354"/>
      <c r="W28" s="354"/>
      <c r="X28" s="354"/>
      <c r="Y28" s="354"/>
    </row>
    <row r="29" spans="6:25" x14ac:dyDescent="0.25">
      <c r="F29" s="869"/>
      <c r="G29" s="821" t="str">
        <f>ListAVS!$B$21&amp;" "&amp;ListAVS!$B$422&amp;"  "</f>
        <v xml:space="preserve">Wąskie ramki aluminiowe z wpuszczanym szkłem  </v>
      </c>
      <c r="H29" s="617">
        <v>0.31</v>
      </c>
      <c r="I29" s="1298"/>
      <c r="M29" s="354"/>
      <c r="N29" s="354"/>
      <c r="O29" s="354"/>
      <c r="P29" s="354"/>
      <c r="Q29" s="354"/>
      <c r="R29" s="354"/>
      <c r="S29" s="354"/>
      <c r="T29" s="356"/>
      <c r="U29" s="357"/>
      <c r="V29" s="913"/>
      <c r="W29" s="913"/>
      <c r="X29" s="913"/>
      <c r="Y29" s="913"/>
    </row>
    <row r="30" spans="6:25" x14ac:dyDescent="0.25">
      <c r="F30" s="869"/>
      <c r="G30" s="821" t="str">
        <f>ListAVS!$B$21&amp;" "&amp;ListAVS!$B$423&amp;"  "</f>
        <v xml:space="preserve">Wąskie ramki aluminiowe ze szkłem nakładanym lub przyklejanym  </v>
      </c>
      <c r="H30" s="617">
        <v>0.32</v>
      </c>
      <c r="I30" s="1298"/>
      <c r="M30" s="354" t="s">
        <v>520</v>
      </c>
      <c r="N30" s="354"/>
      <c r="O30" s="354"/>
      <c r="P30" s="354"/>
      <c r="Q30" s="358"/>
      <c r="R30" s="358"/>
      <c r="S30" s="354"/>
      <c r="T30" s="356"/>
      <c r="U30" s="357"/>
      <c r="V30" s="365"/>
      <c r="W30" s="365"/>
      <c r="X30" s="365"/>
      <c r="Y30" s="365"/>
    </row>
    <row r="31" spans="6:25" x14ac:dyDescent="0.25">
      <c r="F31" s="869"/>
      <c r="G31" s="821" t="str">
        <f>ListAVS!$B$405&amp;" [kg/set] *  "</f>
        <v xml:space="preserve">Waga materiału łączącego  [kg/set] *  </v>
      </c>
      <c r="H31" s="617">
        <v>0.46</v>
      </c>
      <c r="I31" s="1298"/>
      <c r="M31" s="354"/>
      <c r="N31" s="914"/>
      <c r="O31" s="917" t="s">
        <v>712</v>
      </c>
      <c r="P31" s="915"/>
      <c r="Q31" s="916"/>
      <c r="R31" s="362"/>
      <c r="S31" s="913"/>
      <c r="T31" s="913"/>
      <c r="U31" s="363"/>
      <c r="V31" s="367"/>
      <c r="W31" s="367"/>
      <c r="X31" s="367"/>
      <c r="Y31" s="367"/>
    </row>
    <row r="32" spans="6:25" x14ac:dyDescent="0.25">
      <c r="M32" s="354"/>
      <c r="N32" s="364" t="s">
        <v>713</v>
      </c>
      <c r="O32" s="364" t="s">
        <v>714</v>
      </c>
      <c r="P32" s="364" t="s">
        <v>715</v>
      </c>
      <c r="Q32" s="364" t="s">
        <v>716</v>
      </c>
      <c r="R32" s="364"/>
      <c r="S32" s="364"/>
      <c r="T32" s="364"/>
      <c r="U32" s="365"/>
      <c r="V32" s="367"/>
      <c r="W32" s="367"/>
      <c r="X32" s="367"/>
      <c r="Y32" s="367"/>
    </row>
    <row r="33" spans="13:25" x14ac:dyDescent="0.25">
      <c r="M33" s="366" t="s">
        <v>717</v>
      </c>
      <c r="N33" s="356">
        <v>300</v>
      </c>
      <c r="O33" s="356">
        <v>339</v>
      </c>
      <c r="P33" s="368">
        <v>1.5</v>
      </c>
      <c r="Q33" s="368">
        <v>9</v>
      </c>
      <c r="R33" s="367"/>
      <c r="S33" s="367"/>
      <c r="T33" s="367"/>
      <c r="U33" s="368"/>
      <c r="V33" s="367"/>
      <c r="W33" s="367"/>
      <c r="X33" s="367"/>
      <c r="Y33" s="367"/>
    </row>
    <row r="34" spans="13:25" x14ac:dyDescent="0.25">
      <c r="M34" s="366" t="s">
        <v>718</v>
      </c>
      <c r="N34" s="356">
        <v>340</v>
      </c>
      <c r="O34" s="356">
        <v>389</v>
      </c>
      <c r="P34" s="368">
        <v>1.75</v>
      </c>
      <c r="Q34" s="368">
        <v>10</v>
      </c>
      <c r="R34" s="367"/>
      <c r="S34" s="367"/>
      <c r="T34" s="367"/>
      <c r="U34" s="368"/>
      <c r="V34" s="367"/>
      <c r="W34" s="367"/>
      <c r="X34" s="367"/>
      <c r="Y34" s="367"/>
    </row>
    <row r="35" spans="13:25" x14ac:dyDescent="0.25">
      <c r="M35" s="366"/>
      <c r="N35" s="368"/>
      <c r="O35" s="368"/>
      <c r="P35" s="367"/>
      <c r="Q35" s="367"/>
      <c r="R35" s="367"/>
      <c r="S35" s="367"/>
      <c r="T35" s="367"/>
      <c r="U35" s="368"/>
      <c r="V35" s="354"/>
      <c r="W35" s="354"/>
      <c r="X35" s="354"/>
      <c r="Y35" s="354"/>
    </row>
    <row r="36" spans="13:25" x14ac:dyDescent="0.25">
      <c r="M36" s="354"/>
      <c r="N36" s="914"/>
      <c r="O36" s="917" t="s">
        <v>719</v>
      </c>
      <c r="P36" s="915"/>
      <c r="Q36" s="916"/>
      <c r="R36" s="369"/>
      <c r="S36" s="367"/>
      <c r="T36" s="367"/>
      <c r="U36" s="368"/>
      <c r="V36" s="354"/>
      <c r="W36" s="354"/>
      <c r="X36" s="354"/>
      <c r="Y36" s="354"/>
    </row>
    <row r="37" spans="13:25" x14ac:dyDescent="0.25">
      <c r="M37" s="354"/>
      <c r="N37" s="364" t="s">
        <v>713</v>
      </c>
      <c r="O37" s="364" t="s">
        <v>714</v>
      </c>
      <c r="P37" s="364" t="s">
        <v>715</v>
      </c>
      <c r="Q37" s="364" t="s">
        <v>716</v>
      </c>
      <c r="R37" s="925" t="s">
        <v>728</v>
      </c>
      <c r="S37" s="354"/>
      <c r="T37" s="356"/>
      <c r="U37" s="357"/>
      <c r="V37" s="354"/>
      <c r="W37" s="354"/>
      <c r="X37" s="354"/>
      <c r="Y37" s="354"/>
    </row>
    <row r="38" spans="13:25" x14ac:dyDescent="0.25">
      <c r="M38" s="366" t="s">
        <v>720</v>
      </c>
      <c r="N38" s="356">
        <v>390</v>
      </c>
      <c r="O38" s="356">
        <v>540</v>
      </c>
      <c r="P38" s="368">
        <v>2</v>
      </c>
      <c r="Q38" s="368">
        <v>12.25</v>
      </c>
      <c r="R38" s="356">
        <v>500</v>
      </c>
      <c r="S38" s="354"/>
      <c r="T38" s="356"/>
      <c r="U38" s="357"/>
      <c r="V38" s="354"/>
      <c r="W38" s="354"/>
      <c r="X38" s="354"/>
      <c r="Y38" s="354"/>
    </row>
    <row r="39" spans="13:25" x14ac:dyDescent="0.25">
      <c r="M39" s="366" t="s">
        <v>721</v>
      </c>
      <c r="N39" s="356">
        <v>480</v>
      </c>
      <c r="O39" s="356">
        <v>580</v>
      </c>
      <c r="P39" s="368">
        <v>1.5</v>
      </c>
      <c r="Q39" s="368">
        <v>14</v>
      </c>
      <c r="R39" s="356"/>
      <c r="S39" s="354"/>
      <c r="T39" s="356"/>
      <c r="U39" s="357"/>
      <c r="V39" s="354"/>
      <c r="W39" s="354"/>
      <c r="X39" s="354"/>
      <c r="Y39" s="354"/>
    </row>
    <row r="40" spans="13:25" x14ac:dyDescent="0.25">
      <c r="M40" s="355"/>
      <c r="N40" s="355"/>
      <c r="O40" s="360"/>
      <c r="P40" s="360"/>
      <c r="Q40" s="358"/>
      <c r="R40" s="358"/>
      <c r="S40" s="354"/>
      <c r="T40" s="356"/>
      <c r="U40" s="357"/>
      <c r="V40" s="354"/>
      <c r="W40" s="354"/>
      <c r="X40" s="354"/>
      <c r="Y40" s="354"/>
    </row>
    <row r="41" spans="13:25" x14ac:dyDescent="0.25">
      <c r="M41" s="354"/>
      <c r="N41" s="354"/>
      <c r="O41" s="354"/>
      <c r="P41" s="354"/>
      <c r="Q41" s="358"/>
      <c r="R41" s="358"/>
      <c r="S41" s="354"/>
      <c r="T41" s="356"/>
      <c r="U41" s="357"/>
      <c r="V41" s="354"/>
      <c r="W41" s="354"/>
      <c r="X41" s="354"/>
      <c r="Y41" s="354"/>
    </row>
    <row r="42" spans="13:25" x14ac:dyDescent="0.25">
      <c r="M42" s="354"/>
      <c r="N42" s="354"/>
      <c r="O42" s="354"/>
      <c r="P42" s="354"/>
      <c r="Q42" s="358"/>
      <c r="R42" s="358"/>
      <c r="S42" s="354"/>
      <c r="T42" s="356"/>
      <c r="U42" s="357"/>
      <c r="V42" s="354"/>
      <c r="W42" s="354"/>
      <c r="X42" s="354"/>
      <c r="Y42" s="354"/>
    </row>
    <row r="43" spans="13:25" x14ac:dyDescent="0.25">
      <c r="M43" s="354"/>
      <c r="N43" s="354"/>
      <c r="O43" s="354"/>
      <c r="P43" s="354"/>
      <c r="Q43" s="358"/>
      <c r="R43" s="358"/>
      <c r="S43" s="354"/>
      <c r="T43" s="356"/>
      <c r="U43" s="357"/>
      <c r="V43" s="354"/>
      <c r="W43" s="354"/>
      <c r="X43" s="354"/>
      <c r="Y43" s="354"/>
    </row>
    <row r="44" spans="13:25" x14ac:dyDescent="0.25">
      <c r="M44" s="354"/>
      <c r="N44" s="354"/>
      <c r="O44" s="354"/>
      <c r="P44" s="354"/>
      <c r="Q44" s="358"/>
      <c r="R44" s="358"/>
      <c r="S44" s="354"/>
      <c r="T44" s="356"/>
      <c r="U44" s="357"/>
    </row>
    <row r="45" spans="13:25" x14ac:dyDescent="0.25">
      <c r="M45" s="358"/>
      <c r="N45" s="358"/>
      <c r="O45" s="361"/>
      <c r="P45" s="354"/>
      <c r="Q45" s="358"/>
      <c r="R45" s="358"/>
      <c r="S45" s="354"/>
      <c r="T45" s="356"/>
      <c r="U45" s="357"/>
    </row>
    <row r="208" spans="9:10" x14ac:dyDescent="0.25">
      <c r="I208" s="283"/>
      <c r="J208" s="284"/>
    </row>
    <row r="209" spans="3:14" x14ac:dyDescent="0.25">
      <c r="I209" s="283"/>
      <c r="J209" s="284"/>
    </row>
    <row r="210" spans="3:14" x14ac:dyDescent="0.25">
      <c r="I210" s="283"/>
      <c r="J210" s="284"/>
      <c r="K210" s="280"/>
      <c r="L210" s="280"/>
    </row>
    <row r="211" spans="3:14" x14ac:dyDescent="0.25">
      <c r="I211" s="283"/>
      <c r="J211" s="284"/>
      <c r="K211" s="280"/>
      <c r="L211" s="280"/>
    </row>
    <row r="212" spans="3:14" x14ac:dyDescent="0.25">
      <c r="C212" s="280" t="s">
        <v>511</v>
      </c>
      <c r="D212" s="280"/>
      <c r="E212" s="280"/>
      <c r="F212" s="280"/>
      <c r="G212" s="281"/>
      <c r="H212" s="282"/>
      <c r="I212" s="283"/>
      <c r="J212" s="284"/>
      <c r="K212" s="280"/>
      <c r="L212" s="280"/>
      <c r="M212" s="280"/>
      <c r="N212" s="280"/>
    </row>
    <row r="213" spans="3:14" x14ac:dyDescent="0.25">
      <c r="C213" s="280"/>
      <c r="D213" s="280"/>
      <c r="E213" s="280"/>
      <c r="F213" s="280"/>
      <c r="G213" s="281"/>
      <c r="H213" s="282"/>
      <c r="I213" s="283"/>
      <c r="J213" s="284"/>
      <c r="K213" s="280"/>
      <c r="L213" s="280"/>
      <c r="M213" s="280"/>
      <c r="N213" s="280"/>
    </row>
    <row r="214" spans="3:14" x14ac:dyDescent="0.25">
      <c r="C214" s="285" t="s">
        <v>512</v>
      </c>
      <c r="D214" s="286" t="s">
        <v>326</v>
      </c>
      <c r="E214" s="286" t="s">
        <v>93</v>
      </c>
      <c r="F214" s="286" t="s">
        <v>76</v>
      </c>
      <c r="G214" s="286" t="s">
        <v>513</v>
      </c>
      <c r="H214" s="282"/>
      <c r="I214" s="283"/>
      <c r="J214" s="284"/>
      <c r="K214" s="280"/>
      <c r="L214" s="280"/>
      <c r="M214" s="280"/>
      <c r="N214" s="280"/>
    </row>
    <row r="215" spans="3:14" x14ac:dyDescent="0.25">
      <c r="C215" s="280"/>
      <c r="D215" s="280"/>
      <c r="E215" s="280"/>
      <c r="F215" s="280"/>
      <c r="G215" s="281"/>
      <c r="H215" s="282"/>
      <c r="I215" s="283"/>
      <c r="J215" s="284"/>
      <c r="K215" s="280"/>
      <c r="L215" s="280"/>
      <c r="M215" s="280"/>
      <c r="N215" s="280"/>
    </row>
    <row r="216" spans="3:14" x14ac:dyDescent="0.25">
      <c r="C216" s="280" t="s">
        <v>514</v>
      </c>
      <c r="D216" s="280">
        <v>1</v>
      </c>
      <c r="E216" s="280">
        <v>2700</v>
      </c>
      <c r="F216" s="280">
        <v>11500</v>
      </c>
      <c r="G216" s="281"/>
      <c r="H216" s="282"/>
      <c r="I216" s="283"/>
      <c r="J216" s="284"/>
      <c r="K216" s="280"/>
      <c r="L216" s="280"/>
      <c r="M216" s="280"/>
      <c r="N216" s="280"/>
    </row>
    <row r="217" spans="3:14" x14ac:dyDescent="0.25">
      <c r="C217" s="280" t="s">
        <v>514</v>
      </c>
      <c r="D217" s="280">
        <v>1.5</v>
      </c>
      <c r="E217" s="280">
        <v>4049</v>
      </c>
      <c r="F217" s="280">
        <v>20251</v>
      </c>
      <c r="G217" s="281"/>
      <c r="H217" s="282"/>
      <c r="I217" s="283"/>
      <c r="J217" s="284"/>
      <c r="K217" s="280"/>
      <c r="L217" s="280"/>
      <c r="M217" s="280"/>
      <c r="N217" s="280"/>
    </row>
    <row r="218" spans="3:14" x14ac:dyDescent="0.25">
      <c r="C218" s="280" t="s">
        <v>515</v>
      </c>
      <c r="D218" s="280">
        <v>1</v>
      </c>
      <c r="E218" s="280">
        <v>11499</v>
      </c>
      <c r="F218" s="280">
        <v>19301</v>
      </c>
      <c r="G218" s="280">
        <v>19301</v>
      </c>
      <c r="H218" s="282"/>
      <c r="I218" s="283"/>
      <c r="J218" s="284"/>
      <c r="K218" s="280"/>
      <c r="L218" s="280"/>
      <c r="M218" s="280"/>
      <c r="N218" s="280"/>
    </row>
    <row r="219" spans="3:14" x14ac:dyDescent="0.25">
      <c r="C219" s="280" t="s">
        <v>515</v>
      </c>
      <c r="D219" s="280">
        <v>1.5</v>
      </c>
      <c r="E219" s="280">
        <v>19299</v>
      </c>
      <c r="F219" s="280">
        <v>28951</v>
      </c>
      <c r="G219" s="281"/>
      <c r="H219" s="282"/>
      <c r="I219" s="283"/>
      <c r="J219" s="284"/>
      <c r="K219" s="280"/>
      <c r="L219" s="280"/>
      <c r="M219" s="280"/>
      <c r="N219" s="280"/>
    </row>
    <row r="220" spans="3:14" x14ac:dyDescent="0.25">
      <c r="C220" s="280"/>
      <c r="D220" s="280"/>
      <c r="E220" s="281"/>
      <c r="F220" s="281"/>
      <c r="G220" s="281"/>
      <c r="H220" s="282"/>
      <c r="I220" s="283"/>
      <c r="J220" s="284"/>
      <c r="K220" s="280"/>
      <c r="L220" s="280"/>
      <c r="M220" s="280"/>
      <c r="N220" s="280"/>
    </row>
    <row r="221" spans="3:14" x14ac:dyDescent="0.25">
      <c r="C221" s="280"/>
      <c r="D221" s="280"/>
      <c r="E221" s="280"/>
      <c r="F221" s="280"/>
      <c r="G221" s="281"/>
      <c r="H221" s="282"/>
      <c r="I221" s="283"/>
      <c r="J221" s="284"/>
      <c r="K221" s="280"/>
      <c r="L221" s="280"/>
      <c r="M221" s="280"/>
      <c r="N221" s="280"/>
    </row>
    <row r="222" spans="3:14" x14ac:dyDescent="0.25">
      <c r="C222" s="285" t="s">
        <v>516</v>
      </c>
      <c r="D222" s="285"/>
      <c r="E222" s="286" t="s">
        <v>93</v>
      </c>
      <c r="F222" s="286" t="s">
        <v>76</v>
      </c>
      <c r="G222" s="281"/>
      <c r="H222" s="282"/>
      <c r="I222" s="283"/>
      <c r="J222" s="284"/>
      <c r="K222" s="280"/>
      <c r="L222" s="280"/>
      <c r="M222" s="280"/>
      <c r="N222" s="280"/>
    </row>
    <row r="223" spans="3:14" x14ac:dyDescent="0.25">
      <c r="C223" s="280" t="s">
        <v>517</v>
      </c>
      <c r="D223" s="280"/>
      <c r="E223" s="280">
        <v>480</v>
      </c>
      <c r="F223" s="280">
        <v>605</v>
      </c>
      <c r="G223" s="281"/>
      <c r="H223" s="282"/>
      <c r="I223" s="283"/>
      <c r="J223" s="284"/>
      <c r="K223" s="280"/>
      <c r="L223" s="280"/>
      <c r="M223" s="280"/>
      <c r="N223" s="280"/>
    </row>
    <row r="224" spans="3:14" x14ac:dyDescent="0.25">
      <c r="C224" s="280" t="s">
        <v>518</v>
      </c>
      <c r="D224" s="280"/>
      <c r="E224" s="280">
        <v>604</v>
      </c>
      <c r="F224" s="280">
        <v>890</v>
      </c>
      <c r="G224" s="281"/>
      <c r="H224" s="282"/>
      <c r="I224" s="283"/>
      <c r="J224" s="284"/>
      <c r="K224" s="280"/>
      <c r="L224" s="280"/>
      <c r="M224" s="280"/>
      <c r="N224" s="280"/>
    </row>
    <row r="225" spans="3:14" x14ac:dyDescent="0.25">
      <c r="C225" s="280" t="s">
        <v>519</v>
      </c>
      <c r="D225" s="280"/>
      <c r="E225" s="280">
        <v>889</v>
      </c>
      <c r="F225" s="280">
        <v>1201</v>
      </c>
      <c r="G225" s="281"/>
      <c r="H225" s="282"/>
      <c r="I225" s="283"/>
      <c r="J225" s="284"/>
      <c r="K225" s="280"/>
      <c r="L225" s="280"/>
      <c r="M225" s="280"/>
      <c r="N225" s="280"/>
    </row>
    <row r="226" spans="3:14" x14ac:dyDescent="0.25">
      <c r="C226" s="280"/>
      <c r="D226" s="280"/>
      <c r="E226" s="287" t="s">
        <v>61</v>
      </c>
      <c r="F226" s="280">
        <v>1040</v>
      </c>
      <c r="G226" s="281"/>
      <c r="H226" s="282"/>
      <c r="I226" s="283"/>
      <c r="J226" s="284"/>
      <c r="K226" s="280"/>
      <c r="L226" s="280"/>
      <c r="M226" s="280"/>
      <c r="N226" s="280"/>
    </row>
    <row r="227" spans="3:14" x14ac:dyDescent="0.25">
      <c r="C227" s="281"/>
      <c r="D227" s="281"/>
      <c r="G227" s="281"/>
      <c r="H227" s="282"/>
      <c r="I227" s="283"/>
      <c r="J227" s="284"/>
      <c r="K227" s="280"/>
      <c r="L227" s="280"/>
      <c r="M227" s="280"/>
      <c r="N227" s="280"/>
    </row>
    <row r="228" spans="3:14" x14ac:dyDescent="0.25">
      <c r="C228" s="281"/>
      <c r="D228" s="281"/>
      <c r="E228" s="281"/>
      <c r="F228" s="281"/>
      <c r="G228" s="281"/>
      <c r="H228" s="282"/>
      <c r="I228" s="283"/>
      <c r="J228" s="284"/>
      <c r="K228" s="280"/>
      <c r="L228" s="280"/>
      <c r="M228" s="280"/>
      <c r="N228" s="280"/>
    </row>
    <row r="229" spans="3:14" x14ac:dyDescent="0.25">
      <c r="C229" s="280"/>
      <c r="D229" s="280"/>
      <c r="E229" s="280"/>
      <c r="F229" s="280"/>
      <c r="G229" s="280"/>
      <c r="H229" s="280"/>
      <c r="I229" s="283"/>
      <c r="J229" s="284"/>
      <c r="K229" s="280"/>
      <c r="L229" s="280"/>
      <c r="M229" s="280"/>
      <c r="N229" s="280"/>
    </row>
    <row r="230" spans="3:14" x14ac:dyDescent="0.25">
      <c r="C230" s="280"/>
      <c r="D230" s="280"/>
      <c r="E230" s="280"/>
      <c r="F230" s="280"/>
      <c r="G230" s="280"/>
      <c r="H230" s="280"/>
      <c r="I230" s="912"/>
      <c r="J230" s="288"/>
      <c r="K230" s="280"/>
      <c r="L230" s="280"/>
      <c r="M230" s="280"/>
      <c r="N230" s="280"/>
    </row>
    <row r="231" spans="3:14" x14ac:dyDescent="0.25">
      <c r="C231" s="280"/>
      <c r="D231" s="280"/>
      <c r="E231" s="280"/>
      <c r="F231" s="280"/>
      <c r="G231" s="280"/>
      <c r="H231" s="280"/>
      <c r="I231" s="289" t="s">
        <v>76</v>
      </c>
      <c r="J231" s="290"/>
      <c r="K231" s="280"/>
      <c r="L231" s="280"/>
      <c r="M231" s="280"/>
      <c r="N231" s="280"/>
    </row>
    <row r="232" spans="3:14" x14ac:dyDescent="0.25">
      <c r="C232" s="280"/>
      <c r="D232" s="280"/>
      <c r="E232" s="280"/>
      <c r="F232" s="280"/>
      <c r="G232" s="280"/>
      <c r="H232" s="280"/>
      <c r="I232" s="292">
        <v>11.4999</v>
      </c>
      <c r="J232" s="293"/>
      <c r="K232" s="1296" t="s">
        <v>524</v>
      </c>
      <c r="L232" s="1296"/>
      <c r="M232" s="280"/>
      <c r="N232" s="280"/>
    </row>
    <row r="233" spans="3:14" x14ac:dyDescent="0.25">
      <c r="C233" s="280" t="s">
        <v>520</v>
      </c>
      <c r="D233" s="280"/>
      <c r="E233" s="280"/>
      <c r="F233" s="280"/>
      <c r="G233" s="281"/>
      <c r="H233" s="280"/>
      <c r="I233" s="292">
        <v>8.4999000000000002</v>
      </c>
      <c r="J233" s="293"/>
      <c r="K233" s="290" t="s">
        <v>93</v>
      </c>
      <c r="L233" s="290" t="s">
        <v>76</v>
      </c>
      <c r="M233" s="280"/>
      <c r="N233" s="280"/>
    </row>
    <row r="234" spans="3:14" x14ac:dyDescent="0.25">
      <c r="C234" s="280"/>
      <c r="D234" s="1296" t="s">
        <v>521</v>
      </c>
      <c r="E234" s="1296"/>
      <c r="F234" s="1296" t="s">
        <v>522</v>
      </c>
      <c r="G234" s="1296"/>
      <c r="H234" s="912" t="s">
        <v>523</v>
      </c>
      <c r="I234" s="292">
        <v>6.2499000000000002</v>
      </c>
      <c r="J234" s="293"/>
      <c r="K234" s="292">
        <f>I232+0.0001</f>
        <v>11.5</v>
      </c>
      <c r="L234" s="292">
        <v>20</v>
      </c>
      <c r="M234" s="1296" t="s">
        <v>525</v>
      </c>
      <c r="N234" s="1296"/>
    </row>
    <row r="235" spans="3:14" x14ac:dyDescent="0.25">
      <c r="C235" s="280"/>
      <c r="D235" s="289" t="s">
        <v>93</v>
      </c>
      <c r="E235" s="289" t="s">
        <v>76</v>
      </c>
      <c r="F235" s="289" t="s">
        <v>93</v>
      </c>
      <c r="G235" s="289" t="s">
        <v>76</v>
      </c>
      <c r="H235" s="289" t="s">
        <v>93</v>
      </c>
      <c r="I235" s="292">
        <v>4.7499000000000002</v>
      </c>
      <c r="J235" s="293"/>
      <c r="K235" s="292">
        <f>I233+0.0001</f>
        <v>8.5</v>
      </c>
      <c r="L235" s="292">
        <v>14.129899999999999</v>
      </c>
      <c r="M235" s="290" t="s">
        <v>93</v>
      </c>
      <c r="N235" s="290" t="s">
        <v>76</v>
      </c>
    </row>
    <row r="236" spans="3:14" x14ac:dyDescent="0.25">
      <c r="C236" s="291" t="s">
        <v>526</v>
      </c>
      <c r="D236" s="292">
        <v>1.2499</v>
      </c>
      <c r="E236" s="292">
        <v>3.8799000000000001</v>
      </c>
      <c r="F236" s="292">
        <f>E236+0.0001</f>
        <v>3.8800000000000003</v>
      </c>
      <c r="G236" s="292">
        <v>6.8799000000000001</v>
      </c>
      <c r="H236" s="292">
        <f>G236+0.0001</f>
        <v>6.88</v>
      </c>
      <c r="I236" s="283"/>
      <c r="J236" s="284"/>
      <c r="K236" s="292">
        <f>I234+0.0001</f>
        <v>6.25</v>
      </c>
      <c r="L236" s="292">
        <v>11.129899999999999</v>
      </c>
      <c r="M236" s="292"/>
      <c r="N236" s="292"/>
    </row>
    <row r="237" spans="3:14" x14ac:dyDescent="0.25">
      <c r="C237" s="291" t="s">
        <v>527</v>
      </c>
      <c r="D237" s="292">
        <v>1.2499</v>
      </c>
      <c r="E237" s="292">
        <v>2.1299000000000001</v>
      </c>
      <c r="F237" s="292">
        <f>E237+0.0001</f>
        <v>2.1300000000000003</v>
      </c>
      <c r="G237" s="292">
        <v>4.6299000000000001</v>
      </c>
      <c r="H237" s="292">
        <f>G237+0.0001</f>
        <v>4.63</v>
      </c>
      <c r="I237" s="283"/>
      <c r="J237" s="284"/>
      <c r="K237" s="292">
        <f>I235+0.0001</f>
        <v>4.75</v>
      </c>
      <c r="L237" s="292">
        <v>8.7599</v>
      </c>
      <c r="M237" s="292">
        <f>L235+0.0001</f>
        <v>14.129999999999999</v>
      </c>
      <c r="N237" s="292">
        <v>20</v>
      </c>
    </row>
    <row r="238" spans="3:14" x14ac:dyDescent="0.25">
      <c r="C238" s="291" t="s">
        <v>528</v>
      </c>
      <c r="D238" s="293"/>
      <c r="E238" s="293"/>
      <c r="F238" s="292">
        <v>1.7499</v>
      </c>
      <c r="G238" s="292">
        <v>3.1299000000000001</v>
      </c>
      <c r="H238" s="292">
        <f>G238+0.0001</f>
        <v>3.1300000000000003</v>
      </c>
      <c r="I238" s="283"/>
      <c r="J238" s="284"/>
      <c r="K238" s="280"/>
      <c r="L238" s="280"/>
      <c r="M238" s="292">
        <f>L236+0.0001</f>
        <v>11.129999999999999</v>
      </c>
      <c r="N238" s="292">
        <v>20</v>
      </c>
    </row>
    <row r="239" spans="3:14" x14ac:dyDescent="0.25">
      <c r="C239" s="291" t="s">
        <v>529</v>
      </c>
      <c r="D239" s="293"/>
      <c r="E239" s="293"/>
      <c r="F239" s="293"/>
      <c r="G239" s="294"/>
      <c r="H239" s="292">
        <v>1.9999</v>
      </c>
      <c r="I239" s="283"/>
      <c r="J239" s="284"/>
      <c r="K239" s="280"/>
      <c r="L239" s="280"/>
      <c r="M239" s="292">
        <f>L237+0.0001</f>
        <v>8.76</v>
      </c>
      <c r="N239" s="292">
        <v>16.5</v>
      </c>
    </row>
    <row r="240" spans="3:14" x14ac:dyDescent="0.25">
      <c r="C240" s="280"/>
      <c r="D240" s="280"/>
      <c r="E240" s="280"/>
      <c r="F240" s="281"/>
      <c r="G240" s="280"/>
      <c r="H240" s="280"/>
      <c r="I240" s="283"/>
      <c r="J240" s="284"/>
      <c r="K240" s="280"/>
      <c r="L240" s="280"/>
      <c r="M240" s="280"/>
      <c r="N240" s="280"/>
    </row>
    <row r="241" spans="3:14" x14ac:dyDescent="0.25">
      <c r="C241" s="280"/>
      <c r="D241" s="280"/>
      <c r="E241" s="281"/>
      <c r="F241" s="281"/>
      <c r="G241" s="281"/>
      <c r="H241" s="280"/>
      <c r="I241" s="283"/>
      <c r="J241" s="284"/>
      <c r="K241" s="280"/>
      <c r="L241" s="280"/>
      <c r="M241" s="280"/>
      <c r="N241" s="280"/>
    </row>
    <row r="242" spans="3:14" x14ac:dyDescent="0.25">
      <c r="C242" s="280"/>
      <c r="D242" s="280"/>
      <c r="E242" s="280"/>
      <c r="F242" s="280"/>
      <c r="G242" s="281"/>
      <c r="H242" s="280"/>
      <c r="I242" s="283"/>
      <c r="J242" s="284"/>
      <c r="K242" s="280"/>
      <c r="L242" s="280"/>
      <c r="M242" s="280"/>
      <c r="N242" s="280"/>
    </row>
    <row r="243" spans="3:14" x14ac:dyDescent="0.25">
      <c r="C243" s="285" t="s">
        <v>516</v>
      </c>
      <c r="D243" s="285"/>
      <c r="E243" s="286" t="s">
        <v>93</v>
      </c>
      <c r="F243" s="286" t="s">
        <v>76</v>
      </c>
      <c r="G243" s="281"/>
      <c r="H243" s="280"/>
      <c r="I243" s="283"/>
      <c r="J243" s="284"/>
      <c r="K243" s="280"/>
      <c r="L243" s="280"/>
      <c r="M243" s="280"/>
      <c r="N243" s="280"/>
    </row>
    <row r="244" spans="3:14" x14ac:dyDescent="0.25">
      <c r="C244" s="280" t="s">
        <v>526</v>
      </c>
      <c r="D244" s="280"/>
      <c r="E244" s="280">
        <v>300</v>
      </c>
      <c r="F244" s="280">
        <v>349</v>
      </c>
      <c r="G244" s="281"/>
      <c r="H244" s="280"/>
      <c r="I244" s="283"/>
      <c r="J244" s="284"/>
      <c r="K244" s="280"/>
      <c r="L244" s="280"/>
      <c r="M244" s="280"/>
      <c r="N244" s="280"/>
    </row>
    <row r="245" spans="3:14" x14ac:dyDescent="0.25">
      <c r="C245" s="280" t="s">
        <v>527</v>
      </c>
      <c r="D245" s="280"/>
      <c r="E245" s="280">
        <v>350</v>
      </c>
      <c r="F245" s="280">
        <v>399</v>
      </c>
      <c r="G245" s="281"/>
      <c r="H245" s="280"/>
      <c r="K245" s="280"/>
      <c r="L245" s="280"/>
      <c r="M245" s="280"/>
      <c r="N245" s="280"/>
    </row>
    <row r="246" spans="3:14" x14ac:dyDescent="0.25">
      <c r="C246" s="280" t="s">
        <v>528</v>
      </c>
      <c r="D246" s="280"/>
      <c r="E246" s="280">
        <v>400</v>
      </c>
      <c r="F246" s="280">
        <v>500</v>
      </c>
      <c r="G246" s="281"/>
      <c r="H246" s="280"/>
      <c r="K246" s="280"/>
      <c r="L246" s="280"/>
      <c r="M246" s="280"/>
      <c r="N246" s="280"/>
    </row>
    <row r="247" spans="3:14" x14ac:dyDescent="0.25">
      <c r="C247" s="280" t="s">
        <v>529</v>
      </c>
      <c r="D247" s="280"/>
      <c r="E247" s="280">
        <v>501</v>
      </c>
      <c r="F247" s="280">
        <v>580</v>
      </c>
      <c r="G247" s="281"/>
      <c r="H247" s="280"/>
      <c r="M247" s="280"/>
      <c r="N247" s="280"/>
    </row>
    <row r="248" spans="3:14" x14ac:dyDescent="0.25">
      <c r="C248" s="281"/>
      <c r="D248" s="281"/>
      <c r="E248" s="287" t="s">
        <v>61</v>
      </c>
      <c r="F248" s="280">
        <v>580</v>
      </c>
      <c r="G248" s="281"/>
      <c r="H248" s="280"/>
      <c r="M248" s="280"/>
      <c r="N248" s="280"/>
    </row>
  </sheetData>
  <sheetProtection algorithmName="SHA-512" hashValue="5FQBvU1M1GufKBhAAA83/0XRH3DSJ5Mbtg55Jbpp0S6J6+Z/MEyESQ51fOBvGRQVruvmIwIXJDBe0g73rxZxRQ==" saltValue="6j7oo0cwS6Hrfkk+Hsgs6g==" spinCount="100000" sheet="1" objects="1" scenarios="1"/>
  <mergeCells count="6">
    <mergeCell ref="M234:N234"/>
    <mergeCell ref="H2:I2"/>
    <mergeCell ref="D234:E234"/>
    <mergeCell ref="F234:G234"/>
    <mergeCell ref="K232:L232"/>
    <mergeCell ref="I11:I31"/>
  </mergeCells>
  <phoneticPr fontId="117" type="noConversion"/>
  <hyperlinks>
    <hyperlink ref="H2:I2" location="Form!A1" tooltip=" " display="Form!A1" xr:uid="{E7FA43EC-C97D-4148-87B7-8161D5157994}"/>
  </hyperlinks>
  <pageMargins left="0.7" right="0.7" top="0.78740157499999996" bottom="0.78740157499999996" header="0.3" footer="0.3"/>
  <pageSetup paperSize="9" orientation="portrait" verticalDpi="120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59"/>
  <dimension ref="A1:O229"/>
  <sheetViews>
    <sheetView workbookViewId="0">
      <selection activeCell="P11" sqref="P11"/>
    </sheetView>
  </sheetViews>
  <sheetFormatPr defaultRowHeight="15" x14ac:dyDescent="0.25"/>
  <cols>
    <col min="1" max="1" width="45" customWidth="1"/>
    <col min="2" max="2" width="17.7109375" customWidth="1"/>
    <col min="3" max="3" width="9.5703125" customWidth="1"/>
    <col min="4" max="4" width="2.7109375" style="86" customWidth="1"/>
    <col min="5" max="5" width="2.5703125" customWidth="1"/>
    <col min="6" max="8" width="13.7109375" customWidth="1"/>
    <col min="9" max="9" width="3.7109375" customWidth="1"/>
    <col min="10" max="10" width="27.28515625" style="539" customWidth="1"/>
    <col min="11" max="11" width="13.7109375" hidden="1" customWidth="1"/>
    <col min="12" max="12" width="12.5703125" hidden="1" customWidth="1"/>
    <col min="13" max="13" width="8.7109375" hidden="1" customWidth="1"/>
    <col min="14" max="14" width="10.7109375" hidden="1" customWidth="1"/>
    <col min="15" max="15" width="8.7109375" hidden="1" customWidth="1"/>
    <col min="16" max="16" width="8.7109375" customWidth="1"/>
  </cols>
  <sheetData>
    <row r="1" spans="1:15" x14ac:dyDescent="0.25">
      <c r="A1" s="2"/>
      <c r="B1" s="2"/>
      <c r="C1" s="2"/>
      <c r="D1" s="27"/>
      <c r="E1" s="2"/>
      <c r="F1" s="2"/>
      <c r="G1" s="2"/>
      <c r="H1" s="27" t="str">
        <f>ListAVS!$B$228</f>
        <v xml:space="preserve">Cennik   </v>
      </c>
    </row>
    <row r="2" spans="1:15" x14ac:dyDescent="0.25">
      <c r="A2" s="2" t="str">
        <f>ListAVS!B226&amp;":"</f>
        <v>Sprzedawca:</v>
      </c>
      <c r="B2" s="2"/>
      <c r="C2" s="2"/>
      <c r="D2" s="27"/>
      <c r="E2" s="2"/>
      <c r="F2" s="2"/>
      <c r="G2" s="2"/>
      <c r="H2" s="45" t="str">
        <f>ListAVS!$B$169</f>
        <v>Wróć na początek</v>
      </c>
      <c r="L2" s="468"/>
      <c r="O2" s="468"/>
    </row>
    <row r="3" spans="1:15" x14ac:dyDescent="0.25">
      <c r="A3" s="14" t="s">
        <v>1285</v>
      </c>
      <c r="B3" s="2"/>
      <c r="C3" s="2"/>
      <c r="D3" s="27"/>
      <c r="E3" s="2"/>
      <c r="F3" s="2"/>
      <c r="G3" s="2"/>
      <c r="H3" s="13"/>
      <c r="L3" s="468"/>
      <c r="M3" s="468"/>
      <c r="O3" s="468"/>
    </row>
    <row r="4" spans="1:15" x14ac:dyDescent="0.25">
      <c r="A4" s="15" t="s">
        <v>1286</v>
      </c>
      <c r="B4" s="2"/>
      <c r="C4" s="2"/>
      <c r="D4" s="27"/>
      <c r="E4" s="2"/>
      <c r="F4" s="2"/>
      <c r="L4" s="468"/>
      <c r="M4" s="468"/>
      <c r="O4" s="468"/>
    </row>
    <row r="5" spans="1:15" x14ac:dyDescent="0.25">
      <c r="A5" s="976" t="s">
        <v>1287</v>
      </c>
      <c r="B5" s="2"/>
      <c r="C5" s="2"/>
      <c r="D5" s="27"/>
      <c r="E5" s="2"/>
      <c r="F5" s="2"/>
      <c r="G5" s="2"/>
      <c r="L5" s="468"/>
      <c r="O5" s="468"/>
    </row>
    <row r="6" spans="1:15" x14ac:dyDescent="0.25">
      <c r="A6" s="978" t="s">
        <v>1289</v>
      </c>
      <c r="B6" s="2"/>
      <c r="C6" s="2"/>
      <c r="D6" s="27"/>
      <c r="E6" s="2"/>
      <c r="F6" s="2"/>
      <c r="G6" s="2"/>
      <c r="H6" s="2"/>
      <c r="L6" s="468"/>
    </row>
    <row r="7" spans="1:15" ht="15.75" thickBot="1" x14ac:dyDescent="0.3">
      <c r="A7" s="468" t="s">
        <v>1288</v>
      </c>
      <c r="B7" s="2"/>
      <c r="C7" s="2"/>
      <c r="D7" s="27"/>
      <c r="E7" s="2"/>
      <c r="F7" s="2"/>
      <c r="G7" s="2"/>
      <c r="H7" s="2"/>
      <c r="L7" s="468"/>
      <c r="M7" s="468"/>
    </row>
    <row r="8" spans="1:15" ht="15.75" thickBot="1" x14ac:dyDescent="0.3">
      <c r="A8" s="977"/>
      <c r="B8" s="2"/>
      <c r="C8" s="2"/>
      <c r="D8" s="27"/>
      <c r="E8" s="2"/>
      <c r="F8" s="2"/>
      <c r="G8" s="16" t="str">
        <f>ListAVS!$B$224&amp;": "</f>
        <v xml:space="preserve">Cennik obowiązuje od: </v>
      </c>
      <c r="H8" s="467">
        <v>45671</v>
      </c>
      <c r="J8" s="538"/>
      <c r="L8" s="468"/>
    </row>
    <row r="9" spans="1:15" x14ac:dyDescent="0.25">
      <c r="A9" s="2"/>
      <c r="B9" s="2"/>
      <c r="C9" s="2"/>
      <c r="D9" s="27"/>
      <c r="E9" s="2"/>
      <c r="F9" s="2"/>
      <c r="G9" s="2"/>
      <c r="H9" s="2"/>
      <c r="J9" s="538"/>
    </row>
    <row r="10" spans="1:15" ht="45" customHeight="1" x14ac:dyDescent="0.25">
      <c r="A10" s="541" t="str">
        <f>ListAVS!$B$52</f>
        <v>Nazwa</v>
      </c>
      <c r="B10" s="541" t="str">
        <f>ListAVS!$B$53</f>
        <v>Kod asortymentu</v>
      </c>
      <c r="C10" s="541" t="str">
        <f>ListAVS!$B$54</f>
        <v>Kolor</v>
      </c>
      <c r="D10" s="82" t="str">
        <f>ListAVS!$B$57</f>
        <v>Dostępność</v>
      </c>
      <c r="E10" s="82" t="str">
        <f>ListAVS!$B$55</f>
        <v>Ilość</v>
      </c>
      <c r="F10" s="610" t="str">
        <f>ListAVS!$B$58</f>
        <v>Cena za sztukę</v>
      </c>
      <c r="G10" s="81" t="s">
        <v>530</v>
      </c>
      <c r="H10" s="66"/>
      <c r="I10" s="4"/>
      <c r="J10" s="540"/>
      <c r="M10" s="498"/>
      <c r="N10" s="485" t="s">
        <v>530</v>
      </c>
    </row>
    <row r="11" spans="1:15" x14ac:dyDescent="0.25">
      <c r="A11" s="68" t="s">
        <v>1119</v>
      </c>
      <c r="B11" s="69" t="s">
        <v>680</v>
      </c>
      <c r="C11" s="69" t="s">
        <v>531</v>
      </c>
      <c r="D11" s="83"/>
      <c r="E11" s="70"/>
      <c r="F11" s="93">
        <v>180.23612</v>
      </c>
      <c r="G11" s="98">
        <v>6115096</v>
      </c>
      <c r="H11" s="71">
        <v>507333</v>
      </c>
      <c r="I11" s="4"/>
      <c r="K11" s="512" t="e">
        <f>L11*26/100</f>
        <v>#REF!</v>
      </c>
      <c r="L11" t="e">
        <f>VLOOKUP(G11,#REF!, 6, FALSE)</f>
        <v>#REF!</v>
      </c>
      <c r="M11" s="499"/>
      <c r="N11" s="486">
        <v>9007682</v>
      </c>
    </row>
    <row r="12" spans="1:15" x14ac:dyDescent="0.25">
      <c r="A12" s="72" t="s">
        <v>1120</v>
      </c>
      <c r="B12" s="73" t="s">
        <v>681</v>
      </c>
      <c r="C12" s="73" t="s">
        <v>531</v>
      </c>
      <c r="D12" s="84"/>
      <c r="E12" s="74"/>
      <c r="F12" s="94">
        <v>181.63767999999999</v>
      </c>
      <c r="G12" s="99">
        <v>6225429</v>
      </c>
      <c r="H12" s="75">
        <v>507335</v>
      </c>
      <c r="I12" s="4"/>
      <c r="K12" s="512" t="e">
        <f t="shared" ref="K12:K44" si="0">L12*26/100</f>
        <v>#REF!</v>
      </c>
      <c r="L12" t="e">
        <f>VLOOKUP(G12,#REF!, 6, FALSE)</f>
        <v>#REF!</v>
      </c>
      <c r="M12" s="499"/>
      <c r="N12" s="487">
        <v>9007752</v>
      </c>
    </row>
    <row r="13" spans="1:15" ht="14.65" customHeight="1" x14ac:dyDescent="0.25">
      <c r="A13" s="78" t="s">
        <v>1121</v>
      </c>
      <c r="B13" s="79" t="s">
        <v>682</v>
      </c>
      <c r="C13" s="79" t="s">
        <v>531</v>
      </c>
      <c r="D13" s="85"/>
      <c r="E13" s="74"/>
      <c r="F13" s="95">
        <v>196.99925999999999</v>
      </c>
      <c r="G13" s="100">
        <v>1755700</v>
      </c>
      <c r="H13" s="80">
        <v>507336</v>
      </c>
      <c r="I13" s="4"/>
      <c r="K13" s="512" t="e">
        <f t="shared" si="0"/>
        <v>#REF!</v>
      </c>
      <c r="L13" t="e">
        <f>VLOOKUP(G13,#REF!, 6, FALSE)</f>
        <v>#REF!</v>
      </c>
      <c r="M13" s="500"/>
      <c r="N13" s="483">
        <v>9007822</v>
      </c>
    </row>
    <row r="14" spans="1:15" ht="14.65" customHeight="1" x14ac:dyDescent="0.25">
      <c r="A14" s="78" t="s">
        <v>1122</v>
      </c>
      <c r="B14" s="79" t="s">
        <v>683</v>
      </c>
      <c r="C14" s="79" t="s">
        <v>531</v>
      </c>
      <c r="D14" s="85"/>
      <c r="E14" s="74"/>
      <c r="F14" s="95">
        <v>198.53095999999999</v>
      </c>
      <c r="G14" s="100">
        <v>6445555</v>
      </c>
      <c r="H14" s="80">
        <v>507337</v>
      </c>
      <c r="I14" s="4"/>
      <c r="K14" s="512"/>
      <c r="M14" s="500"/>
      <c r="N14" s="483"/>
    </row>
    <row r="15" spans="1:15" x14ac:dyDescent="0.25">
      <c r="A15" s="72" t="s">
        <v>1123</v>
      </c>
      <c r="B15" s="73" t="s">
        <v>684</v>
      </c>
      <c r="C15" s="73" t="s">
        <v>532</v>
      </c>
      <c r="D15" s="84"/>
      <c r="E15" s="74"/>
      <c r="F15" s="95">
        <v>85.664479999999998</v>
      </c>
      <c r="G15" s="100">
        <v>8795903</v>
      </c>
      <c r="H15" s="80">
        <v>507340</v>
      </c>
      <c r="I15" s="4"/>
      <c r="K15" s="512" t="e">
        <f t="shared" si="0"/>
        <v>#REF!</v>
      </c>
      <c r="L15" t="e">
        <f>VLOOKUP(G15,#REF!, 6, FALSE)</f>
        <v>#REF!</v>
      </c>
      <c r="M15" s="499"/>
      <c r="N15" s="487">
        <v>5397438</v>
      </c>
    </row>
    <row r="16" spans="1:15" x14ac:dyDescent="0.25">
      <c r="A16" s="72" t="s">
        <v>1124</v>
      </c>
      <c r="B16" s="79" t="s">
        <v>685</v>
      </c>
      <c r="C16" s="79" t="s">
        <v>532</v>
      </c>
      <c r="D16" s="85"/>
      <c r="E16" s="74"/>
      <c r="F16" s="95">
        <v>105.22162</v>
      </c>
      <c r="G16" s="100">
        <v>7893366</v>
      </c>
      <c r="H16" s="80">
        <v>507341</v>
      </c>
      <c r="I16" s="4"/>
      <c r="K16" s="512" t="e">
        <f t="shared" si="0"/>
        <v>#REF!</v>
      </c>
      <c r="L16" t="e">
        <f>VLOOKUP(G16,#REF!, 6, FALSE)</f>
        <v>#REF!</v>
      </c>
      <c r="M16" s="500"/>
      <c r="N16" s="483">
        <v>4031701</v>
      </c>
    </row>
    <row r="17" spans="1:14" x14ac:dyDescent="0.25">
      <c r="A17" s="72" t="s">
        <v>1125</v>
      </c>
      <c r="B17" s="79" t="s">
        <v>686</v>
      </c>
      <c r="C17" s="79" t="s">
        <v>532</v>
      </c>
      <c r="D17" s="85"/>
      <c r="E17" s="74"/>
      <c r="F17" s="95">
        <v>124.77875</v>
      </c>
      <c r="G17" s="100">
        <v>6927662</v>
      </c>
      <c r="H17" s="80">
        <v>507342</v>
      </c>
      <c r="I17" s="4"/>
      <c r="K17" s="512" t="e">
        <f t="shared" si="0"/>
        <v>#REF!</v>
      </c>
      <c r="L17" t="e">
        <f>VLOOKUP(G17,#REF!, 6, FALSE)</f>
        <v>#REF!</v>
      </c>
      <c r="M17" s="500"/>
      <c r="N17" s="483">
        <v>3841114</v>
      </c>
    </row>
    <row r="18" spans="1:14" x14ac:dyDescent="0.25">
      <c r="A18" s="72" t="s">
        <v>1126</v>
      </c>
      <c r="B18" s="73" t="s">
        <v>536</v>
      </c>
      <c r="C18" s="73" t="s">
        <v>532</v>
      </c>
      <c r="D18" s="84"/>
      <c r="E18" s="74"/>
      <c r="F18" s="94">
        <v>5.5152999999999999</v>
      </c>
      <c r="G18" s="99">
        <v>6510533</v>
      </c>
      <c r="H18" s="80">
        <v>12023</v>
      </c>
      <c r="I18" s="4"/>
      <c r="K18" s="512" t="e">
        <f t="shared" si="0"/>
        <v>#REF!</v>
      </c>
      <c r="L18" t="e">
        <f>VLOOKUP(G18,#REF!, 6, FALSE)</f>
        <v>#REF!</v>
      </c>
      <c r="M18" s="499"/>
      <c r="N18" s="487">
        <v>6510533</v>
      </c>
    </row>
    <row r="19" spans="1:14" x14ac:dyDescent="0.25">
      <c r="A19" s="78" t="s">
        <v>1127</v>
      </c>
      <c r="B19" s="79" t="s">
        <v>537</v>
      </c>
      <c r="C19" s="79" t="s">
        <v>532</v>
      </c>
      <c r="D19" s="85"/>
      <c r="E19" s="74"/>
      <c r="F19" s="95">
        <v>5.8604399999999996</v>
      </c>
      <c r="G19" s="100">
        <v>7606263</v>
      </c>
      <c r="H19" s="80">
        <v>12028</v>
      </c>
      <c r="I19" s="4"/>
      <c r="K19" s="512" t="e">
        <f t="shared" si="0"/>
        <v>#REF!</v>
      </c>
      <c r="L19" t="e">
        <f>VLOOKUP(G19,#REF!, 6, FALSE)</f>
        <v>#REF!</v>
      </c>
      <c r="M19" s="500"/>
      <c r="N19" s="483">
        <v>7606263</v>
      </c>
    </row>
    <row r="20" spans="1:14" x14ac:dyDescent="0.25">
      <c r="A20" s="72" t="s">
        <v>1128</v>
      </c>
      <c r="B20" s="73" t="s">
        <v>538</v>
      </c>
      <c r="C20" s="73" t="s">
        <v>532</v>
      </c>
      <c r="D20" s="84"/>
      <c r="E20" s="74"/>
      <c r="F20" s="94">
        <v>10.1708</v>
      </c>
      <c r="G20" s="99">
        <v>6796673</v>
      </c>
      <c r="H20" s="80">
        <v>12024</v>
      </c>
      <c r="I20" s="4"/>
      <c r="K20" s="512" t="e">
        <f t="shared" si="0"/>
        <v>#REF!</v>
      </c>
      <c r="L20" t="e">
        <f>VLOOKUP(G20,#REF!, 6, FALSE)</f>
        <v>#REF!</v>
      </c>
      <c r="M20" s="499"/>
      <c r="N20" s="487">
        <v>6796673</v>
      </c>
    </row>
    <row r="21" spans="1:14" x14ac:dyDescent="0.25">
      <c r="A21" s="78" t="s">
        <v>1129</v>
      </c>
      <c r="B21" s="79" t="s">
        <v>539</v>
      </c>
      <c r="C21" s="79" t="s">
        <v>532</v>
      </c>
      <c r="D21" s="85"/>
      <c r="E21" s="74"/>
      <c r="F21" s="95">
        <v>10.498419999999999</v>
      </c>
      <c r="G21" s="100">
        <v>6797133</v>
      </c>
      <c r="H21" s="80">
        <v>12027</v>
      </c>
      <c r="I21" s="4"/>
      <c r="K21" s="512" t="e">
        <f t="shared" si="0"/>
        <v>#REF!</v>
      </c>
      <c r="L21" t="e">
        <f>VLOOKUP(G21,#REF!, 6, FALSE)</f>
        <v>#REF!</v>
      </c>
      <c r="M21" s="500"/>
      <c r="N21" s="483">
        <v>6797133</v>
      </c>
    </row>
    <row r="22" spans="1:14" x14ac:dyDescent="0.25">
      <c r="A22" s="72" t="s">
        <v>1130</v>
      </c>
      <c r="B22" s="73" t="s">
        <v>540</v>
      </c>
      <c r="C22" s="73" t="s">
        <v>532</v>
      </c>
      <c r="D22" s="84"/>
      <c r="E22" s="74"/>
      <c r="F22" s="94">
        <v>8.4674200000000006</v>
      </c>
      <c r="G22" s="99">
        <v>7655633</v>
      </c>
      <c r="H22" s="80">
        <v>13764</v>
      </c>
      <c r="I22" s="4"/>
      <c r="K22" s="512" t="e">
        <f t="shared" si="0"/>
        <v>#REF!</v>
      </c>
      <c r="L22" t="e">
        <f>VLOOKUP(G22,#REF!, 6, FALSE)</f>
        <v>#REF!</v>
      </c>
      <c r="M22" s="499"/>
      <c r="N22" s="487">
        <v>7655633</v>
      </c>
    </row>
    <row r="23" spans="1:14" x14ac:dyDescent="0.25">
      <c r="A23" s="78" t="s">
        <v>1131</v>
      </c>
      <c r="B23" s="79" t="s">
        <v>541</v>
      </c>
      <c r="C23" s="79" t="s">
        <v>532</v>
      </c>
      <c r="D23" s="85"/>
      <c r="E23" s="74"/>
      <c r="F23" s="95">
        <v>11.149290000000001</v>
      </c>
      <c r="G23" s="100">
        <v>6797303</v>
      </c>
      <c r="H23" s="80">
        <v>13765</v>
      </c>
      <c r="I23" s="4"/>
      <c r="K23" s="512" t="e">
        <f t="shared" si="0"/>
        <v>#REF!</v>
      </c>
      <c r="L23" t="e">
        <f>VLOOKUP(G23,#REF!, 6, FALSE)</f>
        <v>#REF!</v>
      </c>
      <c r="M23" s="500"/>
      <c r="N23" s="483">
        <v>6797303</v>
      </c>
    </row>
    <row r="24" spans="1:14" x14ac:dyDescent="0.25">
      <c r="A24" s="78" t="s">
        <v>1132</v>
      </c>
      <c r="B24" s="79" t="s">
        <v>542</v>
      </c>
      <c r="C24" s="79" t="s">
        <v>532</v>
      </c>
      <c r="D24" s="85"/>
      <c r="E24" s="74"/>
      <c r="F24" s="95">
        <v>9.9110600000000009</v>
      </c>
      <c r="G24" s="100">
        <v>6796243</v>
      </c>
      <c r="H24" s="80">
        <v>13767</v>
      </c>
      <c r="I24" s="4"/>
      <c r="K24" s="512" t="e">
        <f t="shared" si="0"/>
        <v>#REF!</v>
      </c>
      <c r="L24" t="e">
        <f>VLOOKUP(G24,#REF!, 6, FALSE)</f>
        <v>#REF!</v>
      </c>
      <c r="M24" s="500"/>
      <c r="N24" s="483">
        <v>6796243</v>
      </c>
    </row>
    <row r="25" spans="1:14" x14ac:dyDescent="0.25">
      <c r="A25" s="72" t="s">
        <v>1133</v>
      </c>
      <c r="B25" s="73" t="s">
        <v>543</v>
      </c>
      <c r="C25" s="73" t="s">
        <v>532</v>
      </c>
      <c r="D25" s="84"/>
      <c r="E25" s="74"/>
      <c r="F25" s="94">
        <v>9.9110600000000009</v>
      </c>
      <c r="G25" s="99">
        <v>6796593</v>
      </c>
      <c r="H25" s="80">
        <v>13766</v>
      </c>
      <c r="I25" s="4"/>
      <c r="K25" s="512" t="e">
        <f t="shared" si="0"/>
        <v>#REF!</v>
      </c>
      <c r="L25" t="e">
        <f>VLOOKUP(G25,#REF!, 6, FALSE)</f>
        <v>#REF!</v>
      </c>
      <c r="M25" s="499"/>
      <c r="N25" s="487">
        <v>6796593</v>
      </c>
    </row>
    <row r="26" spans="1:14" x14ac:dyDescent="0.25">
      <c r="A26" s="78" t="s">
        <v>1134</v>
      </c>
      <c r="B26" s="79" t="s">
        <v>544</v>
      </c>
      <c r="C26" s="79" t="s">
        <v>532</v>
      </c>
      <c r="D26" s="85"/>
      <c r="E26" s="74"/>
      <c r="F26" s="95">
        <v>9.9110600000000009</v>
      </c>
      <c r="G26" s="100">
        <v>6796303</v>
      </c>
      <c r="H26" s="80">
        <v>13768</v>
      </c>
      <c r="I26" s="4"/>
      <c r="K26" s="512" t="e">
        <f t="shared" si="0"/>
        <v>#REF!</v>
      </c>
      <c r="L26" t="e">
        <f>VLOOKUP(G26,#REF!, 6, FALSE)</f>
        <v>#REF!</v>
      </c>
      <c r="M26" s="500"/>
      <c r="N26" s="483">
        <v>6796303</v>
      </c>
    </row>
    <row r="27" spans="1:14" x14ac:dyDescent="0.25">
      <c r="A27" s="72" t="s">
        <v>1135</v>
      </c>
      <c r="B27" s="73"/>
      <c r="C27" s="73"/>
      <c r="D27" s="84"/>
      <c r="E27" s="74"/>
      <c r="F27" s="94"/>
      <c r="G27" s="99"/>
      <c r="H27" s="80"/>
      <c r="I27" s="4"/>
      <c r="K27" s="512"/>
      <c r="M27" s="499"/>
      <c r="N27" s="487"/>
    </row>
    <row r="28" spans="1:14" x14ac:dyDescent="0.25">
      <c r="A28" s="78" t="s">
        <v>1136</v>
      </c>
      <c r="B28" s="79" t="s">
        <v>687</v>
      </c>
      <c r="C28" s="79" t="s">
        <v>531</v>
      </c>
      <c r="D28" s="85"/>
      <c r="E28" s="74"/>
      <c r="F28" s="95">
        <v>191.41126</v>
      </c>
      <c r="G28" s="100">
        <v>6873965</v>
      </c>
      <c r="H28" s="80">
        <v>507368</v>
      </c>
      <c r="I28" s="4"/>
      <c r="K28" s="512" t="e">
        <f t="shared" si="0"/>
        <v>#REF!</v>
      </c>
      <c r="L28" t="e">
        <f>VLOOKUP(G28,#REF!, 6, FALSE)</f>
        <v>#REF!</v>
      </c>
      <c r="M28" s="500"/>
      <c r="N28" s="483">
        <v>9016592</v>
      </c>
    </row>
    <row r="29" spans="1:14" x14ac:dyDescent="0.25">
      <c r="A29" s="72" t="s">
        <v>1137</v>
      </c>
      <c r="B29" s="73" t="s">
        <v>688</v>
      </c>
      <c r="C29" s="73" t="s">
        <v>531</v>
      </c>
      <c r="D29" s="84"/>
      <c r="E29" s="74"/>
      <c r="F29" s="94">
        <v>192.89991000000001</v>
      </c>
      <c r="G29" s="99">
        <v>8437807</v>
      </c>
      <c r="H29" s="80">
        <v>507372</v>
      </c>
      <c r="I29" s="4"/>
      <c r="K29" s="512" t="e">
        <f t="shared" si="0"/>
        <v>#REF!</v>
      </c>
      <c r="L29" t="e">
        <f>VLOOKUP(G29,#REF!, 6, FALSE)</f>
        <v>#REF!</v>
      </c>
      <c r="M29" s="499"/>
      <c r="N29" s="487">
        <v>9016662</v>
      </c>
    </row>
    <row r="30" spans="1:14" x14ac:dyDescent="0.25">
      <c r="A30" s="78" t="s">
        <v>1138</v>
      </c>
      <c r="B30" s="79" t="s">
        <v>689</v>
      </c>
      <c r="C30" s="79" t="s">
        <v>531</v>
      </c>
      <c r="D30" s="85"/>
      <c r="E30" s="74"/>
      <c r="F30" s="95">
        <v>202.58682999999999</v>
      </c>
      <c r="G30" s="100">
        <v>4544774</v>
      </c>
      <c r="H30" s="80">
        <v>507370</v>
      </c>
      <c r="I30" s="4"/>
      <c r="K30" s="512" t="e">
        <f t="shared" si="0"/>
        <v>#REF!</v>
      </c>
      <c r="L30" t="e">
        <f>VLOOKUP(G30,#REF!, 6, FALSE)</f>
        <v>#REF!</v>
      </c>
      <c r="M30" s="500"/>
      <c r="N30" s="483">
        <v>9016732</v>
      </c>
    </row>
    <row r="31" spans="1:14" x14ac:dyDescent="0.25">
      <c r="A31" s="72" t="s">
        <v>1139</v>
      </c>
      <c r="B31" s="73" t="s">
        <v>690</v>
      </c>
      <c r="C31" s="73" t="s">
        <v>531</v>
      </c>
      <c r="D31" s="84"/>
      <c r="E31" s="74"/>
      <c r="F31" s="94">
        <v>204.16207</v>
      </c>
      <c r="G31" s="99">
        <v>4339002</v>
      </c>
      <c r="H31" s="80">
        <v>507374</v>
      </c>
      <c r="I31" s="4"/>
      <c r="K31" s="512" t="e">
        <f t="shared" si="0"/>
        <v>#REF!</v>
      </c>
      <c r="L31" t="e">
        <f>VLOOKUP(G31,#REF!, 6, FALSE)</f>
        <v>#REF!</v>
      </c>
      <c r="M31" s="499"/>
      <c r="N31" s="487">
        <v>9016802</v>
      </c>
    </row>
    <row r="32" spans="1:14" x14ac:dyDescent="0.25">
      <c r="A32" s="78" t="s">
        <v>1140</v>
      </c>
      <c r="B32" s="79" t="s">
        <v>691</v>
      </c>
      <c r="C32" s="79" t="s">
        <v>531</v>
      </c>
      <c r="D32" s="85"/>
      <c r="E32" s="74"/>
      <c r="F32" s="95">
        <v>215.15917999999999</v>
      </c>
      <c r="G32" s="100">
        <v>6726108</v>
      </c>
      <c r="H32" s="80">
        <v>507371</v>
      </c>
      <c r="I32" s="4"/>
      <c r="K32" s="512" t="e">
        <f t="shared" si="0"/>
        <v>#REF!</v>
      </c>
      <c r="L32" t="e">
        <f>VLOOKUP(G32,#REF!, 6, FALSE)</f>
        <v>#REF!</v>
      </c>
      <c r="M32" s="500"/>
      <c r="N32" s="483">
        <v>9016972</v>
      </c>
    </row>
    <row r="33" spans="1:14" x14ac:dyDescent="0.25">
      <c r="A33" s="72" t="s">
        <v>1141</v>
      </c>
      <c r="B33" s="73" t="s">
        <v>692</v>
      </c>
      <c r="C33" s="73" t="s">
        <v>531</v>
      </c>
      <c r="D33" s="84"/>
      <c r="E33" s="74"/>
      <c r="F33" s="94">
        <v>216.83244999999999</v>
      </c>
      <c r="G33" s="99">
        <v>1560191</v>
      </c>
      <c r="H33" s="80">
        <v>507375</v>
      </c>
      <c r="I33" s="4"/>
      <c r="K33" s="512" t="e">
        <f t="shared" si="0"/>
        <v>#REF!</v>
      </c>
      <c r="L33" t="e">
        <f>VLOOKUP(G33,#REF!, 6, FALSE)</f>
        <v>#REF!</v>
      </c>
      <c r="M33" s="499"/>
      <c r="N33" s="487">
        <v>9017032</v>
      </c>
    </row>
    <row r="34" spans="1:14" x14ac:dyDescent="0.25">
      <c r="A34" s="78" t="s">
        <v>1142</v>
      </c>
      <c r="B34" s="79" t="s">
        <v>693</v>
      </c>
      <c r="C34" s="79" t="s">
        <v>531</v>
      </c>
      <c r="D34" s="85"/>
      <c r="E34" s="74"/>
      <c r="F34" s="95">
        <v>127.57276</v>
      </c>
      <c r="G34" s="100">
        <v>4455776</v>
      </c>
      <c r="H34" s="80">
        <v>507376</v>
      </c>
      <c r="I34" s="4"/>
      <c r="K34" s="512" t="e">
        <f t="shared" si="0"/>
        <v>#REF!</v>
      </c>
      <c r="L34" t="e">
        <f>VLOOKUP(G34,#REF!, 6, FALSE)</f>
        <v>#REF!</v>
      </c>
      <c r="M34" s="500"/>
      <c r="N34" s="483">
        <v>2808088</v>
      </c>
    </row>
    <row r="35" spans="1:14" x14ac:dyDescent="0.25">
      <c r="A35" s="72" t="s">
        <v>1135</v>
      </c>
      <c r="B35" s="73"/>
      <c r="C35" s="73"/>
      <c r="D35" s="84"/>
      <c r="E35" s="74"/>
      <c r="F35" s="94"/>
      <c r="G35" s="99"/>
      <c r="H35" s="80"/>
      <c r="I35" s="4"/>
      <c r="K35" s="512"/>
      <c r="M35" s="500"/>
      <c r="N35" s="483"/>
    </row>
    <row r="36" spans="1:14" x14ac:dyDescent="0.25">
      <c r="A36" s="78" t="s">
        <v>1143</v>
      </c>
      <c r="B36" s="79" t="s">
        <v>712</v>
      </c>
      <c r="C36" s="79" t="s">
        <v>531</v>
      </c>
      <c r="D36" s="85"/>
      <c r="E36" s="74"/>
      <c r="F36" s="95">
        <v>191.41126</v>
      </c>
      <c r="G36" s="100">
        <v>5877526</v>
      </c>
      <c r="H36" s="80">
        <v>507351</v>
      </c>
      <c r="I36" s="4"/>
      <c r="K36" s="512" t="e">
        <f t="shared" si="0"/>
        <v>#REF!</v>
      </c>
      <c r="L36" t="e">
        <f>VLOOKUP(G36,#REF!, 6, FALSE)</f>
        <v>#REF!</v>
      </c>
      <c r="M36" s="499"/>
      <c r="N36" s="483">
        <v>9007992</v>
      </c>
    </row>
    <row r="37" spans="1:14" x14ac:dyDescent="0.25">
      <c r="A37" s="72" t="s">
        <v>1144</v>
      </c>
      <c r="B37" s="73" t="s">
        <v>722</v>
      </c>
      <c r="C37" s="73" t="s">
        <v>531</v>
      </c>
      <c r="D37" s="84"/>
      <c r="E37" s="74"/>
      <c r="F37" s="94">
        <v>192.89991000000001</v>
      </c>
      <c r="G37" s="99">
        <v>1723404</v>
      </c>
      <c r="H37" s="80">
        <v>507353</v>
      </c>
      <c r="I37" s="4"/>
      <c r="K37" s="512" t="e">
        <f t="shared" si="0"/>
        <v>#REF!</v>
      </c>
      <c r="L37" t="e">
        <f>VLOOKUP(G37,#REF!, 6, FALSE)</f>
        <v>#REF!</v>
      </c>
      <c r="M37" s="500"/>
      <c r="N37" s="487">
        <v>9008052</v>
      </c>
    </row>
    <row r="38" spans="1:14" x14ac:dyDescent="0.25">
      <c r="A38" s="78" t="s">
        <v>1145</v>
      </c>
      <c r="B38" s="79" t="s">
        <v>719</v>
      </c>
      <c r="C38" s="79" t="s">
        <v>531</v>
      </c>
      <c r="D38" s="85"/>
      <c r="E38" s="74"/>
      <c r="F38" s="95">
        <v>205.38083</v>
      </c>
      <c r="G38" s="100">
        <v>6119711</v>
      </c>
      <c r="H38" s="80">
        <v>507352</v>
      </c>
      <c r="I38" s="4"/>
      <c r="K38" s="512" t="e">
        <f t="shared" si="0"/>
        <v>#REF!</v>
      </c>
      <c r="L38" t="e">
        <f>VLOOKUP(G38,#REF!, 6, FALSE)</f>
        <v>#REF!</v>
      </c>
      <c r="M38" s="499"/>
      <c r="N38" s="483">
        <v>9008122</v>
      </c>
    </row>
    <row r="39" spans="1:14" x14ac:dyDescent="0.25">
      <c r="A39" s="72" t="s">
        <v>1146</v>
      </c>
      <c r="B39" s="73" t="s">
        <v>723</v>
      </c>
      <c r="C39" s="73" t="s">
        <v>531</v>
      </c>
      <c r="D39" s="84"/>
      <c r="E39" s="74"/>
      <c r="F39" s="94">
        <v>206.97785999999999</v>
      </c>
      <c r="G39" s="99">
        <v>3220181</v>
      </c>
      <c r="H39" s="80">
        <v>507354</v>
      </c>
      <c r="I39" s="4"/>
      <c r="K39" s="512" t="e">
        <f t="shared" si="0"/>
        <v>#REF!</v>
      </c>
      <c r="L39" t="e">
        <f>VLOOKUP(G39,#REF!, 6, FALSE)</f>
        <v>#REF!</v>
      </c>
      <c r="M39" s="500"/>
      <c r="N39" s="487">
        <v>9008292</v>
      </c>
    </row>
    <row r="40" spans="1:14" x14ac:dyDescent="0.25">
      <c r="A40" s="72" t="s">
        <v>1147</v>
      </c>
      <c r="B40" s="73" t="s">
        <v>717</v>
      </c>
      <c r="C40" s="73" t="s">
        <v>532</v>
      </c>
      <c r="D40" s="84"/>
      <c r="E40" s="74"/>
      <c r="F40" s="94">
        <v>134.60047</v>
      </c>
      <c r="G40" s="100">
        <v>8484930</v>
      </c>
      <c r="H40" s="80">
        <v>507355</v>
      </c>
      <c r="I40" s="4"/>
      <c r="K40" s="512" t="e">
        <f t="shared" si="0"/>
        <v>#REF!</v>
      </c>
      <c r="L40" t="e">
        <f>VLOOKUP(G40,#REF!, 6, FALSE)</f>
        <v>#REF!</v>
      </c>
      <c r="M40" s="500"/>
      <c r="N40" s="487">
        <v>5059530</v>
      </c>
    </row>
    <row r="41" spans="1:14" x14ac:dyDescent="0.25">
      <c r="A41" s="72" t="s">
        <v>1148</v>
      </c>
      <c r="B41" s="79" t="s">
        <v>718</v>
      </c>
      <c r="C41" s="79" t="s">
        <v>532</v>
      </c>
      <c r="D41" s="85"/>
      <c r="E41" s="74"/>
      <c r="F41" s="95">
        <v>137.39402999999999</v>
      </c>
      <c r="G41" s="100">
        <v>4361231</v>
      </c>
      <c r="H41" s="80">
        <v>507356</v>
      </c>
      <c r="I41" s="4"/>
      <c r="K41" s="512" t="e">
        <f t="shared" si="0"/>
        <v>#REF!</v>
      </c>
      <c r="L41" t="e">
        <f>VLOOKUP(G41,#REF!, 6, FALSE)</f>
        <v>#REF!</v>
      </c>
      <c r="M41" s="499"/>
      <c r="N41" s="483">
        <v>9709704</v>
      </c>
    </row>
    <row r="42" spans="1:14" x14ac:dyDescent="0.25">
      <c r="A42" s="72" t="s">
        <v>1149</v>
      </c>
      <c r="B42" s="73" t="s">
        <v>720</v>
      </c>
      <c r="C42" s="73" t="s">
        <v>532</v>
      </c>
      <c r="D42" s="84"/>
      <c r="E42" s="74"/>
      <c r="F42" s="94">
        <v>141.58481</v>
      </c>
      <c r="G42" s="99">
        <v>8458432</v>
      </c>
      <c r="H42" s="80">
        <v>507357</v>
      </c>
      <c r="I42" s="4"/>
      <c r="K42" s="512" t="e">
        <f t="shared" si="0"/>
        <v>#REF!</v>
      </c>
      <c r="L42" t="e">
        <f>VLOOKUP(G42,#REF!, 6, FALSE)</f>
        <v>#REF!</v>
      </c>
      <c r="M42" s="500"/>
      <c r="N42" s="487">
        <v>2255924</v>
      </c>
    </row>
    <row r="43" spans="1:14" x14ac:dyDescent="0.25">
      <c r="A43" s="72" t="s">
        <v>1150</v>
      </c>
      <c r="B43" s="79" t="s">
        <v>721</v>
      </c>
      <c r="C43" s="79" t="s">
        <v>532</v>
      </c>
      <c r="D43" s="85"/>
      <c r="E43" s="74"/>
      <c r="F43" s="95">
        <v>156.95116999999999</v>
      </c>
      <c r="G43" s="100">
        <v>4889829</v>
      </c>
      <c r="H43" s="80">
        <v>507358</v>
      </c>
      <c r="I43" s="4"/>
      <c r="K43" s="512" t="e">
        <f t="shared" si="0"/>
        <v>#REF!</v>
      </c>
      <c r="L43" t="e">
        <f>VLOOKUP(G43,#REF!, 6, FALSE)</f>
        <v>#REF!</v>
      </c>
      <c r="M43" s="500"/>
      <c r="N43" s="483">
        <v>6109280</v>
      </c>
    </row>
    <row r="44" spans="1:14" x14ac:dyDescent="0.25">
      <c r="A44" s="72" t="s">
        <v>1151</v>
      </c>
      <c r="B44" s="73" t="s">
        <v>724</v>
      </c>
      <c r="C44" s="73" t="s">
        <v>546</v>
      </c>
      <c r="D44" s="84"/>
      <c r="E44" s="74"/>
      <c r="F44" s="94">
        <v>36.874780000000001</v>
      </c>
      <c r="G44" s="99">
        <v>6826344</v>
      </c>
      <c r="H44" s="80">
        <v>507365</v>
      </c>
      <c r="I44" s="4"/>
      <c r="K44" s="512" t="e">
        <f t="shared" si="0"/>
        <v>#REF!</v>
      </c>
      <c r="L44" t="e">
        <f>VLOOKUP(G44,#REF!, 6, FALSE)</f>
        <v>#REF!</v>
      </c>
      <c r="M44" s="500"/>
      <c r="N44" s="487">
        <v>7799390</v>
      </c>
    </row>
    <row r="45" spans="1:14" x14ac:dyDescent="0.25">
      <c r="A45" s="78" t="s">
        <v>1152</v>
      </c>
      <c r="B45" s="79" t="s">
        <v>725</v>
      </c>
      <c r="C45" s="79" t="s">
        <v>546</v>
      </c>
      <c r="D45" s="85"/>
      <c r="E45" s="74"/>
      <c r="F45" s="95">
        <v>33.577959999999997</v>
      </c>
      <c r="G45" s="100">
        <v>2272763</v>
      </c>
      <c r="H45" s="80">
        <v>507366</v>
      </c>
      <c r="I45" s="4"/>
      <c r="K45" s="512" t="e">
        <f t="shared" ref="K45:K114" si="1">L45*26/100</f>
        <v>#REF!</v>
      </c>
      <c r="L45" t="e">
        <f>VLOOKUP(G45,#REF!, 6, FALSE)</f>
        <v>#REF!</v>
      </c>
      <c r="M45" s="500"/>
      <c r="N45" s="483">
        <v>5989274</v>
      </c>
    </row>
    <row r="46" spans="1:14" x14ac:dyDescent="0.25">
      <c r="A46" s="72" t="s">
        <v>1135</v>
      </c>
      <c r="B46" s="73"/>
      <c r="C46" s="73"/>
      <c r="D46" s="84"/>
      <c r="E46" s="74"/>
      <c r="F46" s="94"/>
      <c r="G46" s="99"/>
      <c r="H46" s="80"/>
      <c r="I46" s="4"/>
      <c r="K46" s="512"/>
      <c r="M46" s="499"/>
      <c r="N46" s="483"/>
    </row>
    <row r="47" spans="1:14" x14ac:dyDescent="0.25">
      <c r="A47" s="77" t="s">
        <v>1153</v>
      </c>
      <c r="B47" s="73" t="s">
        <v>694</v>
      </c>
      <c r="C47" s="73" t="s">
        <v>615</v>
      </c>
      <c r="D47" s="84"/>
      <c r="E47" s="74"/>
      <c r="F47" s="94">
        <v>27.586120000000001</v>
      </c>
      <c r="G47" s="99">
        <v>1783069</v>
      </c>
      <c r="H47" s="80">
        <v>507344</v>
      </c>
      <c r="I47" s="4"/>
      <c r="K47" s="512"/>
      <c r="M47" s="499"/>
      <c r="N47" s="483"/>
    </row>
    <row r="48" spans="1:14" x14ac:dyDescent="0.25">
      <c r="A48" s="77" t="s">
        <v>1154</v>
      </c>
      <c r="B48" s="73" t="s">
        <v>694</v>
      </c>
      <c r="C48" s="73" t="s">
        <v>545</v>
      </c>
      <c r="D48" s="84"/>
      <c r="E48" s="74"/>
      <c r="F48" s="94">
        <v>30.106369999999998</v>
      </c>
      <c r="G48" s="99">
        <v>9355276</v>
      </c>
      <c r="H48" s="80">
        <v>507345</v>
      </c>
      <c r="I48" s="4"/>
      <c r="K48" s="512"/>
      <c r="M48" s="499"/>
      <c r="N48" s="483"/>
    </row>
    <row r="49" spans="1:14" x14ac:dyDescent="0.25">
      <c r="A49" s="77" t="s">
        <v>1155</v>
      </c>
      <c r="B49" s="73" t="s">
        <v>694</v>
      </c>
      <c r="C49" s="73" t="s">
        <v>627</v>
      </c>
      <c r="D49" s="84"/>
      <c r="E49" s="74"/>
      <c r="F49" s="94">
        <v>30.106369999999998</v>
      </c>
      <c r="G49" s="99">
        <v>3337819</v>
      </c>
      <c r="H49" s="80">
        <v>507343</v>
      </c>
      <c r="I49" s="4"/>
      <c r="K49" s="512"/>
      <c r="M49" s="499"/>
      <c r="N49" s="483"/>
    </row>
    <row r="50" spans="1:14" x14ac:dyDescent="0.25">
      <c r="A50" s="77" t="s">
        <v>1156</v>
      </c>
      <c r="B50" s="73" t="s">
        <v>695</v>
      </c>
      <c r="C50" s="73" t="s">
        <v>615</v>
      </c>
      <c r="D50" s="84"/>
      <c r="E50" s="74"/>
      <c r="F50" s="94">
        <v>284.41748999999999</v>
      </c>
      <c r="G50" s="99">
        <v>8097114</v>
      </c>
      <c r="H50" s="80">
        <v>507347</v>
      </c>
      <c r="I50" s="4"/>
      <c r="K50" s="512"/>
      <c r="M50" s="499"/>
      <c r="N50" s="483"/>
    </row>
    <row r="51" spans="1:14" x14ac:dyDescent="0.25">
      <c r="A51" s="77" t="s">
        <v>1157</v>
      </c>
      <c r="B51" s="73" t="s">
        <v>695</v>
      </c>
      <c r="C51" s="73" t="s">
        <v>545</v>
      </c>
      <c r="D51" s="84"/>
      <c r="E51" s="74"/>
      <c r="F51" s="94">
        <v>295.60313000000002</v>
      </c>
      <c r="G51" s="99">
        <v>1947248</v>
      </c>
      <c r="H51" s="80">
        <v>507348</v>
      </c>
      <c r="I51" s="4"/>
      <c r="K51" s="512"/>
      <c r="M51" s="499"/>
      <c r="N51" s="483"/>
    </row>
    <row r="52" spans="1:14" x14ac:dyDescent="0.25">
      <c r="A52" s="77" t="s">
        <v>1158</v>
      </c>
      <c r="B52" s="73" t="s">
        <v>695</v>
      </c>
      <c r="C52" s="73" t="s">
        <v>627</v>
      </c>
      <c r="D52" s="84"/>
      <c r="E52" s="74"/>
      <c r="F52" s="94">
        <v>295.60313000000002</v>
      </c>
      <c r="G52" s="99">
        <v>5427233</v>
      </c>
      <c r="H52" s="80">
        <v>507346</v>
      </c>
      <c r="I52" s="4"/>
      <c r="K52" s="512"/>
      <c r="M52" s="499"/>
      <c r="N52" s="483"/>
    </row>
    <row r="53" spans="1:14" x14ac:dyDescent="0.25">
      <c r="A53" s="77" t="s">
        <v>1135</v>
      </c>
      <c r="B53" s="73"/>
      <c r="C53" s="73"/>
      <c r="D53" s="84"/>
      <c r="E53" s="74"/>
      <c r="F53" s="94"/>
      <c r="G53" s="99"/>
      <c r="H53" s="80"/>
      <c r="I53" s="4"/>
      <c r="K53" s="512"/>
      <c r="M53" s="499"/>
      <c r="N53" s="483"/>
    </row>
    <row r="54" spans="1:14" x14ac:dyDescent="0.25">
      <c r="A54" s="78" t="s">
        <v>1159</v>
      </c>
      <c r="B54" s="79" t="s">
        <v>547</v>
      </c>
      <c r="C54" s="79" t="s">
        <v>531</v>
      </c>
      <c r="D54" s="85"/>
      <c r="E54" s="74"/>
      <c r="F54" s="95">
        <v>161.11304000000001</v>
      </c>
      <c r="G54" s="100">
        <v>7628604</v>
      </c>
      <c r="H54" s="80">
        <v>347810</v>
      </c>
      <c r="I54" s="4"/>
      <c r="K54" s="512" t="e">
        <f t="shared" si="1"/>
        <v>#REF!</v>
      </c>
      <c r="L54" t="e">
        <f>VLOOKUP(G54,#REF!, 6, FALSE)</f>
        <v>#REF!</v>
      </c>
      <c r="M54" s="500"/>
      <c r="N54" s="483">
        <v>7628604</v>
      </c>
    </row>
    <row r="55" spans="1:14" x14ac:dyDescent="0.25">
      <c r="A55" s="72" t="s">
        <v>1160</v>
      </c>
      <c r="B55" s="73" t="s">
        <v>548</v>
      </c>
      <c r="C55" s="73" t="s">
        <v>531</v>
      </c>
      <c r="D55" s="84"/>
      <c r="E55" s="74"/>
      <c r="F55" s="94">
        <v>161.11304000000001</v>
      </c>
      <c r="G55" s="99">
        <v>1069731</v>
      </c>
      <c r="H55" s="80">
        <v>347811</v>
      </c>
      <c r="I55" s="4"/>
      <c r="K55" s="512" t="e">
        <f t="shared" si="1"/>
        <v>#REF!</v>
      </c>
      <c r="L55" t="e">
        <f>VLOOKUP(G55,#REF!, 6, FALSE)</f>
        <v>#REF!</v>
      </c>
      <c r="M55" s="499"/>
      <c r="N55" s="487">
        <v>1069731</v>
      </c>
    </row>
    <row r="56" spans="1:14" x14ac:dyDescent="0.25">
      <c r="A56" s="78" t="s">
        <v>1161</v>
      </c>
      <c r="B56" s="79" t="s">
        <v>549</v>
      </c>
      <c r="C56" s="79" t="s">
        <v>531</v>
      </c>
      <c r="D56" s="85"/>
      <c r="E56" s="74"/>
      <c r="F56" s="95">
        <v>161.90012999999999</v>
      </c>
      <c r="G56" s="100">
        <v>8762537</v>
      </c>
      <c r="H56" s="80">
        <v>347812</v>
      </c>
      <c r="I56" s="4"/>
      <c r="K56" s="512" t="e">
        <f t="shared" si="1"/>
        <v>#REF!</v>
      </c>
      <c r="L56" t="e">
        <f>VLOOKUP(G56,#REF!, 6, FALSE)</f>
        <v>#REF!</v>
      </c>
      <c r="M56" s="500"/>
      <c r="N56" s="483">
        <v>8762537</v>
      </c>
    </row>
    <row r="57" spans="1:14" x14ac:dyDescent="0.25">
      <c r="A57" s="72" t="s">
        <v>1162</v>
      </c>
      <c r="B57" s="73" t="s">
        <v>550</v>
      </c>
      <c r="C57" s="73" t="s">
        <v>531</v>
      </c>
      <c r="D57" s="84"/>
      <c r="E57" s="74"/>
      <c r="F57" s="94">
        <v>189.4315</v>
      </c>
      <c r="G57" s="99">
        <v>6635469</v>
      </c>
      <c r="H57" s="80">
        <v>347813</v>
      </c>
      <c r="I57" s="4"/>
      <c r="K57" s="512" t="e">
        <f t="shared" si="1"/>
        <v>#REF!</v>
      </c>
      <c r="L57" t="e">
        <f>VLOOKUP(G57,#REF!, 6, FALSE)</f>
        <v>#REF!</v>
      </c>
      <c r="M57" s="499"/>
      <c r="N57" s="487">
        <v>6635469</v>
      </c>
    </row>
    <row r="58" spans="1:14" x14ac:dyDescent="0.25">
      <c r="A58" s="78" t="s">
        <v>1163</v>
      </c>
      <c r="B58" s="79" t="s">
        <v>551</v>
      </c>
      <c r="C58" s="79" t="s">
        <v>531</v>
      </c>
      <c r="D58" s="85"/>
      <c r="E58" s="74"/>
      <c r="F58" s="95">
        <v>176.89797999999999</v>
      </c>
      <c r="G58" s="100">
        <v>8508486</v>
      </c>
      <c r="H58" s="80">
        <v>378189</v>
      </c>
      <c r="I58" s="4"/>
      <c r="K58" s="512" t="e">
        <f t="shared" si="1"/>
        <v>#REF!</v>
      </c>
      <c r="L58" t="e">
        <f>VLOOKUP(G58,#REF!, 6, FALSE)</f>
        <v>#REF!</v>
      </c>
      <c r="M58" s="500"/>
      <c r="N58" s="483">
        <v>8508486</v>
      </c>
    </row>
    <row r="59" spans="1:14" x14ac:dyDescent="0.25">
      <c r="A59" s="72" t="s">
        <v>1164</v>
      </c>
      <c r="B59" s="73" t="s">
        <v>552</v>
      </c>
      <c r="C59" s="73" t="s">
        <v>531</v>
      </c>
      <c r="D59" s="84"/>
      <c r="E59" s="74"/>
      <c r="F59" s="94">
        <v>176.89797999999999</v>
      </c>
      <c r="G59" s="99">
        <v>7690323</v>
      </c>
      <c r="H59" s="80">
        <v>378190</v>
      </c>
      <c r="I59" s="4"/>
      <c r="K59" s="512" t="e">
        <f t="shared" si="1"/>
        <v>#REF!</v>
      </c>
      <c r="L59" t="e">
        <f>VLOOKUP(G59,#REF!, 6, FALSE)</f>
        <v>#REF!</v>
      </c>
      <c r="M59" s="499"/>
      <c r="N59" s="487">
        <v>7690323</v>
      </c>
    </row>
    <row r="60" spans="1:14" x14ac:dyDescent="0.25">
      <c r="A60" s="78" t="s">
        <v>1165</v>
      </c>
      <c r="B60" s="79" t="s">
        <v>553</v>
      </c>
      <c r="C60" s="79" t="s">
        <v>531</v>
      </c>
      <c r="D60" s="85"/>
      <c r="E60" s="74"/>
      <c r="F60" s="95">
        <v>177.76220000000001</v>
      </c>
      <c r="G60" s="100">
        <v>1388111</v>
      </c>
      <c r="H60" s="80">
        <v>378191</v>
      </c>
      <c r="I60" s="4"/>
      <c r="K60" s="512" t="e">
        <f t="shared" si="1"/>
        <v>#REF!</v>
      </c>
      <c r="L60" t="e">
        <f>VLOOKUP(G60,#REF!, 6, FALSE)</f>
        <v>#REF!</v>
      </c>
      <c r="M60" s="499"/>
      <c r="N60" s="483">
        <v>1388111</v>
      </c>
    </row>
    <row r="61" spans="1:14" x14ac:dyDescent="0.25">
      <c r="A61" s="72" t="s">
        <v>1166</v>
      </c>
      <c r="B61" s="73" t="s">
        <v>554</v>
      </c>
      <c r="C61" s="73" t="s">
        <v>531</v>
      </c>
      <c r="D61" s="84"/>
      <c r="E61" s="74"/>
      <c r="F61" s="94">
        <v>207.99098000000001</v>
      </c>
      <c r="G61" s="99">
        <v>5482270</v>
      </c>
      <c r="H61" s="80">
        <v>378193</v>
      </c>
      <c r="I61" s="4"/>
      <c r="K61" s="512" t="e">
        <f t="shared" si="1"/>
        <v>#REF!</v>
      </c>
      <c r="L61" t="e">
        <f>VLOOKUP(G61,#REF!, 6, FALSE)</f>
        <v>#REF!</v>
      </c>
      <c r="M61" s="500"/>
      <c r="N61" s="487">
        <v>5482270</v>
      </c>
    </row>
    <row r="62" spans="1:14" x14ac:dyDescent="0.25">
      <c r="A62" s="72" t="s">
        <v>1167</v>
      </c>
      <c r="B62" s="73" t="s">
        <v>555</v>
      </c>
      <c r="C62" s="73" t="s">
        <v>556</v>
      </c>
      <c r="D62" s="84"/>
      <c r="E62" s="74"/>
      <c r="F62" s="94">
        <v>23.19079</v>
      </c>
      <c r="G62" s="99">
        <v>7985876</v>
      </c>
      <c r="H62" s="80">
        <v>347833</v>
      </c>
      <c r="I62" s="4"/>
      <c r="K62" s="512" t="e">
        <f t="shared" si="1"/>
        <v>#REF!</v>
      </c>
      <c r="L62" t="e">
        <f>VLOOKUP(G62,#REF!, 6, FALSE)</f>
        <v>#REF!</v>
      </c>
      <c r="M62" s="499"/>
      <c r="N62" s="487">
        <v>7985876</v>
      </c>
    </row>
    <row r="63" spans="1:14" x14ac:dyDescent="0.25">
      <c r="A63" s="78" t="s">
        <v>1168</v>
      </c>
      <c r="B63" s="79" t="s">
        <v>555</v>
      </c>
      <c r="C63" s="79" t="s">
        <v>545</v>
      </c>
      <c r="D63" s="85"/>
      <c r="E63" s="74"/>
      <c r="F63" s="95">
        <v>25.393930000000001</v>
      </c>
      <c r="G63" s="100">
        <v>7926396</v>
      </c>
      <c r="H63" s="80">
        <v>347835</v>
      </c>
      <c r="I63" s="4"/>
      <c r="K63" s="512" t="e">
        <f t="shared" si="1"/>
        <v>#REF!</v>
      </c>
      <c r="L63" t="e">
        <f>VLOOKUP(G63,#REF!, 6, FALSE)</f>
        <v>#REF!</v>
      </c>
      <c r="M63" s="500"/>
      <c r="N63" s="483">
        <v>7926396</v>
      </c>
    </row>
    <row r="64" spans="1:14" x14ac:dyDescent="0.25">
      <c r="A64" s="72" t="s">
        <v>1169</v>
      </c>
      <c r="B64" s="73" t="s">
        <v>555</v>
      </c>
      <c r="C64" s="73" t="s">
        <v>557</v>
      </c>
      <c r="D64" s="84"/>
      <c r="E64" s="74"/>
      <c r="F64" s="94">
        <v>25.393930000000001</v>
      </c>
      <c r="G64" s="99">
        <v>4824637</v>
      </c>
      <c r="H64" s="80">
        <v>347834</v>
      </c>
      <c r="I64" s="4"/>
      <c r="K64" s="512" t="e">
        <f t="shared" si="1"/>
        <v>#REF!</v>
      </c>
      <c r="L64" t="e">
        <f>VLOOKUP(G64,#REF!, 6, FALSE)</f>
        <v>#REF!</v>
      </c>
      <c r="M64" s="499"/>
      <c r="N64" s="487">
        <v>4824637</v>
      </c>
    </row>
    <row r="65" spans="1:14" x14ac:dyDescent="0.25">
      <c r="A65" s="78" t="s">
        <v>1170</v>
      </c>
      <c r="B65" s="79" t="s">
        <v>558</v>
      </c>
      <c r="C65" s="79" t="s">
        <v>556</v>
      </c>
      <c r="D65" s="85"/>
      <c r="E65" s="74"/>
      <c r="F65" s="95">
        <v>273.56473</v>
      </c>
      <c r="G65" s="100">
        <v>2111215</v>
      </c>
      <c r="H65" s="80">
        <v>347836</v>
      </c>
      <c r="I65" s="4"/>
      <c r="K65" s="512" t="e">
        <f t="shared" si="1"/>
        <v>#REF!</v>
      </c>
      <c r="L65" t="e">
        <f>VLOOKUP(G65,#REF!, 6, FALSE)</f>
        <v>#REF!</v>
      </c>
      <c r="M65" s="500"/>
      <c r="N65" s="483">
        <v>2111215</v>
      </c>
    </row>
    <row r="66" spans="1:14" x14ac:dyDescent="0.25">
      <c r="A66" s="72" t="s">
        <v>1171</v>
      </c>
      <c r="B66" s="73" t="s">
        <v>558</v>
      </c>
      <c r="C66" s="73" t="s">
        <v>545</v>
      </c>
      <c r="D66" s="84"/>
      <c r="E66" s="74"/>
      <c r="F66" s="94">
        <v>284.75036999999998</v>
      </c>
      <c r="G66" s="99">
        <v>8732964</v>
      </c>
      <c r="H66" s="80">
        <v>347838</v>
      </c>
      <c r="I66" s="4"/>
      <c r="K66" s="512" t="e">
        <f t="shared" si="1"/>
        <v>#REF!</v>
      </c>
      <c r="L66" t="e">
        <f>VLOOKUP(G66,#REF!, 6, FALSE)</f>
        <v>#REF!</v>
      </c>
      <c r="M66" s="499"/>
      <c r="N66" s="487">
        <v>8732964</v>
      </c>
    </row>
    <row r="67" spans="1:14" x14ac:dyDescent="0.25">
      <c r="A67" s="78" t="s">
        <v>1172</v>
      </c>
      <c r="B67" s="79" t="s">
        <v>558</v>
      </c>
      <c r="C67" s="79" t="s">
        <v>557</v>
      </c>
      <c r="D67" s="85"/>
      <c r="E67" s="74"/>
      <c r="F67" s="95">
        <v>284.75036999999998</v>
      </c>
      <c r="G67" s="100">
        <v>1065531</v>
      </c>
      <c r="H67" s="80">
        <v>347837</v>
      </c>
      <c r="I67" s="4"/>
      <c r="K67" s="512" t="e">
        <f t="shared" si="1"/>
        <v>#REF!</v>
      </c>
      <c r="L67" t="e">
        <f>VLOOKUP(G67,#REF!, 6, FALSE)</f>
        <v>#REF!</v>
      </c>
      <c r="M67" s="500"/>
      <c r="N67" s="483">
        <v>1065531</v>
      </c>
    </row>
    <row r="68" spans="1:14" x14ac:dyDescent="0.25">
      <c r="A68" s="78" t="s">
        <v>1135</v>
      </c>
      <c r="B68" s="79"/>
      <c r="C68" s="79"/>
      <c r="D68" s="85"/>
      <c r="E68" s="74"/>
      <c r="F68" s="95"/>
      <c r="G68" s="100"/>
      <c r="H68" s="80"/>
      <c r="I68" s="4"/>
      <c r="K68" s="512"/>
      <c r="M68" s="499"/>
      <c r="N68" s="483"/>
    </row>
    <row r="69" spans="1:14" x14ac:dyDescent="0.25">
      <c r="A69" s="72" t="s">
        <v>1173</v>
      </c>
      <c r="B69" s="73" t="s">
        <v>559</v>
      </c>
      <c r="C69" s="73" t="s">
        <v>531</v>
      </c>
      <c r="D69" s="84"/>
      <c r="E69" s="74"/>
      <c r="F69" s="94">
        <v>172.91319999999999</v>
      </c>
      <c r="G69" s="99">
        <v>4205572</v>
      </c>
      <c r="H69" s="80">
        <v>347814</v>
      </c>
      <c r="I69" s="4"/>
      <c r="K69" s="512" t="e">
        <f t="shared" si="1"/>
        <v>#REF!</v>
      </c>
      <c r="L69" t="e">
        <f>VLOOKUP(G69,#REF!, 6, FALSE)</f>
        <v>#REF!</v>
      </c>
      <c r="M69" s="500"/>
      <c r="N69" s="487">
        <v>4205572</v>
      </c>
    </row>
    <row r="70" spans="1:14" x14ac:dyDescent="0.25">
      <c r="A70" s="78" t="s">
        <v>1174</v>
      </c>
      <c r="B70" s="79" t="s">
        <v>560</v>
      </c>
      <c r="C70" s="79" t="s">
        <v>531</v>
      </c>
      <c r="D70" s="85"/>
      <c r="E70" s="74"/>
      <c r="F70" s="95">
        <v>172.91319999999999</v>
      </c>
      <c r="G70" s="100">
        <v>2753075</v>
      </c>
      <c r="H70" s="80">
        <v>347826</v>
      </c>
      <c r="I70" s="4"/>
      <c r="K70" s="512" t="e">
        <f t="shared" si="1"/>
        <v>#REF!</v>
      </c>
      <c r="L70" t="e">
        <f>VLOOKUP(G70,#REF!, 6, FALSE)</f>
        <v>#REF!</v>
      </c>
      <c r="M70" s="499"/>
      <c r="N70" s="483">
        <v>2753075</v>
      </c>
    </row>
    <row r="71" spans="1:14" x14ac:dyDescent="0.25">
      <c r="A71" s="72" t="s">
        <v>1175</v>
      </c>
      <c r="B71" s="73" t="s">
        <v>561</v>
      </c>
      <c r="C71" s="73" t="s">
        <v>531</v>
      </c>
      <c r="D71" s="84"/>
      <c r="E71" s="74"/>
      <c r="F71" s="94">
        <v>183.9254</v>
      </c>
      <c r="G71" s="99">
        <v>2855682</v>
      </c>
      <c r="H71" s="80">
        <v>347827</v>
      </c>
      <c r="I71" s="4"/>
      <c r="K71" s="512" t="e">
        <f t="shared" si="1"/>
        <v>#REF!</v>
      </c>
      <c r="L71" t="e">
        <f>VLOOKUP(G71,#REF!, 6, FALSE)</f>
        <v>#REF!</v>
      </c>
      <c r="M71" s="500"/>
      <c r="N71" s="487">
        <v>2855682</v>
      </c>
    </row>
    <row r="72" spans="1:14" x14ac:dyDescent="0.25">
      <c r="A72" s="78" t="s">
        <v>1176</v>
      </c>
      <c r="B72" s="79" t="s">
        <v>562</v>
      </c>
      <c r="C72" s="79" t="s">
        <v>531</v>
      </c>
      <c r="D72" s="85"/>
      <c r="E72" s="74"/>
      <c r="F72" s="95">
        <v>211.45676</v>
      </c>
      <c r="G72" s="100">
        <v>8220095</v>
      </c>
      <c r="H72" s="80">
        <v>347828</v>
      </c>
      <c r="I72" s="4"/>
      <c r="K72" s="512" t="e">
        <f t="shared" si="1"/>
        <v>#REF!</v>
      </c>
      <c r="L72" t="e">
        <f>VLOOKUP(G72,#REF!, 6, FALSE)</f>
        <v>#REF!</v>
      </c>
      <c r="M72" s="499"/>
      <c r="N72" s="483">
        <v>8220095</v>
      </c>
    </row>
    <row r="73" spans="1:14" x14ac:dyDescent="0.25">
      <c r="A73" s="72" t="s">
        <v>1177</v>
      </c>
      <c r="B73" s="73" t="s">
        <v>563</v>
      </c>
      <c r="C73" s="73" t="s">
        <v>531</v>
      </c>
      <c r="D73" s="84"/>
      <c r="E73" s="74"/>
      <c r="F73" s="94">
        <v>189.85409999999999</v>
      </c>
      <c r="G73" s="99">
        <v>9708169</v>
      </c>
      <c r="H73" s="80">
        <v>378200</v>
      </c>
      <c r="I73" s="4"/>
      <c r="K73" s="512" t="e">
        <f t="shared" si="1"/>
        <v>#REF!</v>
      </c>
      <c r="L73" t="e">
        <f>VLOOKUP(G73,#REF!, 6, FALSE)</f>
        <v>#REF!</v>
      </c>
      <c r="M73" s="500"/>
      <c r="N73" s="487">
        <v>9708169</v>
      </c>
    </row>
    <row r="74" spans="1:14" x14ac:dyDescent="0.25">
      <c r="A74" s="78" t="s">
        <v>1178</v>
      </c>
      <c r="B74" s="79" t="s">
        <v>564</v>
      </c>
      <c r="C74" s="79" t="s">
        <v>531</v>
      </c>
      <c r="D74" s="85"/>
      <c r="E74" s="74"/>
      <c r="F74" s="95">
        <v>189.85409999999999</v>
      </c>
      <c r="G74" s="100">
        <v>2414504</v>
      </c>
      <c r="H74" s="80">
        <v>378202</v>
      </c>
      <c r="I74" s="4"/>
      <c r="K74" s="512" t="e">
        <f t="shared" si="1"/>
        <v>#REF!</v>
      </c>
      <c r="L74" t="e">
        <f>VLOOKUP(G74,#REF!, 6, FALSE)</f>
        <v>#REF!</v>
      </c>
      <c r="M74" s="500"/>
      <c r="N74" s="483">
        <v>2414504</v>
      </c>
    </row>
    <row r="75" spans="1:14" x14ac:dyDescent="0.25">
      <c r="A75" s="72" t="s">
        <v>1179</v>
      </c>
      <c r="B75" s="73" t="s">
        <v>565</v>
      </c>
      <c r="C75" s="73" t="s">
        <v>531</v>
      </c>
      <c r="D75" s="84"/>
      <c r="E75" s="74"/>
      <c r="F75" s="94">
        <v>201.94534999999999</v>
      </c>
      <c r="G75" s="99">
        <v>1422889</v>
      </c>
      <c r="H75" s="80">
        <v>378203</v>
      </c>
      <c r="I75" s="4"/>
      <c r="K75" s="512" t="e">
        <f t="shared" si="1"/>
        <v>#REF!</v>
      </c>
      <c r="L75" t="e">
        <f>VLOOKUP(G75,#REF!, 6, FALSE)</f>
        <v>#REF!</v>
      </c>
      <c r="M75" s="499"/>
      <c r="N75" s="487">
        <v>1422889</v>
      </c>
    </row>
    <row r="76" spans="1:14" x14ac:dyDescent="0.25">
      <c r="A76" s="78" t="s">
        <v>1180</v>
      </c>
      <c r="B76" s="79" t="s">
        <v>566</v>
      </c>
      <c r="C76" s="79" t="s">
        <v>531</v>
      </c>
      <c r="D76" s="85"/>
      <c r="E76" s="74"/>
      <c r="F76" s="95">
        <v>232.17408</v>
      </c>
      <c r="G76" s="100">
        <v>7716804</v>
      </c>
      <c r="H76" s="80">
        <v>378204</v>
      </c>
      <c r="I76" s="4"/>
      <c r="K76" s="512" t="e">
        <f t="shared" si="1"/>
        <v>#REF!</v>
      </c>
      <c r="L76" t="e">
        <f>VLOOKUP(G76,#REF!, 6, FALSE)</f>
        <v>#REF!</v>
      </c>
      <c r="M76" s="499"/>
      <c r="N76" s="483">
        <v>7716804</v>
      </c>
    </row>
    <row r="77" spans="1:14" x14ac:dyDescent="0.25">
      <c r="A77" s="72" t="s">
        <v>1135</v>
      </c>
      <c r="B77" s="73"/>
      <c r="C77" s="73"/>
      <c r="D77" s="84"/>
      <c r="E77" s="74"/>
      <c r="F77" s="94"/>
      <c r="G77" s="99"/>
      <c r="H77" s="80"/>
      <c r="I77" s="4"/>
      <c r="K77" s="512"/>
      <c r="M77" s="500"/>
      <c r="N77" s="483"/>
    </row>
    <row r="78" spans="1:14" x14ac:dyDescent="0.25">
      <c r="A78" s="78" t="s">
        <v>1181</v>
      </c>
      <c r="B78" s="79" t="s">
        <v>567</v>
      </c>
      <c r="C78" s="79" t="s">
        <v>532</v>
      </c>
      <c r="D78" s="85"/>
      <c r="E78" s="74"/>
      <c r="F78" s="95">
        <v>9.9925899999999999</v>
      </c>
      <c r="G78" s="100">
        <v>7241746</v>
      </c>
      <c r="H78" s="80">
        <v>13781</v>
      </c>
      <c r="I78" s="4"/>
      <c r="K78" s="512" t="e">
        <f t="shared" si="1"/>
        <v>#REF!</v>
      </c>
      <c r="L78" t="e">
        <f>VLOOKUP(G78,#REF!, 6, FALSE)</f>
        <v>#REF!</v>
      </c>
      <c r="M78" s="500"/>
      <c r="N78" s="483">
        <v>7241746</v>
      </c>
    </row>
    <row r="79" spans="1:14" x14ac:dyDescent="0.25">
      <c r="A79" s="72" t="s">
        <v>1182</v>
      </c>
      <c r="B79" s="73" t="s">
        <v>568</v>
      </c>
      <c r="C79" s="73" t="s">
        <v>532</v>
      </c>
      <c r="D79" s="84"/>
      <c r="E79" s="74"/>
      <c r="F79" s="94">
        <v>6.21387</v>
      </c>
      <c r="G79" s="99">
        <v>8860933</v>
      </c>
      <c r="H79" s="80">
        <v>23789</v>
      </c>
      <c r="I79" s="4"/>
      <c r="K79" s="512" t="e">
        <f t="shared" si="1"/>
        <v>#REF!</v>
      </c>
      <c r="L79" t="e">
        <f>VLOOKUP(G79,#REF!, 6, FALSE)</f>
        <v>#REF!</v>
      </c>
      <c r="M79" s="499"/>
      <c r="N79" s="487">
        <v>8860933</v>
      </c>
    </row>
    <row r="80" spans="1:14" x14ac:dyDescent="0.25">
      <c r="A80" s="77" t="s">
        <v>1183</v>
      </c>
      <c r="B80" s="73" t="s">
        <v>569</v>
      </c>
      <c r="C80" s="73" t="s">
        <v>532</v>
      </c>
      <c r="D80" s="84"/>
      <c r="E80" s="74"/>
      <c r="F80" s="94">
        <v>31.992830000000001</v>
      </c>
      <c r="G80" s="99">
        <v>3613770</v>
      </c>
      <c r="H80" s="80">
        <v>347993</v>
      </c>
      <c r="I80" s="4"/>
      <c r="K80" s="512" t="e">
        <f t="shared" si="1"/>
        <v>#REF!</v>
      </c>
      <c r="L80" t="e">
        <f>VLOOKUP(G80,#REF!, 6, FALSE)</f>
        <v>#REF!</v>
      </c>
      <c r="M80" s="500"/>
      <c r="N80" s="487">
        <v>3613770</v>
      </c>
    </row>
    <row r="81" spans="1:14" x14ac:dyDescent="0.25">
      <c r="A81" s="78" t="s">
        <v>1184</v>
      </c>
      <c r="B81" s="79" t="s">
        <v>570</v>
      </c>
      <c r="C81" s="79" t="s">
        <v>532</v>
      </c>
      <c r="D81" s="85"/>
      <c r="E81" s="74"/>
      <c r="F81" s="95">
        <v>43.392220000000002</v>
      </c>
      <c r="G81" s="100">
        <v>7484703</v>
      </c>
      <c r="H81" s="80">
        <v>13782</v>
      </c>
      <c r="I81" s="4"/>
      <c r="K81" s="512" t="e">
        <f t="shared" si="1"/>
        <v>#REF!</v>
      </c>
      <c r="L81" t="e">
        <f>VLOOKUP(G81,#REF!, 6, FALSE)</f>
        <v>#REF!</v>
      </c>
      <c r="M81" s="499"/>
      <c r="N81" s="483">
        <v>7484703</v>
      </c>
    </row>
    <row r="82" spans="1:14" x14ac:dyDescent="0.25">
      <c r="A82" s="72" t="s">
        <v>1135</v>
      </c>
      <c r="B82" s="73"/>
      <c r="C82" s="73"/>
      <c r="D82" s="84"/>
      <c r="E82" s="74"/>
      <c r="F82" s="94"/>
      <c r="G82" s="99"/>
      <c r="H82" s="80"/>
      <c r="I82" s="4"/>
      <c r="K82" s="512"/>
      <c r="M82" s="500"/>
      <c r="N82" s="483"/>
    </row>
    <row r="83" spans="1:14" x14ac:dyDescent="0.25">
      <c r="A83" s="78" t="s">
        <v>1185</v>
      </c>
      <c r="B83" s="79" t="s">
        <v>571</v>
      </c>
      <c r="C83" s="79" t="s">
        <v>533</v>
      </c>
      <c r="D83" s="85"/>
      <c r="E83" s="74"/>
      <c r="F83" s="95">
        <v>76.927710000000005</v>
      </c>
      <c r="G83" s="100">
        <v>7793681</v>
      </c>
      <c r="H83" s="80">
        <v>231749</v>
      </c>
      <c r="I83" s="4"/>
      <c r="K83" s="512" t="e">
        <f t="shared" si="1"/>
        <v>#REF!</v>
      </c>
      <c r="L83" t="e">
        <f>VLOOKUP(G83,#REF!, 6, FALSE)</f>
        <v>#REF!</v>
      </c>
      <c r="M83" s="499"/>
      <c r="N83" s="483">
        <v>7793681</v>
      </c>
    </row>
    <row r="84" spans="1:14" x14ac:dyDescent="0.25">
      <c r="A84" s="72" t="s">
        <v>1186</v>
      </c>
      <c r="B84" s="73" t="s">
        <v>571</v>
      </c>
      <c r="C84" s="73" t="s">
        <v>534</v>
      </c>
      <c r="D84" s="84"/>
      <c r="E84" s="74"/>
      <c r="F84" s="94">
        <v>79.448830000000001</v>
      </c>
      <c r="G84" s="99">
        <v>1314203</v>
      </c>
      <c r="H84" s="80">
        <v>346195</v>
      </c>
      <c r="I84" s="4"/>
      <c r="K84" s="512" t="e">
        <f t="shared" si="1"/>
        <v>#REF!</v>
      </c>
      <c r="L84" t="e">
        <f>VLOOKUP(G84,#REF!, 6, FALSE)</f>
        <v>#REF!</v>
      </c>
      <c r="M84" s="500"/>
      <c r="N84" s="487">
        <v>1314203</v>
      </c>
    </row>
    <row r="85" spans="1:14" x14ac:dyDescent="0.25">
      <c r="A85" s="78" t="s">
        <v>1187</v>
      </c>
      <c r="B85" s="79" t="s">
        <v>571</v>
      </c>
      <c r="C85" s="79" t="s">
        <v>535</v>
      </c>
      <c r="D85" s="85"/>
      <c r="E85" s="74"/>
      <c r="F85" s="95">
        <v>79.448830000000001</v>
      </c>
      <c r="G85" s="100">
        <v>8195173</v>
      </c>
      <c r="H85" s="80">
        <v>231752</v>
      </c>
      <c r="I85" s="4"/>
      <c r="K85" s="512" t="e">
        <f t="shared" si="1"/>
        <v>#REF!</v>
      </c>
      <c r="L85" t="e">
        <f>VLOOKUP(G85,#REF!, 6, FALSE)</f>
        <v>#REF!</v>
      </c>
      <c r="M85" s="499"/>
      <c r="N85" s="483">
        <v>8195173</v>
      </c>
    </row>
    <row r="86" spans="1:14" x14ac:dyDescent="0.25">
      <c r="A86" s="78" t="s">
        <v>1188</v>
      </c>
      <c r="B86" s="73" t="s">
        <v>572</v>
      </c>
      <c r="C86" s="73" t="s">
        <v>533</v>
      </c>
      <c r="D86" s="84"/>
      <c r="E86" s="74"/>
      <c r="F86" s="94">
        <v>82.860640000000004</v>
      </c>
      <c r="G86" s="99">
        <v>3472109</v>
      </c>
      <c r="H86" s="80">
        <v>231750</v>
      </c>
      <c r="I86" s="4"/>
      <c r="K86" s="512" t="e">
        <f t="shared" si="1"/>
        <v>#REF!</v>
      </c>
      <c r="L86" t="e">
        <f>VLOOKUP(G86,#REF!, 6, FALSE)</f>
        <v>#REF!</v>
      </c>
      <c r="M86" s="500"/>
      <c r="N86" s="487">
        <v>3472109</v>
      </c>
    </row>
    <row r="87" spans="1:14" x14ac:dyDescent="0.25">
      <c r="A87" s="72" t="s">
        <v>1189</v>
      </c>
      <c r="B87" s="79" t="s">
        <v>572</v>
      </c>
      <c r="C87" s="79" t="s">
        <v>534</v>
      </c>
      <c r="D87" s="85"/>
      <c r="E87" s="74"/>
      <c r="F87" s="95">
        <v>85.38176</v>
      </c>
      <c r="G87" s="100">
        <v>1834965</v>
      </c>
      <c r="H87" s="80">
        <v>346199</v>
      </c>
      <c r="I87" s="4"/>
      <c r="K87" s="512" t="e">
        <f t="shared" si="1"/>
        <v>#REF!</v>
      </c>
      <c r="L87" t="e">
        <f>VLOOKUP(G87,#REF!, 6, FALSE)</f>
        <v>#REF!</v>
      </c>
      <c r="M87" s="499"/>
      <c r="N87" s="483">
        <v>1834965</v>
      </c>
    </row>
    <row r="88" spans="1:14" x14ac:dyDescent="0.25">
      <c r="A88" s="78" t="s">
        <v>1190</v>
      </c>
      <c r="B88" s="73" t="s">
        <v>572</v>
      </c>
      <c r="C88" s="73" t="s">
        <v>535</v>
      </c>
      <c r="D88" s="84"/>
      <c r="E88" s="74"/>
      <c r="F88" s="94">
        <v>85.38176</v>
      </c>
      <c r="G88" s="99">
        <v>6816509</v>
      </c>
      <c r="H88" s="80">
        <v>231753</v>
      </c>
      <c r="I88" s="4"/>
      <c r="K88" s="512" t="e">
        <f t="shared" si="1"/>
        <v>#REF!</v>
      </c>
      <c r="L88" t="e">
        <f>VLOOKUP(G88,#REF!, 6, FALSE)</f>
        <v>#REF!</v>
      </c>
      <c r="M88" s="500"/>
      <c r="N88" s="487">
        <v>6816509</v>
      </c>
    </row>
    <row r="89" spans="1:14" x14ac:dyDescent="0.25">
      <c r="A89" s="78" t="s">
        <v>1191</v>
      </c>
      <c r="B89" s="79" t="s">
        <v>573</v>
      </c>
      <c r="C89" s="79" t="s">
        <v>533</v>
      </c>
      <c r="D89" s="85"/>
      <c r="E89" s="74"/>
      <c r="F89" s="95">
        <v>82.860640000000004</v>
      </c>
      <c r="G89" s="100">
        <v>9851106</v>
      </c>
      <c r="H89" s="80">
        <v>231751</v>
      </c>
      <c r="I89" s="4"/>
      <c r="K89" s="512" t="e">
        <f t="shared" si="1"/>
        <v>#REF!</v>
      </c>
      <c r="L89" t="e">
        <f>VLOOKUP(G89,#REF!, 6, FALSE)</f>
        <v>#REF!</v>
      </c>
      <c r="M89" s="499"/>
      <c r="N89" s="483">
        <v>9851106</v>
      </c>
    </row>
    <row r="90" spans="1:14" x14ac:dyDescent="0.25">
      <c r="A90" s="72" t="s">
        <v>1192</v>
      </c>
      <c r="B90" s="73" t="s">
        <v>573</v>
      </c>
      <c r="C90" s="73" t="s">
        <v>534</v>
      </c>
      <c r="D90" s="84"/>
      <c r="E90" s="74"/>
      <c r="F90" s="94">
        <v>85.38176</v>
      </c>
      <c r="G90" s="99">
        <v>9248128</v>
      </c>
      <c r="H90" s="80">
        <v>346212</v>
      </c>
      <c r="I90" s="4"/>
      <c r="K90" s="512" t="e">
        <f t="shared" si="1"/>
        <v>#REF!</v>
      </c>
      <c r="L90" t="e">
        <f>VLOOKUP(G90,#REF!, 6, FALSE)</f>
        <v>#REF!</v>
      </c>
      <c r="M90" s="500"/>
      <c r="N90" s="487">
        <v>9248128</v>
      </c>
    </row>
    <row r="91" spans="1:14" x14ac:dyDescent="0.25">
      <c r="A91" s="78" t="s">
        <v>1193</v>
      </c>
      <c r="B91" s="79" t="s">
        <v>573</v>
      </c>
      <c r="C91" s="79" t="s">
        <v>535</v>
      </c>
      <c r="D91" s="85"/>
      <c r="E91" s="74"/>
      <c r="F91" s="95">
        <v>85.38176</v>
      </c>
      <c r="G91" s="100">
        <v>3420861</v>
      </c>
      <c r="H91" s="80">
        <v>231754</v>
      </c>
      <c r="I91" s="4"/>
      <c r="K91" s="512" t="e">
        <f t="shared" si="1"/>
        <v>#REF!</v>
      </c>
      <c r="L91" t="e">
        <f>VLOOKUP(G91,#REF!, 6, FALSE)</f>
        <v>#REF!</v>
      </c>
      <c r="M91" s="499"/>
      <c r="N91" s="483">
        <v>3420861</v>
      </c>
    </row>
    <row r="92" spans="1:14" x14ac:dyDescent="0.25">
      <c r="A92" s="72" t="s">
        <v>1135</v>
      </c>
      <c r="B92" s="73"/>
      <c r="C92" s="73"/>
      <c r="D92" s="84"/>
      <c r="E92" s="74"/>
      <c r="F92" s="94"/>
      <c r="G92" s="99"/>
      <c r="H92" s="80"/>
      <c r="I92" s="4"/>
      <c r="K92" s="512"/>
      <c r="M92" s="500"/>
      <c r="N92" s="487"/>
    </row>
    <row r="93" spans="1:14" x14ac:dyDescent="0.25">
      <c r="A93" s="78" t="s">
        <v>1194</v>
      </c>
      <c r="B93" s="79" t="s">
        <v>574</v>
      </c>
      <c r="C93" s="79" t="s">
        <v>533</v>
      </c>
      <c r="D93" s="85"/>
      <c r="E93" s="74"/>
      <c r="F93" s="95">
        <v>77.645600000000002</v>
      </c>
      <c r="G93" s="100">
        <v>2133123</v>
      </c>
      <c r="H93" s="80">
        <v>393971</v>
      </c>
      <c r="I93" s="4"/>
      <c r="K93" s="512" t="e">
        <f t="shared" si="1"/>
        <v>#REF!</v>
      </c>
      <c r="L93" t="e">
        <f>VLOOKUP(G93,#REF!, 6, FALSE)</f>
        <v>#REF!</v>
      </c>
      <c r="M93" s="499"/>
      <c r="N93" s="483">
        <v>2133123</v>
      </c>
    </row>
    <row r="94" spans="1:14" x14ac:dyDescent="0.25">
      <c r="A94" s="72" t="s">
        <v>1195</v>
      </c>
      <c r="B94" s="73" t="s">
        <v>574</v>
      </c>
      <c r="C94" s="73" t="s">
        <v>534</v>
      </c>
      <c r="D94" s="84"/>
      <c r="E94" s="74"/>
      <c r="F94" s="94">
        <v>80.166719999999998</v>
      </c>
      <c r="G94" s="99">
        <v>9870309</v>
      </c>
      <c r="H94" s="80">
        <v>393972</v>
      </c>
      <c r="I94" s="4"/>
      <c r="K94" s="512" t="e">
        <f t="shared" si="1"/>
        <v>#REF!</v>
      </c>
      <c r="L94" t="e">
        <f>VLOOKUP(G94,#REF!, 6, FALSE)</f>
        <v>#REF!</v>
      </c>
      <c r="M94" s="500"/>
      <c r="N94" s="487">
        <v>9870309</v>
      </c>
    </row>
    <row r="95" spans="1:14" x14ac:dyDescent="0.25">
      <c r="A95" s="78" t="s">
        <v>1196</v>
      </c>
      <c r="B95" s="79" t="s">
        <v>574</v>
      </c>
      <c r="C95" s="79" t="s">
        <v>535</v>
      </c>
      <c r="D95" s="85"/>
      <c r="E95" s="74"/>
      <c r="F95" s="95">
        <v>80.166719999999998</v>
      </c>
      <c r="G95" s="100">
        <v>1449278</v>
      </c>
      <c r="H95" s="80">
        <v>393973</v>
      </c>
      <c r="I95" s="4"/>
      <c r="K95" s="512" t="e">
        <f t="shared" si="1"/>
        <v>#REF!</v>
      </c>
      <c r="L95" t="e">
        <f>VLOOKUP(G95,#REF!, 6, FALSE)</f>
        <v>#REF!</v>
      </c>
      <c r="M95" s="499"/>
      <c r="N95" s="483">
        <v>1449278</v>
      </c>
    </row>
    <row r="96" spans="1:14" x14ac:dyDescent="0.25">
      <c r="A96" s="78" t="s">
        <v>1197</v>
      </c>
      <c r="B96" s="73" t="s">
        <v>575</v>
      </c>
      <c r="C96" s="73" t="s">
        <v>533</v>
      </c>
      <c r="D96" s="84"/>
      <c r="E96" s="74"/>
      <c r="F96" s="94">
        <v>84.296419999999998</v>
      </c>
      <c r="G96" s="99">
        <v>6990853</v>
      </c>
      <c r="H96" s="80">
        <v>393975</v>
      </c>
      <c r="I96" s="4"/>
      <c r="K96" s="512" t="e">
        <f t="shared" si="1"/>
        <v>#REF!</v>
      </c>
      <c r="L96" t="e">
        <f>VLOOKUP(G96,#REF!, 6, FALSE)</f>
        <v>#REF!</v>
      </c>
      <c r="M96" s="500"/>
      <c r="N96" s="487">
        <v>6990853</v>
      </c>
    </row>
    <row r="97" spans="1:14" x14ac:dyDescent="0.25">
      <c r="A97" s="72" t="s">
        <v>1198</v>
      </c>
      <c r="B97" s="79" t="s">
        <v>575</v>
      </c>
      <c r="C97" s="79" t="s">
        <v>534</v>
      </c>
      <c r="D97" s="85"/>
      <c r="E97" s="74"/>
      <c r="F97" s="95">
        <v>86.817539999999994</v>
      </c>
      <c r="G97" s="100">
        <v>3405617</v>
      </c>
      <c r="H97" s="80">
        <v>393976</v>
      </c>
      <c r="I97" s="4"/>
      <c r="K97" s="512" t="e">
        <f t="shared" si="1"/>
        <v>#REF!</v>
      </c>
      <c r="L97" t="e">
        <f>VLOOKUP(G97,#REF!, 6, FALSE)</f>
        <v>#REF!</v>
      </c>
      <c r="M97" s="500"/>
      <c r="N97" s="483">
        <v>3405617</v>
      </c>
    </row>
    <row r="98" spans="1:14" x14ac:dyDescent="0.25">
      <c r="A98" s="78" t="s">
        <v>1199</v>
      </c>
      <c r="B98" s="73" t="s">
        <v>575</v>
      </c>
      <c r="C98" s="73" t="s">
        <v>535</v>
      </c>
      <c r="D98" s="84"/>
      <c r="E98" s="74"/>
      <c r="F98" s="94">
        <v>86.817539999999994</v>
      </c>
      <c r="G98" s="99">
        <v>7769517</v>
      </c>
      <c r="H98" s="80">
        <v>393977</v>
      </c>
      <c r="I98" s="4"/>
      <c r="K98" s="512" t="e">
        <f t="shared" si="1"/>
        <v>#REF!</v>
      </c>
      <c r="L98" t="e">
        <f>VLOOKUP(G98,#REF!, 6, FALSE)</f>
        <v>#REF!</v>
      </c>
      <c r="M98" s="499"/>
      <c r="N98" s="487">
        <v>7769517</v>
      </c>
    </row>
    <row r="99" spans="1:14" x14ac:dyDescent="0.25">
      <c r="A99" s="78" t="s">
        <v>1200</v>
      </c>
      <c r="B99" s="79" t="s">
        <v>576</v>
      </c>
      <c r="C99" s="79" t="s">
        <v>533</v>
      </c>
      <c r="D99" s="85"/>
      <c r="E99" s="74"/>
      <c r="F99" s="95">
        <v>84.296419999999998</v>
      </c>
      <c r="G99" s="100">
        <v>5494621</v>
      </c>
      <c r="H99" s="80">
        <v>393979</v>
      </c>
      <c r="I99" s="4"/>
      <c r="K99" s="512" t="e">
        <f t="shared" si="1"/>
        <v>#REF!</v>
      </c>
      <c r="L99" t="e">
        <f>VLOOKUP(G99,#REF!, 6, FALSE)</f>
        <v>#REF!</v>
      </c>
      <c r="M99" s="500"/>
      <c r="N99" s="483">
        <v>5494621</v>
      </c>
    </row>
    <row r="100" spans="1:14" x14ac:dyDescent="0.25">
      <c r="A100" s="72" t="s">
        <v>1201</v>
      </c>
      <c r="B100" s="73" t="s">
        <v>576</v>
      </c>
      <c r="C100" s="73" t="s">
        <v>534</v>
      </c>
      <c r="D100" s="84"/>
      <c r="E100" s="74"/>
      <c r="F100" s="94">
        <v>86.817539999999994</v>
      </c>
      <c r="G100" s="99">
        <v>9373568</v>
      </c>
      <c r="H100" s="80">
        <v>393981</v>
      </c>
      <c r="I100" s="4"/>
      <c r="K100" s="512" t="e">
        <f t="shared" si="1"/>
        <v>#REF!</v>
      </c>
      <c r="L100" t="e">
        <f>VLOOKUP(G100,#REF!, 6, FALSE)</f>
        <v>#REF!</v>
      </c>
      <c r="M100" s="499"/>
      <c r="N100" s="487">
        <v>9373568</v>
      </c>
    </row>
    <row r="101" spans="1:14" x14ac:dyDescent="0.25">
      <c r="A101" s="78" t="s">
        <v>1202</v>
      </c>
      <c r="B101" s="79" t="s">
        <v>576</v>
      </c>
      <c r="C101" s="79" t="s">
        <v>535</v>
      </c>
      <c r="D101" s="85"/>
      <c r="E101" s="74"/>
      <c r="F101" s="95">
        <v>86.817539999999994</v>
      </c>
      <c r="G101" s="100">
        <v>7935712</v>
      </c>
      <c r="H101" s="80">
        <v>393982</v>
      </c>
      <c r="I101" s="4"/>
      <c r="K101" s="512" t="e">
        <f t="shared" si="1"/>
        <v>#REF!</v>
      </c>
      <c r="L101" t="e">
        <f>VLOOKUP(G101,#REF!, 6, FALSE)</f>
        <v>#REF!</v>
      </c>
      <c r="M101" s="500"/>
      <c r="N101" s="483">
        <v>7935712</v>
      </c>
    </row>
    <row r="102" spans="1:14" x14ac:dyDescent="0.25">
      <c r="A102" s="72" t="s">
        <v>1135</v>
      </c>
      <c r="B102" s="73"/>
      <c r="C102" s="73"/>
      <c r="D102" s="84"/>
      <c r="E102" s="74"/>
      <c r="F102" s="94"/>
      <c r="G102" s="99"/>
      <c r="H102" s="80"/>
      <c r="I102" s="4"/>
      <c r="K102" s="512"/>
      <c r="M102" s="500"/>
      <c r="N102" s="483"/>
    </row>
    <row r="103" spans="1:14" x14ac:dyDescent="0.25">
      <c r="A103" s="78" t="s">
        <v>1203</v>
      </c>
      <c r="B103" s="79" t="s">
        <v>577</v>
      </c>
      <c r="C103" s="79" t="s">
        <v>532</v>
      </c>
      <c r="D103" s="85"/>
      <c r="E103" s="74"/>
      <c r="F103" s="95">
        <v>21.740570000000002</v>
      </c>
      <c r="G103" s="100">
        <v>7542129</v>
      </c>
      <c r="H103" s="80">
        <v>203389</v>
      </c>
      <c r="I103" s="4"/>
      <c r="K103" s="512" t="e">
        <f t="shared" si="1"/>
        <v>#REF!</v>
      </c>
      <c r="L103" t="e">
        <f>VLOOKUP(G103,#REF!, 6, FALSE)</f>
        <v>#REF!</v>
      </c>
      <c r="M103" s="499"/>
      <c r="N103" s="483">
        <v>7303280</v>
      </c>
    </row>
    <row r="104" spans="1:14" x14ac:dyDescent="0.25">
      <c r="A104" s="72" t="s">
        <v>1204</v>
      </c>
      <c r="B104" s="73" t="s">
        <v>578</v>
      </c>
      <c r="C104" s="73" t="s">
        <v>545</v>
      </c>
      <c r="D104" s="84"/>
      <c r="E104" s="74"/>
      <c r="F104" s="94">
        <v>1.7642599999999999</v>
      </c>
      <c r="G104" s="99">
        <v>8671840</v>
      </c>
      <c r="H104" s="80">
        <v>13906</v>
      </c>
      <c r="I104" s="4"/>
      <c r="K104" s="512" t="e">
        <f t="shared" si="1"/>
        <v>#REF!</v>
      </c>
      <c r="L104" t="e">
        <f>VLOOKUP(G104,#REF!, 6, FALSE)</f>
        <v>#REF!</v>
      </c>
      <c r="M104" s="500"/>
      <c r="N104" s="487">
        <v>8671840</v>
      </c>
    </row>
    <row r="105" spans="1:14" x14ac:dyDescent="0.25">
      <c r="A105" s="78" t="s">
        <v>1205</v>
      </c>
      <c r="B105" s="79" t="s">
        <v>579</v>
      </c>
      <c r="C105" s="79" t="s">
        <v>545</v>
      </c>
      <c r="D105" s="85"/>
      <c r="E105" s="74"/>
      <c r="F105" s="95">
        <v>1.7642599999999999</v>
      </c>
      <c r="G105" s="100">
        <v>8671910</v>
      </c>
      <c r="H105" s="80">
        <v>13905</v>
      </c>
      <c r="I105" s="4"/>
      <c r="K105" s="512" t="e">
        <f t="shared" si="1"/>
        <v>#REF!</v>
      </c>
      <c r="L105" t="e">
        <f>VLOOKUP(G105,#REF!, 6, FALSE)</f>
        <v>#REF!</v>
      </c>
      <c r="M105" s="499"/>
      <c r="N105" s="483">
        <v>8671910</v>
      </c>
    </row>
    <row r="106" spans="1:14" x14ac:dyDescent="0.25">
      <c r="A106" s="78" t="s">
        <v>1135</v>
      </c>
      <c r="B106" s="79"/>
      <c r="C106" s="79"/>
      <c r="D106" s="85"/>
      <c r="E106" s="74"/>
      <c r="F106" s="95"/>
      <c r="G106" s="100"/>
      <c r="H106" s="80"/>
      <c r="I106" s="4"/>
      <c r="K106" s="512" t="e">
        <f t="shared" si="1"/>
        <v>#REF!</v>
      </c>
      <c r="L106" t="e">
        <f>VLOOKUP(G106,#REF!, 6, FALSE)</f>
        <v>#REF!</v>
      </c>
      <c r="M106" s="499"/>
      <c r="N106" s="483">
        <v>4318256</v>
      </c>
    </row>
    <row r="107" spans="1:14" x14ac:dyDescent="0.25">
      <c r="A107" s="72" t="s">
        <v>1135</v>
      </c>
      <c r="B107" s="73"/>
      <c r="C107" s="73"/>
      <c r="D107" s="84"/>
      <c r="E107" s="74"/>
      <c r="F107" s="94"/>
      <c r="G107" s="99"/>
      <c r="H107" s="80"/>
      <c r="I107" s="4"/>
      <c r="K107" s="512"/>
      <c r="M107" s="499"/>
      <c r="N107" s="483"/>
    </row>
    <row r="108" spans="1:14" x14ac:dyDescent="0.25">
      <c r="A108" s="72" t="s">
        <v>1206</v>
      </c>
      <c r="B108" s="73" t="s">
        <v>121</v>
      </c>
      <c r="C108" s="73" t="s">
        <v>532</v>
      </c>
      <c r="D108" s="84"/>
      <c r="E108" s="74"/>
      <c r="F108" s="94">
        <v>32.283230000000003</v>
      </c>
      <c r="G108" s="99">
        <v>8572348</v>
      </c>
      <c r="H108" s="80">
        <v>247121</v>
      </c>
      <c r="I108" s="4"/>
      <c r="K108" s="512" t="e">
        <f t="shared" si="1"/>
        <v>#REF!</v>
      </c>
      <c r="L108" t="e">
        <f>VLOOKUP(G108,#REF!, 6, FALSE)</f>
        <v>#REF!</v>
      </c>
      <c r="M108" s="500"/>
      <c r="N108" s="487">
        <v>8572348</v>
      </c>
    </row>
    <row r="109" spans="1:14" x14ac:dyDescent="0.25">
      <c r="A109" s="72" t="s">
        <v>1207</v>
      </c>
      <c r="B109" s="79" t="s">
        <v>124</v>
      </c>
      <c r="C109" s="79" t="s">
        <v>532</v>
      </c>
      <c r="D109" s="85"/>
      <c r="E109" s="74"/>
      <c r="F109" s="95">
        <v>32.283230000000003</v>
      </c>
      <c r="G109" s="100">
        <v>9330897</v>
      </c>
      <c r="H109" s="80">
        <v>247122</v>
      </c>
      <c r="I109" s="4"/>
      <c r="K109" s="512" t="e">
        <f t="shared" si="1"/>
        <v>#REF!</v>
      </c>
      <c r="L109" t="e">
        <f>VLOOKUP(G109,#REF!, 6, FALSE)</f>
        <v>#REF!</v>
      </c>
      <c r="M109" s="500"/>
      <c r="N109" s="483">
        <v>9330897</v>
      </c>
    </row>
    <row r="110" spans="1:14" x14ac:dyDescent="0.25">
      <c r="A110" s="72" t="s">
        <v>1208</v>
      </c>
      <c r="B110" s="73" t="s">
        <v>127</v>
      </c>
      <c r="C110" s="73" t="s">
        <v>532</v>
      </c>
      <c r="D110" s="84"/>
      <c r="E110" s="74"/>
      <c r="F110" s="94">
        <v>32.283230000000003</v>
      </c>
      <c r="G110" s="99">
        <v>1615152</v>
      </c>
      <c r="H110" s="80">
        <v>247123</v>
      </c>
      <c r="I110" s="4"/>
      <c r="K110" s="512" t="e">
        <f t="shared" si="1"/>
        <v>#REF!</v>
      </c>
      <c r="L110" t="e">
        <f>VLOOKUP(G110,#REF!, 6, FALSE)</f>
        <v>#REF!</v>
      </c>
      <c r="M110" s="499"/>
      <c r="N110" s="487">
        <v>1615152</v>
      </c>
    </row>
    <row r="111" spans="1:14" x14ac:dyDescent="0.25">
      <c r="A111" s="78" t="s">
        <v>1135</v>
      </c>
      <c r="B111" s="79"/>
      <c r="C111" s="79"/>
      <c r="D111" s="85"/>
      <c r="E111" s="74"/>
      <c r="F111" s="95"/>
      <c r="G111" s="100"/>
      <c r="H111" s="80"/>
      <c r="I111" s="4"/>
      <c r="K111" s="512"/>
      <c r="M111" s="500"/>
      <c r="N111" s="487"/>
    </row>
    <row r="112" spans="1:14" x14ac:dyDescent="0.25">
      <c r="A112" s="72" t="s">
        <v>1209</v>
      </c>
      <c r="B112" s="73" t="s">
        <v>130</v>
      </c>
      <c r="C112" s="73" t="s">
        <v>532</v>
      </c>
      <c r="D112" s="84"/>
      <c r="E112" s="74"/>
      <c r="F112" s="94">
        <v>34.735590000000002</v>
      </c>
      <c r="G112" s="99">
        <v>4857465</v>
      </c>
      <c r="H112" s="80">
        <v>247124</v>
      </c>
      <c r="I112" s="4"/>
      <c r="K112" s="512" t="e">
        <f t="shared" si="1"/>
        <v>#REF!</v>
      </c>
      <c r="L112" t="e">
        <f>VLOOKUP(G112,#REF!, 6, FALSE)</f>
        <v>#REF!</v>
      </c>
      <c r="M112" s="499"/>
      <c r="N112" s="487">
        <v>4857465</v>
      </c>
    </row>
    <row r="113" spans="1:14" x14ac:dyDescent="0.25">
      <c r="A113" s="72" t="s">
        <v>1210</v>
      </c>
      <c r="B113" s="79" t="s">
        <v>132</v>
      </c>
      <c r="C113" s="79" t="s">
        <v>532</v>
      </c>
      <c r="D113" s="85"/>
      <c r="E113" s="74"/>
      <c r="F113" s="95">
        <v>34.735590000000002</v>
      </c>
      <c r="G113" s="100">
        <v>9519259</v>
      </c>
      <c r="H113" s="80">
        <v>247125</v>
      </c>
      <c r="I113" s="4"/>
      <c r="K113" s="512" t="e">
        <f t="shared" si="1"/>
        <v>#REF!</v>
      </c>
      <c r="L113" t="e">
        <f>VLOOKUP(G113,#REF!, 6, FALSE)</f>
        <v>#REF!</v>
      </c>
      <c r="M113" s="499"/>
      <c r="N113" s="483">
        <v>9519259</v>
      </c>
    </row>
    <row r="114" spans="1:14" x14ac:dyDescent="0.25">
      <c r="A114" s="72" t="s">
        <v>1211</v>
      </c>
      <c r="B114" s="73" t="s">
        <v>134</v>
      </c>
      <c r="C114" s="73" t="s">
        <v>532</v>
      </c>
      <c r="D114" s="84"/>
      <c r="E114" s="74"/>
      <c r="F114" s="94">
        <v>34.735590000000002</v>
      </c>
      <c r="G114" s="99">
        <v>8041284</v>
      </c>
      <c r="H114" s="80">
        <v>247126</v>
      </c>
      <c r="I114" s="4"/>
      <c r="K114" s="512" t="e">
        <f t="shared" si="1"/>
        <v>#REF!</v>
      </c>
      <c r="L114" t="e">
        <f>VLOOKUP(G114,#REF!, 6, FALSE)</f>
        <v>#REF!</v>
      </c>
      <c r="M114" s="500"/>
      <c r="N114" s="487">
        <v>8041284</v>
      </c>
    </row>
    <row r="115" spans="1:14" x14ac:dyDescent="0.25">
      <c r="A115" s="78" t="s">
        <v>1135</v>
      </c>
      <c r="B115" s="79"/>
      <c r="C115" s="79"/>
      <c r="D115" s="85"/>
      <c r="E115" s="74"/>
      <c r="F115" s="95"/>
      <c r="G115" s="100"/>
      <c r="H115" s="80"/>
      <c r="I115" s="4"/>
      <c r="K115" s="512"/>
      <c r="M115" s="499"/>
      <c r="N115" s="487"/>
    </row>
    <row r="116" spans="1:14" x14ac:dyDescent="0.25">
      <c r="A116" s="72" t="s">
        <v>1212</v>
      </c>
      <c r="B116" s="73" t="s">
        <v>580</v>
      </c>
      <c r="C116" s="73" t="s">
        <v>532</v>
      </c>
      <c r="D116" s="84"/>
      <c r="E116" s="74"/>
      <c r="F116" s="94">
        <v>2.0432700000000001</v>
      </c>
      <c r="G116" s="99">
        <v>1409446</v>
      </c>
      <c r="H116" s="80">
        <v>247127</v>
      </c>
      <c r="I116" s="4"/>
      <c r="K116" s="512" t="e">
        <f t="shared" ref="K116:K123" si="2">L116*26/100</f>
        <v>#REF!</v>
      </c>
      <c r="L116" t="e">
        <f>VLOOKUP(G116,#REF!, 6, FALSE)</f>
        <v>#REF!</v>
      </c>
      <c r="M116" s="501"/>
      <c r="N116" s="487">
        <v>1409446</v>
      </c>
    </row>
    <row r="117" spans="1:14" x14ac:dyDescent="0.25">
      <c r="A117" s="78" t="s">
        <v>1213</v>
      </c>
      <c r="B117" s="79" t="s">
        <v>581</v>
      </c>
      <c r="C117" s="79" t="s">
        <v>532</v>
      </c>
      <c r="D117" s="85"/>
      <c r="E117" s="74"/>
      <c r="F117" s="95">
        <v>2.7593999999999999</v>
      </c>
      <c r="G117" s="100">
        <v>5296642</v>
      </c>
      <c r="H117" s="80">
        <v>247128</v>
      </c>
      <c r="I117" s="4"/>
      <c r="K117" s="512" t="e">
        <f t="shared" si="2"/>
        <v>#REF!</v>
      </c>
      <c r="L117" t="e">
        <f>VLOOKUP(G117,#REF!, 6, FALSE)</f>
        <v>#REF!</v>
      </c>
      <c r="M117" s="501"/>
      <c r="N117" s="483">
        <v>5296642</v>
      </c>
    </row>
    <row r="118" spans="1:14" x14ac:dyDescent="0.25">
      <c r="A118" s="72" t="s">
        <v>1135</v>
      </c>
      <c r="B118" s="73"/>
      <c r="C118" s="73"/>
      <c r="D118" s="84"/>
      <c r="E118" s="74"/>
      <c r="F118" s="94"/>
      <c r="G118" s="99"/>
      <c r="H118" s="80"/>
      <c r="I118" s="4"/>
      <c r="K118" s="512"/>
      <c r="M118" s="502"/>
      <c r="N118" s="483"/>
    </row>
    <row r="119" spans="1:14" x14ac:dyDescent="0.25">
      <c r="A119" s="78" t="s">
        <v>1214</v>
      </c>
      <c r="B119" s="79" t="s">
        <v>582</v>
      </c>
      <c r="C119" s="79" t="s">
        <v>532</v>
      </c>
      <c r="D119" s="85"/>
      <c r="E119" s="74"/>
      <c r="F119" s="95">
        <v>1.38934</v>
      </c>
      <c r="G119" s="100">
        <v>8910604</v>
      </c>
      <c r="H119" s="80">
        <v>247129</v>
      </c>
      <c r="I119" s="4"/>
      <c r="K119" s="512" t="e">
        <f t="shared" si="2"/>
        <v>#REF!</v>
      </c>
      <c r="L119" t="e">
        <f>VLOOKUP(G119,#REF!, 6, FALSE)</f>
        <v>#REF!</v>
      </c>
      <c r="M119" s="502"/>
      <c r="N119" s="483">
        <v>8910604</v>
      </c>
    </row>
    <row r="120" spans="1:14" x14ac:dyDescent="0.25">
      <c r="A120" s="72" t="s">
        <v>1215</v>
      </c>
      <c r="B120" s="73" t="s">
        <v>583</v>
      </c>
      <c r="C120" s="73" t="s">
        <v>532</v>
      </c>
      <c r="D120" s="84"/>
      <c r="E120" s="74"/>
      <c r="F120" s="94">
        <v>2.10547</v>
      </c>
      <c r="G120" s="99">
        <v>5697170</v>
      </c>
      <c r="H120" s="80">
        <v>247130</v>
      </c>
      <c r="I120" s="4"/>
      <c r="K120" s="512" t="e">
        <f t="shared" si="2"/>
        <v>#REF!</v>
      </c>
      <c r="L120" t="e">
        <f>VLOOKUP(G120,#REF!, 6, FALSE)</f>
        <v>#REF!</v>
      </c>
      <c r="M120" s="501"/>
      <c r="N120" s="487">
        <v>5697170</v>
      </c>
    </row>
    <row r="121" spans="1:14" x14ac:dyDescent="0.25">
      <c r="A121" s="78" t="s">
        <v>1216</v>
      </c>
      <c r="B121" s="79" t="s">
        <v>584</v>
      </c>
      <c r="C121" s="79" t="s">
        <v>532</v>
      </c>
      <c r="D121" s="85"/>
      <c r="E121" s="74"/>
      <c r="F121" s="95">
        <v>10.27782</v>
      </c>
      <c r="G121" s="100">
        <v>1452554</v>
      </c>
      <c r="H121" s="80">
        <v>247131</v>
      </c>
      <c r="I121" s="4"/>
      <c r="K121" s="512" t="e">
        <f t="shared" si="2"/>
        <v>#REF!</v>
      </c>
      <c r="L121" t="e">
        <f>VLOOKUP(G121,#REF!, 6, FALSE)</f>
        <v>#REF!</v>
      </c>
      <c r="M121" s="501"/>
      <c r="N121" s="483">
        <v>1452554</v>
      </c>
    </row>
    <row r="122" spans="1:14" x14ac:dyDescent="0.25">
      <c r="A122" s="72" t="s">
        <v>1135</v>
      </c>
      <c r="B122" s="73"/>
      <c r="C122" s="73"/>
      <c r="D122" s="84"/>
      <c r="E122" s="74"/>
      <c r="F122" s="94"/>
      <c r="G122" s="99"/>
      <c r="H122" s="80"/>
      <c r="I122" s="4"/>
      <c r="K122" s="512"/>
      <c r="M122" s="502"/>
      <c r="N122" s="483"/>
    </row>
    <row r="123" spans="1:14" x14ac:dyDescent="0.25">
      <c r="A123" s="72" t="s">
        <v>1217</v>
      </c>
      <c r="B123" s="73" t="s">
        <v>585</v>
      </c>
      <c r="C123" s="73" t="s">
        <v>532</v>
      </c>
      <c r="D123" s="84"/>
      <c r="E123" s="74"/>
      <c r="F123" s="94">
        <v>0.18570999999999999</v>
      </c>
      <c r="G123" s="99">
        <v>8385455</v>
      </c>
      <c r="H123" s="80">
        <v>13681</v>
      </c>
      <c r="I123" s="4"/>
      <c r="K123" s="512" t="e">
        <f t="shared" si="2"/>
        <v>#REF!</v>
      </c>
      <c r="L123" t="e">
        <f>VLOOKUP(G123,#REF!, 6, FALSE)</f>
        <v>#REF!</v>
      </c>
      <c r="M123" s="502"/>
      <c r="N123" s="487">
        <v>8385455</v>
      </c>
    </row>
    <row r="124" spans="1:14" x14ac:dyDescent="0.25">
      <c r="A124" s="72" t="s">
        <v>1135</v>
      </c>
      <c r="B124" s="73"/>
      <c r="C124" s="73"/>
      <c r="D124" s="84"/>
      <c r="E124" s="74"/>
      <c r="F124" s="94"/>
      <c r="G124" s="99"/>
      <c r="H124" s="80"/>
      <c r="I124" s="4"/>
      <c r="K124" s="512"/>
      <c r="M124" s="502"/>
      <c r="N124" s="487"/>
    </row>
    <row r="125" spans="1:14" x14ac:dyDescent="0.25">
      <c r="A125" s="72" t="s">
        <v>1218</v>
      </c>
      <c r="B125" s="73" t="s">
        <v>641</v>
      </c>
      <c r="C125" s="73" t="s">
        <v>650</v>
      </c>
      <c r="D125" s="84"/>
      <c r="E125" s="74"/>
      <c r="F125" s="94">
        <v>879.54648999999995</v>
      </c>
      <c r="G125" s="99">
        <v>9375108</v>
      </c>
      <c r="H125" s="80">
        <v>497327</v>
      </c>
      <c r="I125" s="4"/>
      <c r="K125" s="512"/>
      <c r="M125" s="502"/>
      <c r="N125" s="873"/>
    </row>
    <row r="126" spans="1:14" x14ac:dyDescent="0.25">
      <c r="A126" s="72" t="s">
        <v>1219</v>
      </c>
      <c r="B126" s="73" t="s">
        <v>642</v>
      </c>
      <c r="C126" s="73" t="s">
        <v>650</v>
      </c>
      <c r="D126" s="84"/>
      <c r="E126" s="74"/>
      <c r="F126" s="94">
        <v>879.54648999999995</v>
      </c>
      <c r="G126" s="99">
        <v>4333468</v>
      </c>
      <c r="H126" s="80">
        <v>497328</v>
      </c>
      <c r="I126" s="4"/>
      <c r="K126" s="512"/>
      <c r="M126" s="502"/>
      <c r="N126" s="873"/>
    </row>
    <row r="127" spans="1:14" x14ac:dyDescent="0.25">
      <c r="A127" s="72" t="s">
        <v>1220</v>
      </c>
      <c r="B127" s="73" t="s">
        <v>643</v>
      </c>
      <c r="C127" s="73" t="s">
        <v>650</v>
      </c>
      <c r="D127" s="84"/>
      <c r="E127" s="74"/>
      <c r="F127" s="94">
        <v>894.84276</v>
      </c>
      <c r="G127" s="99">
        <v>3327428</v>
      </c>
      <c r="H127" s="80">
        <v>497329</v>
      </c>
      <c r="I127" s="4"/>
      <c r="K127" s="512"/>
      <c r="M127" s="502"/>
      <c r="N127" s="873"/>
    </row>
    <row r="128" spans="1:14" x14ac:dyDescent="0.25">
      <c r="A128" s="72" t="s">
        <v>1221</v>
      </c>
      <c r="B128" s="73" t="s">
        <v>644</v>
      </c>
      <c r="C128" s="73" t="s">
        <v>650</v>
      </c>
      <c r="D128" s="84"/>
      <c r="E128" s="74"/>
      <c r="F128" s="94">
        <v>933.08410000000003</v>
      </c>
      <c r="G128" s="99">
        <v>9445829</v>
      </c>
      <c r="H128" s="80">
        <v>497330</v>
      </c>
      <c r="I128" s="4"/>
      <c r="K128" s="512"/>
      <c r="M128" s="502"/>
      <c r="N128" s="873"/>
    </row>
    <row r="129" spans="1:14" x14ac:dyDescent="0.25">
      <c r="A129" s="72" t="s">
        <v>1135</v>
      </c>
      <c r="B129" s="73"/>
      <c r="C129" s="73"/>
      <c r="D129" s="84"/>
      <c r="E129" s="74"/>
      <c r="F129" s="94"/>
      <c r="G129" s="99"/>
      <c r="H129" s="80"/>
      <c r="I129" s="4"/>
      <c r="K129" s="512"/>
      <c r="M129" s="502"/>
      <c r="N129" s="873"/>
    </row>
    <row r="130" spans="1:14" x14ac:dyDescent="0.25">
      <c r="A130" s="72" t="s">
        <v>1222</v>
      </c>
      <c r="B130" s="73" t="s">
        <v>645</v>
      </c>
      <c r="C130" s="73" t="s">
        <v>650</v>
      </c>
      <c r="D130" s="84"/>
      <c r="E130" s="74"/>
      <c r="F130" s="94">
        <v>891.34663999999998</v>
      </c>
      <c r="G130" s="99">
        <v>9348915</v>
      </c>
      <c r="H130" s="80">
        <v>497331</v>
      </c>
      <c r="I130" s="4"/>
      <c r="K130" s="512"/>
      <c r="M130" s="502"/>
      <c r="N130" s="873"/>
    </row>
    <row r="131" spans="1:14" x14ac:dyDescent="0.25">
      <c r="A131" s="72" t="s">
        <v>1223</v>
      </c>
      <c r="B131" s="73" t="s">
        <v>646</v>
      </c>
      <c r="C131" s="73" t="s">
        <v>650</v>
      </c>
      <c r="D131" s="84"/>
      <c r="E131" s="74"/>
      <c r="F131" s="94">
        <v>891.34663999999998</v>
      </c>
      <c r="G131" s="99">
        <v>3988041</v>
      </c>
      <c r="H131" s="80">
        <v>497332</v>
      </c>
      <c r="I131" s="4"/>
      <c r="K131" s="512"/>
      <c r="M131" s="502"/>
      <c r="N131" s="873"/>
    </row>
    <row r="132" spans="1:14" x14ac:dyDescent="0.25">
      <c r="A132" s="72" t="s">
        <v>1224</v>
      </c>
      <c r="B132" s="73" t="s">
        <v>647</v>
      </c>
      <c r="C132" s="73" t="s">
        <v>650</v>
      </c>
      <c r="D132" s="84"/>
      <c r="E132" s="74"/>
      <c r="F132" s="94">
        <v>916.86847</v>
      </c>
      <c r="G132" s="99">
        <v>3401692</v>
      </c>
      <c r="H132" s="80">
        <v>497333</v>
      </c>
      <c r="I132" s="4"/>
      <c r="K132" s="512"/>
      <c r="M132" s="502"/>
      <c r="N132" s="873"/>
    </row>
    <row r="133" spans="1:14" x14ac:dyDescent="0.25">
      <c r="A133" s="72" t="s">
        <v>1225</v>
      </c>
      <c r="B133" s="73" t="s">
        <v>648</v>
      </c>
      <c r="C133" s="73" t="s">
        <v>650</v>
      </c>
      <c r="D133" s="84"/>
      <c r="E133" s="74"/>
      <c r="F133" s="94">
        <v>955.10937000000001</v>
      </c>
      <c r="G133" s="99">
        <v>3061597</v>
      </c>
      <c r="H133" s="80">
        <v>497334</v>
      </c>
      <c r="I133" s="4"/>
      <c r="K133" s="512"/>
      <c r="M133" s="502"/>
      <c r="N133" s="873"/>
    </row>
    <row r="134" spans="1:14" x14ac:dyDescent="0.25">
      <c r="A134" s="72" t="s">
        <v>1135</v>
      </c>
      <c r="B134" s="73"/>
      <c r="C134" s="73"/>
      <c r="D134" s="84"/>
      <c r="E134" s="74"/>
      <c r="F134" s="94"/>
      <c r="G134" s="99"/>
      <c r="H134" s="80"/>
      <c r="I134" s="4"/>
      <c r="K134" s="512"/>
      <c r="M134" s="502"/>
      <c r="N134" s="873"/>
    </row>
    <row r="135" spans="1:14" x14ac:dyDescent="0.25">
      <c r="A135" s="72" t="s">
        <v>1226</v>
      </c>
      <c r="B135" s="73" t="s">
        <v>649</v>
      </c>
      <c r="C135" s="73" t="s">
        <v>650</v>
      </c>
      <c r="D135" s="84"/>
      <c r="E135" s="74"/>
      <c r="F135" s="94">
        <v>22.94463</v>
      </c>
      <c r="G135" s="99">
        <v>4845277</v>
      </c>
      <c r="H135" s="80">
        <v>497336</v>
      </c>
      <c r="I135" s="4"/>
      <c r="K135" s="512"/>
      <c r="M135" s="502"/>
      <c r="N135" s="873"/>
    </row>
    <row r="136" spans="1:14" x14ac:dyDescent="0.25">
      <c r="A136" s="72" t="s">
        <v>1227</v>
      </c>
      <c r="B136" s="73" t="s">
        <v>651</v>
      </c>
      <c r="C136" s="73" t="s">
        <v>650</v>
      </c>
      <c r="D136" s="84"/>
      <c r="E136" s="74"/>
      <c r="F136" s="94">
        <v>25.238869999999999</v>
      </c>
      <c r="G136" s="99">
        <v>2551910</v>
      </c>
      <c r="H136" s="80">
        <v>497337</v>
      </c>
      <c r="I136" s="4"/>
      <c r="K136" s="512"/>
      <c r="M136" s="502"/>
      <c r="N136" s="873"/>
    </row>
    <row r="137" spans="1:14" x14ac:dyDescent="0.25">
      <c r="A137" s="72" t="s">
        <v>1135</v>
      </c>
      <c r="B137" s="73"/>
      <c r="C137" s="73"/>
      <c r="D137" s="84"/>
      <c r="E137" s="74"/>
      <c r="F137" s="94"/>
      <c r="G137" s="99"/>
      <c r="H137" s="80"/>
      <c r="I137" s="4"/>
      <c r="K137" s="512"/>
      <c r="M137" s="502"/>
      <c r="N137" s="873"/>
    </row>
    <row r="138" spans="1:14" x14ac:dyDescent="0.25">
      <c r="A138" s="72" t="s">
        <v>1228</v>
      </c>
      <c r="B138" s="73" t="s">
        <v>652</v>
      </c>
      <c r="C138" s="73" t="s">
        <v>627</v>
      </c>
      <c r="D138" s="84"/>
      <c r="E138" s="74"/>
      <c r="F138" s="94">
        <v>75.625519999999995</v>
      </c>
      <c r="G138" s="99">
        <v>6690522</v>
      </c>
      <c r="H138" s="80">
        <v>497339</v>
      </c>
      <c r="I138" s="4"/>
      <c r="K138" s="512"/>
      <c r="M138" s="502"/>
      <c r="N138" s="873"/>
    </row>
    <row r="139" spans="1:14" x14ac:dyDescent="0.25">
      <c r="A139" s="72" t="s">
        <v>1229</v>
      </c>
      <c r="B139" s="73" t="s">
        <v>652</v>
      </c>
      <c r="C139" s="73" t="s">
        <v>615</v>
      </c>
      <c r="D139" s="84"/>
      <c r="E139" s="74"/>
      <c r="F139" s="94">
        <v>73.422380000000004</v>
      </c>
      <c r="G139" s="99">
        <v>2627505</v>
      </c>
      <c r="H139" s="80">
        <v>497340</v>
      </c>
      <c r="I139" s="4"/>
      <c r="K139" s="512"/>
      <c r="M139" s="502"/>
      <c r="N139" s="873"/>
    </row>
    <row r="140" spans="1:14" x14ac:dyDescent="0.25">
      <c r="A140" s="72" t="s">
        <v>1230</v>
      </c>
      <c r="B140" s="73" t="s">
        <v>652</v>
      </c>
      <c r="C140" s="73" t="s">
        <v>545</v>
      </c>
      <c r="D140" s="84"/>
      <c r="E140" s="74"/>
      <c r="F140" s="94">
        <v>75.625519999999995</v>
      </c>
      <c r="G140" s="99">
        <v>4948789</v>
      </c>
      <c r="H140" s="80">
        <v>497341</v>
      </c>
      <c r="I140" s="4"/>
      <c r="K140" s="512"/>
      <c r="M140" s="502"/>
      <c r="N140" s="873"/>
    </row>
    <row r="141" spans="1:14" x14ac:dyDescent="0.25">
      <c r="A141" s="72" t="s">
        <v>1135</v>
      </c>
      <c r="B141" s="73"/>
      <c r="C141" s="73"/>
      <c r="D141" s="84"/>
      <c r="E141" s="74"/>
      <c r="F141" s="94"/>
      <c r="G141" s="99"/>
      <c r="H141" s="80"/>
      <c r="I141" s="4"/>
      <c r="K141" s="512"/>
      <c r="M141" s="502"/>
      <c r="N141" s="873"/>
    </row>
    <row r="142" spans="1:14" x14ac:dyDescent="0.25">
      <c r="A142" s="72" t="s">
        <v>1135</v>
      </c>
      <c r="B142" s="73"/>
      <c r="C142" s="73"/>
      <c r="D142" s="84"/>
      <c r="E142" s="74"/>
      <c r="F142" s="94"/>
      <c r="G142" s="99"/>
      <c r="H142" s="80"/>
      <c r="I142" s="4"/>
      <c r="K142" s="512"/>
      <c r="M142" s="500"/>
      <c r="N142" s="483"/>
    </row>
    <row r="143" spans="1:14" x14ac:dyDescent="0.25">
      <c r="A143" s="72" t="s">
        <v>1231</v>
      </c>
      <c r="B143" s="73" t="s">
        <v>586</v>
      </c>
      <c r="C143" s="73" t="s">
        <v>587</v>
      </c>
      <c r="D143" s="84"/>
      <c r="E143" s="74"/>
      <c r="F143" s="95">
        <v>106.1712</v>
      </c>
      <c r="G143" s="881">
        <v>4719614</v>
      </c>
      <c r="H143" s="80">
        <v>393783</v>
      </c>
      <c r="I143" s="4"/>
      <c r="K143" s="512" t="e">
        <f>L143*26</f>
        <v>#REF!</v>
      </c>
      <c r="L143" t="e">
        <f>VLOOKUP(G143,#REF!, 6, FALSE)</f>
        <v>#REF!</v>
      </c>
      <c r="M143" s="500"/>
      <c r="N143" s="487">
        <v>4719614</v>
      </c>
    </row>
    <row r="144" spans="1:14" x14ac:dyDescent="0.25">
      <c r="A144" s="77" t="s">
        <v>1232</v>
      </c>
      <c r="B144" s="73" t="s">
        <v>660</v>
      </c>
      <c r="C144" s="73" t="s">
        <v>620</v>
      </c>
      <c r="D144" s="84"/>
      <c r="E144" s="74"/>
      <c r="F144" s="94">
        <v>314.61586999999997</v>
      </c>
      <c r="G144" s="99">
        <v>6883114</v>
      </c>
      <c r="H144" s="80">
        <v>503313</v>
      </c>
      <c r="I144" s="4"/>
      <c r="K144" s="512"/>
      <c r="M144" s="500"/>
      <c r="N144" s="494"/>
    </row>
    <row r="145" spans="1:14" x14ac:dyDescent="0.25">
      <c r="A145" s="77" t="s">
        <v>1233</v>
      </c>
      <c r="B145" s="73" t="s">
        <v>661</v>
      </c>
      <c r="C145" s="73" t="s">
        <v>620</v>
      </c>
      <c r="D145" s="84"/>
      <c r="E145" s="74"/>
      <c r="F145" s="94">
        <v>94.213800000000006</v>
      </c>
      <c r="G145" s="99">
        <v>7376602</v>
      </c>
      <c r="H145" s="80">
        <v>503317</v>
      </c>
      <c r="I145" s="4"/>
      <c r="K145" s="512"/>
      <c r="M145" s="500"/>
      <c r="N145" s="494"/>
    </row>
    <row r="146" spans="1:14" x14ac:dyDescent="0.25">
      <c r="A146" s="78" t="s">
        <v>1135</v>
      </c>
      <c r="B146" s="79"/>
      <c r="C146" s="79"/>
      <c r="D146" s="85"/>
      <c r="E146" s="74"/>
      <c r="F146" s="95"/>
      <c r="G146" s="100"/>
      <c r="H146" s="80"/>
      <c r="I146" s="4"/>
      <c r="K146" s="512"/>
      <c r="M146" s="502"/>
      <c r="N146" s="494"/>
    </row>
    <row r="147" spans="1:14" x14ac:dyDescent="0.25">
      <c r="A147" s="72" t="s">
        <v>1135</v>
      </c>
      <c r="B147" s="73"/>
      <c r="C147" s="73"/>
      <c r="D147" s="84"/>
      <c r="E147" s="74"/>
      <c r="F147" s="94"/>
      <c r="G147" s="99"/>
      <c r="H147" s="80"/>
      <c r="I147" s="4"/>
      <c r="K147" s="512"/>
      <c r="M147" s="499"/>
      <c r="N147" s="494"/>
    </row>
    <row r="148" spans="1:14" x14ac:dyDescent="0.25">
      <c r="A148" s="72" t="s">
        <v>1135</v>
      </c>
      <c r="B148" s="73"/>
      <c r="C148" s="73"/>
      <c r="D148" s="84"/>
      <c r="E148" s="74"/>
      <c r="F148" s="94"/>
      <c r="G148" s="99"/>
      <c r="H148" s="80"/>
      <c r="I148" s="4"/>
      <c r="K148" s="512"/>
      <c r="M148" s="499"/>
      <c r="N148" s="484"/>
    </row>
    <row r="149" spans="1:14" x14ac:dyDescent="0.25">
      <c r="A149" s="72" t="s">
        <v>1234</v>
      </c>
      <c r="B149" s="73" t="s">
        <v>588</v>
      </c>
      <c r="C149" s="73" t="s">
        <v>589</v>
      </c>
      <c r="D149" s="84"/>
      <c r="E149" s="74"/>
      <c r="F149" s="94">
        <v>6.9475600000000002</v>
      </c>
      <c r="G149" s="99">
        <v>4958478</v>
      </c>
      <c r="H149" s="80">
        <v>347999</v>
      </c>
      <c r="I149" s="4"/>
      <c r="K149" s="512" t="e">
        <f>L149*26/100</f>
        <v>#REF!</v>
      </c>
      <c r="L149" t="e">
        <f>VLOOKUP(G149,#REF!, 6, FALSE)</f>
        <v>#REF!</v>
      </c>
      <c r="M149" s="503"/>
      <c r="N149" s="489">
        <v>4958478</v>
      </c>
    </row>
    <row r="150" spans="1:14" x14ac:dyDescent="0.25">
      <c r="A150" s="72" t="s">
        <v>1135</v>
      </c>
      <c r="B150" s="73"/>
      <c r="C150" s="73"/>
      <c r="D150" s="84"/>
      <c r="E150" s="74"/>
      <c r="F150" s="94"/>
      <c r="G150" s="99"/>
      <c r="H150" s="80"/>
      <c r="I150" s="4"/>
      <c r="K150" s="512"/>
      <c r="M150" s="503"/>
      <c r="N150" s="506"/>
    </row>
    <row r="151" spans="1:14" x14ac:dyDescent="0.25">
      <c r="A151" s="72" t="s">
        <v>1135</v>
      </c>
      <c r="B151" s="73"/>
      <c r="C151" s="73"/>
      <c r="D151" s="84"/>
      <c r="E151" s="74"/>
      <c r="F151" s="94"/>
      <c r="G151" s="99"/>
      <c r="H151" s="80"/>
      <c r="I151" s="4"/>
      <c r="K151" s="512"/>
      <c r="M151" s="503"/>
      <c r="N151" s="506"/>
    </row>
    <row r="152" spans="1:14" x14ac:dyDescent="0.25">
      <c r="A152" s="72" t="s">
        <v>1135</v>
      </c>
      <c r="B152" s="73"/>
      <c r="C152" s="73"/>
      <c r="D152" s="84"/>
      <c r="E152" s="74"/>
      <c r="F152" s="94"/>
      <c r="G152" s="99"/>
      <c r="H152" s="80"/>
      <c r="K152" s="512"/>
      <c r="M152" s="503"/>
      <c r="N152" s="509"/>
    </row>
    <row r="153" spans="1:14" x14ac:dyDescent="0.25">
      <c r="A153" s="72" t="s">
        <v>1235</v>
      </c>
      <c r="B153" s="73" t="s">
        <v>590</v>
      </c>
      <c r="C153" s="73" t="s">
        <v>532</v>
      </c>
      <c r="D153" s="84"/>
      <c r="E153" s="74"/>
      <c r="F153" s="94">
        <v>10.385859999999999</v>
      </c>
      <c r="G153" s="99">
        <v>8884623</v>
      </c>
      <c r="H153" s="80">
        <v>12047</v>
      </c>
      <c r="K153" s="512" t="e">
        <f>L153*26/100</f>
        <v>#REF!</v>
      </c>
      <c r="L153" t="e">
        <f>VLOOKUP(G153,#REF!, 6, FALSE)</f>
        <v>#REF!</v>
      </c>
      <c r="M153" s="504"/>
      <c r="N153" s="494">
        <v>8884623</v>
      </c>
    </row>
    <row r="154" spans="1:14" x14ac:dyDescent="0.25">
      <c r="A154" s="72" t="s">
        <v>1236</v>
      </c>
      <c r="B154" s="73" t="s">
        <v>591</v>
      </c>
      <c r="C154" s="73" t="s">
        <v>532</v>
      </c>
      <c r="D154" s="84"/>
      <c r="E154" s="74"/>
      <c r="F154" s="94">
        <v>10.731</v>
      </c>
      <c r="G154" s="99">
        <v>8885233</v>
      </c>
      <c r="H154" s="80">
        <v>12064</v>
      </c>
      <c r="K154" s="512" t="e">
        <f>L154*26/100</f>
        <v>#REF!</v>
      </c>
      <c r="L154" t="e">
        <f>VLOOKUP(G154,#REF!, 6, FALSE)</f>
        <v>#REF!</v>
      </c>
      <c r="M154" s="505"/>
      <c r="N154" s="483">
        <v>8885233</v>
      </c>
    </row>
    <row r="155" spans="1:14" x14ac:dyDescent="0.25">
      <c r="A155" s="72" t="s">
        <v>1237</v>
      </c>
      <c r="B155" s="73" t="s">
        <v>592</v>
      </c>
      <c r="C155" s="73" t="s">
        <v>532</v>
      </c>
      <c r="D155" s="84"/>
      <c r="E155" s="74"/>
      <c r="F155" s="94">
        <v>5.60344</v>
      </c>
      <c r="G155" s="99">
        <v>9001883</v>
      </c>
      <c r="H155" s="80">
        <v>226668</v>
      </c>
      <c r="K155" s="512" t="e">
        <f t="shared" ref="K155:K160" si="3">L155*26/100</f>
        <v>#REF!</v>
      </c>
      <c r="L155" t="e">
        <f>VLOOKUP(G155,#REF!, 6, FALSE)</f>
        <v>#REF!</v>
      </c>
      <c r="N155" s="487">
        <v>9001883</v>
      </c>
    </row>
    <row r="156" spans="1:14" x14ac:dyDescent="0.25">
      <c r="A156" s="72" t="s">
        <v>1238</v>
      </c>
      <c r="B156" s="73" t="s">
        <v>593</v>
      </c>
      <c r="C156" s="73" t="s">
        <v>532</v>
      </c>
      <c r="D156" s="84"/>
      <c r="E156" s="74"/>
      <c r="F156" s="94">
        <v>5.5332499999999998</v>
      </c>
      <c r="G156" s="99">
        <v>9295093</v>
      </c>
      <c r="H156" s="80">
        <v>226669</v>
      </c>
      <c r="K156" s="512" t="e">
        <f t="shared" si="3"/>
        <v>#REF!</v>
      </c>
      <c r="L156" t="e">
        <f>VLOOKUP(G156,#REF!, 6, FALSE)</f>
        <v>#REF!</v>
      </c>
      <c r="N156" s="483">
        <v>9295093</v>
      </c>
    </row>
    <row r="157" spans="1:14" x14ac:dyDescent="0.25">
      <c r="A157" s="72" t="s">
        <v>1239</v>
      </c>
      <c r="B157" s="73" t="s">
        <v>594</v>
      </c>
      <c r="C157" s="73" t="s">
        <v>532</v>
      </c>
      <c r="D157" s="84"/>
      <c r="E157" s="74"/>
      <c r="F157" s="94">
        <v>41.185139999999997</v>
      </c>
      <c r="G157" s="99">
        <v>7021363</v>
      </c>
      <c r="H157" s="80">
        <v>347988</v>
      </c>
      <c r="K157" s="512" t="e">
        <f t="shared" si="3"/>
        <v>#REF!</v>
      </c>
      <c r="L157" t="e">
        <f>VLOOKUP(G157,#REF!, 6, FALSE)</f>
        <v>#REF!</v>
      </c>
      <c r="N157" s="491">
        <v>7021363</v>
      </c>
    </row>
    <row r="158" spans="1:14" x14ac:dyDescent="0.25">
      <c r="A158" s="72" t="s">
        <v>1240</v>
      </c>
      <c r="B158" s="73" t="s">
        <v>595</v>
      </c>
      <c r="C158" s="73" t="s">
        <v>532</v>
      </c>
      <c r="D158" s="84"/>
      <c r="E158" s="74"/>
      <c r="F158" s="94">
        <v>35.323819999999998</v>
      </c>
      <c r="G158" s="99">
        <v>1524002</v>
      </c>
      <c r="H158" s="80">
        <v>347989</v>
      </c>
      <c r="K158" s="512" t="e">
        <f t="shared" si="3"/>
        <v>#REF!</v>
      </c>
      <c r="L158" t="e">
        <f>VLOOKUP(G158,#REF!, 6, FALSE)</f>
        <v>#REF!</v>
      </c>
      <c r="N158" s="493">
        <v>1524002</v>
      </c>
    </row>
    <row r="159" spans="1:14" x14ac:dyDescent="0.25">
      <c r="A159" s="72" t="s">
        <v>1135</v>
      </c>
      <c r="B159" s="73"/>
      <c r="C159" s="73"/>
      <c r="D159" s="84"/>
      <c r="E159" s="74"/>
      <c r="F159" s="94"/>
      <c r="G159" s="99"/>
      <c r="H159" s="80"/>
      <c r="K159" s="512"/>
      <c r="N159" s="510"/>
    </row>
    <row r="160" spans="1:14" x14ac:dyDescent="0.25">
      <c r="A160" s="72" t="s">
        <v>1241</v>
      </c>
      <c r="B160" s="73" t="s">
        <v>596</v>
      </c>
      <c r="C160" s="73" t="s">
        <v>532</v>
      </c>
      <c r="D160" s="84"/>
      <c r="E160" s="74"/>
      <c r="F160" s="94">
        <v>19.826509999999999</v>
      </c>
      <c r="G160" s="99">
        <v>9350813</v>
      </c>
      <c r="H160" s="80">
        <v>118033</v>
      </c>
      <c r="K160" s="512" t="e">
        <f t="shared" si="3"/>
        <v>#REF!</v>
      </c>
      <c r="L160" t="e">
        <f>VLOOKUP(G160,#REF!, 6, FALSE)</f>
        <v>#REF!</v>
      </c>
      <c r="N160" s="487">
        <v>9350813</v>
      </c>
    </row>
    <row r="161" spans="1:14" x14ac:dyDescent="0.25">
      <c r="A161" s="72" t="s">
        <v>1135</v>
      </c>
      <c r="B161" s="73"/>
      <c r="C161" s="73"/>
      <c r="D161" s="84"/>
      <c r="E161" s="74"/>
      <c r="F161" s="94"/>
      <c r="G161" s="99"/>
      <c r="H161" s="80"/>
      <c r="K161" s="512"/>
      <c r="N161" s="487"/>
    </row>
    <row r="162" spans="1:14" x14ac:dyDescent="0.25">
      <c r="A162" s="72" t="s">
        <v>1242</v>
      </c>
      <c r="B162" s="73" t="s">
        <v>597</v>
      </c>
      <c r="C162" s="73" t="s">
        <v>532</v>
      </c>
      <c r="D162" s="84"/>
      <c r="E162" s="74"/>
      <c r="F162" s="94">
        <v>1.65564</v>
      </c>
      <c r="G162" s="99">
        <v>5891994</v>
      </c>
      <c r="H162" s="80">
        <v>203387</v>
      </c>
      <c r="K162" s="512" t="e">
        <f t="shared" ref="K162:K183" si="4">L162*26/100</f>
        <v>#REF!</v>
      </c>
      <c r="L162" t="e">
        <f>VLOOKUP(G162,#REF!, 6, FALSE)</f>
        <v>#REF!</v>
      </c>
      <c r="N162" s="487">
        <v>1037431</v>
      </c>
    </row>
    <row r="163" spans="1:14" x14ac:dyDescent="0.25">
      <c r="A163" s="72" t="s">
        <v>1243</v>
      </c>
      <c r="B163" s="73" t="s">
        <v>598</v>
      </c>
      <c r="C163" s="73" t="s">
        <v>532</v>
      </c>
      <c r="D163" s="84"/>
      <c r="E163" s="74"/>
      <c r="F163" s="94">
        <v>1.8724499999999999</v>
      </c>
      <c r="G163" s="99">
        <v>4787251</v>
      </c>
      <c r="H163" s="80">
        <v>211476</v>
      </c>
      <c r="K163" s="512" t="e">
        <f t="shared" si="4"/>
        <v>#REF!</v>
      </c>
      <c r="L163" t="e">
        <f>VLOOKUP(G163,#REF!, 6, FALSE)</f>
        <v>#REF!</v>
      </c>
      <c r="N163" s="483">
        <v>3120329</v>
      </c>
    </row>
    <row r="164" spans="1:14" x14ac:dyDescent="0.25">
      <c r="A164" s="72" t="s">
        <v>1244</v>
      </c>
      <c r="B164" s="73" t="s">
        <v>599</v>
      </c>
      <c r="C164" s="73" t="s">
        <v>532</v>
      </c>
      <c r="D164" s="84"/>
      <c r="E164" s="74"/>
      <c r="F164" s="94">
        <v>2.7772899999999998</v>
      </c>
      <c r="G164" s="99">
        <v>8002803</v>
      </c>
      <c r="H164" s="80">
        <v>12323</v>
      </c>
      <c r="K164" s="512" t="e">
        <f t="shared" si="4"/>
        <v>#REF!</v>
      </c>
      <c r="L164" t="e">
        <f>VLOOKUP(G164,#REF!, 6, FALSE)</f>
        <v>#REF!</v>
      </c>
      <c r="N164" s="483">
        <v>8002803</v>
      </c>
    </row>
    <row r="165" spans="1:14" x14ac:dyDescent="0.25">
      <c r="A165" s="72" t="s">
        <v>1245</v>
      </c>
      <c r="B165" s="73" t="s">
        <v>600</v>
      </c>
      <c r="C165" s="73" t="s">
        <v>532</v>
      </c>
      <c r="D165" s="84"/>
      <c r="E165" s="74"/>
      <c r="F165" s="94">
        <v>2.7738499999999999</v>
      </c>
      <c r="G165" s="99">
        <v>8115693</v>
      </c>
      <c r="H165" s="80">
        <v>12326</v>
      </c>
      <c r="K165" s="512" t="e">
        <f t="shared" si="4"/>
        <v>#REF!</v>
      </c>
      <c r="L165" t="e">
        <f>VLOOKUP(G165,#REF!, 6, FALSE)</f>
        <v>#REF!</v>
      </c>
      <c r="N165" s="487">
        <v>8003033</v>
      </c>
    </row>
    <row r="166" spans="1:14" x14ac:dyDescent="0.25">
      <c r="A166" s="72" t="s">
        <v>1135</v>
      </c>
      <c r="B166" s="73"/>
      <c r="C166" s="73"/>
      <c r="D166" s="84"/>
      <c r="E166" s="74"/>
      <c r="F166" s="94"/>
      <c r="G166" s="99"/>
      <c r="H166" s="80"/>
      <c r="K166" s="512"/>
      <c r="N166" s="483"/>
    </row>
    <row r="167" spans="1:14" x14ac:dyDescent="0.25">
      <c r="A167" s="72" t="s">
        <v>1246</v>
      </c>
      <c r="B167" s="73" t="s">
        <v>798</v>
      </c>
      <c r="C167" s="73" t="s">
        <v>532</v>
      </c>
      <c r="D167" s="84"/>
      <c r="E167" s="74"/>
      <c r="F167" s="94">
        <v>1.7393000000000001</v>
      </c>
      <c r="G167" s="972">
        <v>8748653</v>
      </c>
      <c r="H167" s="80">
        <v>12340</v>
      </c>
      <c r="K167" s="512" t="e">
        <f t="shared" si="4"/>
        <v>#REF!</v>
      </c>
      <c r="L167" t="e">
        <f>VLOOKUP(G167,#REF!, 6, FALSE)</f>
        <v>#REF!</v>
      </c>
      <c r="N167" s="487">
        <v>2364043</v>
      </c>
    </row>
    <row r="168" spans="1:14" x14ac:dyDescent="0.25">
      <c r="A168" s="72" t="s">
        <v>1247</v>
      </c>
      <c r="B168" s="73" t="s">
        <v>601</v>
      </c>
      <c r="C168" s="73" t="s">
        <v>532</v>
      </c>
      <c r="D168" s="84"/>
      <c r="E168" s="74"/>
      <c r="F168" s="94">
        <v>2.1260500000000002</v>
      </c>
      <c r="G168" s="972">
        <v>9340977</v>
      </c>
      <c r="H168" s="80">
        <v>12312</v>
      </c>
      <c r="K168" s="512" t="e">
        <f t="shared" si="4"/>
        <v>#REF!</v>
      </c>
      <c r="L168" t="e">
        <f>VLOOKUP(G168,#REF!, 6, FALSE)</f>
        <v>#REF!</v>
      </c>
      <c r="N168" s="487">
        <v>2364983</v>
      </c>
    </row>
    <row r="169" spans="1:14" x14ac:dyDescent="0.25">
      <c r="A169" s="72" t="s">
        <v>1248</v>
      </c>
      <c r="B169" s="73" t="s">
        <v>602</v>
      </c>
      <c r="C169" s="73" t="s">
        <v>532</v>
      </c>
      <c r="D169" s="84"/>
      <c r="E169" s="74"/>
      <c r="F169" s="94">
        <v>1.9889600000000001</v>
      </c>
      <c r="G169" s="99">
        <v>2364103</v>
      </c>
      <c r="H169" s="80">
        <v>12341</v>
      </c>
      <c r="K169" s="512" t="e">
        <f t="shared" si="4"/>
        <v>#REF!</v>
      </c>
      <c r="L169" t="e">
        <f>VLOOKUP(G169,#REF!, 6, FALSE)</f>
        <v>#REF!</v>
      </c>
      <c r="N169" s="483">
        <v>2364103</v>
      </c>
    </row>
    <row r="170" spans="1:14" x14ac:dyDescent="0.25">
      <c r="A170" s="72" t="s">
        <v>1249</v>
      </c>
      <c r="B170" s="73" t="s">
        <v>603</v>
      </c>
      <c r="C170" s="73" t="s">
        <v>532</v>
      </c>
      <c r="D170" s="84"/>
      <c r="E170" s="74"/>
      <c r="F170" s="94">
        <v>2.3757100000000002</v>
      </c>
      <c r="G170" s="99">
        <v>2365103</v>
      </c>
      <c r="H170" s="80" t="s">
        <v>1118</v>
      </c>
      <c r="K170" s="512" t="e">
        <f t="shared" si="4"/>
        <v>#REF!</v>
      </c>
      <c r="L170" t="e">
        <f>VLOOKUP(G170,#REF!, 6, FALSE)</f>
        <v>#REF!</v>
      </c>
      <c r="N170" s="483">
        <v>2365103</v>
      </c>
    </row>
    <row r="171" spans="1:14" x14ac:dyDescent="0.25">
      <c r="A171" s="72" t="s">
        <v>1250</v>
      </c>
      <c r="B171" s="73" t="s">
        <v>604</v>
      </c>
      <c r="C171" s="73" t="s">
        <v>532</v>
      </c>
      <c r="D171" s="84"/>
      <c r="E171" s="74"/>
      <c r="F171" s="94">
        <v>0.68708000000000002</v>
      </c>
      <c r="G171" s="99">
        <v>7480175</v>
      </c>
      <c r="H171" s="80">
        <v>12306</v>
      </c>
      <c r="K171" s="512" t="e">
        <f t="shared" si="4"/>
        <v>#REF!</v>
      </c>
      <c r="L171" t="e">
        <f>VLOOKUP(G171,#REF!, 6, FALSE)</f>
        <v>#REF!</v>
      </c>
      <c r="N171" s="487">
        <v>1925383</v>
      </c>
    </row>
    <row r="172" spans="1:14" x14ac:dyDescent="0.25">
      <c r="A172" s="72" t="s">
        <v>1251</v>
      </c>
      <c r="B172" s="73" t="s">
        <v>605</v>
      </c>
      <c r="C172" s="73" t="s">
        <v>532</v>
      </c>
      <c r="D172" s="84"/>
      <c r="E172" s="74"/>
      <c r="F172" s="94">
        <v>1.0634600000000001</v>
      </c>
      <c r="G172" s="972">
        <v>9120278</v>
      </c>
      <c r="H172" s="80">
        <v>12302</v>
      </c>
      <c r="K172" s="512" t="e">
        <f t="shared" si="4"/>
        <v>#REF!</v>
      </c>
      <c r="L172" t="e">
        <f>VLOOKUP(G172,#REF!, 6, FALSE)</f>
        <v>#REF!</v>
      </c>
      <c r="N172" s="487">
        <v>1863003</v>
      </c>
    </row>
    <row r="173" spans="1:14" x14ac:dyDescent="0.25">
      <c r="A173" s="72" t="s">
        <v>1135</v>
      </c>
      <c r="B173" s="73"/>
      <c r="C173" s="73"/>
      <c r="D173" s="84"/>
      <c r="E173" s="74"/>
      <c r="F173" s="94"/>
      <c r="G173" s="99"/>
      <c r="H173" s="80"/>
      <c r="K173" s="512"/>
      <c r="N173" s="487"/>
    </row>
    <row r="174" spans="1:14" x14ac:dyDescent="0.25">
      <c r="A174" s="72" t="s">
        <v>1252</v>
      </c>
      <c r="B174" s="73" t="s">
        <v>606</v>
      </c>
      <c r="C174" s="73" t="s">
        <v>532</v>
      </c>
      <c r="D174" s="84"/>
      <c r="E174" s="74"/>
      <c r="F174" s="94">
        <v>0.30003000000000002</v>
      </c>
      <c r="G174" s="99">
        <v>3284903</v>
      </c>
      <c r="H174" s="80">
        <v>12093</v>
      </c>
      <c r="K174" s="512" t="e">
        <f t="shared" si="4"/>
        <v>#REF!</v>
      </c>
      <c r="L174" t="e">
        <f>VLOOKUP(G174,#REF!, 6, FALSE)</f>
        <v>#REF!</v>
      </c>
      <c r="N174" s="487">
        <v>3284903</v>
      </c>
    </row>
    <row r="175" spans="1:14" x14ac:dyDescent="0.25">
      <c r="A175" s="72" t="s">
        <v>1253</v>
      </c>
      <c r="B175" s="73" t="s">
        <v>607</v>
      </c>
      <c r="C175" s="73" t="s">
        <v>532</v>
      </c>
      <c r="D175" s="84"/>
      <c r="E175" s="74"/>
      <c r="F175" s="94">
        <v>0.30003000000000002</v>
      </c>
      <c r="G175" s="99">
        <v>3503786</v>
      </c>
      <c r="H175" s="80">
        <v>347984</v>
      </c>
      <c r="K175" s="512" t="e">
        <f t="shared" si="4"/>
        <v>#REF!</v>
      </c>
      <c r="L175" t="e">
        <f>VLOOKUP(G175,#REF!, 6, FALSE)</f>
        <v>#REF!</v>
      </c>
      <c r="N175" s="492">
        <v>3503786</v>
      </c>
    </row>
    <row r="176" spans="1:14" x14ac:dyDescent="0.25">
      <c r="A176" s="72" t="s">
        <v>1135</v>
      </c>
      <c r="B176" s="73"/>
      <c r="C176" s="73"/>
      <c r="D176" s="84"/>
      <c r="E176" s="74"/>
      <c r="F176" s="94"/>
      <c r="G176" s="99"/>
      <c r="H176" s="80"/>
      <c r="K176" s="512"/>
      <c r="N176" s="508"/>
    </row>
    <row r="177" spans="1:14" x14ac:dyDescent="0.25">
      <c r="A177" s="72" t="s">
        <v>1254</v>
      </c>
      <c r="B177" s="73" t="s">
        <v>608</v>
      </c>
      <c r="C177" s="73" t="s">
        <v>532</v>
      </c>
      <c r="D177" s="84"/>
      <c r="E177" s="74"/>
      <c r="F177" s="94">
        <v>0.43844</v>
      </c>
      <c r="G177" s="99">
        <v>4024443</v>
      </c>
      <c r="H177" s="80">
        <v>12058</v>
      </c>
      <c r="K177" s="512" t="e">
        <f t="shared" si="4"/>
        <v>#REF!</v>
      </c>
      <c r="L177" t="e">
        <f>VLOOKUP(G177,#REF!, 6, FALSE)</f>
        <v>#REF!</v>
      </c>
      <c r="N177" s="486">
        <v>4024443</v>
      </c>
    </row>
    <row r="178" spans="1:14" x14ac:dyDescent="0.25">
      <c r="A178" s="72" t="s">
        <v>1255</v>
      </c>
      <c r="B178" s="73" t="s">
        <v>609</v>
      </c>
      <c r="C178" s="73" t="s">
        <v>532</v>
      </c>
      <c r="D178" s="84"/>
      <c r="E178" s="74"/>
      <c r="F178" s="94">
        <v>0.43844</v>
      </c>
      <c r="G178" s="99">
        <v>9003173</v>
      </c>
      <c r="H178" s="80">
        <v>12042</v>
      </c>
      <c r="K178" s="512" t="e">
        <f t="shared" si="4"/>
        <v>#REF!</v>
      </c>
      <c r="L178" t="e">
        <f>VLOOKUP(G178,#REF!, 6, FALSE)</f>
        <v>#REF!</v>
      </c>
      <c r="N178" s="495">
        <v>9003173</v>
      </c>
    </row>
    <row r="179" spans="1:14" x14ac:dyDescent="0.25">
      <c r="A179" s="72" t="s">
        <v>1256</v>
      </c>
      <c r="B179" s="73" t="s">
        <v>610</v>
      </c>
      <c r="C179" s="73" t="s">
        <v>532</v>
      </c>
      <c r="D179" s="84"/>
      <c r="E179" s="74"/>
      <c r="F179" s="94">
        <v>0.43844</v>
      </c>
      <c r="G179" s="99">
        <v>9086485</v>
      </c>
      <c r="H179" s="80">
        <v>347986</v>
      </c>
      <c r="K179" s="512" t="e">
        <f t="shared" si="4"/>
        <v>#REF!</v>
      </c>
      <c r="L179" t="e">
        <f>VLOOKUP(G179,#REF!, 6, FALSE)</f>
        <v>#REF!</v>
      </c>
      <c r="N179" s="493">
        <v>9086485</v>
      </c>
    </row>
    <row r="180" spans="1:14" x14ac:dyDescent="0.25">
      <c r="A180" s="72" t="s">
        <v>1135</v>
      </c>
      <c r="B180" s="73"/>
      <c r="C180" s="73"/>
      <c r="D180" s="84"/>
      <c r="E180" s="74"/>
      <c r="F180" s="94"/>
      <c r="G180" s="99"/>
      <c r="H180" s="80"/>
      <c r="K180" s="512"/>
      <c r="N180" s="507"/>
    </row>
    <row r="181" spans="1:14" x14ac:dyDescent="0.25">
      <c r="A181" s="72" t="s">
        <v>1257</v>
      </c>
      <c r="B181" s="73" t="s">
        <v>611</v>
      </c>
      <c r="C181" s="73" t="s">
        <v>160</v>
      </c>
      <c r="D181" s="84"/>
      <c r="E181" s="74"/>
      <c r="F181" s="94">
        <v>1.5719799999999999</v>
      </c>
      <c r="G181" s="99">
        <v>9048274</v>
      </c>
      <c r="H181" s="80">
        <v>12039</v>
      </c>
      <c r="K181" s="512" t="e">
        <f t="shared" si="4"/>
        <v>#REF!</v>
      </c>
      <c r="L181" t="e">
        <f>VLOOKUP(G181,#REF!, 6, FALSE)</f>
        <v>#REF!</v>
      </c>
      <c r="N181" s="486">
        <v>9048274</v>
      </c>
    </row>
    <row r="182" spans="1:14" x14ac:dyDescent="0.25">
      <c r="A182" s="72" t="s">
        <v>1258</v>
      </c>
      <c r="B182" s="73" t="s">
        <v>612</v>
      </c>
      <c r="C182" s="73" t="s">
        <v>613</v>
      </c>
      <c r="D182" s="84"/>
      <c r="E182" s="74"/>
      <c r="F182" s="94">
        <v>2.1242999999999999</v>
      </c>
      <c r="G182" s="99">
        <v>4426173</v>
      </c>
      <c r="H182" s="80">
        <v>347982</v>
      </c>
      <c r="K182" s="512" t="e">
        <f t="shared" si="4"/>
        <v>#REF!</v>
      </c>
      <c r="L182" t="e">
        <f>VLOOKUP(G182,#REF!, 6, FALSE)</f>
        <v>#REF!</v>
      </c>
      <c r="N182" s="492">
        <v>4426173</v>
      </c>
    </row>
    <row r="183" spans="1:14" x14ac:dyDescent="0.25">
      <c r="A183" s="72" t="s">
        <v>1259</v>
      </c>
      <c r="B183" s="73" t="s">
        <v>614</v>
      </c>
      <c r="C183" s="73" t="s">
        <v>613</v>
      </c>
      <c r="D183" s="84"/>
      <c r="E183" s="74"/>
      <c r="F183" s="94">
        <v>2.1242999999999999</v>
      </c>
      <c r="G183" s="99">
        <v>4787430</v>
      </c>
      <c r="H183" s="80">
        <v>347981</v>
      </c>
      <c r="K183" s="512" t="e">
        <f t="shared" si="4"/>
        <v>#REF!</v>
      </c>
      <c r="L183" t="e">
        <f>VLOOKUP(G183,#REF!, 6, FALSE)</f>
        <v>#REF!</v>
      </c>
      <c r="N183" s="493">
        <v>4787430</v>
      </c>
    </row>
    <row r="184" spans="1:14" x14ac:dyDescent="0.25">
      <c r="A184" s="72" t="s">
        <v>1135</v>
      </c>
      <c r="B184" s="73"/>
      <c r="C184" s="73"/>
      <c r="D184" s="84"/>
      <c r="E184" s="74"/>
      <c r="F184" s="94"/>
      <c r="G184" s="99"/>
      <c r="H184" s="80"/>
      <c r="K184" s="512"/>
      <c r="N184" s="510"/>
    </row>
    <row r="185" spans="1:14" x14ac:dyDescent="0.25">
      <c r="A185" s="72" t="s">
        <v>1135</v>
      </c>
      <c r="B185" s="73"/>
      <c r="C185" s="73"/>
      <c r="D185" s="84"/>
      <c r="E185" s="74"/>
      <c r="F185" s="94"/>
      <c r="G185" s="99"/>
      <c r="H185" s="80"/>
      <c r="K185" s="512"/>
      <c r="N185" s="488"/>
    </row>
    <row r="186" spans="1:14" x14ac:dyDescent="0.25">
      <c r="A186" s="72" t="s">
        <v>1135</v>
      </c>
      <c r="B186" s="73"/>
      <c r="C186" s="73"/>
      <c r="D186" s="84"/>
      <c r="E186" s="74"/>
      <c r="F186" s="94"/>
      <c r="G186" s="99"/>
      <c r="H186" s="80"/>
      <c r="K186" s="512"/>
      <c r="N186" s="484"/>
    </row>
    <row r="187" spans="1:14" x14ac:dyDescent="0.25">
      <c r="A187" s="72" t="s">
        <v>1260</v>
      </c>
      <c r="B187" s="73" t="s">
        <v>697</v>
      </c>
      <c r="C187" s="73" t="s">
        <v>696</v>
      </c>
      <c r="D187" s="84"/>
      <c r="E187" s="74"/>
      <c r="F187" s="94">
        <v>905.30219999999997</v>
      </c>
      <c r="G187" s="99">
        <v>5362207</v>
      </c>
      <c r="H187" s="80">
        <v>507349</v>
      </c>
      <c r="I187" s="4"/>
      <c r="K187" s="512" t="e">
        <f>L187*26/100</f>
        <v>#REF!</v>
      </c>
      <c r="L187" t="e">
        <f>VLOOKUP(G187,#REF!, 6, FALSE)</f>
        <v>#REF!</v>
      </c>
      <c r="M187" s="499"/>
      <c r="N187" s="487">
        <v>9026180</v>
      </c>
    </row>
    <row r="188" spans="1:14" x14ac:dyDescent="0.25">
      <c r="A188" s="72" t="s">
        <v>1261</v>
      </c>
      <c r="B188" s="73" t="s">
        <v>616</v>
      </c>
      <c r="C188" s="73" t="s">
        <v>696</v>
      </c>
      <c r="D188" s="84"/>
      <c r="E188" s="74"/>
      <c r="F188" s="94">
        <v>905.30219999999997</v>
      </c>
      <c r="G188" s="99">
        <v>9961208</v>
      </c>
      <c r="H188" s="80">
        <v>347839</v>
      </c>
      <c r="I188" s="4"/>
      <c r="K188" s="512" t="e">
        <f>L188*26/100</f>
        <v>#REF!</v>
      </c>
      <c r="L188" t="e">
        <f>VLOOKUP(G188,#REF!, 6, FALSE)</f>
        <v>#REF!</v>
      </c>
      <c r="M188" s="499"/>
      <c r="N188" s="483">
        <v>9961208</v>
      </c>
    </row>
    <row r="189" spans="1:14" x14ac:dyDescent="0.25">
      <c r="A189" s="72" t="s">
        <v>1262</v>
      </c>
      <c r="B189" s="73" t="s">
        <v>617</v>
      </c>
      <c r="C189" s="73" t="s">
        <v>613</v>
      </c>
      <c r="D189" s="84"/>
      <c r="E189" s="74"/>
      <c r="F189" s="94">
        <v>2.4790800000000002</v>
      </c>
      <c r="G189" s="99">
        <v>7834990</v>
      </c>
      <c r="H189" s="80">
        <v>99131</v>
      </c>
      <c r="K189" s="512" t="e">
        <f t="shared" ref="K189:K196" si="5">L189*26/100</f>
        <v>#REF!</v>
      </c>
      <c r="L189" t="e">
        <f>VLOOKUP(G189,#REF!, 6, FALSE)</f>
        <v>#REF!</v>
      </c>
      <c r="N189" s="488">
        <v>7834990</v>
      </c>
    </row>
    <row r="190" spans="1:14" x14ac:dyDescent="0.25">
      <c r="A190" s="72" t="s">
        <v>1263</v>
      </c>
      <c r="B190" s="73" t="s">
        <v>618</v>
      </c>
      <c r="C190" s="73" t="s">
        <v>613</v>
      </c>
      <c r="D190" s="84"/>
      <c r="E190" s="74"/>
      <c r="F190" s="94">
        <v>2.2267899999999998</v>
      </c>
      <c r="G190" s="99">
        <v>7402930</v>
      </c>
      <c r="H190" s="80">
        <v>99120</v>
      </c>
      <c r="K190" s="512" t="e">
        <f t="shared" si="5"/>
        <v>#REF!</v>
      </c>
      <c r="L190" t="e">
        <f>VLOOKUP(G190,#REF!, 6, FALSE)</f>
        <v>#REF!</v>
      </c>
      <c r="N190" s="488">
        <v>7402930</v>
      </c>
    </row>
    <row r="191" spans="1:14" x14ac:dyDescent="0.25">
      <c r="A191" s="72" t="s">
        <v>1264</v>
      </c>
      <c r="B191" s="73" t="s">
        <v>619</v>
      </c>
      <c r="C191" s="73" t="s">
        <v>620</v>
      </c>
      <c r="D191" s="84"/>
      <c r="E191" s="74"/>
      <c r="F191" s="94">
        <v>2.7142900000000001</v>
      </c>
      <c r="G191" s="99">
        <v>7283231</v>
      </c>
      <c r="H191" s="80">
        <v>99105</v>
      </c>
      <c r="K191" s="512" t="e">
        <f t="shared" si="5"/>
        <v>#REF!</v>
      </c>
      <c r="L191" t="e">
        <f>VLOOKUP(G191,#REF!, 6, FALSE)</f>
        <v>#REF!</v>
      </c>
      <c r="N191" s="488">
        <v>7283231</v>
      </c>
    </row>
    <row r="192" spans="1:14" x14ac:dyDescent="0.25">
      <c r="A192" s="72" t="s">
        <v>1265</v>
      </c>
      <c r="B192" s="73" t="s">
        <v>621</v>
      </c>
      <c r="C192" s="73" t="s">
        <v>160</v>
      </c>
      <c r="D192" s="84"/>
      <c r="E192" s="74"/>
      <c r="F192" s="94">
        <v>94.233509999999995</v>
      </c>
      <c r="G192" s="99">
        <v>7550294</v>
      </c>
      <c r="H192" s="80">
        <v>99107</v>
      </c>
      <c r="K192" s="512" t="e">
        <f t="shared" si="5"/>
        <v>#REF!</v>
      </c>
      <c r="L192" t="e">
        <f>VLOOKUP(G192,#REF!, 6, FALSE)</f>
        <v>#REF!</v>
      </c>
      <c r="N192" s="488">
        <v>7550294</v>
      </c>
    </row>
    <row r="193" spans="1:14" x14ac:dyDescent="0.25">
      <c r="A193" s="72" t="s">
        <v>1266</v>
      </c>
      <c r="B193" s="73" t="s">
        <v>622</v>
      </c>
      <c r="C193" s="73" t="s">
        <v>160</v>
      </c>
      <c r="D193" s="84"/>
      <c r="E193" s="74"/>
      <c r="F193" s="94">
        <v>22.853960000000001</v>
      </c>
      <c r="G193" s="99">
        <v>7205784</v>
      </c>
      <c r="H193" s="80">
        <v>99108</v>
      </c>
      <c r="K193" s="512" t="e">
        <f t="shared" si="5"/>
        <v>#REF!</v>
      </c>
      <c r="L193" t="e">
        <f>VLOOKUP(G193,#REF!, 6, FALSE)</f>
        <v>#REF!</v>
      </c>
      <c r="N193" s="488">
        <v>7205784</v>
      </c>
    </row>
    <row r="194" spans="1:14" x14ac:dyDescent="0.25">
      <c r="A194" s="72" t="s">
        <v>1293</v>
      </c>
      <c r="B194" s="73" t="s">
        <v>1292</v>
      </c>
      <c r="C194" s="73" t="s">
        <v>160</v>
      </c>
      <c r="D194" s="84"/>
      <c r="E194" s="74"/>
      <c r="F194" s="94">
        <v>384.03829000000002</v>
      </c>
      <c r="G194" s="99">
        <v>3726359</v>
      </c>
      <c r="H194" s="80" t="s">
        <v>1291</v>
      </c>
      <c r="K194" s="512" t="e">
        <f t="shared" si="5"/>
        <v>#REF!</v>
      </c>
      <c r="L194" t="e">
        <f>VLOOKUP(G194,#REF!, 6, FALSE)</f>
        <v>#REF!</v>
      </c>
      <c r="N194" s="488">
        <v>5082891</v>
      </c>
    </row>
    <row r="195" spans="1:14" x14ac:dyDescent="0.25">
      <c r="A195" s="72" t="s">
        <v>1267</v>
      </c>
      <c r="B195" s="73" t="s">
        <v>623</v>
      </c>
      <c r="C195" s="73" t="s">
        <v>624</v>
      </c>
      <c r="D195" s="84"/>
      <c r="E195" s="74"/>
      <c r="F195" s="94">
        <v>12.68755</v>
      </c>
      <c r="G195" s="99">
        <v>9327076</v>
      </c>
      <c r="H195" s="80">
        <v>131344</v>
      </c>
      <c r="K195" s="512" t="e">
        <f t="shared" si="5"/>
        <v>#REF!</v>
      </c>
      <c r="L195" t="e">
        <f>VLOOKUP(G195,#REF!, 6, FALSE)</f>
        <v>#REF!</v>
      </c>
      <c r="N195" s="488">
        <v>9327076</v>
      </c>
    </row>
    <row r="196" spans="1:14" x14ac:dyDescent="0.25">
      <c r="A196" s="72" t="s">
        <v>1268</v>
      </c>
      <c r="B196" s="73" t="s">
        <v>625</v>
      </c>
      <c r="C196" s="73" t="s">
        <v>160</v>
      </c>
      <c r="D196" s="84"/>
      <c r="E196" s="74"/>
      <c r="F196" s="94">
        <v>22.446619999999999</v>
      </c>
      <c r="G196" s="99">
        <v>8820285</v>
      </c>
      <c r="H196" s="80">
        <v>132954</v>
      </c>
      <c r="K196" s="512" t="e">
        <f t="shared" si="5"/>
        <v>#REF!</v>
      </c>
      <c r="L196" t="e">
        <f>VLOOKUP(G196,#REF!, 6, FALSE)</f>
        <v>#REF!</v>
      </c>
      <c r="N196" s="488">
        <v>8820285</v>
      </c>
    </row>
    <row r="197" spans="1:14" x14ac:dyDescent="0.25">
      <c r="A197" s="72" t="s">
        <v>1269</v>
      </c>
      <c r="B197" s="73" t="s">
        <v>626</v>
      </c>
      <c r="C197" s="73" t="s">
        <v>615</v>
      </c>
      <c r="D197" s="84"/>
      <c r="E197" s="74"/>
      <c r="F197" s="94">
        <v>105.02670999999999</v>
      </c>
      <c r="G197" s="99">
        <v>8457250</v>
      </c>
      <c r="H197" s="80">
        <v>459669</v>
      </c>
      <c r="K197" s="512" t="e">
        <f t="shared" ref="K197:K217" si="6">L197*26/100</f>
        <v>#REF!</v>
      </c>
      <c r="L197" t="e">
        <f>VLOOKUP(G197,#REF!, 6, FALSE)</f>
        <v>#REF!</v>
      </c>
      <c r="N197" s="484">
        <v>8978398</v>
      </c>
    </row>
    <row r="198" spans="1:14" x14ac:dyDescent="0.25">
      <c r="A198" s="72" t="s">
        <v>1270</v>
      </c>
      <c r="B198" s="73" t="s">
        <v>626</v>
      </c>
      <c r="C198" s="73" t="s">
        <v>627</v>
      </c>
      <c r="D198" s="84"/>
      <c r="E198" s="74"/>
      <c r="F198" s="94">
        <v>109.22888</v>
      </c>
      <c r="G198" s="99">
        <v>6550469</v>
      </c>
      <c r="H198" s="80">
        <v>419890</v>
      </c>
      <c r="K198" s="512" t="e">
        <f t="shared" si="6"/>
        <v>#REF!</v>
      </c>
      <c r="L198" t="e">
        <f>VLOOKUP(G198,#REF!, 6, FALSE)</f>
        <v>#REF!</v>
      </c>
      <c r="N198" s="490">
        <v>8978392</v>
      </c>
    </row>
    <row r="199" spans="1:14" x14ac:dyDescent="0.25">
      <c r="A199" s="72" t="s">
        <v>1271</v>
      </c>
      <c r="B199" s="73" t="s">
        <v>626</v>
      </c>
      <c r="C199" s="73" t="s">
        <v>545</v>
      </c>
      <c r="D199" s="84"/>
      <c r="E199" s="74"/>
      <c r="F199" s="94">
        <v>109.22888</v>
      </c>
      <c r="G199" s="99">
        <v>2471776</v>
      </c>
      <c r="H199" s="80">
        <v>416262</v>
      </c>
      <c r="K199" s="512" t="e">
        <f>L199*26/100</f>
        <v>#REF!</v>
      </c>
      <c r="L199" t="e">
        <f>VLOOKUP(G199,#REF!, 6, FALSE)</f>
        <v>#REF!</v>
      </c>
      <c r="N199" s="490">
        <v>8978393</v>
      </c>
    </row>
    <row r="200" spans="1:14" x14ac:dyDescent="0.25">
      <c r="A200" s="72" t="s">
        <v>1135</v>
      </c>
      <c r="B200" s="73"/>
      <c r="C200" s="73"/>
      <c r="D200" s="84"/>
      <c r="E200" s="74"/>
      <c r="F200" s="94"/>
      <c r="G200" s="99"/>
      <c r="H200" s="80"/>
      <c r="K200" s="512"/>
      <c r="N200" s="496"/>
    </row>
    <row r="201" spans="1:14" x14ac:dyDescent="0.25">
      <c r="A201" s="72" t="s">
        <v>1135</v>
      </c>
      <c r="B201" s="73"/>
      <c r="C201" s="73"/>
      <c r="D201" s="84"/>
      <c r="E201" s="74"/>
      <c r="F201" s="94"/>
      <c r="G201" s="99"/>
      <c r="H201" s="80"/>
      <c r="K201" s="512"/>
      <c r="N201" s="496"/>
    </row>
    <row r="202" spans="1:14" x14ac:dyDescent="0.25">
      <c r="A202" s="72" t="s">
        <v>1135</v>
      </c>
      <c r="B202" s="73"/>
      <c r="C202" s="73"/>
      <c r="D202" s="84"/>
      <c r="E202" s="74"/>
      <c r="F202" s="94"/>
      <c r="G202" s="99"/>
      <c r="H202" s="80"/>
      <c r="K202" s="512"/>
      <c r="N202" s="496"/>
    </row>
    <row r="203" spans="1:14" x14ac:dyDescent="0.25">
      <c r="A203" s="72" t="s">
        <v>1272</v>
      </c>
      <c r="B203" s="73" t="s">
        <v>628</v>
      </c>
      <c r="C203" s="73" t="s">
        <v>797</v>
      </c>
      <c r="D203" s="84"/>
      <c r="E203" s="74"/>
      <c r="F203" s="94">
        <v>12.830769999999999</v>
      </c>
      <c r="G203" s="972">
        <v>9638374</v>
      </c>
      <c r="H203" s="80">
        <v>250827</v>
      </c>
      <c r="K203" s="512" t="e">
        <f t="shared" si="6"/>
        <v>#REF!</v>
      </c>
      <c r="L203" t="e">
        <f>VLOOKUP(G203,#REF!, 6, FALSE)</f>
        <v>#REF!</v>
      </c>
      <c r="N203" s="497">
        <v>7696336</v>
      </c>
    </row>
    <row r="204" spans="1:14" x14ac:dyDescent="0.25">
      <c r="A204" s="72" t="s">
        <v>1273</v>
      </c>
      <c r="B204" s="73" t="s">
        <v>628</v>
      </c>
      <c r="C204" s="73" t="s">
        <v>627</v>
      </c>
      <c r="D204" s="84"/>
      <c r="E204" s="74"/>
      <c r="F204" s="94">
        <v>12.830769999999999</v>
      </c>
      <c r="G204" s="972">
        <v>5425480</v>
      </c>
      <c r="H204" s="80">
        <v>250826</v>
      </c>
      <c r="K204" s="512" t="e">
        <f t="shared" si="6"/>
        <v>#REF!</v>
      </c>
      <c r="L204" t="e">
        <f>VLOOKUP(G204,#REF!, 6, FALSE)</f>
        <v>#REF!</v>
      </c>
      <c r="N204" s="497">
        <v>4683908</v>
      </c>
    </row>
    <row r="205" spans="1:14" x14ac:dyDescent="0.25">
      <c r="A205" s="72" t="s">
        <v>1274</v>
      </c>
      <c r="B205" s="73" t="s">
        <v>628</v>
      </c>
      <c r="C205" s="73" t="s">
        <v>653</v>
      </c>
      <c r="D205" s="84"/>
      <c r="E205" s="74"/>
      <c r="F205" s="94">
        <v>12.830769999999999</v>
      </c>
      <c r="G205" s="99">
        <v>8847603</v>
      </c>
      <c r="H205" s="80">
        <v>497006</v>
      </c>
      <c r="K205" s="512">
        <f t="shared" si="6"/>
        <v>49.381800000000005</v>
      </c>
      <c r="L205" s="511">
        <v>189.93</v>
      </c>
      <c r="N205" s="497" t="s">
        <v>629</v>
      </c>
    </row>
    <row r="206" spans="1:14" x14ac:dyDescent="0.25">
      <c r="A206" s="72" t="s">
        <v>1275</v>
      </c>
      <c r="B206" s="73" t="s">
        <v>630</v>
      </c>
      <c r="C206" s="73" t="s">
        <v>797</v>
      </c>
      <c r="D206" s="84"/>
      <c r="E206" s="74"/>
      <c r="F206" s="94">
        <v>16.100000000000001</v>
      </c>
      <c r="G206" s="972">
        <v>3156257</v>
      </c>
      <c r="H206" s="80">
        <v>250833</v>
      </c>
      <c r="K206" s="512" t="e">
        <f t="shared" si="6"/>
        <v>#REF!</v>
      </c>
      <c r="L206" t="e">
        <f>VLOOKUP(G206,#REF!, 6, FALSE)</f>
        <v>#REF!</v>
      </c>
      <c r="N206" s="497">
        <v>6484096</v>
      </c>
    </row>
    <row r="207" spans="1:14" x14ac:dyDescent="0.25">
      <c r="A207" s="72" t="s">
        <v>1276</v>
      </c>
      <c r="B207" s="73" t="s">
        <v>630</v>
      </c>
      <c r="C207" s="73" t="s">
        <v>631</v>
      </c>
      <c r="D207" s="84"/>
      <c r="E207" s="74"/>
      <c r="F207" s="94">
        <v>16.100000000000001</v>
      </c>
      <c r="G207" s="972">
        <v>7156066</v>
      </c>
      <c r="H207" s="80">
        <v>250831</v>
      </c>
      <c r="K207" s="512" t="e">
        <f t="shared" si="6"/>
        <v>#REF!</v>
      </c>
      <c r="L207" t="e">
        <f>VLOOKUP(G207,#REF!, 6, FALSE)</f>
        <v>#REF!</v>
      </c>
      <c r="N207" s="484">
        <v>6856758</v>
      </c>
    </row>
    <row r="208" spans="1:14" x14ac:dyDescent="0.25">
      <c r="A208" s="72" t="s">
        <v>1277</v>
      </c>
      <c r="B208" s="73" t="s">
        <v>630</v>
      </c>
      <c r="C208" s="73" t="s">
        <v>653</v>
      </c>
      <c r="D208" s="84"/>
      <c r="E208" s="74"/>
      <c r="F208" s="94">
        <v>16.100000000000001</v>
      </c>
      <c r="G208" s="99">
        <v>4284886</v>
      </c>
      <c r="H208" s="80">
        <v>497007</v>
      </c>
      <c r="K208" s="512" t="e">
        <f t="shared" si="6"/>
        <v>#REF!</v>
      </c>
      <c r="L208" t="e">
        <f>VLOOKUP(G208,#REF!, 6, FALSE)</f>
        <v>#REF!</v>
      </c>
      <c r="N208" s="484">
        <v>2019241</v>
      </c>
    </row>
    <row r="209" spans="1:14" x14ac:dyDescent="0.25">
      <c r="A209" s="72" t="s">
        <v>1135</v>
      </c>
      <c r="B209" s="73"/>
      <c r="C209" s="73"/>
      <c r="D209" s="84"/>
      <c r="E209" s="74"/>
      <c r="F209" s="94"/>
      <c r="G209" s="99"/>
      <c r="H209" s="80"/>
      <c r="K209" s="512" t="e">
        <f t="shared" si="6"/>
        <v>#REF!</v>
      </c>
      <c r="L209" t="e">
        <f>VLOOKUP(G209,#REF!, 6, FALSE)</f>
        <v>#REF!</v>
      </c>
      <c r="N209" s="484">
        <v>9252527</v>
      </c>
    </row>
    <row r="210" spans="1:14" x14ac:dyDescent="0.25">
      <c r="A210" s="72" t="s">
        <v>1135</v>
      </c>
      <c r="B210" s="73"/>
      <c r="C210" s="73"/>
      <c r="D210" s="84"/>
      <c r="E210" s="74"/>
      <c r="F210" s="94"/>
      <c r="G210" s="99"/>
      <c r="H210" s="80"/>
      <c r="K210" s="512"/>
      <c r="N210" s="484"/>
    </row>
    <row r="211" spans="1:14" x14ac:dyDescent="0.25">
      <c r="A211" s="72" t="s">
        <v>1278</v>
      </c>
      <c r="B211" s="73" t="s">
        <v>632</v>
      </c>
      <c r="C211" s="73" t="s">
        <v>797</v>
      </c>
      <c r="D211" s="84"/>
      <c r="E211" s="74"/>
      <c r="F211" s="94">
        <v>2.8605800000000001</v>
      </c>
      <c r="G211" s="972">
        <v>3913370</v>
      </c>
      <c r="H211" s="80">
        <v>250839</v>
      </c>
      <c r="K211" s="512">
        <f t="shared" si="6"/>
        <v>11.008400000000002</v>
      </c>
      <c r="L211" s="511">
        <v>42.34</v>
      </c>
      <c r="N211" s="497">
        <v>7690421</v>
      </c>
    </row>
    <row r="212" spans="1:14" x14ac:dyDescent="0.25">
      <c r="A212" s="72" t="s">
        <v>1279</v>
      </c>
      <c r="B212" s="73" t="s">
        <v>632</v>
      </c>
      <c r="C212" s="73" t="s">
        <v>627</v>
      </c>
      <c r="D212" s="84"/>
      <c r="E212" s="74"/>
      <c r="F212" s="94">
        <v>2.8605800000000001</v>
      </c>
      <c r="G212" s="972">
        <v>2988448</v>
      </c>
      <c r="H212" s="80">
        <v>250838</v>
      </c>
      <c r="K212" s="512">
        <f t="shared" si="6"/>
        <v>11.008400000000002</v>
      </c>
      <c r="L212" s="511">
        <v>42.34</v>
      </c>
      <c r="N212" s="497">
        <v>8264548</v>
      </c>
    </row>
    <row r="213" spans="1:14" x14ac:dyDescent="0.25">
      <c r="A213" s="72" t="s">
        <v>1280</v>
      </c>
      <c r="B213" s="73" t="s">
        <v>632</v>
      </c>
      <c r="C213" s="73" t="s">
        <v>653</v>
      </c>
      <c r="D213" s="84"/>
      <c r="E213" s="74"/>
      <c r="F213" s="94">
        <v>3.1715599999999999</v>
      </c>
      <c r="G213" s="99">
        <v>8711715</v>
      </c>
      <c r="H213" s="80">
        <v>497009</v>
      </c>
      <c r="K213" s="512">
        <f t="shared" si="6"/>
        <v>12.2044</v>
      </c>
      <c r="L213" s="511">
        <v>46.94</v>
      </c>
      <c r="N213" s="497" t="s">
        <v>633</v>
      </c>
    </row>
    <row r="214" spans="1:14" x14ac:dyDescent="0.25">
      <c r="A214" s="72" t="s">
        <v>1281</v>
      </c>
      <c r="B214" s="73" t="s">
        <v>634</v>
      </c>
      <c r="C214" s="73" t="s">
        <v>797</v>
      </c>
      <c r="D214" s="84"/>
      <c r="E214" s="74"/>
      <c r="F214" s="94">
        <v>2.8605800000000001</v>
      </c>
      <c r="G214" s="972">
        <v>1743112</v>
      </c>
      <c r="H214" s="80">
        <v>250842</v>
      </c>
      <c r="K214" s="512" t="e">
        <f t="shared" si="6"/>
        <v>#REF!</v>
      </c>
      <c r="L214" t="e">
        <f>VLOOKUP(G214,#REF!, 6, FALSE)</f>
        <v>#REF!</v>
      </c>
      <c r="N214" s="489">
        <v>4722188</v>
      </c>
    </row>
    <row r="215" spans="1:14" x14ac:dyDescent="0.25">
      <c r="A215" s="72" t="s">
        <v>1282</v>
      </c>
      <c r="B215" s="73" t="s">
        <v>634</v>
      </c>
      <c r="C215" s="73" t="s">
        <v>631</v>
      </c>
      <c r="D215" s="84"/>
      <c r="E215" s="74"/>
      <c r="F215" s="94">
        <v>2.8605800000000001</v>
      </c>
      <c r="G215" s="972">
        <v>3880106</v>
      </c>
      <c r="H215" s="80">
        <v>250841</v>
      </c>
      <c r="K215" s="512" t="e">
        <f t="shared" si="6"/>
        <v>#REF!</v>
      </c>
      <c r="L215" t="e">
        <f>VLOOKUP(G215,#REF!, 6, FALSE)</f>
        <v>#REF!</v>
      </c>
      <c r="N215" s="489">
        <v>3315359</v>
      </c>
    </row>
    <row r="216" spans="1:14" x14ac:dyDescent="0.25">
      <c r="A216" s="72" t="s">
        <v>1283</v>
      </c>
      <c r="B216" s="73" t="s">
        <v>634</v>
      </c>
      <c r="C216" s="73" t="s">
        <v>653</v>
      </c>
      <c r="D216" s="84"/>
      <c r="E216" s="74"/>
      <c r="F216" s="94">
        <v>3.1715599999999999</v>
      </c>
      <c r="G216" s="99">
        <v>3735328</v>
      </c>
      <c r="H216" s="80">
        <v>497010</v>
      </c>
      <c r="K216" s="512" t="e">
        <f t="shared" si="6"/>
        <v>#REF!</v>
      </c>
      <c r="L216" t="e">
        <f>VLOOKUP(G216,#REF!, 6, FALSE)</f>
        <v>#REF!</v>
      </c>
      <c r="N216" s="489">
        <v>6154324</v>
      </c>
    </row>
    <row r="217" spans="1:14" x14ac:dyDescent="0.25">
      <c r="A217" s="72" t="s">
        <v>1284</v>
      </c>
      <c r="B217" s="73" t="s">
        <v>635</v>
      </c>
      <c r="C217" s="73" t="s">
        <v>797</v>
      </c>
      <c r="D217" s="84"/>
      <c r="E217" s="74"/>
      <c r="F217" s="94">
        <v>2.0432700000000001</v>
      </c>
      <c r="G217" s="972">
        <v>8814396</v>
      </c>
      <c r="H217" s="80">
        <v>250844</v>
      </c>
      <c r="K217" s="512" t="e">
        <f t="shared" si="6"/>
        <v>#REF!</v>
      </c>
      <c r="L217" t="e">
        <f>VLOOKUP(G217,#REF!, 6, FALSE)</f>
        <v>#REF!</v>
      </c>
      <c r="N217" s="489">
        <v>7004719</v>
      </c>
    </row>
    <row r="218" spans="1:14" x14ac:dyDescent="0.25">
      <c r="A218" s="72"/>
      <c r="B218" s="73"/>
      <c r="C218" s="73"/>
      <c r="D218" s="84"/>
      <c r="E218" s="74"/>
      <c r="F218" s="94"/>
      <c r="G218" s="99"/>
      <c r="H218" s="75"/>
    </row>
    <row r="219" spans="1:14" x14ac:dyDescent="0.25">
      <c r="A219" s="72" t="str">
        <f>ListAVS!B271</f>
        <v>Tutaj możesz wstawić własne pozycje ( kolejnych 10 linijek pojawi się w zamówieniu)</v>
      </c>
      <c r="B219" s="73"/>
      <c r="C219" s="73"/>
      <c r="D219" s="84"/>
      <c r="E219" s="74"/>
      <c r="F219" s="94"/>
      <c r="G219" s="99"/>
      <c r="H219" s="75"/>
    </row>
    <row r="220" spans="1:14" x14ac:dyDescent="0.25">
      <c r="A220" s="72"/>
      <c r="B220" s="73"/>
      <c r="C220" s="73"/>
      <c r="D220" s="84"/>
      <c r="E220" s="74"/>
      <c r="F220" s="94"/>
      <c r="G220" s="99"/>
      <c r="H220" s="75"/>
    </row>
    <row r="221" spans="1:14" x14ac:dyDescent="0.25">
      <c r="A221" s="72"/>
      <c r="B221" s="73"/>
      <c r="C221" s="73"/>
      <c r="D221" s="84"/>
      <c r="E221" s="74"/>
      <c r="F221" s="94"/>
      <c r="G221" s="99"/>
      <c r="H221" s="75"/>
    </row>
    <row r="222" spans="1:14" x14ac:dyDescent="0.25">
      <c r="A222" s="72"/>
      <c r="B222" s="73"/>
      <c r="C222" s="73"/>
      <c r="D222" s="84"/>
      <c r="E222" s="74"/>
      <c r="F222" s="94"/>
      <c r="G222" s="99"/>
      <c r="H222" s="75"/>
    </row>
    <row r="223" spans="1:14" x14ac:dyDescent="0.25">
      <c r="A223" s="72"/>
      <c r="B223" s="73"/>
      <c r="C223" s="73"/>
      <c r="D223" s="84"/>
      <c r="E223" s="74"/>
      <c r="F223" s="94"/>
      <c r="G223" s="99"/>
      <c r="H223" s="75"/>
    </row>
    <row r="224" spans="1:14" x14ac:dyDescent="0.25">
      <c r="A224" s="72"/>
      <c r="B224" s="73"/>
      <c r="C224" s="73"/>
      <c r="D224" s="84"/>
      <c r="E224" s="74"/>
      <c r="F224" s="94"/>
      <c r="G224" s="99"/>
      <c r="H224" s="75"/>
    </row>
    <row r="225" spans="1:8" x14ac:dyDescent="0.25">
      <c r="A225" s="72"/>
      <c r="B225" s="73"/>
      <c r="C225" s="73"/>
      <c r="D225" s="84"/>
      <c r="E225" s="74"/>
      <c r="F225" s="94"/>
      <c r="G225" s="99"/>
      <c r="H225" s="75"/>
    </row>
    <row r="226" spans="1:8" x14ac:dyDescent="0.25">
      <c r="A226" s="72"/>
      <c r="B226" s="73"/>
      <c r="C226" s="73"/>
      <c r="D226" s="84"/>
      <c r="E226" s="74"/>
      <c r="F226" s="94"/>
      <c r="G226" s="99"/>
      <c r="H226" s="75"/>
    </row>
    <row r="227" spans="1:8" x14ac:dyDescent="0.25">
      <c r="A227" s="72"/>
      <c r="B227" s="73"/>
      <c r="C227" s="73"/>
      <c r="D227" s="84"/>
      <c r="E227" s="74"/>
      <c r="F227" s="94"/>
      <c r="G227" s="99"/>
      <c r="H227" s="75"/>
    </row>
    <row r="228" spans="1:8" x14ac:dyDescent="0.25">
      <c r="A228" s="72"/>
      <c r="B228" s="73"/>
      <c r="C228" s="73"/>
      <c r="D228" s="84"/>
      <c r="E228" s="74"/>
      <c r="F228" s="94"/>
      <c r="G228" s="99"/>
      <c r="H228" s="75"/>
    </row>
    <row r="229" spans="1:8" x14ac:dyDescent="0.25">
      <c r="A229" s="72"/>
      <c r="B229" s="73"/>
      <c r="C229" s="73"/>
      <c r="D229" s="84"/>
      <c r="E229" s="74"/>
      <c r="F229" s="94"/>
      <c r="G229" s="99"/>
      <c r="H229" s="75"/>
    </row>
  </sheetData>
  <autoFilter ref="G10:G229" xr:uid="{01D574C6-6F4A-4FB9-9187-9820EB3EB527}"/>
  <phoneticPr fontId="41" type="noConversion"/>
  <hyperlinks>
    <hyperlink ref="H2" location="Form!A1" tooltip=" " display="Zpět na úvod" xr:uid="{00000000-0004-0000-2D00-000000000000}"/>
    <hyperlink ref="A7" r:id="rId1" xr:uid="{6E5AF796-9A37-4947-A1F4-0C3A4D38C186}"/>
  </hyperlinks>
  <pageMargins left="0.23622047244094491" right="0.23622047244094491" top="0.74803149606299213" bottom="0.74803149606299213" header="0.31496062992125984" footer="0.31496062992125984"/>
  <pageSetup paperSize="9" orientation="portrait" verticalDpi="599"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8765E-545B-43AB-8EF1-3E49057D7470}">
  <sheetPr codeName="Sheet11"/>
  <dimension ref="A1:AC153"/>
  <sheetViews>
    <sheetView showGridLines="0" showRowColHeaders="0" zoomScaleNormal="100" workbookViewId="0">
      <selection activeCell="U18" sqref="U18"/>
    </sheetView>
  </sheetViews>
  <sheetFormatPr defaultColWidth="8.7109375" defaultRowHeight="12" x14ac:dyDescent="0.2"/>
  <cols>
    <col min="1" max="1" width="2.7109375" style="36" customWidth="1"/>
    <col min="2" max="2" width="11.7109375" style="36" customWidth="1"/>
    <col min="3" max="3" width="9.28515625" style="36" customWidth="1"/>
    <col min="4" max="4" width="3.7109375" style="36" customWidth="1"/>
    <col min="5" max="6" width="10.42578125" style="36" customWidth="1"/>
    <col min="7" max="7" width="3.7109375" style="36" customWidth="1"/>
    <col min="8" max="9" width="10.42578125" style="36" customWidth="1"/>
    <col min="10" max="10" width="3.7109375" style="36" customWidth="1"/>
    <col min="11" max="12" width="10.42578125" style="36" customWidth="1"/>
    <col min="13" max="19" width="8.28515625" style="36" hidden="1" customWidth="1"/>
    <col min="20" max="20" width="8.7109375" style="36"/>
    <col min="21" max="21" width="20.7109375" style="108" customWidth="1"/>
    <col min="22" max="16384" width="8.7109375" style="36"/>
  </cols>
  <sheetData>
    <row r="1" spans="1:23" x14ac:dyDescent="0.2">
      <c r="A1" s="108"/>
      <c r="B1" s="108"/>
      <c r="C1" s="108"/>
      <c r="D1" s="108"/>
      <c r="E1" s="108"/>
      <c r="F1" s="108"/>
      <c r="G1" s="108"/>
      <c r="H1" s="108"/>
      <c r="I1" s="108"/>
      <c r="J1" s="108"/>
      <c r="K1" s="108"/>
      <c r="L1" s="108"/>
      <c r="M1" s="108"/>
      <c r="N1" s="108"/>
      <c r="O1" s="108"/>
      <c r="P1" s="108"/>
      <c r="Q1" s="108"/>
      <c r="R1" s="108"/>
      <c r="S1" s="108"/>
      <c r="T1" s="108"/>
      <c r="V1" s="108"/>
      <c r="W1" s="108"/>
    </row>
    <row r="2" spans="1:23" ht="6" customHeight="1" thickBot="1" x14ac:dyDescent="0.25">
      <c r="A2" s="108"/>
      <c r="B2" s="303"/>
      <c r="C2" s="305"/>
      <c r="D2" s="303"/>
      <c r="E2" s="303"/>
      <c r="F2" s="303"/>
      <c r="G2" s="303"/>
      <c r="H2" s="303"/>
      <c r="I2" s="303"/>
      <c r="J2" s="303"/>
      <c r="K2" s="303"/>
      <c r="L2" s="303"/>
      <c r="M2" s="306"/>
      <c r="N2" s="108"/>
      <c r="O2" s="108"/>
      <c r="P2" s="108"/>
      <c r="Q2" s="108"/>
      <c r="R2" s="108"/>
      <c r="S2" s="108"/>
      <c r="T2" s="108"/>
      <c r="V2" s="108"/>
      <c r="W2" s="108"/>
    </row>
    <row r="3" spans="1:23" ht="18" customHeight="1" thickBot="1" x14ac:dyDescent="0.25">
      <c r="A3" s="108"/>
      <c r="B3" s="304" t="s">
        <v>674</v>
      </c>
      <c r="C3" s="305"/>
      <c r="D3" s="303"/>
      <c r="E3" s="303"/>
      <c r="F3" s="303"/>
      <c r="G3" s="303"/>
      <c r="H3" s="303"/>
      <c r="I3" s="303"/>
      <c r="J3" s="303"/>
      <c r="K3" s="303"/>
      <c r="L3" s="303"/>
      <c r="M3" s="306"/>
      <c r="N3" s="108"/>
      <c r="O3" s="108"/>
      <c r="P3" s="108"/>
      <c r="Q3" s="108"/>
      <c r="R3" s="108"/>
      <c r="S3" s="108"/>
      <c r="T3" s="108"/>
      <c r="U3" s="226" t="str">
        <f>ListAVS!$B$153</f>
        <v>Przejdź do</v>
      </c>
      <c r="V3" s="108"/>
      <c r="W3" s="108"/>
    </row>
    <row r="4" spans="1:23" ht="4.5" customHeight="1" x14ac:dyDescent="0.2">
      <c r="A4" s="108"/>
      <c r="B4" s="303"/>
      <c r="C4" s="303"/>
      <c r="D4" s="303"/>
      <c r="E4" s="303"/>
      <c r="F4" s="303"/>
      <c r="G4" s="303"/>
      <c r="H4" s="303"/>
      <c r="I4" s="303"/>
      <c r="J4" s="303"/>
      <c r="K4" s="303"/>
      <c r="L4" s="303"/>
      <c r="M4" s="306"/>
      <c r="N4" s="108"/>
      <c r="O4" s="108"/>
      <c r="P4" s="108"/>
      <c r="Q4" s="108"/>
      <c r="R4" s="108"/>
      <c r="S4" s="108"/>
      <c r="T4" s="108"/>
      <c r="V4" s="108"/>
      <c r="W4" s="108"/>
    </row>
    <row r="5" spans="1:23" ht="15" customHeight="1" thickBot="1" x14ac:dyDescent="0.25">
      <c r="A5" s="670"/>
      <c r="B5" s="670"/>
      <c r="C5" s="670"/>
      <c r="D5" s="670"/>
      <c r="E5" s="670"/>
      <c r="F5" s="670"/>
      <c r="G5" s="670"/>
      <c r="H5" s="670"/>
      <c r="I5" s="670"/>
      <c r="J5" s="670"/>
      <c r="K5" s="670"/>
      <c r="L5" s="670"/>
      <c r="M5" s="670"/>
      <c r="N5" s="670"/>
      <c r="O5" s="670"/>
      <c r="P5" s="670"/>
      <c r="Q5" s="670"/>
      <c r="R5" s="670"/>
      <c r="S5" s="670"/>
      <c r="T5" s="670"/>
      <c r="U5" s="383" t="str">
        <f>" "&amp;ListAVS!$B$154</f>
        <v xml:space="preserve"> Wprowadzenie do planowania</v>
      </c>
      <c r="V5" s="670"/>
      <c r="W5" s="670"/>
    </row>
    <row r="6" spans="1:23" ht="15" customHeight="1" x14ac:dyDescent="0.2">
      <c r="A6" s="670"/>
      <c r="B6" s="670"/>
      <c r="C6" s="670"/>
      <c r="D6" s="670"/>
      <c r="E6" s="670"/>
      <c r="F6" s="670"/>
      <c r="G6" s="670"/>
      <c r="H6" s="670"/>
      <c r="I6" s="670"/>
      <c r="J6" s="670"/>
      <c r="K6" s="670"/>
      <c r="L6" s="670"/>
      <c r="M6" s="670"/>
      <c r="N6" s="670"/>
      <c r="O6" s="670"/>
      <c r="P6" s="670"/>
      <c r="Q6" s="670"/>
      <c r="R6" s="670"/>
      <c r="S6" s="670"/>
      <c r="T6" s="670"/>
      <c r="U6" s="634" t="str">
        <f>" "&amp;ListAVS!$B$155</f>
        <v xml:space="preserve"> Pomoc</v>
      </c>
      <c r="V6" s="670"/>
      <c r="W6" s="670"/>
    </row>
    <row r="7" spans="1:23" ht="15" customHeight="1" x14ac:dyDescent="0.2">
      <c r="A7" s="670"/>
      <c r="B7" s="1036" t="str">
        <f>ListAVS!$B$74&amp;" (KB) "</f>
        <v xml:space="preserve">Szerokość korpusu (KB) </v>
      </c>
      <c r="C7" s="1036"/>
      <c r="D7" s="1037" t="str">
        <f>" "&amp;ListAVS!$B$171&amp;" 1800 mm"</f>
        <v xml:space="preserve"> do 1800 mm</v>
      </c>
      <c r="E7" s="1037"/>
      <c r="F7" s="670"/>
      <c r="G7" s="670"/>
      <c r="H7" s="670"/>
      <c r="I7" s="670"/>
      <c r="J7" s="670"/>
      <c r="K7" s="670"/>
      <c r="L7" s="670"/>
      <c r="M7" s="670"/>
      <c r="N7" s="670"/>
      <c r="O7" s="670"/>
      <c r="P7" s="670"/>
      <c r="Q7" s="670"/>
      <c r="R7" s="670"/>
      <c r="S7" s="670"/>
      <c r="T7" s="670"/>
      <c r="U7" s="891"/>
      <c r="V7" s="670"/>
      <c r="W7" s="670"/>
    </row>
    <row r="8" spans="1:23" ht="15" customHeight="1" x14ac:dyDescent="0.2">
      <c r="A8" s="670"/>
      <c r="B8" s="1036" t="str">
        <f>ListAVS!$B$75&amp;" (KH) "</f>
        <v xml:space="preserve">Wysokość korpusu (KH) </v>
      </c>
      <c r="C8" s="1036"/>
      <c r="D8" s="826" t="s">
        <v>15</v>
      </c>
      <c r="E8" s="826"/>
      <c r="F8" s="670"/>
      <c r="G8" s="670"/>
      <c r="H8" s="670"/>
      <c r="I8" s="670"/>
      <c r="J8" s="670"/>
      <c r="K8" s="670"/>
      <c r="L8" s="670"/>
      <c r="M8" s="670"/>
      <c r="N8" s="670"/>
      <c r="O8" s="670"/>
      <c r="P8" s="670"/>
      <c r="Q8" s="670"/>
      <c r="R8" s="670"/>
      <c r="S8" s="670"/>
      <c r="T8" s="670"/>
      <c r="U8" s="675" t="str">
        <f>" "&amp;ListAVS!$B$160</f>
        <v xml:space="preserve"> Dodatki</v>
      </c>
      <c r="V8" s="670"/>
      <c r="W8" s="670"/>
    </row>
    <row r="9" spans="1:23" ht="15" customHeight="1" x14ac:dyDescent="0.2">
      <c r="A9" s="670"/>
      <c r="B9" s="670"/>
      <c r="C9" s="670"/>
      <c r="D9" s="670"/>
      <c r="E9" s="670"/>
      <c r="F9" s="670"/>
      <c r="G9" s="670"/>
      <c r="H9" s="670"/>
      <c r="I9" s="670"/>
      <c r="J9" s="670"/>
      <c r="K9" s="670"/>
      <c r="L9" s="670"/>
      <c r="M9" s="670"/>
      <c r="N9" s="670"/>
      <c r="O9" s="670"/>
      <c r="P9" s="670"/>
      <c r="Q9" s="670"/>
      <c r="R9" s="670"/>
      <c r="S9" s="670"/>
      <c r="T9" s="670"/>
      <c r="U9" s="671"/>
      <c r="V9" s="670"/>
      <c r="W9" s="670"/>
    </row>
    <row r="10" spans="1:23" ht="15" customHeight="1" thickBot="1" x14ac:dyDescent="0.25">
      <c r="A10" s="670"/>
      <c r="B10" s="670"/>
      <c r="C10" s="670"/>
      <c r="D10" s="670"/>
      <c r="E10" s="670"/>
      <c r="F10" s="670"/>
      <c r="G10" s="670"/>
      <c r="H10" s="670"/>
      <c r="I10" s="670"/>
      <c r="J10" s="670"/>
      <c r="K10" s="670"/>
      <c r="L10" s="670"/>
      <c r="M10" s="670"/>
      <c r="N10" s="670"/>
      <c r="O10" s="670"/>
      <c r="P10" s="670"/>
      <c r="Q10" s="670"/>
      <c r="R10" s="670"/>
      <c r="S10" s="670"/>
      <c r="T10" s="670"/>
      <c r="U10" s="383" t="str">
        <f>" "&amp;ListAVS!$B$157</f>
        <v xml:space="preserve"> Rodzaje korpusów</v>
      </c>
      <c r="V10" s="670"/>
      <c r="W10" s="670"/>
    </row>
    <row r="11" spans="1:23" ht="15" customHeight="1" thickBot="1" x14ac:dyDescent="0.25">
      <c r="A11" s="670"/>
      <c r="B11" s="670"/>
      <c r="C11" s="670"/>
      <c r="D11" s="670"/>
      <c r="E11" s="670"/>
      <c r="F11" s="670"/>
      <c r="G11" s="670"/>
      <c r="H11" s="670"/>
      <c r="I11" s="670"/>
      <c r="J11" s="670"/>
      <c r="K11" s="670"/>
      <c r="L11" s="670"/>
      <c r="M11" s="670"/>
      <c r="N11" s="670"/>
      <c r="O11" s="670"/>
      <c r="P11" s="670"/>
      <c r="Q11" s="670"/>
      <c r="R11" s="670"/>
      <c r="S11" s="670"/>
      <c r="T11" s="670"/>
      <c r="U11" s="383" t="str">
        <f>" "&amp;ListAVS!$B$158</f>
        <v xml:space="preserve"> Zamówienie</v>
      </c>
      <c r="V11" s="670"/>
      <c r="W11" s="670"/>
    </row>
    <row r="12" spans="1:23" ht="15" customHeight="1" x14ac:dyDescent="0.2">
      <c r="A12" s="670"/>
      <c r="B12" s="670"/>
      <c r="C12" s="670"/>
      <c r="D12" s="670"/>
      <c r="E12" s="670"/>
      <c r="F12" s="670"/>
      <c r="G12" s="670"/>
      <c r="H12" s="670"/>
      <c r="I12" s="670"/>
      <c r="J12" s="670"/>
      <c r="K12" s="670"/>
      <c r="L12" s="670"/>
      <c r="M12" s="670"/>
      <c r="N12" s="670"/>
      <c r="O12" s="670"/>
      <c r="P12" s="670"/>
      <c r="Q12" s="670"/>
      <c r="R12" s="670"/>
      <c r="S12" s="670"/>
      <c r="T12" s="670"/>
      <c r="U12" s="670"/>
      <c r="V12" s="670"/>
      <c r="W12" s="670"/>
    </row>
    <row r="13" spans="1:23" ht="15" customHeight="1" x14ac:dyDescent="0.2">
      <c r="A13" s="670"/>
      <c r="B13" s="670"/>
      <c r="C13" s="670"/>
      <c r="D13" s="670"/>
      <c r="E13" s="670"/>
      <c r="F13" s="670"/>
      <c r="G13" s="670"/>
      <c r="H13" s="670"/>
      <c r="I13" s="670"/>
      <c r="J13" s="670"/>
      <c r="K13" s="670"/>
      <c r="L13" s="670"/>
      <c r="M13" s="670"/>
      <c r="N13" s="670"/>
      <c r="O13" s="670"/>
      <c r="P13" s="670"/>
      <c r="Q13" s="670"/>
      <c r="R13" s="670"/>
      <c r="S13" s="670"/>
      <c r="T13" s="670"/>
      <c r="U13" s="634" t="str">
        <f>" "&amp;ListAVS!$B$389</f>
        <v xml:space="preserve"> Odległość frontu</v>
      </c>
      <c r="V13" s="670"/>
      <c r="W13" s="670"/>
    </row>
    <row r="14" spans="1:23" ht="15" customHeight="1" x14ac:dyDescent="0.2">
      <c r="A14" s="670"/>
      <c r="B14" s="670"/>
      <c r="C14" s="670"/>
      <c r="D14" s="670"/>
      <c r="E14" s="670"/>
      <c r="F14" s="670"/>
      <c r="G14" s="670"/>
      <c r="H14" s="670"/>
      <c r="I14" s="670"/>
      <c r="J14" s="670"/>
      <c r="K14" s="670"/>
      <c r="L14" s="670"/>
      <c r="M14" s="670"/>
      <c r="N14" s="670"/>
      <c r="O14" s="670"/>
      <c r="P14" s="670"/>
      <c r="Q14" s="670"/>
      <c r="R14" s="670"/>
      <c r="S14" s="670"/>
      <c r="T14" s="670"/>
      <c r="U14" s="891"/>
      <c r="V14" s="670"/>
      <c r="W14" s="670"/>
    </row>
    <row r="15" spans="1:23" ht="15" customHeight="1" x14ac:dyDescent="0.2">
      <c r="A15" s="670"/>
      <c r="B15" s="670"/>
      <c r="C15" s="670"/>
      <c r="D15" s="670"/>
      <c r="E15" s="670"/>
      <c r="F15" s="670"/>
      <c r="G15" s="670"/>
      <c r="H15" s="670"/>
      <c r="I15" s="670"/>
      <c r="J15" s="670"/>
      <c r="K15" s="670"/>
      <c r="L15" s="670"/>
      <c r="M15" s="670"/>
      <c r="N15" s="670"/>
      <c r="O15" s="670"/>
      <c r="P15" s="670"/>
      <c r="Q15" s="670"/>
      <c r="R15" s="670"/>
      <c r="S15" s="670"/>
      <c r="T15" s="670"/>
      <c r="U15" s="671"/>
      <c r="V15" s="670"/>
      <c r="W15" s="670"/>
    </row>
    <row r="16" spans="1:23" ht="15" customHeight="1" x14ac:dyDescent="0.2">
      <c r="A16" s="670"/>
      <c r="B16" s="670"/>
      <c r="C16" s="670"/>
      <c r="D16" s="670"/>
      <c r="E16" s="670"/>
      <c r="F16" s="670"/>
      <c r="G16" s="670"/>
      <c r="H16" s="670"/>
      <c r="I16" s="670"/>
      <c r="J16" s="670"/>
      <c r="K16" s="670"/>
      <c r="L16" s="670"/>
      <c r="M16" s="670"/>
      <c r="N16" s="670"/>
      <c r="O16" s="670"/>
      <c r="P16" s="670"/>
      <c r="Q16" s="670"/>
      <c r="R16" s="670"/>
      <c r="S16" s="670"/>
      <c r="T16" s="670"/>
      <c r="V16" s="670"/>
      <c r="W16" s="670"/>
    </row>
    <row r="17" spans="1:23" ht="15" customHeight="1" x14ac:dyDescent="0.2">
      <c r="A17" s="670"/>
      <c r="B17" s="670"/>
      <c r="C17" s="670"/>
      <c r="D17" s="670"/>
      <c r="E17" s="670"/>
      <c r="F17" s="670"/>
      <c r="G17" s="670"/>
      <c r="H17" s="670"/>
      <c r="I17" s="670"/>
      <c r="J17" s="670"/>
      <c r="K17" s="670"/>
      <c r="L17" s="670"/>
      <c r="M17" s="670"/>
      <c r="N17" s="670"/>
      <c r="O17" s="670"/>
      <c r="P17" s="670"/>
      <c r="Q17" s="670"/>
      <c r="R17" s="670"/>
      <c r="S17" s="670"/>
      <c r="T17" s="670"/>
      <c r="V17" s="670"/>
      <c r="W17" s="670"/>
    </row>
    <row r="18" spans="1:23" ht="15" customHeight="1" x14ac:dyDescent="0.2">
      <c r="A18" s="670"/>
      <c r="B18" s="670"/>
      <c r="C18" s="670"/>
      <c r="D18" s="670"/>
      <c r="E18" s="670"/>
      <c r="F18" s="670"/>
      <c r="G18" s="670"/>
      <c r="H18" s="670"/>
      <c r="I18" s="670"/>
      <c r="J18" s="670"/>
      <c r="K18" s="670"/>
      <c r="L18" s="670"/>
      <c r="M18" s="670"/>
      <c r="N18" s="670"/>
      <c r="O18" s="670"/>
      <c r="P18" s="670"/>
      <c r="Q18" s="670"/>
      <c r="R18" s="670"/>
      <c r="S18" s="670"/>
      <c r="T18" s="670"/>
      <c r="V18" s="670"/>
      <c r="W18" s="670"/>
    </row>
    <row r="19" spans="1:23" ht="15" customHeight="1" x14ac:dyDescent="0.2">
      <c r="A19" s="670"/>
      <c r="B19" s="670"/>
      <c r="C19" s="670"/>
      <c r="D19" s="670"/>
      <c r="E19" s="670"/>
      <c r="F19" s="670"/>
      <c r="G19" s="670"/>
      <c r="H19" s="670"/>
      <c r="I19" s="670"/>
      <c r="J19" s="670"/>
      <c r="K19" s="670"/>
      <c r="L19" s="670"/>
      <c r="M19" s="670"/>
      <c r="N19" s="670"/>
      <c r="O19" s="670"/>
      <c r="P19" s="670"/>
      <c r="Q19" s="670"/>
      <c r="R19" s="670"/>
      <c r="S19" s="670"/>
      <c r="T19" s="670"/>
      <c r="V19" s="670"/>
      <c r="W19" s="670"/>
    </row>
    <row r="20" spans="1:23" ht="15" customHeight="1" x14ac:dyDescent="0.2">
      <c r="A20" s="670"/>
      <c r="B20" s="670"/>
      <c r="C20" s="670"/>
      <c r="D20" s="670"/>
      <c r="E20" s="670"/>
      <c r="F20" s="670"/>
      <c r="G20" s="670"/>
      <c r="H20" s="670"/>
      <c r="I20" s="670"/>
      <c r="J20" s="670"/>
      <c r="K20" s="670"/>
      <c r="L20" s="670"/>
      <c r="M20" s="670"/>
      <c r="N20" s="670"/>
      <c r="O20" s="670"/>
      <c r="P20" s="670"/>
      <c r="Q20" s="670"/>
      <c r="R20" s="670"/>
      <c r="S20" s="670"/>
      <c r="T20" s="670"/>
      <c r="V20" s="670"/>
      <c r="W20" s="670"/>
    </row>
    <row r="21" spans="1:23" ht="15" customHeight="1" x14ac:dyDescent="0.2">
      <c r="A21" s="670"/>
      <c r="B21" s="670"/>
      <c r="C21" s="670"/>
      <c r="D21" s="670"/>
      <c r="E21" s="670"/>
      <c r="F21" s="670"/>
      <c r="G21" s="670"/>
      <c r="H21" s="670"/>
      <c r="I21" s="670"/>
      <c r="J21" s="670"/>
      <c r="K21" s="670"/>
      <c r="L21" s="670"/>
      <c r="M21" s="670"/>
      <c r="N21" s="670"/>
      <c r="O21" s="670"/>
      <c r="P21" s="670"/>
      <c r="Q21" s="670"/>
      <c r="R21" s="670"/>
      <c r="S21" s="670"/>
      <c r="T21" s="670"/>
      <c r="V21" s="670"/>
      <c r="W21" s="670"/>
    </row>
    <row r="22" spans="1:23" ht="5.25" customHeight="1" x14ac:dyDescent="0.2">
      <c r="A22" s="670"/>
      <c r="B22" s="670"/>
      <c r="C22" s="670"/>
      <c r="D22" s="670"/>
      <c r="E22" s="670"/>
      <c r="F22" s="670"/>
      <c r="G22" s="670"/>
      <c r="H22" s="670"/>
      <c r="I22" s="670"/>
      <c r="J22" s="670"/>
      <c r="K22" s="670"/>
      <c r="L22" s="670"/>
      <c r="M22" s="670"/>
      <c r="N22" s="670"/>
      <c r="O22" s="670"/>
      <c r="P22" s="670"/>
      <c r="Q22" s="670"/>
      <c r="R22" s="670"/>
      <c r="S22" s="670"/>
      <c r="T22" s="670"/>
      <c r="U22" s="670"/>
      <c r="V22" s="670"/>
      <c r="W22" s="670"/>
    </row>
    <row r="23" spans="1:23" ht="15" customHeight="1" x14ac:dyDescent="0.2">
      <c r="A23" s="670"/>
      <c r="B23" s="1038" t="str">
        <f>ListAVS!$B$17</f>
        <v>Front drewniany</v>
      </c>
      <c r="C23" s="1038"/>
      <c r="D23" s="677"/>
      <c r="E23" s="1038" t="str">
        <f>ListAVS!$B$20</f>
        <v>Szeroka ramka aluminiowa</v>
      </c>
      <c r="F23" s="1038"/>
      <c r="G23" s="677"/>
      <c r="H23" s="1038" t="str">
        <f>ListAVS!$B$22</f>
        <v>Wąska ramka aluminiowa</v>
      </c>
      <c r="I23" s="1038"/>
      <c r="J23" s="677"/>
      <c r="K23" s="1038" t="str">
        <f>ListAVS!$B$23</f>
        <v>Cienkie materiały</v>
      </c>
      <c r="L23" s="1038"/>
      <c r="M23" s="670"/>
      <c r="N23" s="670"/>
      <c r="O23" s="670"/>
      <c r="P23" s="670"/>
      <c r="Q23" s="670"/>
      <c r="R23" s="670"/>
      <c r="S23" s="670"/>
      <c r="T23" s="670"/>
      <c r="U23" s="670"/>
      <c r="V23" s="670"/>
      <c r="W23" s="670"/>
    </row>
    <row r="24" spans="1:23" ht="12.75" x14ac:dyDescent="0.2">
      <c r="A24" s="670"/>
      <c r="B24" s="670"/>
      <c r="C24" s="670"/>
      <c r="D24" s="670"/>
      <c r="E24" s="670"/>
      <c r="F24" s="670"/>
      <c r="G24" s="670"/>
      <c r="H24" s="670"/>
      <c r="I24" s="670"/>
      <c r="J24" s="670"/>
      <c r="K24" s="670"/>
      <c r="L24" s="670"/>
      <c r="M24" s="670"/>
      <c r="N24" s="670"/>
      <c r="O24" s="670"/>
      <c r="P24" s="670"/>
      <c r="Q24" s="670"/>
      <c r="R24" s="670"/>
      <c r="S24" s="670"/>
      <c r="T24" s="670"/>
      <c r="U24" s="670"/>
      <c r="V24" s="670"/>
      <c r="W24" s="670"/>
    </row>
    <row r="25" spans="1:23" ht="12.75" x14ac:dyDescent="0.2">
      <c r="A25" s="670"/>
      <c r="B25" s="670"/>
      <c r="C25" s="670"/>
      <c r="D25" s="670"/>
      <c r="E25" s="670"/>
      <c r="F25" s="670"/>
      <c r="G25" s="670"/>
      <c r="H25" s="670"/>
      <c r="I25" s="670"/>
      <c r="J25" s="670"/>
      <c r="K25" s="670"/>
      <c r="L25" s="670"/>
      <c r="M25" s="670"/>
      <c r="N25" s="670"/>
      <c r="O25" s="670"/>
      <c r="P25" s="670"/>
      <c r="Q25" s="670"/>
      <c r="R25" s="670"/>
      <c r="S25" s="670"/>
      <c r="T25" s="670"/>
      <c r="U25" s="670"/>
      <c r="V25" s="670"/>
      <c r="W25" s="670"/>
    </row>
    <row r="26" spans="1:23" ht="15.75" customHeight="1" x14ac:dyDescent="0.2">
      <c r="A26" s="670"/>
      <c r="B26" s="1011" t="str">
        <f>ListAVS!$B$142&amp;" "</f>
        <v xml:space="preserve">Mocowanie frontu </v>
      </c>
      <c r="C26" s="1012"/>
      <c r="D26" s="1013"/>
      <c r="E26" s="269"/>
      <c r="F26" s="266"/>
      <c r="G26" s="670"/>
      <c r="H26" s="670"/>
      <c r="I26" s="670"/>
      <c r="J26" s="670"/>
      <c r="K26" s="670"/>
      <c r="L26" s="670"/>
      <c r="M26" s="670"/>
      <c r="N26" s="523">
        <v>2</v>
      </c>
      <c r="O26" s="670"/>
      <c r="P26" s="960">
        <v>1</v>
      </c>
      <c r="Q26" s="670"/>
      <c r="R26" s="670"/>
      <c r="S26" s="670"/>
      <c r="T26" s="670"/>
      <c r="U26" s="670"/>
      <c r="V26" s="670"/>
      <c r="W26" s="670"/>
    </row>
    <row r="27" spans="1:23" ht="15.4" customHeight="1" x14ac:dyDescent="0.2">
      <c r="A27" s="670"/>
      <c r="B27" s="1033" t="str">
        <f>ListAVS!$B$347&amp;"** "</f>
        <v xml:space="preserve">funkcja podnośnika** </v>
      </c>
      <c r="C27" s="1034"/>
      <c r="D27" s="1035"/>
      <c r="E27" s="670"/>
      <c r="F27" s="670"/>
      <c r="G27" s="670"/>
      <c r="H27" s="670"/>
      <c r="I27" s="670"/>
      <c r="J27" s="670"/>
      <c r="K27" s="670"/>
      <c r="L27" s="670"/>
      <c r="M27" s="670"/>
      <c r="N27" s="38" t="s">
        <v>13</v>
      </c>
      <c r="O27" s="670"/>
      <c r="P27" s="38" t="s">
        <v>679</v>
      </c>
      <c r="Q27" s="670"/>
      <c r="R27" s="670"/>
      <c r="S27" s="670"/>
      <c r="T27" s="670"/>
      <c r="U27" s="670"/>
      <c r="V27" s="670"/>
      <c r="W27" s="670"/>
    </row>
    <row r="28" spans="1:23" ht="12.75" x14ac:dyDescent="0.2">
      <c r="A28" s="670"/>
      <c r="B28" s="670"/>
      <c r="C28" s="670"/>
      <c r="D28" s="670"/>
      <c r="E28" s="670"/>
      <c r="F28" s="670"/>
      <c r="G28" s="670"/>
      <c r="H28" s="670"/>
      <c r="I28" s="670"/>
      <c r="J28" s="670"/>
      <c r="K28" s="670"/>
      <c r="L28" s="670"/>
      <c r="M28" s="670"/>
      <c r="N28" s="248" t="s">
        <v>10</v>
      </c>
      <c r="O28" s="670"/>
      <c r="P28" s="248" t="str">
        <f>ListAVS!$B$350</f>
        <v>wkręty</v>
      </c>
      <c r="Q28" s="670"/>
      <c r="R28" s="670"/>
      <c r="S28" s="670"/>
      <c r="T28" s="670"/>
      <c r="U28" s="670"/>
      <c r="V28" s="670"/>
      <c r="W28" s="670"/>
    </row>
    <row r="29" spans="1:23" ht="12.75" x14ac:dyDescent="0.2">
      <c r="A29" s="670"/>
      <c r="B29" s="807" t="str">
        <f>" ** "&amp;ListAVS!$B$349&amp;":"</f>
        <v xml:space="preserve"> ** Wybierz sposób montażu:</v>
      </c>
      <c r="C29" s="670"/>
      <c r="D29" s="670"/>
      <c r="E29" s="670"/>
      <c r="F29" s="670"/>
      <c r="G29" s="670"/>
      <c r="H29" s="670"/>
      <c r="I29" s="670"/>
      <c r="J29" s="670"/>
      <c r="K29" s="670"/>
      <c r="L29" s="670"/>
      <c r="M29" s="670"/>
      <c r="N29" s="248" t="str">
        <f>ListAVS!$B$144</f>
        <v>na wkręty</v>
      </c>
      <c r="O29" s="670"/>
      <c r="P29" s="248" t="str">
        <f>ListAVS!$B$351</f>
        <v>wstępnie zamontowane eurowkręty</v>
      </c>
      <c r="Q29" s="670"/>
      <c r="R29" s="670"/>
      <c r="S29" s="670"/>
      <c r="T29" s="670"/>
      <c r="U29" s="670"/>
      <c r="V29" s="670"/>
      <c r="W29" s="670"/>
    </row>
    <row r="30" spans="1:23" ht="12.75" x14ac:dyDescent="0.2">
      <c r="A30" s="670"/>
      <c r="B30" s="807" t="str">
        <f>"    "&amp;ListAVS!$B$350&amp;" = "&amp;ListAVS!$B$352</f>
        <v xml:space="preserve">    wkręty = podnośniki z zintegrowanym szablonem (nie ma potrzeby mierzenia)</v>
      </c>
      <c r="C30" s="670"/>
      <c r="D30" s="670"/>
      <c r="E30" s="670"/>
      <c r="F30" s="670"/>
      <c r="G30" s="670"/>
      <c r="H30" s="670"/>
      <c r="I30" s="670"/>
      <c r="J30" s="670"/>
      <c r="K30" s="670"/>
      <c r="L30" s="670"/>
      <c r="M30" s="670"/>
      <c r="N30" s="670"/>
      <c r="O30" s="670"/>
      <c r="P30" s="670"/>
      <c r="Q30" s="670"/>
      <c r="R30" s="670"/>
      <c r="S30" s="670"/>
      <c r="T30" s="670"/>
      <c r="U30" s="670"/>
      <c r="V30" s="670"/>
      <c r="W30" s="670"/>
    </row>
    <row r="31" spans="1:23" ht="12.75" x14ac:dyDescent="0.2">
      <c r="A31" s="670"/>
      <c r="B31" s="807" t="str">
        <f>"    "&amp;ListAVS!$B$351&amp;" = "&amp;ListAVS!$B$353</f>
        <v xml:space="preserve">    wstępnie zamontowane eurowkręty = podnośniki ze wstępnie zamontowanymi wkrętami (wymagane wstępne nawiercenie)</v>
      </c>
      <c r="C31" s="670"/>
      <c r="D31" s="670"/>
      <c r="E31" s="670"/>
      <c r="F31" s="670"/>
      <c r="G31" s="670"/>
      <c r="H31" s="670"/>
      <c r="I31" s="670"/>
      <c r="J31" s="670"/>
      <c r="K31" s="670"/>
      <c r="L31" s="670"/>
      <c r="M31" s="670"/>
      <c r="N31" s="670"/>
      <c r="O31" s="670"/>
      <c r="P31" s="670"/>
      <c r="Q31" s="670"/>
      <c r="R31" s="670"/>
      <c r="S31" s="670"/>
      <c r="T31" s="670"/>
      <c r="U31" s="670"/>
      <c r="V31" s="670"/>
      <c r="W31" s="670"/>
    </row>
    <row r="32" spans="1:23" ht="12.75" x14ac:dyDescent="0.2">
      <c r="A32" s="670"/>
      <c r="B32" s="670"/>
      <c r="C32" s="670"/>
      <c r="D32" s="670"/>
      <c r="E32" s="670"/>
      <c r="F32" s="670"/>
      <c r="G32" s="670"/>
      <c r="H32" s="670"/>
      <c r="I32" s="670"/>
      <c r="J32" s="670"/>
      <c r="K32" s="670"/>
      <c r="L32" s="670"/>
      <c r="M32" s="670"/>
      <c r="N32" s="670"/>
      <c r="O32" s="670"/>
      <c r="P32" s="670"/>
      <c r="Q32" s="670"/>
      <c r="R32" s="670"/>
      <c r="S32" s="670"/>
      <c r="T32" s="670"/>
      <c r="U32" s="670"/>
      <c r="V32" s="670"/>
      <c r="W32" s="670"/>
    </row>
    <row r="33" spans="1:23" ht="12.75" x14ac:dyDescent="0.2">
      <c r="A33" s="670"/>
      <c r="B33" s="670"/>
      <c r="C33" s="670"/>
      <c r="D33" s="670"/>
      <c r="E33" s="670"/>
      <c r="F33" s="670"/>
      <c r="G33" s="670"/>
      <c r="H33" s="670"/>
      <c r="I33" s="670"/>
      <c r="J33" s="670"/>
      <c r="K33" s="670"/>
      <c r="L33" s="670"/>
      <c r="M33" s="670"/>
      <c r="N33" s="670"/>
      <c r="O33" s="670"/>
      <c r="P33" s="670"/>
      <c r="Q33" s="670"/>
      <c r="R33" s="670"/>
      <c r="S33" s="670"/>
      <c r="T33" s="670"/>
      <c r="U33" s="670"/>
      <c r="V33" s="670"/>
      <c r="W33" s="670"/>
    </row>
    <row r="34" spans="1:23" ht="12.75" x14ac:dyDescent="0.2">
      <c r="A34" s="670"/>
      <c r="B34" s="670"/>
      <c r="C34" s="670"/>
      <c r="D34" s="670"/>
      <c r="E34" s="670"/>
      <c r="F34" s="670"/>
      <c r="G34" s="670"/>
      <c r="H34" s="670"/>
      <c r="I34" s="670"/>
      <c r="J34" s="670"/>
      <c r="K34" s="670"/>
      <c r="L34" s="670"/>
      <c r="M34" s="670"/>
      <c r="N34" s="670"/>
      <c r="O34" s="670"/>
      <c r="P34" s="670"/>
      <c r="Q34" s="670"/>
      <c r="R34" s="670"/>
      <c r="S34" s="670"/>
      <c r="T34" s="670"/>
      <c r="U34" s="670"/>
      <c r="V34" s="670"/>
      <c r="W34" s="670"/>
    </row>
    <row r="35" spans="1:23" ht="12.75" x14ac:dyDescent="0.2">
      <c r="A35" s="670"/>
      <c r="B35" s="670"/>
      <c r="C35" s="670"/>
      <c r="D35" s="670"/>
      <c r="E35" s="670"/>
      <c r="F35" s="670"/>
      <c r="G35" s="670"/>
      <c r="H35" s="670"/>
      <c r="I35" s="670"/>
      <c r="J35" s="670"/>
      <c r="K35" s="670"/>
      <c r="L35" s="670"/>
      <c r="M35" s="670"/>
      <c r="N35" s="670"/>
      <c r="O35" s="670"/>
      <c r="P35" s="670"/>
      <c r="Q35" s="670"/>
      <c r="R35" s="670"/>
      <c r="S35" s="670"/>
      <c r="T35" s="670"/>
      <c r="U35" s="670"/>
      <c r="V35" s="670"/>
      <c r="W35" s="670"/>
    </row>
    <row r="36" spans="1:23" ht="12.75" x14ac:dyDescent="0.2">
      <c r="A36" s="108"/>
      <c r="B36" s="108"/>
      <c r="C36" s="108"/>
      <c r="D36" s="108"/>
      <c r="E36" s="108"/>
      <c r="F36" s="108"/>
      <c r="G36" s="108"/>
      <c r="H36" s="108"/>
      <c r="I36" s="108"/>
      <c r="J36" s="108"/>
      <c r="K36" s="108"/>
      <c r="L36" s="108"/>
      <c r="M36" s="108"/>
      <c r="N36" s="108"/>
      <c r="O36" s="108"/>
      <c r="P36" s="108"/>
      <c r="Q36" s="108"/>
      <c r="R36" s="108"/>
      <c r="S36" s="108"/>
      <c r="T36" s="108"/>
      <c r="U36" s="670"/>
      <c r="V36" s="108"/>
      <c r="W36" s="108"/>
    </row>
    <row r="37" spans="1:23" x14ac:dyDescent="0.2">
      <c r="A37" s="108"/>
      <c r="B37" s="108"/>
      <c r="C37" s="108"/>
      <c r="D37" s="108"/>
      <c r="E37" s="108"/>
      <c r="F37" s="108"/>
      <c r="G37" s="108"/>
      <c r="H37" s="108"/>
      <c r="I37" s="108"/>
      <c r="J37" s="108"/>
      <c r="K37" s="108"/>
      <c r="L37" s="108"/>
      <c r="M37" s="108"/>
      <c r="N37" s="108"/>
      <c r="O37" s="108"/>
      <c r="P37" s="108"/>
      <c r="Q37" s="108"/>
      <c r="R37" s="108"/>
      <c r="S37" s="108"/>
      <c r="T37" s="108"/>
      <c r="V37" s="108"/>
      <c r="W37" s="108"/>
    </row>
    <row r="38" spans="1:23" x14ac:dyDescent="0.2">
      <c r="A38" s="108"/>
      <c r="B38" s="108"/>
      <c r="C38" s="108"/>
      <c r="D38" s="108"/>
      <c r="E38" s="108"/>
      <c r="F38" s="108"/>
      <c r="G38" s="108"/>
      <c r="H38" s="108"/>
      <c r="I38" s="108"/>
      <c r="J38" s="108"/>
      <c r="K38" s="108"/>
      <c r="L38" s="108"/>
      <c r="M38" s="108"/>
      <c r="N38" s="108"/>
      <c r="O38" s="108"/>
      <c r="P38" s="108"/>
      <c r="Q38" s="108"/>
      <c r="R38" s="108"/>
      <c r="S38" s="108"/>
      <c r="T38" s="108"/>
      <c r="V38" s="108"/>
      <c r="W38" s="108"/>
    </row>
    <row r="39" spans="1:23" x14ac:dyDescent="0.2">
      <c r="A39" s="108"/>
      <c r="B39" s="108"/>
      <c r="C39" s="108"/>
      <c r="D39" s="108"/>
      <c r="E39" s="108"/>
      <c r="F39" s="108"/>
      <c r="G39" s="108"/>
      <c r="H39" s="108"/>
      <c r="I39" s="108"/>
      <c r="J39" s="108"/>
      <c r="K39" s="108"/>
      <c r="L39" s="108"/>
      <c r="M39" s="108"/>
      <c r="N39" s="108"/>
      <c r="O39" s="108"/>
      <c r="P39" s="108"/>
      <c r="Q39" s="108"/>
      <c r="R39" s="108"/>
      <c r="S39" s="108"/>
      <c r="T39" s="108"/>
      <c r="V39" s="108"/>
      <c r="W39" s="108"/>
    </row>
    <row r="40" spans="1:23" x14ac:dyDescent="0.2">
      <c r="A40" s="108"/>
      <c r="B40" s="108"/>
      <c r="C40" s="108"/>
      <c r="D40" s="108"/>
      <c r="E40" s="108"/>
      <c r="F40" s="108"/>
      <c r="G40" s="108"/>
      <c r="H40" s="108"/>
      <c r="I40" s="108"/>
      <c r="J40" s="108"/>
      <c r="K40" s="108"/>
      <c r="L40" s="108"/>
      <c r="M40" s="108"/>
      <c r="N40" s="108"/>
      <c r="O40" s="108"/>
      <c r="P40" s="108"/>
      <c r="Q40" s="108"/>
      <c r="R40" s="108"/>
      <c r="S40" s="108"/>
      <c r="T40" s="108"/>
      <c r="V40" s="108"/>
      <c r="W40" s="108"/>
    </row>
    <row r="41" spans="1:23" x14ac:dyDescent="0.2">
      <c r="A41" s="108"/>
      <c r="B41" s="108"/>
      <c r="C41" s="108"/>
      <c r="D41" s="108"/>
      <c r="E41" s="108"/>
      <c r="F41" s="108"/>
      <c r="G41" s="108"/>
      <c r="H41" s="108"/>
      <c r="I41" s="108"/>
      <c r="J41" s="108"/>
      <c r="K41" s="108"/>
      <c r="L41" s="108"/>
      <c r="M41" s="108"/>
      <c r="N41" s="108"/>
      <c r="O41" s="108"/>
      <c r="P41" s="108"/>
      <c r="Q41" s="108"/>
      <c r="R41" s="108"/>
      <c r="S41" s="108"/>
      <c r="T41" s="108"/>
      <c r="V41" s="108"/>
      <c r="W41" s="108"/>
    </row>
    <row r="42" spans="1:23" x14ac:dyDescent="0.2">
      <c r="A42" s="108"/>
      <c r="B42" s="108"/>
      <c r="C42" s="108"/>
      <c r="D42" s="108"/>
      <c r="E42" s="108"/>
      <c r="F42" s="108"/>
      <c r="G42" s="108"/>
      <c r="H42" s="108"/>
      <c r="I42" s="108"/>
      <c r="J42" s="108"/>
      <c r="K42" s="108"/>
      <c r="L42" s="108"/>
      <c r="M42" s="108"/>
      <c r="N42" s="108"/>
      <c r="O42" s="108"/>
      <c r="P42" s="108"/>
      <c r="Q42" s="108"/>
      <c r="R42" s="108"/>
      <c r="S42" s="108"/>
      <c r="T42" s="108"/>
      <c r="V42" s="108"/>
      <c r="W42" s="108"/>
    </row>
    <row r="43" spans="1:23" x14ac:dyDescent="0.2">
      <c r="A43" s="108"/>
      <c r="B43" s="108"/>
      <c r="C43" s="108"/>
      <c r="D43" s="108"/>
      <c r="E43" s="108"/>
      <c r="F43" s="108"/>
      <c r="G43" s="108"/>
      <c r="H43" s="108"/>
      <c r="I43" s="108"/>
      <c r="J43" s="108"/>
      <c r="K43" s="108"/>
      <c r="L43" s="108"/>
      <c r="M43" s="108"/>
      <c r="N43" s="108"/>
      <c r="O43" s="108"/>
      <c r="P43" s="108"/>
      <c r="Q43" s="108"/>
      <c r="R43" s="108"/>
      <c r="S43" s="108"/>
      <c r="T43" s="108"/>
      <c r="V43" s="108"/>
      <c r="W43" s="108"/>
    </row>
    <row r="44" spans="1:23" x14ac:dyDescent="0.2">
      <c r="A44" s="108"/>
      <c r="B44" s="108"/>
      <c r="C44" s="108"/>
      <c r="D44" s="108"/>
      <c r="E44" s="108"/>
      <c r="F44" s="108"/>
      <c r="G44" s="108"/>
      <c r="H44" s="108"/>
      <c r="I44" s="108"/>
      <c r="J44" s="108"/>
      <c r="K44" s="108"/>
      <c r="L44" s="108"/>
      <c r="M44" s="108"/>
      <c r="N44" s="108"/>
      <c r="O44" s="108"/>
      <c r="P44" s="108"/>
      <c r="Q44" s="108"/>
      <c r="R44" s="108"/>
      <c r="S44" s="108"/>
      <c r="T44" s="108"/>
      <c r="V44" s="108"/>
      <c r="W44" s="108"/>
    </row>
    <row r="45" spans="1:23" x14ac:dyDescent="0.2">
      <c r="A45" s="108"/>
      <c r="B45" s="108"/>
      <c r="C45" s="108"/>
      <c r="D45" s="108"/>
      <c r="E45" s="108"/>
      <c r="F45" s="108"/>
      <c r="G45" s="108"/>
      <c r="H45" s="108"/>
      <c r="I45" s="108"/>
      <c r="J45" s="108"/>
      <c r="K45" s="108"/>
      <c r="L45" s="108"/>
      <c r="M45" s="108"/>
      <c r="N45" s="108"/>
      <c r="O45" s="108"/>
      <c r="P45" s="108"/>
      <c r="Q45" s="108"/>
      <c r="R45" s="108"/>
      <c r="S45" s="108"/>
      <c r="T45" s="108"/>
      <c r="V45" s="108"/>
      <c r="W45" s="108"/>
    </row>
    <row r="46" spans="1:23" x14ac:dyDescent="0.2">
      <c r="A46" s="108"/>
      <c r="B46" s="108"/>
      <c r="C46" s="108"/>
      <c r="D46" s="108"/>
      <c r="E46" s="108"/>
      <c r="F46" s="108"/>
      <c r="G46" s="108"/>
      <c r="H46" s="108"/>
      <c r="I46" s="108"/>
      <c r="J46" s="108"/>
      <c r="K46" s="108"/>
      <c r="L46" s="108"/>
      <c r="M46" s="108"/>
      <c r="N46" s="108"/>
      <c r="O46" s="108"/>
      <c r="P46" s="108"/>
      <c r="Q46" s="108"/>
      <c r="R46" s="108"/>
      <c r="S46" s="108"/>
      <c r="T46" s="108"/>
      <c r="V46" s="108"/>
      <c r="W46" s="108"/>
    </row>
    <row r="47" spans="1:23" x14ac:dyDescent="0.2">
      <c r="A47" s="108"/>
      <c r="B47" s="108"/>
      <c r="C47" s="108"/>
      <c r="D47" s="108"/>
      <c r="E47" s="108"/>
      <c r="F47" s="108"/>
      <c r="G47" s="108"/>
      <c r="H47" s="108"/>
      <c r="I47" s="108"/>
      <c r="J47" s="108"/>
      <c r="K47" s="108"/>
      <c r="L47" s="108"/>
      <c r="M47" s="108"/>
      <c r="N47" s="108"/>
      <c r="O47" s="108"/>
      <c r="P47" s="108"/>
      <c r="Q47" s="108"/>
      <c r="R47" s="108"/>
      <c r="S47" s="108"/>
      <c r="T47" s="108"/>
      <c r="V47" s="108"/>
      <c r="W47" s="108"/>
    </row>
    <row r="48" spans="1:23" x14ac:dyDescent="0.2">
      <c r="A48" s="108"/>
      <c r="B48" s="108"/>
      <c r="C48" s="108"/>
      <c r="D48" s="108"/>
      <c r="E48" s="108"/>
      <c r="F48" s="108"/>
      <c r="G48" s="108"/>
      <c r="H48" s="108"/>
      <c r="I48" s="108"/>
      <c r="J48" s="108"/>
      <c r="K48" s="108"/>
      <c r="L48" s="108"/>
      <c r="M48" s="108"/>
      <c r="N48" s="108"/>
      <c r="O48" s="108"/>
      <c r="P48" s="108"/>
      <c r="Q48" s="108"/>
      <c r="R48" s="108"/>
      <c r="S48" s="108"/>
      <c r="T48" s="108"/>
      <c r="V48" s="108"/>
      <c r="W48" s="108"/>
    </row>
    <row r="49" spans="1:29" x14ac:dyDescent="0.2">
      <c r="A49" s="108"/>
      <c r="B49" s="108"/>
      <c r="C49" s="108"/>
      <c r="D49" s="108"/>
      <c r="E49" s="108"/>
      <c r="F49" s="108"/>
      <c r="G49" s="108"/>
      <c r="H49" s="108"/>
      <c r="I49" s="108"/>
      <c r="J49" s="108"/>
      <c r="K49" s="108"/>
      <c r="L49" s="108"/>
      <c r="M49" s="108"/>
      <c r="N49" s="108"/>
      <c r="O49" s="108"/>
      <c r="P49" s="108"/>
      <c r="Q49" s="108"/>
      <c r="R49" s="108"/>
      <c r="S49" s="108"/>
      <c r="T49" s="108"/>
      <c r="V49" s="108"/>
      <c r="W49" s="108"/>
    </row>
    <row r="50" spans="1:29" x14ac:dyDescent="0.2">
      <c r="A50" s="108"/>
      <c r="B50" s="108"/>
      <c r="C50" s="108"/>
      <c r="D50" s="108"/>
      <c r="E50" s="108"/>
      <c r="F50" s="108"/>
      <c r="G50" s="108"/>
      <c r="H50" s="108"/>
      <c r="I50" s="108"/>
      <c r="J50" s="108"/>
      <c r="K50" s="108"/>
      <c r="L50" s="108"/>
      <c r="M50" s="108"/>
      <c r="N50" s="108"/>
      <c r="O50" s="108"/>
      <c r="P50" s="108"/>
      <c r="Q50" s="108"/>
      <c r="R50" s="108"/>
      <c r="S50" s="108"/>
      <c r="T50" s="108"/>
      <c r="V50" s="108"/>
      <c r="W50" s="108"/>
    </row>
    <row r="51" spans="1:29" x14ac:dyDescent="0.2">
      <c r="A51" s="108"/>
      <c r="B51" s="108"/>
      <c r="C51" s="108"/>
      <c r="D51" s="108"/>
      <c r="E51" s="108"/>
      <c r="F51" s="108"/>
      <c r="G51" s="108"/>
      <c r="H51" s="108"/>
      <c r="I51" s="108"/>
      <c r="J51" s="108"/>
      <c r="K51" s="108"/>
      <c r="L51" s="108"/>
      <c r="M51" s="108"/>
      <c r="N51" s="108"/>
      <c r="O51" s="108"/>
      <c r="P51" s="108"/>
      <c r="Q51" s="108"/>
      <c r="R51" s="108"/>
      <c r="S51" s="108"/>
      <c r="T51" s="108"/>
      <c r="V51" s="108"/>
      <c r="W51" s="108"/>
    </row>
    <row r="52" spans="1:29" x14ac:dyDescent="0.2">
      <c r="A52" s="108"/>
      <c r="B52" s="108"/>
      <c r="C52" s="108"/>
      <c r="D52" s="108"/>
      <c r="E52" s="108"/>
      <c r="F52" s="108"/>
      <c r="G52" s="108"/>
      <c r="H52" s="108"/>
      <c r="I52" s="108"/>
      <c r="J52" s="108"/>
      <c r="K52" s="108"/>
      <c r="L52" s="108"/>
      <c r="M52" s="108"/>
      <c r="N52" s="108"/>
      <c r="O52" s="108"/>
      <c r="P52" s="108"/>
      <c r="Q52" s="108"/>
      <c r="R52" s="108"/>
      <c r="S52" s="108"/>
      <c r="T52" s="108"/>
      <c r="V52" s="108"/>
      <c r="W52" s="108"/>
    </row>
    <row r="53" spans="1:29" x14ac:dyDescent="0.2">
      <c r="A53" s="108"/>
      <c r="B53" s="108"/>
      <c r="C53" s="108"/>
      <c r="D53" s="108"/>
      <c r="E53" s="108"/>
      <c r="F53" s="108"/>
      <c r="G53" s="108"/>
      <c r="H53" s="108"/>
      <c r="I53" s="108"/>
      <c r="J53" s="108"/>
      <c r="K53" s="108"/>
      <c r="L53" s="108"/>
      <c r="M53" s="108"/>
      <c r="N53" s="108"/>
      <c r="O53" s="108"/>
      <c r="P53" s="108"/>
      <c r="Q53" s="108"/>
      <c r="R53" s="108"/>
      <c r="S53" s="108"/>
      <c r="T53" s="108"/>
      <c r="V53" s="108"/>
      <c r="W53" s="108"/>
    </row>
    <row r="54" spans="1:29" x14ac:dyDescent="0.2">
      <c r="A54" s="108"/>
      <c r="B54" s="108"/>
      <c r="C54" s="108"/>
      <c r="D54" s="108"/>
      <c r="E54" s="108"/>
      <c r="F54" s="108"/>
      <c r="G54" s="108"/>
      <c r="H54" s="108"/>
      <c r="I54" s="108"/>
      <c r="J54" s="108"/>
      <c r="K54" s="108"/>
      <c r="L54" s="108"/>
      <c r="M54" s="108"/>
      <c r="N54" s="108"/>
      <c r="O54" s="108"/>
      <c r="P54" s="108"/>
      <c r="Q54" s="108"/>
      <c r="R54" s="108"/>
      <c r="S54" s="108"/>
      <c r="T54" s="108"/>
      <c r="V54" s="108"/>
      <c r="W54" s="108"/>
    </row>
    <row r="55" spans="1:29" x14ac:dyDescent="0.2">
      <c r="A55" s="108"/>
      <c r="B55" s="108"/>
      <c r="C55" s="108"/>
      <c r="D55" s="108"/>
      <c r="E55" s="108"/>
      <c r="F55" s="108"/>
      <c r="G55" s="108"/>
      <c r="H55" s="108"/>
      <c r="I55" s="108"/>
      <c r="J55" s="108"/>
      <c r="K55" s="108"/>
      <c r="L55" s="108"/>
      <c r="M55" s="108"/>
      <c r="N55" s="108"/>
      <c r="O55" s="108"/>
      <c r="P55" s="108"/>
      <c r="Q55" s="108"/>
      <c r="R55" s="108"/>
      <c r="S55" s="108"/>
      <c r="T55" s="108"/>
      <c r="V55" s="108"/>
      <c r="W55" s="108"/>
    </row>
    <row r="56" spans="1:29" x14ac:dyDescent="0.2">
      <c r="A56" s="108"/>
      <c r="B56" s="108"/>
      <c r="C56" s="108"/>
      <c r="D56" s="108"/>
      <c r="E56" s="108"/>
      <c r="F56" s="108"/>
      <c r="G56" s="108"/>
      <c r="H56" s="108"/>
      <c r="I56" s="108"/>
      <c r="J56" s="108"/>
      <c r="K56" s="108"/>
      <c r="L56" s="108"/>
      <c r="M56" s="108"/>
      <c r="N56" s="108"/>
      <c r="O56" s="108"/>
      <c r="P56" s="108"/>
      <c r="Q56" s="108"/>
      <c r="R56" s="108"/>
      <c r="S56" s="108"/>
      <c r="T56" s="108"/>
      <c r="V56" s="108"/>
      <c r="W56" s="108"/>
    </row>
    <row r="57" spans="1:29" s="607" customFormat="1" ht="15" customHeight="1" x14ac:dyDescent="0.2">
      <c r="A57" s="980"/>
      <c r="B57" s="670"/>
      <c r="C57" s="670"/>
      <c r="D57" s="670"/>
      <c r="E57" s="670"/>
      <c r="F57" s="670"/>
      <c r="G57" s="670"/>
      <c r="H57" s="670"/>
      <c r="I57" s="670"/>
      <c r="J57" s="670"/>
      <c r="K57" s="670"/>
      <c r="L57" s="670"/>
      <c r="M57" s="670"/>
      <c r="N57" s="670"/>
      <c r="O57" s="670"/>
      <c r="P57" s="670"/>
      <c r="Q57" s="670"/>
      <c r="R57" s="670"/>
      <c r="S57" s="670"/>
      <c r="T57" s="670"/>
      <c r="U57" s="108"/>
      <c r="V57" s="670"/>
      <c r="W57" s="670"/>
      <c r="X57" s="825"/>
      <c r="Y57" s="825"/>
      <c r="Z57" s="825"/>
      <c r="AA57" s="825"/>
      <c r="AB57" s="825"/>
      <c r="AC57" s="825"/>
    </row>
    <row r="58" spans="1:29" s="253" customFormat="1" ht="15" customHeight="1" x14ac:dyDescent="0.2">
      <c r="A58" s="980"/>
      <c r="B58" s="266"/>
      <c r="C58" s="609" t="s">
        <v>16</v>
      </c>
      <c r="D58" s="609"/>
      <c r="E58" s="609"/>
      <c r="F58" s="609"/>
      <c r="G58" s="609"/>
      <c r="H58" s="609"/>
      <c r="I58" s="609"/>
      <c r="J58" s="609"/>
      <c r="K58" s="609"/>
      <c r="L58" s="609"/>
      <c r="M58" s="609"/>
      <c r="N58" s="609"/>
      <c r="O58" s="609"/>
      <c r="P58" s="255"/>
      <c r="Q58" s="255"/>
      <c r="R58" s="248"/>
      <c r="S58" s="255"/>
      <c r="T58" s="248"/>
      <c r="U58" s="670"/>
      <c r="V58" s="255"/>
      <c r="W58" s="255"/>
      <c r="X58" s="255"/>
      <c r="Y58" s="255"/>
      <c r="Z58" s="255"/>
      <c r="AA58" s="825"/>
      <c r="AB58" s="825"/>
      <c r="AC58" s="825"/>
    </row>
    <row r="59" spans="1:29" s="253" customFormat="1" ht="15" customHeight="1" x14ac:dyDescent="0.2">
      <c r="A59" s="980"/>
      <c r="B59" s="266"/>
      <c r="C59" s="313"/>
      <c r="D59" s="313"/>
      <c r="E59" s="313"/>
      <c r="F59" s="313"/>
      <c r="G59" s="313"/>
      <c r="H59" s="313"/>
      <c r="I59" s="313"/>
      <c r="J59" s="313"/>
      <c r="K59" s="313"/>
      <c r="L59" s="313"/>
      <c r="M59" s="313"/>
      <c r="N59" s="313"/>
      <c r="O59" s="313"/>
      <c r="P59" s="255"/>
      <c r="Q59" s="255"/>
      <c r="R59" s="248"/>
      <c r="S59" s="255"/>
      <c r="T59" s="248"/>
      <c r="U59" s="255"/>
      <c r="V59" s="255"/>
      <c r="W59" s="255"/>
      <c r="X59" s="255"/>
      <c r="Y59" s="255"/>
      <c r="Z59" s="255"/>
      <c r="AA59" s="825"/>
      <c r="AB59" s="825"/>
      <c r="AC59" s="825"/>
    </row>
    <row r="60" spans="1:29" s="607" customFormat="1" ht="15" customHeight="1" x14ac:dyDescent="0.2">
      <c r="A60" s="980"/>
      <c r="B60" s="670"/>
      <c r="C60" s="670"/>
      <c r="D60" s="670"/>
      <c r="E60" s="670"/>
      <c r="F60" s="670"/>
      <c r="G60" s="670"/>
      <c r="H60" s="670"/>
      <c r="I60" s="670"/>
      <c r="J60" s="670"/>
      <c r="K60" s="670"/>
      <c r="L60" s="670"/>
      <c r="M60" s="670"/>
      <c r="N60" s="670"/>
      <c r="O60" s="670"/>
      <c r="P60" s="670"/>
      <c r="Q60" s="670"/>
      <c r="R60" s="670"/>
      <c r="S60" s="670"/>
      <c r="T60" s="670"/>
      <c r="U60" s="255"/>
      <c r="V60" s="670"/>
      <c r="W60" s="670"/>
      <c r="X60" s="825"/>
      <c r="Y60" s="825"/>
      <c r="Z60" s="825"/>
      <c r="AA60" s="825"/>
      <c r="AB60" s="825"/>
      <c r="AC60" s="825"/>
    </row>
    <row r="61" spans="1:29" s="607" customFormat="1" ht="15" customHeight="1" x14ac:dyDescent="0.2">
      <c r="A61" s="980"/>
      <c r="B61" s="670"/>
      <c r="C61" s="670" t="str">
        <f>ListAVS!$B$332</f>
        <v>Wybierz dogodną technikę montażu mocowania frontu</v>
      </c>
      <c r="D61" s="670"/>
      <c r="E61" s="670"/>
      <c r="F61" s="670"/>
      <c r="G61" s="670"/>
      <c r="H61" s="670"/>
      <c r="I61" s="670"/>
      <c r="J61" s="670"/>
      <c r="K61" s="670"/>
      <c r="L61" s="670"/>
      <c r="M61" s="670"/>
      <c r="N61" s="670"/>
      <c r="O61" s="670"/>
      <c r="P61" s="670"/>
      <c r="Q61" s="670"/>
      <c r="R61" s="670"/>
      <c r="S61" s="670"/>
      <c r="T61" s="670"/>
      <c r="U61" s="670"/>
      <c r="V61" s="670"/>
      <c r="W61" s="670"/>
      <c r="X61" s="825"/>
      <c r="Y61" s="825"/>
      <c r="Z61" s="825"/>
      <c r="AA61" s="825"/>
      <c r="AB61" s="825"/>
      <c r="AC61" s="825"/>
    </row>
    <row r="62" spans="1:29" s="607" customFormat="1" ht="15" customHeight="1" x14ac:dyDescent="0.2">
      <c r="A62" s="980"/>
      <c r="B62" s="670"/>
      <c r="C62" s="670"/>
      <c r="D62" s="670"/>
      <c r="E62" s="670"/>
      <c r="F62" s="670"/>
      <c r="G62" s="670"/>
      <c r="H62" s="670"/>
      <c r="I62" s="670"/>
      <c r="J62" s="670"/>
      <c r="K62" s="670"/>
      <c r="L62" s="670"/>
      <c r="M62" s="670"/>
      <c r="N62" s="670"/>
      <c r="O62" s="670"/>
      <c r="P62" s="670"/>
      <c r="Q62" s="670"/>
      <c r="R62" s="670"/>
      <c r="S62" s="670"/>
      <c r="T62" s="670"/>
      <c r="U62" s="670"/>
      <c r="V62" s="670"/>
      <c r="W62" s="670"/>
      <c r="X62" s="825"/>
      <c r="Y62" s="825"/>
      <c r="Z62" s="825"/>
      <c r="AA62" s="825"/>
      <c r="AB62" s="825"/>
      <c r="AC62" s="825"/>
    </row>
    <row r="63" spans="1:29" s="607" customFormat="1" ht="15" customHeight="1" x14ac:dyDescent="0.2">
      <c r="A63" s="980"/>
      <c r="B63" s="670"/>
      <c r="C63" s="670" t="str">
        <f>ListAVS!$B$289</f>
        <v>Kliknij na zdjęcie lub opis, aby przejść do żądanego typu podnośnika.</v>
      </c>
      <c r="D63" s="670"/>
      <c r="E63" s="670"/>
      <c r="F63" s="670"/>
      <c r="G63" s="670"/>
      <c r="H63" s="670"/>
      <c r="I63" s="670"/>
      <c r="J63" s="670"/>
      <c r="K63" s="670"/>
      <c r="L63" s="670"/>
      <c r="M63" s="670"/>
      <c r="N63" s="670"/>
      <c r="O63" s="670"/>
      <c r="P63" s="670"/>
      <c r="Q63" s="670"/>
      <c r="R63" s="670"/>
      <c r="S63" s="670"/>
      <c r="T63" s="670"/>
      <c r="U63" s="670"/>
      <c r="V63" s="670"/>
      <c r="W63" s="670"/>
      <c r="X63" s="825"/>
      <c r="Y63" s="825"/>
      <c r="Z63" s="825"/>
      <c r="AA63" s="825"/>
      <c r="AB63" s="825"/>
      <c r="AC63" s="825"/>
    </row>
    <row r="64" spans="1:29" s="607" customFormat="1" ht="15" customHeight="1" x14ac:dyDescent="0.2">
      <c r="A64" s="980"/>
      <c r="B64" s="670"/>
      <c r="C64" s="670"/>
      <c r="D64" s="670"/>
      <c r="E64" s="670"/>
      <c r="F64" s="670"/>
      <c r="G64" s="670"/>
      <c r="H64" s="670"/>
      <c r="I64" s="670"/>
      <c r="J64" s="670"/>
      <c r="K64" s="670"/>
      <c r="L64" s="670"/>
      <c r="M64" s="670"/>
      <c r="N64" s="670"/>
      <c r="O64" s="670"/>
      <c r="P64" s="670"/>
      <c r="Q64" s="670"/>
      <c r="R64" s="670"/>
      <c r="S64" s="670"/>
      <c r="T64" s="670"/>
      <c r="U64" s="670"/>
      <c r="V64" s="670"/>
      <c r="W64" s="670"/>
      <c r="X64" s="825"/>
      <c r="Y64" s="825"/>
      <c r="Z64" s="825"/>
      <c r="AA64" s="825"/>
      <c r="AB64" s="825"/>
      <c r="AC64" s="825"/>
    </row>
    <row r="65" spans="1:29" s="607" customFormat="1" ht="15" customHeight="1" x14ac:dyDescent="0.2">
      <c r="A65" s="980"/>
      <c r="B65" s="670"/>
      <c r="C65" s="670"/>
      <c r="D65" s="670"/>
      <c r="E65" s="670"/>
      <c r="F65" s="670"/>
      <c r="G65" s="670"/>
      <c r="H65" s="670"/>
      <c r="I65" s="670"/>
      <c r="J65" s="670"/>
      <c r="K65" s="670"/>
      <c r="L65" s="670"/>
      <c r="M65" s="670"/>
      <c r="N65" s="670"/>
      <c r="O65" s="670"/>
      <c r="P65" s="670"/>
      <c r="Q65" s="670"/>
      <c r="R65" s="670"/>
      <c r="S65" s="670"/>
      <c r="T65" s="670"/>
      <c r="U65" s="670"/>
      <c r="V65" s="670"/>
      <c r="W65" s="670"/>
      <c r="X65" s="825"/>
      <c r="Y65" s="825"/>
      <c r="Z65" s="825"/>
      <c r="AA65" s="825"/>
      <c r="AB65" s="825"/>
      <c r="AC65" s="825"/>
    </row>
    <row r="66" spans="1:29" s="607" customFormat="1" ht="15" customHeight="1" x14ac:dyDescent="0.2">
      <c r="A66" s="980"/>
      <c r="B66" s="670"/>
      <c r="C66" s="670"/>
      <c r="D66" s="670"/>
      <c r="E66" s="670"/>
      <c r="F66" s="670"/>
      <c r="G66" s="670"/>
      <c r="H66" s="670"/>
      <c r="I66" s="670"/>
      <c r="J66" s="670"/>
      <c r="K66" s="670"/>
      <c r="L66" s="670"/>
      <c r="M66" s="670"/>
      <c r="N66" s="670"/>
      <c r="O66" s="670"/>
      <c r="P66" s="670"/>
      <c r="Q66" s="670"/>
      <c r="R66" s="670"/>
      <c r="S66" s="670"/>
      <c r="T66" s="670"/>
      <c r="U66" s="670"/>
      <c r="V66" s="670"/>
      <c r="W66" s="670"/>
      <c r="X66" s="825"/>
      <c r="Y66" s="825"/>
      <c r="Z66" s="825"/>
      <c r="AA66" s="825"/>
      <c r="AB66" s="825"/>
      <c r="AC66" s="825"/>
    </row>
    <row r="67" spans="1:29" s="607" customFormat="1" ht="15" customHeight="1" x14ac:dyDescent="0.2">
      <c r="A67" s="980"/>
      <c r="B67" s="670"/>
      <c r="C67" s="670"/>
      <c r="D67" s="670"/>
      <c r="E67" s="670"/>
      <c r="F67" s="670"/>
      <c r="G67" s="670"/>
      <c r="H67" s="670"/>
      <c r="I67" s="670"/>
      <c r="J67" s="670"/>
      <c r="K67" s="670"/>
      <c r="L67" s="670"/>
      <c r="M67" s="670"/>
      <c r="N67" s="670"/>
      <c r="O67" s="670"/>
      <c r="P67" s="670"/>
      <c r="Q67" s="670"/>
      <c r="R67" s="670"/>
      <c r="S67" s="670"/>
      <c r="T67" s="670"/>
      <c r="U67" s="670"/>
      <c r="V67" s="670"/>
      <c r="W67" s="670"/>
      <c r="X67" s="825"/>
      <c r="Y67" s="825"/>
      <c r="Z67" s="825"/>
      <c r="AA67" s="825"/>
      <c r="AB67" s="825"/>
      <c r="AC67" s="825"/>
    </row>
    <row r="68" spans="1:29" s="607" customFormat="1" ht="15" customHeight="1" x14ac:dyDescent="0.2">
      <c r="A68" s="980"/>
      <c r="B68" s="670"/>
      <c r="C68" s="670"/>
      <c r="D68" s="670"/>
      <c r="E68" s="670"/>
      <c r="F68" s="670"/>
      <c r="G68" s="670"/>
      <c r="H68" s="670"/>
      <c r="I68" s="670"/>
      <c r="J68" s="670"/>
      <c r="K68" s="670"/>
      <c r="L68" s="670"/>
      <c r="M68" s="670"/>
      <c r="N68" s="670"/>
      <c r="O68" s="670"/>
      <c r="P68" s="670"/>
      <c r="Q68" s="670"/>
      <c r="R68" s="670"/>
      <c r="S68" s="670"/>
      <c r="T68" s="670"/>
      <c r="U68" s="670"/>
      <c r="V68" s="670"/>
      <c r="W68" s="670"/>
      <c r="X68" s="825"/>
      <c r="Y68" s="825"/>
      <c r="Z68" s="825"/>
      <c r="AA68" s="825"/>
      <c r="AB68" s="825"/>
      <c r="AC68" s="825"/>
    </row>
    <row r="69" spans="1:29" s="607" customFormat="1" ht="15" customHeight="1" x14ac:dyDescent="0.2">
      <c r="A69" s="980"/>
      <c r="B69" s="670"/>
      <c r="C69" s="670"/>
      <c r="D69" s="670"/>
      <c r="E69" s="670"/>
      <c r="F69" s="670"/>
      <c r="G69" s="670"/>
      <c r="H69" s="670"/>
      <c r="I69" s="670"/>
      <c r="J69" s="670"/>
      <c r="K69" s="670"/>
      <c r="L69" s="670"/>
      <c r="M69" s="670"/>
      <c r="N69" s="670"/>
      <c r="O69" s="670"/>
      <c r="P69" s="670"/>
      <c r="Q69" s="670"/>
      <c r="R69" s="670"/>
      <c r="S69" s="670"/>
      <c r="T69" s="670"/>
      <c r="U69" s="670"/>
      <c r="V69" s="670"/>
      <c r="W69" s="670"/>
    </row>
    <row r="70" spans="1:29" s="607" customFormat="1" ht="15" customHeight="1" x14ac:dyDescent="0.2">
      <c r="A70" s="980"/>
      <c r="B70" s="670"/>
      <c r="C70" s="670"/>
      <c r="D70" s="670"/>
      <c r="E70" s="670"/>
      <c r="F70" s="670"/>
      <c r="G70" s="670"/>
      <c r="H70" s="670"/>
      <c r="I70" s="670"/>
      <c r="J70" s="670"/>
      <c r="K70" s="670"/>
      <c r="L70" s="670"/>
      <c r="M70" s="670"/>
      <c r="N70" s="670"/>
      <c r="O70" s="670"/>
      <c r="P70" s="670"/>
      <c r="Q70" s="670"/>
      <c r="R70" s="670"/>
      <c r="S70" s="670"/>
      <c r="T70" s="670"/>
      <c r="U70" s="670"/>
      <c r="V70" s="670"/>
      <c r="W70" s="670"/>
    </row>
    <row r="71" spans="1:29" s="607" customFormat="1" ht="15" customHeight="1" x14ac:dyDescent="0.2">
      <c r="A71" s="980"/>
      <c r="B71" s="670"/>
      <c r="C71" s="670"/>
      <c r="D71" s="670"/>
      <c r="E71" s="670"/>
      <c r="F71" s="670"/>
      <c r="G71" s="670"/>
      <c r="H71" s="670"/>
      <c r="I71" s="670"/>
      <c r="J71" s="671"/>
      <c r="K71" s="671"/>
      <c r="L71" s="670"/>
      <c r="M71" s="670"/>
      <c r="N71" s="670"/>
      <c r="O71" s="670"/>
      <c r="P71" s="670"/>
      <c r="Q71" s="670"/>
      <c r="R71" s="670"/>
      <c r="S71" s="670"/>
      <c r="T71" s="670"/>
      <c r="U71" s="670"/>
      <c r="V71" s="670"/>
      <c r="W71" s="670"/>
    </row>
    <row r="72" spans="1:29" s="607" customFormat="1" ht="15" customHeight="1" x14ac:dyDescent="0.2">
      <c r="A72" s="980"/>
      <c r="B72" s="670"/>
      <c r="C72" s="670"/>
      <c r="D72" s="670"/>
      <c r="E72" s="670"/>
      <c r="F72" s="670"/>
      <c r="G72" s="670"/>
      <c r="H72" s="670"/>
      <c r="I72" s="670"/>
      <c r="J72" s="670"/>
      <c r="K72" s="670"/>
      <c r="L72" s="670"/>
      <c r="M72" s="670"/>
      <c r="N72" s="670"/>
      <c r="O72" s="670"/>
      <c r="P72" s="670"/>
      <c r="Q72" s="670"/>
      <c r="R72" s="670"/>
      <c r="S72" s="670"/>
      <c r="T72" s="670"/>
      <c r="U72" s="670"/>
      <c r="V72" s="670"/>
      <c r="W72" s="670"/>
    </row>
    <row r="73" spans="1:29" s="607" customFormat="1" ht="15" customHeight="1" x14ac:dyDescent="0.2">
      <c r="A73" s="980"/>
      <c r="B73" s="670"/>
      <c r="C73" s="670"/>
      <c r="D73" s="670"/>
      <c r="E73" s="670"/>
      <c r="F73" s="670"/>
      <c r="G73" s="670"/>
      <c r="H73" s="979" t="str">
        <f>ListAVS!$B$168</f>
        <v>Z powrotem</v>
      </c>
      <c r="I73" s="979"/>
      <c r="J73" s="680"/>
      <c r="K73" s="680"/>
      <c r="L73" s="680"/>
      <c r="M73" s="1040"/>
      <c r="N73" s="1040"/>
      <c r="O73" s="670"/>
      <c r="P73" s="670"/>
      <c r="Q73" s="670"/>
      <c r="R73" s="670"/>
      <c r="S73" s="670"/>
      <c r="T73" s="670"/>
      <c r="U73" s="670"/>
      <c r="V73" s="670"/>
      <c r="W73" s="670"/>
    </row>
    <row r="74" spans="1:29" s="607" customFormat="1" ht="15" customHeight="1" x14ac:dyDescent="0.2">
      <c r="A74" s="980"/>
      <c r="B74" s="670"/>
      <c r="C74" s="670"/>
      <c r="D74" s="670"/>
      <c r="E74" s="670"/>
      <c r="F74" s="670"/>
      <c r="G74" s="670"/>
      <c r="H74" s="670"/>
      <c r="I74" s="670"/>
      <c r="J74" s="670"/>
      <c r="K74" s="670"/>
      <c r="L74" s="670"/>
      <c r="M74" s="670"/>
      <c r="N74" s="670"/>
      <c r="O74" s="670"/>
      <c r="P74" s="670"/>
      <c r="Q74" s="670"/>
      <c r="R74" s="670"/>
      <c r="S74" s="670"/>
      <c r="T74" s="670"/>
      <c r="U74" s="670"/>
      <c r="V74" s="670"/>
      <c r="W74" s="670"/>
    </row>
    <row r="75" spans="1:29" s="607" customFormat="1" ht="15" customHeight="1" x14ac:dyDescent="0.2">
      <c r="A75" s="980"/>
      <c r="B75" s="670"/>
      <c r="C75" s="670"/>
      <c r="D75" s="670"/>
      <c r="E75" s="670"/>
      <c r="F75" s="670"/>
      <c r="G75" s="670"/>
      <c r="H75" s="670"/>
      <c r="I75" s="670"/>
      <c r="J75" s="670"/>
      <c r="K75" s="670"/>
      <c r="L75" s="670"/>
      <c r="M75" s="670"/>
      <c r="N75" s="670"/>
      <c r="O75" s="670"/>
      <c r="P75" s="670"/>
      <c r="Q75" s="670"/>
      <c r="R75" s="670"/>
      <c r="S75" s="670"/>
      <c r="T75" s="670"/>
      <c r="U75" s="670"/>
      <c r="V75" s="670"/>
      <c r="W75" s="670"/>
    </row>
    <row r="76" spans="1:29" s="607" customFormat="1" ht="15" customHeight="1" x14ac:dyDescent="0.2">
      <c r="A76" s="980"/>
      <c r="B76" s="670"/>
      <c r="C76" s="670"/>
      <c r="D76" s="670"/>
      <c r="E76" s="670"/>
      <c r="F76" s="670"/>
      <c r="G76" s="670"/>
      <c r="H76" s="670"/>
      <c r="I76" s="670"/>
      <c r="J76" s="670"/>
      <c r="K76" s="670"/>
      <c r="L76" s="670"/>
      <c r="M76" s="670"/>
      <c r="N76" s="670"/>
      <c r="O76" s="670"/>
      <c r="P76" s="670"/>
      <c r="Q76" s="670"/>
      <c r="R76" s="670"/>
      <c r="S76" s="670"/>
      <c r="T76" s="670"/>
      <c r="U76" s="670"/>
      <c r="V76" s="670"/>
      <c r="W76" s="670"/>
    </row>
    <row r="77" spans="1:29" s="607" customFormat="1" ht="15" customHeight="1" x14ac:dyDescent="0.2">
      <c r="A77" s="980"/>
      <c r="B77" s="670"/>
      <c r="C77" s="670"/>
      <c r="D77" s="670"/>
      <c r="E77" s="670"/>
      <c r="F77" s="670"/>
      <c r="G77" s="670"/>
      <c r="H77" s="670"/>
      <c r="I77" s="670"/>
      <c r="J77" s="670"/>
      <c r="K77" s="670"/>
      <c r="L77" s="670"/>
      <c r="M77" s="670"/>
      <c r="N77" s="670"/>
      <c r="O77" s="670"/>
      <c r="P77" s="670"/>
      <c r="Q77" s="670"/>
      <c r="R77" s="670"/>
      <c r="S77" s="670"/>
      <c r="T77" s="670"/>
      <c r="U77" s="670"/>
      <c r="V77" s="670"/>
      <c r="W77" s="670"/>
    </row>
    <row r="78" spans="1:29" s="607" customFormat="1" ht="15" customHeight="1" x14ac:dyDescent="0.2">
      <c r="A78" s="980"/>
      <c r="B78" s="670"/>
      <c r="C78" s="670"/>
      <c r="D78" s="670"/>
      <c r="E78" s="670"/>
      <c r="F78" s="670"/>
      <c r="G78" s="670"/>
      <c r="H78" s="670"/>
      <c r="I78" s="670"/>
      <c r="J78" s="670"/>
      <c r="K78" s="670"/>
      <c r="L78" s="670"/>
      <c r="M78" s="670"/>
      <c r="N78" s="670"/>
      <c r="O78" s="670"/>
      <c r="P78" s="670"/>
      <c r="Q78" s="670"/>
      <c r="R78" s="670"/>
      <c r="S78" s="670"/>
      <c r="T78" s="670"/>
      <c r="U78" s="670"/>
      <c r="V78" s="670"/>
      <c r="W78" s="670"/>
    </row>
    <row r="79" spans="1:29" s="607" customFormat="1" ht="15" customHeight="1" x14ac:dyDescent="0.2">
      <c r="A79" s="980"/>
      <c r="B79" s="670"/>
      <c r="C79" s="670"/>
      <c r="D79" s="670"/>
      <c r="E79" s="670"/>
      <c r="F79" s="670"/>
      <c r="G79" s="670"/>
      <c r="H79" s="670"/>
      <c r="I79" s="670"/>
      <c r="J79" s="670"/>
      <c r="K79" s="670"/>
      <c r="L79" s="670"/>
      <c r="M79" s="670"/>
      <c r="N79" s="670"/>
      <c r="O79" s="670"/>
      <c r="P79" s="670"/>
      <c r="Q79" s="670"/>
      <c r="R79" s="670"/>
      <c r="S79" s="670"/>
      <c r="T79" s="670"/>
      <c r="U79" s="670"/>
      <c r="V79" s="670"/>
      <c r="W79" s="670"/>
    </row>
    <row r="80" spans="1:29" s="607" customFormat="1" ht="15" customHeight="1" x14ac:dyDescent="0.2">
      <c r="A80" s="980"/>
      <c r="B80" s="670"/>
      <c r="C80" s="670"/>
      <c r="D80" s="670"/>
      <c r="E80" s="670"/>
      <c r="F80" s="670"/>
      <c r="G80" s="670"/>
      <c r="H80" s="670"/>
      <c r="I80" s="670"/>
      <c r="J80" s="670"/>
      <c r="K80" s="670"/>
      <c r="L80" s="670"/>
      <c r="M80" s="670"/>
      <c r="N80" s="670"/>
      <c r="O80" s="670"/>
      <c r="P80" s="670"/>
      <c r="Q80" s="670"/>
      <c r="R80" s="670"/>
      <c r="S80" s="670"/>
      <c r="T80" s="670"/>
      <c r="U80" s="670"/>
      <c r="V80" s="670"/>
      <c r="W80" s="670"/>
    </row>
    <row r="81" spans="1:23" ht="12.75" x14ac:dyDescent="0.2">
      <c r="A81" s="980"/>
      <c r="B81" s="108"/>
      <c r="C81" s="108"/>
      <c r="D81" s="108"/>
      <c r="E81" s="108"/>
      <c r="F81" s="108"/>
      <c r="G81" s="108"/>
      <c r="H81" s="108"/>
      <c r="I81" s="108"/>
      <c r="L81" s="108"/>
      <c r="M81" s="108"/>
      <c r="N81" s="108"/>
      <c r="O81" s="108"/>
      <c r="P81" s="108"/>
      <c r="Q81" s="108"/>
      <c r="R81" s="108"/>
      <c r="S81" s="108"/>
      <c r="T81" s="108"/>
      <c r="U81" s="670"/>
      <c r="V81" s="108"/>
      <c r="W81" s="108"/>
    </row>
    <row r="82" spans="1:23" x14ac:dyDescent="0.2">
      <c r="A82" s="980"/>
      <c r="B82" s="108"/>
      <c r="C82" s="108"/>
      <c r="D82" s="108"/>
      <c r="E82" s="108"/>
      <c r="F82" s="108"/>
      <c r="G82" s="108"/>
      <c r="H82" s="108"/>
      <c r="I82" s="108"/>
      <c r="J82" s="108"/>
      <c r="K82" s="108"/>
      <c r="L82" s="108"/>
      <c r="M82" s="108"/>
      <c r="N82" s="108"/>
      <c r="O82" s="108"/>
      <c r="P82" s="108"/>
      <c r="Q82" s="108"/>
      <c r="R82" s="108"/>
      <c r="S82" s="108"/>
      <c r="T82" s="108"/>
      <c r="V82" s="108"/>
      <c r="W82" s="108"/>
    </row>
    <row r="83" spans="1:23" x14ac:dyDescent="0.2">
      <c r="A83" s="980"/>
      <c r="B83" s="108"/>
      <c r="C83" s="108"/>
      <c r="D83" s="108"/>
      <c r="E83" s="108"/>
      <c r="F83" s="108"/>
      <c r="G83" s="108"/>
      <c r="H83" s="108"/>
      <c r="I83" s="108"/>
      <c r="J83" s="108"/>
      <c r="K83" s="108"/>
      <c r="L83" s="108"/>
      <c r="M83" s="108"/>
      <c r="N83" s="108"/>
      <c r="O83" s="108"/>
      <c r="P83" s="108"/>
      <c r="Q83" s="108"/>
      <c r="R83" s="108"/>
      <c r="S83" s="108"/>
      <c r="T83" s="108"/>
      <c r="V83" s="108"/>
      <c r="W83" s="108"/>
    </row>
    <row r="84" spans="1:23" x14ac:dyDescent="0.2">
      <c r="A84" s="980"/>
      <c r="B84" s="108"/>
      <c r="C84" s="108"/>
      <c r="D84" s="108"/>
      <c r="E84" s="108"/>
      <c r="F84" s="108"/>
      <c r="G84" s="108"/>
      <c r="H84" s="108"/>
      <c r="I84" s="108"/>
      <c r="J84" s="108"/>
      <c r="K84" s="108"/>
      <c r="L84" s="108"/>
      <c r="M84" s="108"/>
      <c r="N84" s="108"/>
      <c r="O84" s="108"/>
      <c r="P84" s="108"/>
      <c r="Q84" s="108"/>
      <c r="R84" s="108"/>
      <c r="S84" s="108"/>
      <c r="T84" s="108"/>
      <c r="V84" s="108"/>
      <c r="W84" s="108"/>
    </row>
    <row r="85" spans="1:23" x14ac:dyDescent="0.2">
      <c r="A85" s="980"/>
      <c r="B85" s="108"/>
      <c r="C85" s="108"/>
      <c r="D85" s="108"/>
      <c r="E85" s="108"/>
      <c r="F85" s="108"/>
      <c r="G85" s="108"/>
      <c r="H85" s="108"/>
      <c r="I85" s="108"/>
      <c r="J85" s="108"/>
      <c r="K85" s="108"/>
      <c r="L85" s="108"/>
      <c r="M85" s="108"/>
      <c r="N85" s="108"/>
      <c r="O85" s="108"/>
      <c r="P85" s="108"/>
      <c r="Q85" s="108"/>
      <c r="R85" s="108"/>
      <c r="S85" s="108"/>
      <c r="T85" s="108"/>
      <c r="V85" s="108"/>
      <c r="W85" s="108"/>
    </row>
    <row r="86" spans="1:23" x14ac:dyDescent="0.2">
      <c r="A86" s="980"/>
      <c r="B86" s="108"/>
      <c r="C86" s="108"/>
      <c r="D86" s="108"/>
      <c r="E86" s="108"/>
      <c r="F86" s="108"/>
      <c r="G86" s="108"/>
      <c r="H86" s="108"/>
      <c r="I86" s="108"/>
      <c r="J86" s="108"/>
      <c r="K86" s="108"/>
      <c r="L86" s="108"/>
      <c r="M86" s="108"/>
      <c r="N86" s="108"/>
      <c r="O86" s="108"/>
      <c r="P86" s="108"/>
      <c r="Q86" s="108"/>
      <c r="R86" s="108"/>
      <c r="S86" s="108"/>
      <c r="T86" s="108"/>
      <c r="V86" s="108"/>
      <c r="W86" s="108"/>
    </row>
    <row r="87" spans="1:23" x14ac:dyDescent="0.2">
      <c r="A87" s="980"/>
      <c r="B87" s="108"/>
      <c r="C87" s="108"/>
      <c r="D87" s="108"/>
      <c r="E87" s="108"/>
      <c r="F87" s="108"/>
      <c r="G87" s="108"/>
      <c r="H87" s="108"/>
      <c r="I87" s="108"/>
      <c r="J87" s="108"/>
      <c r="K87" s="108"/>
      <c r="L87" s="108"/>
      <c r="M87" s="108"/>
      <c r="N87" s="108"/>
      <c r="O87" s="108"/>
      <c r="P87" s="108"/>
      <c r="Q87" s="108"/>
      <c r="R87" s="108"/>
      <c r="S87" s="108"/>
      <c r="T87" s="108"/>
      <c r="V87" s="108"/>
      <c r="W87" s="108"/>
    </row>
    <row r="88" spans="1:23" x14ac:dyDescent="0.2">
      <c r="A88" s="980"/>
      <c r="B88" s="108"/>
      <c r="C88" s="108"/>
      <c r="D88" s="108"/>
      <c r="E88" s="108"/>
      <c r="F88" s="108"/>
      <c r="G88" s="108"/>
      <c r="H88" s="108"/>
      <c r="I88" s="108"/>
      <c r="J88" s="108"/>
      <c r="K88" s="108"/>
      <c r="L88" s="108"/>
      <c r="M88" s="108"/>
      <c r="N88" s="108"/>
      <c r="O88" s="108"/>
      <c r="P88" s="108"/>
      <c r="Q88" s="108"/>
      <c r="R88" s="108"/>
      <c r="S88" s="108"/>
      <c r="T88" s="108"/>
      <c r="V88" s="108"/>
      <c r="W88" s="108"/>
    </row>
    <row r="89" spans="1:23" x14ac:dyDescent="0.2">
      <c r="A89" s="980"/>
      <c r="B89" s="108"/>
      <c r="C89" s="108"/>
      <c r="D89" s="108"/>
      <c r="E89" s="108"/>
      <c r="F89" s="108"/>
      <c r="G89" s="108"/>
      <c r="H89" s="108"/>
      <c r="I89" s="108"/>
      <c r="J89" s="108"/>
      <c r="K89" s="108"/>
      <c r="L89" s="108"/>
      <c r="M89" s="108"/>
      <c r="N89" s="108"/>
      <c r="O89" s="108"/>
      <c r="P89" s="108"/>
      <c r="Q89" s="108"/>
      <c r="R89" s="108"/>
      <c r="S89" s="108"/>
      <c r="T89" s="108"/>
      <c r="V89" s="108"/>
      <c r="W89" s="108"/>
    </row>
    <row r="90" spans="1:23" x14ac:dyDescent="0.2">
      <c r="A90" s="980"/>
      <c r="B90" s="108"/>
      <c r="C90" s="108"/>
      <c r="D90" s="108"/>
      <c r="E90" s="108"/>
      <c r="F90" s="108"/>
      <c r="G90" s="108"/>
      <c r="H90" s="108"/>
      <c r="I90" s="108"/>
      <c r="J90" s="108"/>
      <c r="K90" s="108"/>
      <c r="L90" s="108"/>
      <c r="M90" s="108"/>
      <c r="N90" s="108"/>
      <c r="O90" s="108"/>
      <c r="P90" s="108"/>
      <c r="Q90" s="108"/>
      <c r="R90" s="108"/>
      <c r="S90" s="108"/>
      <c r="T90" s="108"/>
      <c r="V90" s="108"/>
      <c r="W90" s="108"/>
    </row>
    <row r="91" spans="1:23" x14ac:dyDescent="0.2">
      <c r="A91" s="980"/>
      <c r="B91" s="108"/>
      <c r="C91" s="108"/>
      <c r="D91" s="108"/>
      <c r="E91" s="108"/>
      <c r="F91" s="108"/>
      <c r="G91" s="108"/>
      <c r="H91" s="108"/>
      <c r="I91" s="108"/>
      <c r="J91" s="108"/>
      <c r="K91" s="108"/>
      <c r="L91" s="108"/>
      <c r="M91" s="108"/>
      <c r="N91" s="108"/>
      <c r="O91" s="108"/>
      <c r="P91" s="108"/>
      <c r="Q91" s="108"/>
      <c r="R91" s="108"/>
      <c r="S91" s="108"/>
      <c r="T91" s="108"/>
      <c r="V91" s="108"/>
      <c r="W91" s="108"/>
    </row>
    <row r="92" spans="1:23" x14ac:dyDescent="0.2">
      <c r="A92" s="980"/>
      <c r="B92" s="108"/>
      <c r="C92" s="108"/>
      <c r="D92" s="108"/>
      <c r="E92" s="108"/>
      <c r="F92" s="108"/>
      <c r="G92" s="108"/>
      <c r="H92" s="108"/>
      <c r="I92" s="108"/>
      <c r="J92" s="108"/>
      <c r="K92" s="108"/>
      <c r="L92" s="108"/>
      <c r="M92" s="108"/>
      <c r="N92" s="108"/>
      <c r="O92" s="108"/>
      <c r="P92" s="108"/>
      <c r="Q92" s="108"/>
      <c r="R92" s="108"/>
      <c r="S92" s="108"/>
      <c r="T92" s="108"/>
      <c r="V92" s="108"/>
      <c r="W92" s="108"/>
    </row>
    <row r="93" spans="1:23" x14ac:dyDescent="0.2">
      <c r="A93" s="980"/>
      <c r="B93" s="108"/>
      <c r="C93" s="108"/>
      <c r="D93" s="108"/>
      <c r="E93" s="108"/>
      <c r="F93" s="108"/>
      <c r="G93" s="108"/>
      <c r="H93" s="108"/>
      <c r="I93" s="108"/>
      <c r="J93" s="108"/>
      <c r="K93" s="108"/>
      <c r="L93" s="108"/>
      <c r="M93" s="108"/>
      <c r="N93" s="108"/>
      <c r="O93" s="108"/>
      <c r="P93" s="108"/>
      <c r="Q93" s="108"/>
      <c r="R93" s="108"/>
      <c r="S93" s="108"/>
      <c r="T93" s="108"/>
      <c r="V93" s="108"/>
      <c r="W93" s="108"/>
    </row>
    <row r="94" spans="1:23" x14ac:dyDescent="0.2">
      <c r="A94" s="980"/>
      <c r="B94" s="108"/>
      <c r="C94" s="108"/>
      <c r="D94" s="108"/>
      <c r="E94" s="108"/>
      <c r="F94" s="108"/>
      <c r="G94" s="108"/>
      <c r="H94" s="108"/>
      <c r="I94" s="108"/>
      <c r="J94" s="108"/>
      <c r="K94" s="108"/>
      <c r="L94" s="108"/>
      <c r="M94" s="108"/>
      <c r="N94" s="108"/>
      <c r="O94" s="108"/>
      <c r="P94" s="108"/>
      <c r="Q94" s="108"/>
      <c r="R94" s="108"/>
      <c r="S94" s="108"/>
      <c r="T94" s="108"/>
      <c r="V94" s="108"/>
      <c r="W94" s="108"/>
    </row>
    <row r="95" spans="1:23" x14ac:dyDescent="0.2">
      <c r="A95" s="980"/>
      <c r="B95" s="108"/>
      <c r="C95" s="108"/>
      <c r="D95" s="108"/>
      <c r="E95" s="108"/>
      <c r="F95" s="108"/>
      <c r="G95" s="108"/>
      <c r="H95" s="108"/>
      <c r="I95" s="108"/>
      <c r="J95" s="108"/>
      <c r="K95" s="108"/>
      <c r="L95" s="108"/>
      <c r="M95" s="108"/>
      <c r="N95" s="108"/>
      <c r="O95" s="108"/>
      <c r="P95" s="108"/>
      <c r="Q95" s="108"/>
      <c r="R95" s="108"/>
      <c r="S95" s="108"/>
      <c r="T95" s="108"/>
      <c r="V95" s="108"/>
      <c r="W95" s="108"/>
    </row>
    <row r="96" spans="1:23" x14ac:dyDescent="0.2">
      <c r="A96" s="980"/>
      <c r="B96" s="108"/>
      <c r="C96" s="108"/>
      <c r="D96" s="108"/>
      <c r="E96" s="108"/>
      <c r="F96" s="108"/>
      <c r="G96" s="108"/>
      <c r="H96" s="108"/>
      <c r="I96" s="108"/>
      <c r="J96" s="108"/>
      <c r="K96" s="108"/>
      <c r="L96" s="108"/>
      <c r="M96" s="108"/>
      <c r="N96" s="108"/>
      <c r="O96" s="108"/>
      <c r="P96" s="108"/>
      <c r="Q96" s="108"/>
      <c r="R96" s="108"/>
      <c r="S96" s="108"/>
      <c r="T96" s="108"/>
      <c r="V96" s="108"/>
      <c r="W96" s="108"/>
    </row>
    <row r="97" spans="1:23" x14ac:dyDescent="0.2">
      <c r="A97" s="980"/>
      <c r="B97" s="108"/>
      <c r="C97" s="108"/>
      <c r="D97" s="108"/>
      <c r="E97" s="108"/>
      <c r="F97" s="108"/>
      <c r="G97" s="108"/>
      <c r="H97" s="108"/>
      <c r="I97" s="108"/>
      <c r="J97" s="108"/>
      <c r="K97" s="108"/>
      <c r="L97" s="108"/>
      <c r="M97" s="108"/>
      <c r="N97" s="108"/>
      <c r="O97" s="108"/>
      <c r="P97" s="108"/>
      <c r="Q97" s="108"/>
      <c r="R97" s="108"/>
      <c r="S97" s="108"/>
      <c r="T97" s="108"/>
      <c r="V97" s="108"/>
      <c r="W97" s="108"/>
    </row>
    <row r="98" spans="1:23" x14ac:dyDescent="0.2">
      <c r="A98" s="980"/>
      <c r="B98" s="108"/>
      <c r="C98" s="108"/>
      <c r="D98" s="108"/>
      <c r="E98" s="108"/>
      <c r="F98" s="108"/>
      <c r="G98" s="108"/>
      <c r="H98" s="108"/>
      <c r="I98" s="108"/>
      <c r="J98" s="108"/>
      <c r="K98" s="108"/>
      <c r="L98" s="108"/>
      <c r="M98" s="108"/>
      <c r="N98" s="108"/>
      <c r="O98" s="108"/>
      <c r="P98" s="108"/>
      <c r="Q98" s="108"/>
      <c r="R98" s="108"/>
      <c r="S98" s="108"/>
      <c r="T98" s="108"/>
      <c r="V98" s="108"/>
      <c r="W98" s="108"/>
    </row>
    <row r="100" spans="1:23" x14ac:dyDescent="0.2">
      <c r="A100" s="996"/>
    </row>
    <row r="101" spans="1:23" x14ac:dyDescent="0.2">
      <c r="A101" s="996"/>
    </row>
    <row r="102" spans="1:23" x14ac:dyDescent="0.2">
      <c r="A102" s="996"/>
    </row>
    <row r="103" spans="1:23" x14ac:dyDescent="0.2">
      <c r="A103" s="996"/>
    </row>
    <row r="104" spans="1:23" x14ac:dyDescent="0.2">
      <c r="A104" s="996"/>
    </row>
    <row r="105" spans="1:23" x14ac:dyDescent="0.2">
      <c r="A105" s="996"/>
    </row>
    <row r="106" spans="1:23" x14ac:dyDescent="0.2">
      <c r="A106" s="996"/>
    </row>
    <row r="107" spans="1:23" x14ac:dyDescent="0.2">
      <c r="A107" s="996"/>
    </row>
    <row r="108" spans="1:23" x14ac:dyDescent="0.2">
      <c r="A108" s="996"/>
    </row>
    <row r="109" spans="1:23" x14ac:dyDescent="0.2">
      <c r="A109" s="996"/>
    </row>
    <row r="110" spans="1:23" x14ac:dyDescent="0.2">
      <c r="A110" s="996"/>
    </row>
    <row r="111" spans="1:23" x14ac:dyDescent="0.2">
      <c r="A111" s="996"/>
    </row>
    <row r="112" spans="1:23" x14ac:dyDescent="0.2">
      <c r="A112" s="996"/>
    </row>
    <row r="113" spans="1:1" x14ac:dyDescent="0.2">
      <c r="A113" s="996"/>
    </row>
    <row r="114" spans="1:1" x14ac:dyDescent="0.2">
      <c r="A114" s="996"/>
    </row>
    <row r="115" spans="1:1" x14ac:dyDescent="0.2">
      <c r="A115" s="996"/>
    </row>
    <row r="116" spans="1:1" x14ac:dyDescent="0.2">
      <c r="A116" s="996"/>
    </row>
    <row r="117" spans="1:1" x14ac:dyDescent="0.2">
      <c r="A117" s="996"/>
    </row>
    <row r="118" spans="1:1" x14ac:dyDescent="0.2">
      <c r="A118" s="996"/>
    </row>
    <row r="119" spans="1:1" x14ac:dyDescent="0.2">
      <c r="A119" s="996"/>
    </row>
    <row r="120" spans="1:1" x14ac:dyDescent="0.2">
      <c r="A120" s="996"/>
    </row>
    <row r="121" spans="1:1" x14ac:dyDescent="0.2">
      <c r="A121" s="996"/>
    </row>
    <row r="122" spans="1:1" x14ac:dyDescent="0.2">
      <c r="A122" s="996"/>
    </row>
    <row r="123" spans="1:1" x14ac:dyDescent="0.2">
      <c r="A123" s="996"/>
    </row>
    <row r="124" spans="1:1" x14ac:dyDescent="0.2">
      <c r="A124" s="996"/>
    </row>
    <row r="125" spans="1:1" x14ac:dyDescent="0.2">
      <c r="A125" s="996"/>
    </row>
    <row r="126" spans="1:1" x14ac:dyDescent="0.2">
      <c r="A126" s="996"/>
    </row>
    <row r="127" spans="1:1" x14ac:dyDescent="0.2">
      <c r="A127" s="996"/>
    </row>
    <row r="128" spans="1:1" x14ac:dyDescent="0.2">
      <c r="A128" s="996"/>
    </row>
    <row r="129" spans="1:9" x14ac:dyDescent="0.2">
      <c r="A129" s="996"/>
    </row>
    <row r="130" spans="1:9" x14ac:dyDescent="0.2">
      <c r="A130" s="996"/>
    </row>
    <row r="131" spans="1:9" x14ac:dyDescent="0.2">
      <c r="A131" s="996"/>
    </row>
    <row r="132" spans="1:9" x14ac:dyDescent="0.2">
      <c r="A132" s="996"/>
    </row>
    <row r="133" spans="1:9" x14ac:dyDescent="0.2">
      <c r="A133" s="996"/>
    </row>
    <row r="134" spans="1:9" ht="17.649999999999999" customHeight="1" x14ac:dyDescent="0.2">
      <c r="A134" s="996"/>
      <c r="H134" s="979" t="str">
        <f>ListAVS!$B$168</f>
        <v>Z powrotem</v>
      </c>
      <c r="I134" s="979"/>
    </row>
    <row r="135" spans="1:9" x14ac:dyDescent="0.2">
      <c r="A135" s="996"/>
    </row>
    <row r="136" spans="1:9" x14ac:dyDescent="0.2">
      <c r="A136" s="996"/>
    </row>
    <row r="137" spans="1:9" x14ac:dyDescent="0.2">
      <c r="A137" s="996"/>
    </row>
    <row r="138" spans="1:9" x14ac:dyDescent="0.2">
      <c r="A138" s="996"/>
    </row>
    <row r="139" spans="1:9" x14ac:dyDescent="0.2">
      <c r="A139" s="996"/>
    </row>
    <row r="140" spans="1:9" x14ac:dyDescent="0.2">
      <c r="A140" s="996"/>
    </row>
    <row r="141" spans="1:9" x14ac:dyDescent="0.2">
      <c r="A141" s="996"/>
    </row>
    <row r="142" spans="1:9" x14ac:dyDescent="0.2">
      <c r="A142" s="996"/>
    </row>
    <row r="143" spans="1:9" x14ac:dyDescent="0.2">
      <c r="A143" s="996"/>
    </row>
    <row r="144" spans="1:9" x14ac:dyDescent="0.2">
      <c r="A144" s="996"/>
    </row>
    <row r="145" spans="1:1" x14ac:dyDescent="0.2">
      <c r="A145" s="996"/>
    </row>
    <row r="146" spans="1:1" x14ac:dyDescent="0.2">
      <c r="A146" s="996"/>
    </row>
    <row r="147" spans="1:1" x14ac:dyDescent="0.2">
      <c r="A147" s="996"/>
    </row>
    <row r="148" spans="1:1" x14ac:dyDescent="0.2">
      <c r="A148" s="996"/>
    </row>
    <row r="149" spans="1:1" x14ac:dyDescent="0.2">
      <c r="A149" s="996"/>
    </row>
    <row r="150" spans="1:1" x14ac:dyDescent="0.2">
      <c r="A150" s="996"/>
    </row>
    <row r="151" spans="1:1" x14ac:dyDescent="0.2">
      <c r="A151" s="996"/>
    </row>
    <row r="152" spans="1:1" x14ac:dyDescent="0.2">
      <c r="A152" s="996"/>
    </row>
    <row r="153" spans="1:1" x14ac:dyDescent="0.2">
      <c r="A153" s="996"/>
    </row>
  </sheetData>
  <sheetProtection algorithmName="SHA-512" hashValue="pI2D0Ea2kCIDhh1o0YOr5cxOLOcoj3HMVImz9Wha5Uor3irkHBnsHaKr8cn1zIxogQFbV/smXGKD9vqMSiABTQ==" saltValue="1f7LcZyoqhm/TFhOYvUqcg==" spinCount="100000" sheet="1" objects="1" scenarios="1"/>
  <mergeCells count="14">
    <mergeCell ref="M73:N73"/>
    <mergeCell ref="K23:L23"/>
    <mergeCell ref="B26:D26"/>
    <mergeCell ref="H23:I23"/>
    <mergeCell ref="B27:D27"/>
    <mergeCell ref="H134:I134"/>
    <mergeCell ref="A100:A153"/>
    <mergeCell ref="B7:C7"/>
    <mergeCell ref="D7:E7"/>
    <mergeCell ref="B8:C8"/>
    <mergeCell ref="B23:C23"/>
    <mergeCell ref="E23:F23"/>
    <mergeCell ref="A57:A98"/>
    <mergeCell ref="H73:I73"/>
  </mergeCells>
  <hyperlinks>
    <hyperlink ref="U6" location="HL!A70" tooltip=" " display="HL!A70" xr:uid="{185D209A-D250-4AD9-AD54-C58549E14088}"/>
    <hyperlink ref="H73" location="Menu!A1" tooltip=" " display="Menu!A1" xr:uid="{3B88F952-B7F2-4A18-80F0-4BC991D101E8}"/>
    <hyperlink ref="H73:I73" location="HL!A1" tooltip=" " display="HL!A1" xr:uid="{B71B9AD1-0D8C-42B5-9B7C-3D2B0731A891}"/>
    <hyperlink ref="U13" location="HL!A100" tooltip="  " display="HL!A100" xr:uid="{9DDC3463-AA4A-43A7-8D86-D8B55031E9A8}"/>
    <hyperlink ref="B23:C23" location="HLw!A1" tooltip=" " display="HLw!A1" xr:uid="{7E26B0E5-1F96-4610-9B12-65D0E9977C4E}"/>
    <hyperlink ref="E23:F23" location="HLwa!A1" tooltip=" " display="HLwa!A1" xr:uid="{CB8E0289-9827-48B6-A27D-1AE386B2A313}"/>
    <hyperlink ref="H23:I23" location="HLna!A1" tooltip=" " display="HLna!A1" xr:uid="{77E979A1-3E73-4E06-A04C-0E510F46BEDD}"/>
    <hyperlink ref="K23:L23" location="HLt!A1" tooltip=" " display="HLt!A1" xr:uid="{0C9A40C8-3F7A-4036-90CD-4BFDEBE1DBFA}"/>
    <hyperlink ref="U10" location="SumAVS!A1" tooltip=" " display="SumAVS!A1" xr:uid="{422274A3-5DE1-48A1-89D4-808984CE461A}"/>
    <hyperlink ref="U11" location="OrdAVS!A1" tooltip=" " display="OrdAVS!A1" xr:uid="{6246DF56-BCEB-4381-BFDB-6645BA0BF350}"/>
    <hyperlink ref="U8" location="AcsAVS!A1" tooltip=" " display="AcsAVS!A1" xr:uid="{B835DD59-33D3-4779-BCEA-097AEA42A6F5}"/>
    <hyperlink ref="U5" location="MenuAVS!A1" tooltip=" " display="MenuAVS!A1" xr:uid="{18470A83-9C16-477E-B0BE-98BA47598A19}"/>
    <hyperlink ref="H134" location="Menu!A1" tooltip=" " display="Menu!A1" xr:uid="{5E6713F3-598E-4936-BA76-8582BA1B35C5}"/>
    <hyperlink ref="H134:I134" location="HL!A1" tooltip=" " display="HL!A1" xr:uid="{E6E3959D-56F2-4D76-8C4C-C8C8303FFB94}"/>
  </hyperlinks>
  <pageMargins left="0.7" right="0.7" top="0.78740157499999996" bottom="0.78740157499999996" header="0.3" footer="0.3"/>
  <pageSetup paperSize="9" orientation="portrait" horizontalDpi="4294967293"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151553" r:id="rId4" name="Drop Down 1">
              <controlPr defaultSize="0" autoLine="0" autoPict="0">
                <anchor moveWithCells="1">
                  <from>
                    <xdr:col>4</xdr:col>
                    <xdr:colOff>0</xdr:colOff>
                    <xdr:row>25</xdr:row>
                    <xdr:rowOff>0</xdr:rowOff>
                  </from>
                  <to>
                    <xdr:col>6</xdr:col>
                    <xdr:colOff>0</xdr:colOff>
                    <xdr:row>26</xdr:row>
                    <xdr:rowOff>0</xdr:rowOff>
                  </to>
                </anchor>
              </controlPr>
            </control>
          </mc:Choice>
        </mc:AlternateContent>
        <mc:AlternateContent xmlns:mc="http://schemas.openxmlformats.org/markup-compatibility/2006">
          <mc:Choice Requires="x14">
            <control shapeId="151554" r:id="rId5" name="Drop Down 2">
              <controlPr defaultSize="0" autoLine="0" autoPict="0">
                <anchor moveWithCells="1">
                  <from>
                    <xdr:col>3</xdr:col>
                    <xdr:colOff>257175</xdr:colOff>
                    <xdr:row>26</xdr:row>
                    <xdr:rowOff>0</xdr:rowOff>
                  </from>
                  <to>
                    <xdr:col>5</xdr:col>
                    <xdr:colOff>733425</xdr:colOff>
                    <xdr:row>26</xdr:row>
                    <xdr:rowOff>200025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3D39AE-58CB-4F7E-A6F7-48CC31CEA7F0}">
  <sheetPr codeName="Sheet12"/>
  <dimension ref="A1:AC110"/>
  <sheetViews>
    <sheetView showGridLines="0" showRowColHeaders="0" zoomScaleNormal="100" workbookViewId="0">
      <selection activeCell="U5" sqref="U5"/>
    </sheetView>
  </sheetViews>
  <sheetFormatPr defaultColWidth="8.7109375" defaultRowHeight="12" x14ac:dyDescent="0.2"/>
  <cols>
    <col min="1" max="1" width="2.7109375" style="36" customWidth="1"/>
    <col min="2" max="3" width="10.42578125" style="36" customWidth="1"/>
    <col min="4" max="4" width="3.7109375" style="36" customWidth="1"/>
    <col min="5" max="6" width="10.42578125" style="36" customWidth="1"/>
    <col min="7" max="7" width="3.7109375" style="36" customWidth="1"/>
    <col min="8" max="9" width="10.42578125" style="36" customWidth="1"/>
    <col min="10" max="10" width="3.7109375" style="36" customWidth="1"/>
    <col min="11" max="12" width="10.42578125" style="36" customWidth="1"/>
    <col min="13" max="19" width="8.28515625" style="36" hidden="1" customWidth="1"/>
    <col min="20" max="20" width="8.7109375" style="36"/>
    <col min="21" max="21" width="20.7109375" style="108" customWidth="1"/>
    <col min="22" max="16384" width="8.7109375" style="36"/>
  </cols>
  <sheetData>
    <row r="1" spans="1:23" x14ac:dyDescent="0.2">
      <c r="A1" s="108"/>
      <c r="B1" s="108"/>
      <c r="C1" s="108"/>
      <c r="D1" s="108"/>
      <c r="E1" s="108"/>
      <c r="F1" s="108"/>
      <c r="G1" s="108"/>
      <c r="H1" s="108"/>
      <c r="I1" s="108"/>
      <c r="J1" s="108"/>
      <c r="K1" s="108"/>
      <c r="L1" s="108"/>
      <c r="M1" s="108"/>
      <c r="N1" s="108"/>
      <c r="O1" s="108"/>
      <c r="P1" s="108"/>
      <c r="Q1" s="108"/>
      <c r="R1" s="108"/>
      <c r="S1" s="108"/>
      <c r="T1" s="108"/>
      <c r="V1" s="108"/>
      <c r="W1" s="108"/>
    </row>
    <row r="2" spans="1:23" ht="6" customHeight="1" thickBot="1" x14ac:dyDescent="0.25">
      <c r="A2" s="108"/>
      <c r="B2" s="303"/>
      <c r="C2" s="305"/>
      <c r="D2" s="303"/>
      <c r="E2" s="303"/>
      <c r="F2" s="303"/>
      <c r="G2" s="303"/>
      <c r="H2" s="303"/>
      <c r="I2" s="303"/>
      <c r="J2" s="303"/>
      <c r="K2" s="303"/>
      <c r="L2" s="303"/>
      <c r="M2" s="306"/>
      <c r="N2" s="108"/>
      <c r="O2" s="108"/>
      <c r="P2" s="108"/>
      <c r="Q2" s="108"/>
      <c r="R2" s="108"/>
      <c r="S2" s="108"/>
      <c r="T2" s="108"/>
      <c r="V2" s="108"/>
      <c r="W2" s="108"/>
    </row>
    <row r="3" spans="1:23" ht="18" customHeight="1" thickBot="1" x14ac:dyDescent="0.4">
      <c r="A3" s="108"/>
      <c r="B3" s="374" t="s">
        <v>17</v>
      </c>
      <c r="C3" s="305"/>
      <c r="D3" s="303"/>
      <c r="E3" s="303"/>
      <c r="F3" s="303"/>
      <c r="G3" s="303"/>
      <c r="H3" s="303"/>
      <c r="I3" s="303"/>
      <c r="J3" s="303"/>
      <c r="K3" s="303"/>
      <c r="L3" s="303"/>
      <c r="M3" s="306"/>
      <c r="N3" s="108"/>
      <c r="O3" s="108"/>
      <c r="P3" s="108"/>
      <c r="Q3" s="108"/>
      <c r="R3" s="108"/>
      <c r="S3" s="108"/>
      <c r="T3" s="108"/>
      <c r="U3" s="226" t="str">
        <f>ListAVS!$B$153</f>
        <v>Przejdź do</v>
      </c>
      <c r="V3" s="108"/>
      <c r="W3" s="108"/>
    </row>
    <row r="4" spans="1:23" ht="4.5" customHeight="1" x14ac:dyDescent="0.2">
      <c r="A4" s="108"/>
      <c r="B4" s="303"/>
      <c r="C4" s="303"/>
      <c r="D4" s="303"/>
      <c r="E4" s="303"/>
      <c r="F4" s="303"/>
      <c r="G4" s="303"/>
      <c r="H4" s="303"/>
      <c r="I4" s="303"/>
      <c r="J4" s="303"/>
      <c r="K4" s="303"/>
      <c r="L4" s="303"/>
      <c r="M4" s="306"/>
      <c r="N4" s="108"/>
      <c r="O4" s="108"/>
      <c r="P4" s="108"/>
      <c r="Q4" s="108"/>
      <c r="R4" s="108"/>
      <c r="S4" s="108"/>
      <c r="T4" s="108"/>
      <c r="V4" s="108"/>
      <c r="W4" s="108"/>
    </row>
    <row r="5" spans="1:23" ht="15" customHeight="1" thickBot="1" x14ac:dyDescent="0.25">
      <c r="A5" s="670"/>
      <c r="B5" s="670"/>
      <c r="C5" s="670"/>
      <c r="D5" s="670"/>
      <c r="E5" s="670"/>
      <c r="F5" s="670"/>
      <c r="G5" s="670"/>
      <c r="H5" s="670"/>
      <c r="I5" s="670"/>
      <c r="J5" s="670"/>
      <c r="K5" s="670"/>
      <c r="L5" s="670"/>
      <c r="M5" s="670"/>
      <c r="N5" s="670"/>
      <c r="O5" s="670"/>
      <c r="P5" s="670"/>
      <c r="Q5" s="670"/>
      <c r="R5" s="670"/>
      <c r="S5" s="670"/>
      <c r="T5" s="670"/>
      <c r="U5" s="383" t="str">
        <f>" "&amp;ListAVS!$B$154</f>
        <v xml:space="preserve"> Wprowadzenie do planowania</v>
      </c>
      <c r="V5" s="108"/>
      <c r="W5" s="108"/>
    </row>
    <row r="6" spans="1:23" ht="15" customHeight="1" x14ac:dyDescent="0.2">
      <c r="A6" s="670"/>
      <c r="B6" s="670"/>
      <c r="C6" s="670"/>
      <c r="D6" s="670"/>
      <c r="E6" s="670"/>
      <c r="F6" s="670"/>
      <c r="G6" s="670"/>
      <c r="H6" s="670"/>
      <c r="I6" s="670"/>
      <c r="J6" s="670"/>
      <c r="K6" s="670"/>
      <c r="L6" s="670"/>
      <c r="M6" s="670"/>
      <c r="N6" s="670"/>
      <c r="O6" s="670"/>
      <c r="P6" s="670"/>
      <c r="Q6" s="670"/>
      <c r="R6" s="670"/>
      <c r="S6" s="670"/>
      <c r="T6" s="670"/>
      <c r="U6" s="634" t="str">
        <f>" "&amp;ListAVS!$B$155</f>
        <v xml:space="preserve"> Pomoc</v>
      </c>
      <c r="V6" s="108"/>
      <c r="W6" s="108"/>
    </row>
    <row r="7" spans="1:23" ht="15" customHeight="1" x14ac:dyDescent="0.2">
      <c r="A7" s="670"/>
      <c r="B7" s="1036" t="str">
        <f>ListAVS!$B$74&amp;" (KB) "</f>
        <v xml:space="preserve">Szerokość korpusu (KB) </v>
      </c>
      <c r="C7" s="1036"/>
      <c r="D7" s="1037" t="str">
        <f>" "&amp;ListAVS!$B$171&amp;" 1800 mm"</f>
        <v xml:space="preserve"> do 1800 mm</v>
      </c>
      <c r="E7" s="1037"/>
      <c r="F7" s="670"/>
      <c r="G7" s="670"/>
      <c r="H7" s="670"/>
      <c r="I7" s="670"/>
      <c r="J7" s="670"/>
      <c r="K7" s="670"/>
      <c r="L7" s="670"/>
      <c r="M7" s="670"/>
      <c r="N7" s="670"/>
      <c r="O7" s="670"/>
      <c r="P7" s="670"/>
      <c r="Q7" s="670"/>
      <c r="R7" s="670"/>
      <c r="S7" s="670"/>
      <c r="T7" s="670"/>
      <c r="U7" s="891"/>
      <c r="V7" s="108"/>
      <c r="W7" s="108"/>
    </row>
    <row r="8" spans="1:23" ht="15" customHeight="1" x14ac:dyDescent="0.2">
      <c r="A8" s="670"/>
      <c r="B8" s="1036" t="str">
        <f>ListAVS!$B$75&amp;" (KH) "</f>
        <v xml:space="preserve">Wysokość korpusu (KH) </v>
      </c>
      <c r="C8" s="1036"/>
      <c r="D8" s="1037" t="str">
        <f>" "&amp;ListAVS!$B$171&amp;" 600 mm "</f>
        <v xml:space="preserve"> do 600 mm </v>
      </c>
      <c r="E8" s="1037"/>
      <c r="F8" s="670"/>
      <c r="G8" s="670"/>
      <c r="H8" s="670"/>
      <c r="I8" s="670"/>
      <c r="J8" s="670"/>
      <c r="K8" s="670"/>
      <c r="L8" s="670"/>
      <c r="M8" s="670"/>
      <c r="N8" s="670"/>
      <c r="O8" s="670"/>
      <c r="P8" s="670"/>
      <c r="Q8" s="670"/>
      <c r="R8" s="670"/>
      <c r="S8" s="670"/>
      <c r="T8" s="670"/>
      <c r="U8" s="675" t="str">
        <f>" "&amp;ListAVS!$B$160</f>
        <v xml:space="preserve"> Dodatki</v>
      </c>
      <c r="V8" s="108"/>
      <c r="W8" s="108"/>
    </row>
    <row r="9" spans="1:23" ht="15" customHeight="1" x14ac:dyDescent="0.2">
      <c r="A9" s="670"/>
      <c r="B9" s="670"/>
      <c r="C9" s="670"/>
      <c r="D9" s="670"/>
      <c r="E9" s="670"/>
      <c r="F9" s="670"/>
      <c r="G9" s="670"/>
      <c r="H9" s="670"/>
      <c r="I9" s="670"/>
      <c r="J9" s="670"/>
      <c r="K9" s="670"/>
      <c r="L9" s="670"/>
      <c r="M9" s="670"/>
      <c r="N9" s="670"/>
      <c r="O9" s="670"/>
      <c r="P9" s="670"/>
      <c r="Q9" s="670"/>
      <c r="R9" s="670"/>
      <c r="S9" s="670"/>
      <c r="T9" s="670"/>
      <c r="U9" s="671"/>
      <c r="V9" s="108"/>
      <c r="W9" s="108"/>
    </row>
    <row r="10" spans="1:23" ht="15" customHeight="1" thickBot="1" x14ac:dyDescent="0.25">
      <c r="A10" s="670"/>
      <c r="B10" s="670"/>
      <c r="C10" s="794"/>
      <c r="D10" s="794"/>
      <c r="E10" s="794"/>
      <c r="F10" s="794"/>
      <c r="G10" s="794"/>
      <c r="H10" s="670"/>
      <c r="I10" s="670"/>
      <c r="J10" s="670"/>
      <c r="K10" s="670"/>
      <c r="L10" s="670"/>
      <c r="M10" s="670"/>
      <c r="N10" s="670"/>
      <c r="O10" s="670"/>
      <c r="P10" s="670"/>
      <c r="Q10" s="670"/>
      <c r="R10" s="670"/>
      <c r="S10" s="670"/>
      <c r="T10" s="670"/>
      <c r="U10" s="383" t="str">
        <f>" "&amp;ListAVS!$B$157</f>
        <v xml:space="preserve"> Rodzaje korpusów</v>
      </c>
      <c r="V10" s="108"/>
      <c r="W10" s="108"/>
    </row>
    <row r="11" spans="1:23" ht="15" customHeight="1" thickBot="1" x14ac:dyDescent="0.25">
      <c r="A11" s="670"/>
      <c r="B11" s="794"/>
      <c r="C11" s="794"/>
      <c r="D11" s="794"/>
      <c r="E11" s="794"/>
      <c r="F11" s="794"/>
      <c r="G11" s="794"/>
      <c r="H11" s="670"/>
      <c r="I11" s="670"/>
      <c r="J11" s="670"/>
      <c r="K11" s="670"/>
      <c r="L11" s="670"/>
      <c r="M11" s="670"/>
      <c r="N11" s="670"/>
      <c r="O11" s="670"/>
      <c r="P11" s="670"/>
      <c r="Q11" s="670"/>
      <c r="R11" s="670"/>
      <c r="S11" s="670"/>
      <c r="T11" s="670"/>
      <c r="U11" s="383" t="str">
        <f>" "&amp;ListAVS!$B$158</f>
        <v xml:space="preserve"> Zamówienie</v>
      </c>
      <c r="V11" s="108"/>
      <c r="W11" s="108"/>
    </row>
    <row r="12" spans="1:23" ht="15" customHeight="1" x14ac:dyDescent="0.2">
      <c r="A12" s="670"/>
      <c r="B12" s="1020"/>
      <c r="C12" s="1020"/>
      <c r="D12" s="1020"/>
      <c r="E12" s="1020"/>
      <c r="F12" s="1020"/>
      <c r="G12" s="1020"/>
      <c r="H12" s="670"/>
      <c r="I12" s="670"/>
      <c r="J12" s="670"/>
      <c r="K12" s="670"/>
      <c r="L12" s="670"/>
      <c r="M12" s="670"/>
      <c r="N12" s="670"/>
      <c r="O12" s="670"/>
      <c r="P12" s="670"/>
      <c r="Q12" s="670"/>
      <c r="R12" s="670"/>
      <c r="S12" s="670"/>
      <c r="T12" s="670"/>
      <c r="U12" s="670"/>
      <c r="V12" s="108"/>
      <c r="W12" s="108"/>
    </row>
    <row r="13" spans="1:23" ht="15" customHeight="1" x14ac:dyDescent="0.2">
      <c r="A13" s="670"/>
      <c r="B13" s="1020"/>
      <c r="C13" s="1020"/>
      <c r="D13" s="1020"/>
      <c r="E13" s="1020"/>
      <c r="F13" s="1020"/>
      <c r="G13" s="1020"/>
      <c r="H13" s="670"/>
      <c r="I13" s="670"/>
      <c r="J13" s="670"/>
      <c r="K13" s="670"/>
      <c r="L13" s="670"/>
      <c r="M13" s="670"/>
      <c r="N13" s="670"/>
      <c r="O13" s="670"/>
      <c r="P13" s="670"/>
      <c r="Q13" s="670"/>
      <c r="R13" s="670"/>
      <c r="S13" s="670"/>
      <c r="T13" s="670"/>
      <c r="U13" s="670"/>
      <c r="V13" s="108"/>
      <c r="W13" s="108"/>
    </row>
    <row r="14" spans="1:23" ht="15" customHeight="1" x14ac:dyDescent="0.2">
      <c r="A14" s="670"/>
      <c r="B14" s="1020"/>
      <c r="C14" s="1020"/>
      <c r="D14" s="1020"/>
      <c r="E14" s="1020"/>
      <c r="F14" s="1020"/>
      <c r="G14" s="1020"/>
      <c r="H14" s="670"/>
      <c r="I14" s="670"/>
      <c r="J14" s="670"/>
      <c r="K14" s="670"/>
      <c r="L14" s="670"/>
      <c r="M14" s="670"/>
      <c r="N14" s="670"/>
      <c r="O14" s="670"/>
      <c r="P14" s="670"/>
      <c r="Q14" s="670"/>
      <c r="R14" s="670"/>
      <c r="S14" s="670"/>
      <c r="T14" s="670"/>
      <c r="U14" s="891"/>
      <c r="V14" s="108"/>
      <c r="W14" s="108"/>
    </row>
    <row r="15" spans="1:23" ht="15" customHeight="1" x14ac:dyDescent="0.2">
      <c r="A15" s="670"/>
      <c r="B15" s="1020"/>
      <c r="C15" s="1020"/>
      <c r="D15" s="1020"/>
      <c r="E15" s="1020"/>
      <c r="F15" s="1020"/>
      <c r="G15" s="1020"/>
      <c r="H15" s="670"/>
      <c r="I15" s="670"/>
      <c r="J15" s="670"/>
      <c r="K15" s="670"/>
      <c r="L15" s="670"/>
      <c r="M15" s="670"/>
      <c r="N15" s="670"/>
      <c r="O15" s="670"/>
      <c r="P15" s="670"/>
      <c r="Q15" s="670"/>
      <c r="R15" s="670"/>
      <c r="S15" s="670"/>
      <c r="T15" s="670"/>
      <c r="U15" s="671"/>
      <c r="V15" s="108"/>
      <c r="W15" s="108"/>
    </row>
    <row r="16" spans="1:23" ht="15" customHeight="1" x14ac:dyDescent="0.2">
      <c r="A16" s="670"/>
      <c r="B16" s="1020"/>
      <c r="C16" s="1020"/>
      <c r="D16" s="1020"/>
      <c r="E16" s="1020"/>
      <c r="F16" s="1020"/>
      <c r="G16" s="1020"/>
      <c r="H16" s="670"/>
      <c r="I16" s="670"/>
      <c r="J16" s="670"/>
      <c r="K16" s="670"/>
      <c r="L16" s="670"/>
      <c r="M16" s="670"/>
      <c r="N16" s="670"/>
      <c r="O16" s="670"/>
      <c r="P16" s="670"/>
      <c r="Q16" s="670"/>
      <c r="R16" s="670"/>
      <c r="S16" s="670"/>
      <c r="T16" s="670"/>
      <c r="V16" s="108"/>
      <c r="W16" s="108"/>
    </row>
    <row r="17" spans="1:23" ht="15" customHeight="1" x14ac:dyDescent="0.2">
      <c r="A17" s="670"/>
      <c r="B17" s="670"/>
      <c r="C17" s="670"/>
      <c r="D17" s="670"/>
      <c r="E17" s="670"/>
      <c r="F17" s="670"/>
      <c r="G17" s="670"/>
      <c r="H17" s="670"/>
      <c r="I17" s="670"/>
      <c r="J17" s="670"/>
      <c r="K17" s="670"/>
      <c r="L17" s="670"/>
      <c r="M17" s="670"/>
      <c r="N17" s="670"/>
      <c r="O17" s="670"/>
      <c r="P17" s="670"/>
      <c r="Q17" s="670"/>
      <c r="R17" s="670"/>
      <c r="S17" s="670"/>
      <c r="T17" s="670"/>
      <c r="V17" s="108"/>
      <c r="W17" s="108"/>
    </row>
    <row r="18" spans="1:23" ht="15" customHeight="1" x14ac:dyDescent="0.2">
      <c r="A18" s="670"/>
      <c r="B18" s="670"/>
      <c r="C18" s="670"/>
      <c r="D18" s="670"/>
      <c r="E18" s="670"/>
      <c r="F18" s="670"/>
      <c r="G18" s="670"/>
      <c r="H18" s="670"/>
      <c r="I18" s="670"/>
      <c r="J18" s="670"/>
      <c r="K18" s="670"/>
      <c r="L18" s="670"/>
      <c r="M18" s="670"/>
      <c r="N18" s="670"/>
      <c r="O18" s="670"/>
      <c r="P18" s="670"/>
      <c r="Q18" s="670"/>
      <c r="R18" s="670"/>
      <c r="S18" s="670"/>
      <c r="T18" s="670"/>
      <c r="V18" s="108"/>
      <c r="W18" s="108"/>
    </row>
    <row r="19" spans="1:23" ht="15" customHeight="1" x14ac:dyDescent="0.2">
      <c r="A19" s="670"/>
      <c r="B19" s="670"/>
      <c r="C19" s="670"/>
      <c r="D19" s="670"/>
      <c r="E19" s="670"/>
      <c r="F19" s="670"/>
      <c r="G19" s="670"/>
      <c r="H19" s="670"/>
      <c r="I19" s="670"/>
      <c r="J19" s="670"/>
      <c r="K19" s="670"/>
      <c r="L19" s="670"/>
      <c r="M19" s="670"/>
      <c r="N19" s="670"/>
      <c r="O19" s="670"/>
      <c r="P19" s="670"/>
      <c r="Q19" s="670"/>
      <c r="R19" s="670"/>
      <c r="S19" s="670"/>
      <c r="T19" s="670"/>
      <c r="V19" s="108"/>
      <c r="W19" s="108"/>
    </row>
    <row r="20" spans="1:23" ht="15" customHeight="1" x14ac:dyDescent="0.2">
      <c r="A20" s="670"/>
      <c r="B20" s="670"/>
      <c r="C20" s="670"/>
      <c r="D20" s="670"/>
      <c r="E20" s="670"/>
      <c r="F20" s="670"/>
      <c r="G20" s="670"/>
      <c r="H20" s="670"/>
      <c r="I20" s="670"/>
      <c r="J20" s="670"/>
      <c r="K20" s="670"/>
      <c r="L20" s="670"/>
      <c r="M20" s="670"/>
      <c r="N20" s="670"/>
      <c r="O20" s="670"/>
      <c r="P20" s="670"/>
      <c r="Q20" s="670"/>
      <c r="R20" s="670"/>
      <c r="S20" s="670"/>
      <c r="T20" s="670"/>
      <c r="V20" s="108"/>
      <c r="W20" s="108"/>
    </row>
    <row r="21" spans="1:23" ht="15" customHeight="1" x14ac:dyDescent="0.2">
      <c r="A21" s="670"/>
      <c r="B21" s="670"/>
      <c r="C21" s="670"/>
      <c r="D21" s="670"/>
      <c r="E21" s="670"/>
      <c r="F21" s="670"/>
      <c r="G21" s="670"/>
      <c r="H21" s="670"/>
      <c r="I21" s="670"/>
      <c r="J21" s="670"/>
      <c r="K21" s="670"/>
      <c r="L21" s="670"/>
      <c r="M21" s="670"/>
      <c r="N21" s="670"/>
      <c r="O21" s="670"/>
      <c r="P21" s="670"/>
      <c r="Q21" s="670"/>
      <c r="R21" s="670"/>
      <c r="S21" s="670"/>
      <c r="T21" s="670"/>
      <c r="V21" s="108"/>
      <c r="W21" s="108"/>
    </row>
    <row r="22" spans="1:23" ht="5.25" customHeight="1" x14ac:dyDescent="0.2">
      <c r="A22" s="670"/>
      <c r="B22" s="670"/>
      <c r="C22" s="670"/>
      <c r="D22" s="670"/>
      <c r="E22" s="670"/>
      <c r="F22" s="670"/>
      <c r="G22" s="670"/>
      <c r="H22" s="670"/>
      <c r="I22" s="670"/>
      <c r="J22" s="670"/>
      <c r="K22" s="670"/>
      <c r="L22" s="670"/>
      <c r="M22" s="670"/>
      <c r="N22" s="670"/>
      <c r="O22" s="670"/>
      <c r="P22" s="670"/>
      <c r="Q22" s="670"/>
      <c r="R22" s="670"/>
      <c r="S22" s="670"/>
      <c r="T22" s="670"/>
      <c r="U22" s="670"/>
      <c r="V22" s="108"/>
      <c r="W22" s="108"/>
    </row>
    <row r="23" spans="1:23" ht="15" customHeight="1" x14ac:dyDescent="0.2">
      <c r="A23" s="670"/>
      <c r="B23" s="1038" t="str">
        <f>ListAVS!$B$17</f>
        <v>Front drewniany</v>
      </c>
      <c r="C23" s="1038"/>
      <c r="D23" s="677"/>
      <c r="E23" s="1038" t="str">
        <f>ListAVS!$B$20</f>
        <v>Szeroka ramka aluminiowa</v>
      </c>
      <c r="F23" s="1038"/>
      <c r="G23" s="677"/>
      <c r="H23" s="1038" t="str">
        <f>ListAVS!$B$22</f>
        <v>Wąska ramka aluminiowa</v>
      </c>
      <c r="I23" s="1038"/>
      <c r="J23" s="677"/>
      <c r="K23" s="1038" t="str">
        <f>ListAVS!$B$23</f>
        <v>Cienkie materiały</v>
      </c>
      <c r="L23" s="1038"/>
      <c r="M23" s="670"/>
      <c r="N23" s="670"/>
      <c r="O23" s="670"/>
      <c r="P23" s="670"/>
      <c r="Q23" s="670"/>
      <c r="R23" s="670"/>
      <c r="S23" s="670"/>
      <c r="T23" s="670"/>
      <c r="U23" s="670"/>
      <c r="V23" s="108"/>
      <c r="W23" s="108"/>
    </row>
    <row r="24" spans="1:23" ht="12.75" x14ac:dyDescent="0.2">
      <c r="A24" s="670"/>
      <c r="B24" s="670"/>
      <c r="C24" s="670"/>
      <c r="D24" s="670"/>
      <c r="E24" s="670"/>
      <c r="F24" s="670"/>
      <c r="G24" s="670"/>
      <c r="H24" s="670"/>
      <c r="I24" s="670"/>
      <c r="J24" s="670"/>
      <c r="K24" s="670"/>
      <c r="L24" s="670"/>
      <c r="M24" s="670"/>
      <c r="N24" s="670"/>
      <c r="O24" s="670"/>
      <c r="P24" s="670"/>
      <c r="Q24" s="670"/>
      <c r="R24" s="670"/>
      <c r="S24" s="670"/>
      <c r="T24" s="670"/>
      <c r="U24" s="670"/>
      <c r="V24" s="108"/>
      <c r="W24" s="108"/>
    </row>
    <row r="25" spans="1:23" ht="12.75" x14ac:dyDescent="0.2">
      <c r="A25" s="670"/>
      <c r="B25" s="670"/>
      <c r="C25" s="670"/>
      <c r="D25" s="670"/>
      <c r="E25" s="670"/>
      <c r="F25" s="670"/>
      <c r="G25" s="670"/>
      <c r="H25" s="670"/>
      <c r="I25" s="670"/>
      <c r="J25" s="670"/>
      <c r="K25" s="670"/>
      <c r="L25" s="670"/>
      <c r="M25" s="670"/>
      <c r="N25" s="670"/>
      <c r="O25" s="670"/>
      <c r="P25" s="670"/>
      <c r="Q25" s="670"/>
      <c r="R25" s="670"/>
      <c r="S25" s="670"/>
      <c r="T25" s="670"/>
      <c r="U25" s="670"/>
      <c r="V25" s="108"/>
      <c r="W25" s="108"/>
    </row>
    <row r="26" spans="1:23" ht="15.75" customHeight="1" x14ac:dyDescent="0.2">
      <c r="A26" s="670"/>
      <c r="B26" s="1011" t="str">
        <f>ListAVS!$B$142&amp;" "</f>
        <v xml:space="preserve">Mocowanie frontu </v>
      </c>
      <c r="C26" s="1012"/>
      <c r="D26" s="1013"/>
      <c r="E26" s="269"/>
      <c r="F26" s="266"/>
      <c r="G26" s="670"/>
      <c r="H26" s="670"/>
      <c r="I26" s="670"/>
      <c r="J26" s="670"/>
      <c r="K26" s="670"/>
      <c r="L26" s="670"/>
      <c r="M26" s="670"/>
      <c r="N26" s="523">
        <v>2</v>
      </c>
      <c r="O26" s="670"/>
      <c r="P26" s="523">
        <v>1</v>
      </c>
      <c r="Q26" s="670"/>
      <c r="R26" s="670"/>
      <c r="S26" s="670"/>
      <c r="T26" s="670"/>
      <c r="U26" s="670"/>
      <c r="V26" s="108"/>
      <c r="W26" s="108"/>
    </row>
    <row r="27" spans="1:23" ht="15.6" customHeight="1" x14ac:dyDescent="0.2">
      <c r="A27" s="670"/>
      <c r="B27" s="1033" t="str">
        <f>ListAVS!B347&amp;"** "</f>
        <v xml:space="preserve">funkcja podnośnika** </v>
      </c>
      <c r="C27" s="1034"/>
      <c r="D27" s="1035"/>
      <c r="E27" s="670"/>
      <c r="F27" s="670"/>
      <c r="G27" s="670"/>
      <c r="H27" s="670"/>
      <c r="I27" s="670"/>
      <c r="J27" s="670"/>
      <c r="K27" s="670"/>
      <c r="L27" s="670"/>
      <c r="M27" s="670"/>
      <c r="N27" s="38" t="s">
        <v>13</v>
      </c>
      <c r="O27" s="670"/>
      <c r="P27" s="681" t="s">
        <v>18</v>
      </c>
      <c r="Q27" s="670"/>
      <c r="R27" s="670"/>
      <c r="S27" s="670"/>
      <c r="T27" s="670"/>
      <c r="U27" s="670"/>
      <c r="V27" s="108"/>
      <c r="W27" s="108"/>
    </row>
    <row r="28" spans="1:23" ht="12.75" x14ac:dyDescent="0.2">
      <c r="A28" s="670"/>
      <c r="B28" s="670"/>
      <c r="C28" s="670"/>
      <c r="D28" s="670"/>
      <c r="E28" s="670"/>
      <c r="F28" s="670"/>
      <c r="G28" s="670"/>
      <c r="H28" s="670"/>
      <c r="I28" s="670"/>
      <c r="J28" s="670"/>
      <c r="K28" s="670"/>
      <c r="L28" s="670"/>
      <c r="M28" s="670"/>
      <c r="N28" s="248" t="s">
        <v>10</v>
      </c>
      <c r="O28" s="670"/>
      <c r="P28" s="827" t="str">
        <f>ListAVS!$B350</f>
        <v>wkręty</v>
      </c>
      <c r="Q28" s="670"/>
      <c r="R28" s="670"/>
      <c r="S28" s="670"/>
      <c r="T28" s="670"/>
      <c r="U28" s="670"/>
      <c r="V28" s="108"/>
      <c r="W28" s="108"/>
    </row>
    <row r="29" spans="1:23" ht="11.65" customHeight="1" x14ac:dyDescent="0.2">
      <c r="A29" s="670"/>
      <c r="B29" s="807" t="str">
        <f>" ** "&amp;ListAVS!B349&amp;":"</f>
        <v xml:space="preserve"> ** Wybierz sposób montażu:</v>
      </c>
      <c r="C29" s="794"/>
      <c r="D29" s="794"/>
      <c r="E29" s="794"/>
      <c r="F29" s="794"/>
      <c r="G29" s="794"/>
      <c r="H29" s="794"/>
      <c r="I29" s="794"/>
      <c r="J29" s="794"/>
      <c r="K29" s="794"/>
      <c r="L29" s="794"/>
      <c r="M29" s="670"/>
      <c r="N29" s="248" t="str">
        <f>ListAVS!$B$144</f>
        <v>na wkręty</v>
      </c>
      <c r="O29" s="670"/>
      <c r="P29" s="827" t="str">
        <f>ListAVS!$B351</f>
        <v>wstępnie zamontowane eurowkręty</v>
      </c>
      <c r="Q29" s="670"/>
      <c r="R29" s="670"/>
      <c r="S29" s="670"/>
      <c r="T29" s="670"/>
      <c r="U29" s="670"/>
      <c r="V29" s="108"/>
      <c r="W29" s="108"/>
    </row>
    <row r="30" spans="1:23" ht="12.75" x14ac:dyDescent="0.2">
      <c r="A30" s="670"/>
      <c r="B30" s="807" t="str">
        <f>"    "&amp;ListAVS!$B350&amp;" = "&amp;ListAVS!$B352</f>
        <v xml:space="preserve">    wkręty = podnośniki z zintegrowanym szablonem (nie ma potrzeby mierzenia)</v>
      </c>
      <c r="C30" s="794"/>
      <c r="D30" s="794"/>
      <c r="E30" s="794"/>
      <c r="F30" s="794"/>
      <c r="G30" s="794"/>
      <c r="H30" s="794"/>
      <c r="I30" s="794"/>
      <c r="J30" s="794"/>
      <c r="K30" s="794"/>
      <c r="L30" s="794"/>
      <c r="M30" s="670"/>
      <c r="N30" s="670"/>
      <c r="O30" s="670"/>
      <c r="P30" s="670"/>
      <c r="Q30" s="670"/>
      <c r="R30" s="670"/>
      <c r="S30" s="670"/>
      <c r="T30" s="670"/>
      <c r="U30" s="670"/>
      <c r="V30" s="108"/>
      <c r="W30" s="108"/>
    </row>
    <row r="31" spans="1:23" ht="12.75" x14ac:dyDescent="0.2">
      <c r="A31" s="670"/>
      <c r="B31" s="807" t="str">
        <f>"    "&amp;ListAVS!$B351&amp;" = "&amp;ListAVS!$B353</f>
        <v xml:space="preserve">    wstępnie zamontowane eurowkręty = podnośniki ze wstępnie zamontowanymi wkrętami (wymagane wstępne nawiercenie)</v>
      </c>
      <c r="C31" s="794"/>
      <c r="D31" s="794"/>
      <c r="E31" s="794"/>
      <c r="F31" s="794"/>
      <c r="G31" s="794"/>
      <c r="H31" s="794"/>
      <c r="I31" s="794"/>
      <c r="J31" s="794"/>
      <c r="K31" s="794"/>
      <c r="L31" s="794"/>
      <c r="M31" s="670"/>
      <c r="N31" s="670"/>
      <c r="O31" s="670"/>
      <c r="P31" s="670"/>
      <c r="Q31" s="670"/>
      <c r="R31" s="670"/>
      <c r="S31" s="670"/>
      <c r="T31" s="670"/>
      <c r="U31" s="670"/>
      <c r="V31" s="108"/>
      <c r="W31" s="108"/>
    </row>
    <row r="32" spans="1:23" ht="12.75" x14ac:dyDescent="0.2">
      <c r="A32" s="670"/>
      <c r="B32" s="670"/>
      <c r="C32" s="670"/>
      <c r="D32" s="670"/>
      <c r="E32" s="670"/>
      <c r="F32" s="670"/>
      <c r="G32" s="670"/>
      <c r="H32" s="670"/>
      <c r="I32" s="670"/>
      <c r="J32" s="670"/>
      <c r="K32" s="670"/>
      <c r="L32" s="670"/>
      <c r="M32" s="670"/>
      <c r="N32" s="670"/>
      <c r="O32" s="670"/>
      <c r="P32" s="670"/>
      <c r="Q32" s="670"/>
      <c r="R32" s="670"/>
      <c r="S32" s="670"/>
      <c r="T32" s="670"/>
      <c r="U32" s="670"/>
      <c r="V32" s="108"/>
      <c r="W32" s="108"/>
    </row>
    <row r="33" spans="1:23" ht="12.75" x14ac:dyDescent="0.2">
      <c r="A33" s="670"/>
      <c r="B33" s="670"/>
      <c r="C33" s="670"/>
      <c r="D33" s="670"/>
      <c r="E33" s="670"/>
      <c r="F33" s="670"/>
      <c r="G33" s="670"/>
      <c r="H33" s="670"/>
      <c r="I33" s="670"/>
      <c r="J33" s="670"/>
      <c r="K33" s="670"/>
      <c r="L33" s="670"/>
      <c r="M33" s="670"/>
      <c r="N33" s="670"/>
      <c r="O33" s="670"/>
      <c r="P33" s="670"/>
      <c r="Q33" s="670"/>
      <c r="R33" s="670"/>
      <c r="S33" s="670"/>
      <c r="T33" s="670"/>
      <c r="U33" s="670"/>
      <c r="V33" s="108"/>
      <c r="W33" s="108"/>
    </row>
    <row r="34" spans="1:23" ht="12.75" x14ac:dyDescent="0.2">
      <c r="A34" s="670"/>
      <c r="B34" s="670"/>
      <c r="C34" s="670"/>
      <c r="D34" s="670"/>
      <c r="E34" s="670"/>
      <c r="F34" s="670"/>
      <c r="G34" s="670"/>
      <c r="H34" s="670"/>
      <c r="I34" s="670"/>
      <c r="J34" s="670"/>
      <c r="K34" s="670"/>
      <c r="L34" s="670"/>
      <c r="M34" s="670"/>
      <c r="N34" s="670"/>
      <c r="O34" s="670"/>
      <c r="P34" s="670"/>
      <c r="Q34" s="670"/>
      <c r="R34" s="670"/>
      <c r="S34" s="670"/>
      <c r="T34" s="670"/>
      <c r="U34" s="670"/>
      <c r="V34" s="108"/>
      <c r="W34" s="108"/>
    </row>
    <row r="35" spans="1:23" ht="12.75" x14ac:dyDescent="0.2">
      <c r="A35" s="670"/>
      <c r="B35" s="807"/>
      <c r="C35" s="807"/>
      <c r="D35" s="807"/>
      <c r="E35" s="807"/>
      <c r="F35" s="807"/>
      <c r="G35" s="807"/>
      <c r="H35" s="807"/>
      <c r="I35" s="807"/>
      <c r="J35" s="807"/>
      <c r="K35" s="807"/>
      <c r="L35" s="807"/>
      <c r="M35" s="670"/>
      <c r="N35" s="670"/>
      <c r="O35" s="670"/>
      <c r="P35" s="670"/>
      <c r="Q35" s="670"/>
      <c r="R35" s="670"/>
      <c r="S35" s="670"/>
      <c r="T35" s="670"/>
      <c r="U35" s="670"/>
      <c r="V35" s="108"/>
      <c r="W35" s="108"/>
    </row>
    <row r="36" spans="1:23" ht="12.75" x14ac:dyDescent="0.2">
      <c r="A36" s="670"/>
      <c r="B36" s="807"/>
      <c r="C36" s="807"/>
      <c r="D36" s="807"/>
      <c r="E36" s="807"/>
      <c r="F36" s="807"/>
      <c r="G36" s="807"/>
      <c r="H36" s="807"/>
      <c r="I36" s="807"/>
      <c r="J36" s="807"/>
      <c r="K36" s="807"/>
      <c r="L36" s="807"/>
      <c r="M36" s="670"/>
      <c r="N36" s="670"/>
      <c r="O36" s="670"/>
      <c r="P36" s="670"/>
      <c r="Q36" s="670"/>
      <c r="R36" s="670"/>
      <c r="S36" s="670"/>
      <c r="T36" s="670"/>
      <c r="U36" s="670"/>
      <c r="V36" s="108"/>
      <c r="W36" s="108"/>
    </row>
    <row r="37" spans="1:23" ht="12.75" x14ac:dyDescent="0.2">
      <c r="A37" s="670"/>
      <c r="B37" s="807"/>
      <c r="C37" s="807"/>
      <c r="D37" s="807"/>
      <c r="E37" s="807"/>
      <c r="F37" s="807"/>
      <c r="G37" s="807"/>
      <c r="H37" s="807"/>
      <c r="I37" s="807"/>
      <c r="J37" s="807"/>
      <c r="K37" s="807"/>
      <c r="L37" s="807"/>
      <c r="M37" s="670"/>
      <c r="N37" s="670"/>
      <c r="O37" s="670"/>
      <c r="P37" s="670"/>
      <c r="Q37" s="670"/>
      <c r="R37" s="670"/>
      <c r="S37" s="670"/>
      <c r="T37" s="670"/>
      <c r="U37" s="670"/>
      <c r="V37" s="108"/>
      <c r="W37" s="108"/>
    </row>
    <row r="38" spans="1:23" ht="12.75" x14ac:dyDescent="0.2">
      <c r="A38" s="108"/>
      <c r="B38" s="108"/>
      <c r="C38" s="108"/>
      <c r="D38" s="108"/>
      <c r="E38" s="108"/>
      <c r="F38" s="108"/>
      <c r="G38" s="108"/>
      <c r="H38" s="108"/>
      <c r="I38" s="108"/>
      <c r="J38" s="108"/>
      <c r="K38" s="108"/>
      <c r="L38" s="108"/>
      <c r="M38" s="108"/>
      <c r="N38" s="108"/>
      <c r="O38" s="108"/>
      <c r="P38" s="108"/>
      <c r="Q38" s="108"/>
      <c r="R38" s="108"/>
      <c r="S38" s="108"/>
      <c r="T38" s="108"/>
      <c r="U38" s="670"/>
      <c r="V38" s="108"/>
      <c r="W38" s="108"/>
    </row>
    <row r="39" spans="1:23" x14ac:dyDescent="0.2">
      <c r="A39" s="108"/>
      <c r="B39" s="108"/>
      <c r="C39" s="108"/>
      <c r="D39" s="108"/>
      <c r="E39" s="108"/>
      <c r="F39" s="108"/>
      <c r="G39" s="108"/>
      <c r="H39" s="108"/>
      <c r="I39" s="108"/>
      <c r="J39" s="108"/>
      <c r="K39" s="108"/>
      <c r="L39" s="108"/>
      <c r="M39" s="108"/>
      <c r="N39" s="108"/>
      <c r="O39" s="108"/>
      <c r="P39" s="108"/>
      <c r="Q39" s="108"/>
      <c r="R39" s="108"/>
      <c r="S39" s="108"/>
      <c r="T39" s="108"/>
      <c r="V39" s="108"/>
      <c r="W39" s="108"/>
    </row>
    <row r="40" spans="1:23" x14ac:dyDescent="0.2">
      <c r="A40" s="108"/>
      <c r="B40" s="108"/>
      <c r="C40" s="108"/>
      <c r="D40" s="108"/>
      <c r="E40" s="108"/>
      <c r="F40" s="108"/>
      <c r="G40" s="108"/>
      <c r="H40" s="108"/>
      <c r="I40" s="108"/>
      <c r="J40" s="108"/>
      <c r="K40" s="108"/>
      <c r="L40" s="108"/>
      <c r="M40" s="108"/>
      <c r="N40" s="108"/>
      <c r="O40" s="108"/>
      <c r="P40" s="108"/>
      <c r="Q40" s="108"/>
      <c r="R40" s="108"/>
      <c r="S40" s="108"/>
      <c r="T40" s="108"/>
      <c r="V40" s="108"/>
      <c r="W40" s="108"/>
    </row>
    <row r="41" spans="1:23" x14ac:dyDescent="0.2">
      <c r="A41" s="108"/>
      <c r="B41" s="108"/>
      <c r="C41" s="108"/>
      <c r="D41" s="108"/>
      <c r="E41" s="108"/>
      <c r="F41" s="108"/>
      <c r="G41" s="108"/>
      <c r="H41" s="108"/>
      <c r="I41" s="108"/>
      <c r="J41" s="108"/>
      <c r="K41" s="108"/>
      <c r="L41" s="108"/>
      <c r="M41" s="108"/>
      <c r="N41" s="108"/>
      <c r="O41" s="108"/>
      <c r="P41" s="108"/>
      <c r="Q41" s="108"/>
      <c r="R41" s="108"/>
      <c r="S41" s="108"/>
      <c r="T41" s="108"/>
      <c r="V41" s="108"/>
      <c r="W41" s="108"/>
    </row>
    <row r="42" spans="1:23" x14ac:dyDescent="0.2">
      <c r="A42" s="108"/>
      <c r="B42" s="108"/>
      <c r="C42" s="108"/>
      <c r="D42" s="108"/>
      <c r="E42" s="108"/>
      <c r="F42" s="108"/>
      <c r="G42" s="108"/>
      <c r="H42" s="108"/>
      <c r="I42" s="108"/>
      <c r="J42" s="108"/>
      <c r="K42" s="108"/>
      <c r="L42" s="108"/>
      <c r="M42" s="108"/>
      <c r="N42" s="108"/>
      <c r="O42" s="108"/>
      <c r="P42" s="108"/>
      <c r="Q42" s="108"/>
      <c r="R42" s="108"/>
      <c r="S42" s="108"/>
      <c r="T42" s="108"/>
      <c r="V42" s="108"/>
      <c r="W42" s="108"/>
    </row>
    <row r="43" spans="1:23" x14ac:dyDescent="0.2">
      <c r="A43" s="108"/>
      <c r="B43" s="108"/>
      <c r="C43" s="108"/>
      <c r="D43" s="108"/>
      <c r="E43" s="108"/>
      <c r="F43" s="108"/>
      <c r="G43" s="108"/>
      <c r="H43" s="108"/>
      <c r="I43" s="108"/>
      <c r="J43" s="108"/>
      <c r="K43" s="108"/>
      <c r="L43" s="108"/>
      <c r="M43" s="108"/>
      <c r="N43" s="108"/>
      <c r="O43" s="108"/>
      <c r="P43" s="108"/>
      <c r="Q43" s="108"/>
      <c r="R43" s="108"/>
      <c r="S43" s="108"/>
      <c r="T43" s="108"/>
      <c r="V43" s="108"/>
      <c r="W43" s="108"/>
    </row>
    <row r="44" spans="1:23" x14ac:dyDescent="0.2">
      <c r="A44" s="108"/>
      <c r="B44" s="108"/>
      <c r="C44" s="108"/>
      <c r="D44" s="108"/>
      <c r="E44" s="108"/>
      <c r="F44" s="108"/>
      <c r="G44" s="108"/>
      <c r="H44" s="108"/>
      <c r="I44" s="108"/>
      <c r="J44" s="108"/>
      <c r="K44" s="108"/>
      <c r="L44" s="108"/>
      <c r="M44" s="108"/>
      <c r="N44" s="108"/>
      <c r="O44" s="108"/>
      <c r="P44" s="108"/>
      <c r="Q44" s="108"/>
      <c r="R44" s="108"/>
      <c r="S44" s="108"/>
      <c r="T44" s="108"/>
      <c r="V44" s="108"/>
      <c r="W44" s="108"/>
    </row>
    <row r="45" spans="1:23" x14ac:dyDescent="0.2">
      <c r="A45" s="108"/>
      <c r="B45" s="108"/>
      <c r="C45" s="108"/>
      <c r="D45" s="108"/>
      <c r="E45" s="108"/>
      <c r="F45" s="108"/>
      <c r="G45" s="108"/>
      <c r="H45" s="108"/>
      <c r="I45" s="108"/>
      <c r="J45" s="108"/>
      <c r="K45" s="108"/>
      <c r="L45" s="108"/>
      <c r="M45" s="108"/>
      <c r="N45" s="108"/>
      <c r="O45" s="108"/>
      <c r="P45" s="108"/>
      <c r="Q45" s="108"/>
      <c r="R45" s="108"/>
      <c r="S45" s="108"/>
      <c r="T45" s="108"/>
      <c r="V45" s="108"/>
      <c r="W45" s="108"/>
    </row>
    <row r="46" spans="1:23" x14ac:dyDescent="0.2">
      <c r="A46" s="108"/>
      <c r="B46" s="108"/>
      <c r="C46" s="108"/>
      <c r="D46" s="108"/>
      <c r="E46" s="108"/>
      <c r="F46" s="108"/>
      <c r="G46" s="108"/>
      <c r="H46" s="108"/>
      <c r="I46" s="108"/>
      <c r="J46" s="108"/>
      <c r="K46" s="108"/>
      <c r="L46" s="108"/>
      <c r="M46" s="108"/>
      <c r="N46" s="108"/>
      <c r="O46" s="108"/>
      <c r="P46" s="108"/>
      <c r="Q46" s="108"/>
      <c r="R46" s="108"/>
      <c r="S46" s="108"/>
      <c r="T46" s="108"/>
      <c r="V46" s="108"/>
      <c r="W46" s="108"/>
    </row>
    <row r="47" spans="1:23" x14ac:dyDescent="0.2">
      <c r="A47" s="108"/>
      <c r="B47" s="108"/>
      <c r="C47" s="108"/>
      <c r="D47" s="108"/>
      <c r="E47" s="108"/>
      <c r="F47" s="108"/>
      <c r="G47" s="108"/>
      <c r="H47" s="108"/>
      <c r="I47" s="108"/>
      <c r="J47" s="108"/>
      <c r="K47" s="108"/>
      <c r="L47" s="108"/>
      <c r="M47" s="108"/>
      <c r="N47" s="108"/>
      <c r="O47" s="108"/>
      <c r="P47" s="108"/>
      <c r="Q47" s="108"/>
      <c r="R47" s="108"/>
      <c r="S47" s="108"/>
      <c r="T47" s="108"/>
      <c r="V47" s="108"/>
      <c r="W47" s="108"/>
    </row>
    <row r="48" spans="1:23" x14ac:dyDescent="0.2">
      <c r="A48" s="108"/>
      <c r="B48" s="108"/>
      <c r="C48" s="108"/>
      <c r="D48" s="108"/>
      <c r="E48" s="108"/>
      <c r="F48" s="108"/>
      <c r="G48" s="108"/>
      <c r="H48" s="108"/>
      <c r="I48" s="108"/>
      <c r="J48" s="108"/>
      <c r="K48" s="108"/>
      <c r="L48" s="108"/>
      <c r="M48" s="108"/>
      <c r="N48" s="108"/>
      <c r="O48" s="108"/>
      <c r="P48" s="108"/>
      <c r="Q48" s="108"/>
      <c r="R48" s="108"/>
      <c r="S48" s="108"/>
      <c r="T48" s="108"/>
      <c r="V48" s="108"/>
      <c r="W48" s="108"/>
    </row>
    <row r="49" spans="1:23" x14ac:dyDescent="0.2">
      <c r="A49" s="108"/>
      <c r="B49" s="108"/>
      <c r="C49" s="108"/>
      <c r="D49" s="108"/>
      <c r="E49" s="108"/>
      <c r="F49" s="108"/>
      <c r="G49" s="108"/>
      <c r="H49" s="108"/>
      <c r="I49" s="108"/>
      <c r="J49" s="108"/>
      <c r="K49" s="108"/>
      <c r="L49" s="108"/>
      <c r="M49" s="108"/>
      <c r="N49" s="108"/>
      <c r="O49" s="108"/>
      <c r="P49" s="108"/>
      <c r="Q49" s="108"/>
      <c r="R49" s="108"/>
      <c r="S49" s="108"/>
      <c r="T49" s="108"/>
      <c r="V49" s="108"/>
      <c r="W49" s="108"/>
    </row>
    <row r="50" spans="1:23" x14ac:dyDescent="0.2">
      <c r="A50" s="108"/>
      <c r="B50" s="108"/>
      <c r="C50" s="108"/>
      <c r="D50" s="108"/>
      <c r="E50" s="108"/>
      <c r="F50" s="108"/>
      <c r="G50" s="108"/>
      <c r="H50" s="108"/>
      <c r="I50" s="108"/>
      <c r="J50" s="108"/>
      <c r="K50" s="108"/>
      <c r="L50" s="108"/>
      <c r="M50" s="108"/>
      <c r="N50" s="108"/>
      <c r="O50" s="108"/>
      <c r="P50" s="108"/>
      <c r="Q50" s="108"/>
      <c r="R50" s="108"/>
      <c r="S50" s="108"/>
      <c r="T50" s="108"/>
      <c r="V50" s="108"/>
      <c r="W50" s="108"/>
    </row>
    <row r="51" spans="1:23" x14ac:dyDescent="0.2">
      <c r="A51" s="108"/>
      <c r="B51" s="108"/>
      <c r="C51" s="108"/>
      <c r="D51" s="108"/>
      <c r="E51" s="108"/>
      <c r="F51" s="108"/>
      <c r="G51" s="108"/>
      <c r="H51" s="108"/>
      <c r="I51" s="108"/>
      <c r="J51" s="108"/>
      <c r="K51" s="108"/>
      <c r="L51" s="108"/>
      <c r="M51" s="108"/>
      <c r="N51" s="108"/>
      <c r="O51" s="108"/>
      <c r="P51" s="108"/>
      <c r="Q51" s="108"/>
      <c r="R51" s="108"/>
      <c r="S51" s="108"/>
      <c r="T51" s="108"/>
      <c r="V51" s="108"/>
      <c r="W51" s="108"/>
    </row>
    <row r="52" spans="1:23" x14ac:dyDescent="0.2">
      <c r="A52" s="108"/>
      <c r="B52" s="108"/>
      <c r="C52" s="108"/>
      <c r="D52" s="108"/>
      <c r="E52" s="108"/>
      <c r="F52" s="108"/>
      <c r="G52" s="108"/>
      <c r="H52" s="108"/>
      <c r="I52" s="108"/>
      <c r="J52" s="108"/>
      <c r="K52" s="108"/>
      <c r="L52" s="108"/>
      <c r="M52" s="108"/>
      <c r="N52" s="108"/>
      <c r="O52" s="108"/>
      <c r="P52" s="108"/>
      <c r="Q52" s="108"/>
      <c r="R52" s="108"/>
      <c r="S52" s="108"/>
      <c r="T52" s="108"/>
      <c r="V52" s="108"/>
      <c r="W52" s="108"/>
    </row>
    <row r="53" spans="1:23" x14ac:dyDescent="0.2">
      <c r="A53" s="108"/>
      <c r="B53" s="108"/>
      <c r="C53" s="108"/>
      <c r="D53" s="108"/>
      <c r="E53" s="108"/>
      <c r="F53" s="108"/>
      <c r="G53" s="108"/>
      <c r="H53" s="108"/>
      <c r="I53" s="108"/>
      <c r="J53" s="108"/>
      <c r="K53" s="108"/>
      <c r="L53" s="108"/>
      <c r="M53" s="108"/>
      <c r="N53" s="108"/>
      <c r="O53" s="108"/>
      <c r="P53" s="108"/>
      <c r="Q53" s="108"/>
      <c r="R53" s="108"/>
      <c r="S53" s="108"/>
      <c r="T53" s="108"/>
      <c r="V53" s="108"/>
      <c r="W53" s="108"/>
    </row>
    <row r="54" spans="1:23" x14ac:dyDescent="0.2">
      <c r="A54" s="108"/>
      <c r="B54" s="108"/>
      <c r="C54" s="108"/>
      <c r="D54" s="108"/>
      <c r="E54" s="108"/>
      <c r="F54" s="108"/>
      <c r="G54" s="108"/>
      <c r="H54" s="108"/>
      <c r="I54" s="108"/>
      <c r="J54" s="108"/>
      <c r="K54" s="108"/>
      <c r="L54" s="108"/>
      <c r="M54" s="108"/>
      <c r="N54" s="108"/>
      <c r="O54" s="108"/>
      <c r="P54" s="108"/>
      <c r="Q54" s="108"/>
      <c r="R54" s="108"/>
      <c r="S54" s="108"/>
      <c r="T54" s="108"/>
      <c r="V54" s="108"/>
      <c r="W54" s="108"/>
    </row>
    <row r="55" spans="1:23" x14ac:dyDescent="0.2">
      <c r="A55" s="108"/>
      <c r="B55" s="108"/>
      <c r="C55" s="108"/>
      <c r="D55" s="108"/>
      <c r="E55" s="108"/>
      <c r="F55" s="108"/>
      <c r="G55" s="108"/>
      <c r="H55" s="108"/>
      <c r="I55" s="108"/>
      <c r="J55" s="108"/>
      <c r="K55" s="108"/>
      <c r="L55" s="108"/>
      <c r="M55" s="108"/>
      <c r="N55" s="108"/>
      <c r="O55" s="108"/>
      <c r="P55" s="108"/>
      <c r="Q55" s="108"/>
      <c r="R55" s="108"/>
      <c r="S55" s="108"/>
      <c r="T55" s="108"/>
      <c r="V55" s="108"/>
      <c r="W55" s="108"/>
    </row>
    <row r="56" spans="1:23" x14ac:dyDescent="0.2">
      <c r="A56" s="108"/>
      <c r="B56" s="108"/>
      <c r="C56" s="108"/>
      <c r="D56" s="108"/>
      <c r="E56" s="108"/>
      <c r="F56" s="108"/>
      <c r="G56" s="108"/>
      <c r="H56" s="108"/>
      <c r="I56" s="108"/>
      <c r="J56" s="108"/>
      <c r="K56" s="108"/>
      <c r="L56" s="108"/>
      <c r="M56" s="108"/>
      <c r="N56" s="108"/>
      <c r="O56" s="108"/>
      <c r="P56" s="108"/>
      <c r="Q56" s="108"/>
      <c r="R56" s="108"/>
      <c r="S56" s="108"/>
      <c r="T56" s="108"/>
      <c r="V56" s="108"/>
      <c r="W56" s="108"/>
    </row>
    <row r="57" spans="1:23" x14ac:dyDescent="0.2">
      <c r="A57" s="108"/>
      <c r="B57" s="108"/>
      <c r="C57" s="108"/>
      <c r="D57" s="108"/>
      <c r="E57" s="108"/>
      <c r="F57" s="108"/>
      <c r="G57" s="108"/>
      <c r="H57" s="108"/>
      <c r="I57" s="108"/>
      <c r="J57" s="108"/>
      <c r="K57" s="108"/>
      <c r="L57" s="108"/>
      <c r="M57" s="108"/>
      <c r="N57" s="108"/>
      <c r="O57" s="108"/>
      <c r="P57" s="108"/>
      <c r="Q57" s="108"/>
      <c r="R57" s="108"/>
      <c r="S57" s="108"/>
      <c r="T57" s="108"/>
      <c r="V57" s="108"/>
      <c r="W57" s="108"/>
    </row>
    <row r="58" spans="1:23" x14ac:dyDescent="0.2">
      <c r="A58" s="108"/>
      <c r="B58" s="108"/>
      <c r="C58" s="108"/>
      <c r="D58" s="108"/>
      <c r="E58" s="108"/>
      <c r="F58" s="108"/>
      <c r="G58" s="108"/>
      <c r="H58" s="108"/>
      <c r="I58" s="108"/>
      <c r="J58" s="108"/>
      <c r="K58" s="108"/>
      <c r="L58" s="108"/>
      <c r="M58" s="108"/>
      <c r="N58" s="108"/>
      <c r="O58" s="108"/>
      <c r="P58" s="108"/>
      <c r="Q58" s="108"/>
      <c r="R58" s="108"/>
      <c r="S58" s="108"/>
      <c r="T58" s="108"/>
      <c r="V58" s="108"/>
      <c r="W58" s="108"/>
    </row>
    <row r="59" spans="1:23" x14ac:dyDescent="0.2">
      <c r="A59" s="108"/>
      <c r="B59" s="108"/>
      <c r="C59" s="108"/>
      <c r="D59" s="108"/>
      <c r="E59" s="108"/>
      <c r="F59" s="108"/>
      <c r="G59" s="108"/>
      <c r="H59" s="108"/>
      <c r="I59" s="108"/>
      <c r="J59" s="108"/>
      <c r="K59" s="108"/>
      <c r="L59" s="108"/>
      <c r="M59" s="108"/>
      <c r="N59" s="108"/>
      <c r="O59" s="108"/>
      <c r="P59" s="108"/>
      <c r="Q59" s="108"/>
      <c r="R59" s="108"/>
      <c r="S59" s="108"/>
      <c r="T59" s="108"/>
      <c r="V59" s="108"/>
      <c r="W59" s="108"/>
    </row>
    <row r="60" spans="1:23" x14ac:dyDescent="0.2">
      <c r="A60" s="108"/>
      <c r="B60" s="108"/>
      <c r="C60" s="108"/>
      <c r="D60" s="108"/>
      <c r="E60" s="108"/>
      <c r="F60" s="108"/>
      <c r="G60" s="108"/>
      <c r="H60" s="108"/>
      <c r="I60" s="108"/>
      <c r="J60" s="108"/>
      <c r="K60" s="108"/>
      <c r="L60" s="108"/>
      <c r="M60" s="108"/>
      <c r="N60" s="108"/>
      <c r="O60" s="108"/>
      <c r="P60" s="108"/>
      <c r="Q60" s="108"/>
      <c r="R60" s="108"/>
      <c r="S60" s="108"/>
      <c r="T60" s="108"/>
      <c r="V60" s="108"/>
      <c r="W60" s="108"/>
    </row>
    <row r="61" spans="1:23" x14ac:dyDescent="0.2">
      <c r="A61" s="108"/>
      <c r="B61" s="108"/>
      <c r="C61" s="108"/>
      <c r="D61" s="108"/>
      <c r="E61" s="108"/>
      <c r="F61" s="108"/>
      <c r="G61" s="108"/>
      <c r="H61" s="108"/>
      <c r="I61" s="108"/>
      <c r="J61" s="108"/>
      <c r="K61" s="108"/>
      <c r="L61" s="108"/>
      <c r="M61" s="108"/>
      <c r="N61" s="108"/>
      <c r="O61" s="108"/>
      <c r="P61" s="108"/>
      <c r="Q61" s="108"/>
      <c r="R61" s="108"/>
      <c r="S61" s="108"/>
      <c r="T61" s="108"/>
      <c r="V61" s="108"/>
      <c r="W61" s="108"/>
    </row>
    <row r="62" spans="1:23" x14ac:dyDescent="0.2">
      <c r="A62" s="108"/>
      <c r="B62" s="108"/>
      <c r="C62" s="108"/>
      <c r="D62" s="108"/>
      <c r="E62" s="108"/>
      <c r="F62" s="108"/>
      <c r="G62" s="108"/>
      <c r="H62" s="108"/>
      <c r="I62" s="108"/>
      <c r="J62" s="108"/>
      <c r="K62" s="108"/>
      <c r="L62" s="108"/>
      <c r="M62" s="108"/>
      <c r="N62" s="108"/>
      <c r="O62" s="108"/>
      <c r="P62" s="108"/>
      <c r="Q62" s="108"/>
      <c r="R62" s="108"/>
      <c r="S62" s="108"/>
      <c r="T62" s="108"/>
      <c r="V62" s="108"/>
      <c r="W62" s="108"/>
    </row>
    <row r="63" spans="1:23" x14ac:dyDescent="0.2">
      <c r="A63" s="108"/>
      <c r="B63" s="108"/>
      <c r="C63" s="108"/>
      <c r="D63" s="108"/>
      <c r="E63" s="108"/>
      <c r="F63" s="108"/>
      <c r="G63" s="108"/>
      <c r="H63" s="108"/>
      <c r="I63" s="108"/>
      <c r="J63" s="108"/>
      <c r="K63" s="108"/>
      <c r="L63" s="108"/>
      <c r="M63" s="108"/>
      <c r="N63" s="108"/>
      <c r="O63" s="108"/>
      <c r="P63" s="108"/>
      <c r="Q63" s="108"/>
      <c r="R63" s="108"/>
      <c r="S63" s="108"/>
      <c r="T63" s="108"/>
      <c r="V63" s="108"/>
      <c r="W63" s="108"/>
    </row>
    <row r="64" spans="1:23" x14ac:dyDescent="0.2">
      <c r="A64" s="108"/>
      <c r="B64" s="108"/>
      <c r="C64" s="108"/>
      <c r="D64" s="108"/>
      <c r="E64" s="108"/>
      <c r="F64" s="108"/>
      <c r="G64" s="108"/>
      <c r="H64" s="108"/>
      <c r="I64" s="108"/>
      <c r="J64" s="108"/>
      <c r="K64" s="108"/>
      <c r="L64" s="108"/>
      <c r="M64" s="108"/>
      <c r="N64" s="108"/>
      <c r="O64" s="108"/>
      <c r="P64" s="108"/>
      <c r="Q64" s="108"/>
      <c r="R64" s="108"/>
      <c r="S64" s="108"/>
      <c r="T64" s="108"/>
      <c r="V64" s="108"/>
      <c r="W64" s="108"/>
    </row>
    <row r="65" spans="1:29" x14ac:dyDescent="0.2">
      <c r="A65" s="108"/>
      <c r="B65" s="108"/>
      <c r="C65" s="108"/>
      <c r="D65" s="108"/>
      <c r="E65" s="108"/>
      <c r="F65" s="108"/>
      <c r="G65" s="108"/>
      <c r="H65" s="108"/>
      <c r="I65" s="108"/>
      <c r="J65" s="108"/>
      <c r="K65" s="108"/>
      <c r="L65" s="108"/>
      <c r="M65" s="108"/>
      <c r="N65" s="108"/>
      <c r="O65" s="108"/>
      <c r="P65" s="108"/>
      <c r="Q65" s="108"/>
      <c r="R65" s="108"/>
      <c r="S65" s="108"/>
      <c r="T65" s="108"/>
      <c r="V65" s="108"/>
      <c r="W65" s="108"/>
    </row>
    <row r="66" spans="1:29" x14ac:dyDescent="0.2">
      <c r="A66" s="108"/>
      <c r="B66" s="108"/>
      <c r="C66" s="108"/>
      <c r="D66" s="108"/>
      <c r="E66" s="108"/>
      <c r="F66" s="108"/>
      <c r="G66" s="108"/>
      <c r="H66" s="108"/>
      <c r="I66" s="108"/>
      <c r="J66" s="108"/>
      <c r="K66" s="108"/>
      <c r="L66" s="108"/>
      <c r="M66" s="108"/>
      <c r="N66" s="108"/>
      <c r="O66" s="108"/>
      <c r="P66" s="108"/>
      <c r="Q66" s="108"/>
      <c r="R66" s="108"/>
      <c r="S66" s="108"/>
      <c r="T66" s="108"/>
      <c r="V66" s="108"/>
      <c r="W66" s="108"/>
    </row>
    <row r="67" spans="1:29" x14ac:dyDescent="0.2">
      <c r="A67" s="108"/>
      <c r="B67" s="108"/>
      <c r="C67" s="108"/>
      <c r="D67" s="108"/>
      <c r="E67" s="108"/>
      <c r="F67" s="108"/>
      <c r="G67" s="108"/>
      <c r="H67" s="108"/>
      <c r="I67" s="108"/>
      <c r="J67" s="108"/>
      <c r="K67" s="108"/>
      <c r="L67" s="108"/>
      <c r="M67" s="108"/>
      <c r="N67" s="108"/>
      <c r="O67" s="108"/>
      <c r="P67" s="108"/>
      <c r="Q67" s="108"/>
      <c r="R67" s="108"/>
      <c r="S67" s="108"/>
      <c r="T67" s="108"/>
      <c r="V67" s="108"/>
      <c r="W67" s="108"/>
    </row>
    <row r="68" spans="1:29" x14ac:dyDescent="0.2">
      <c r="A68" s="108"/>
      <c r="B68" s="108"/>
      <c r="C68" s="108"/>
      <c r="D68" s="108"/>
      <c r="E68" s="108"/>
      <c r="F68" s="108"/>
      <c r="G68" s="108"/>
      <c r="H68" s="108"/>
      <c r="I68" s="108"/>
      <c r="J68" s="108"/>
      <c r="K68" s="108"/>
      <c r="L68" s="108"/>
      <c r="M68" s="108"/>
      <c r="N68" s="108"/>
      <c r="O68" s="108"/>
      <c r="P68" s="108"/>
      <c r="Q68" s="108"/>
      <c r="R68" s="108"/>
      <c r="S68" s="108"/>
      <c r="T68" s="108"/>
      <c r="V68" s="108"/>
      <c r="W68" s="108"/>
    </row>
    <row r="69" spans="1:29" s="607" customFormat="1" ht="15" customHeight="1" x14ac:dyDescent="0.2">
      <c r="A69" s="980"/>
      <c r="B69" s="670"/>
      <c r="C69" s="670"/>
      <c r="D69" s="670"/>
      <c r="E69" s="670"/>
      <c r="F69" s="670"/>
      <c r="G69" s="670"/>
      <c r="H69" s="670"/>
      <c r="I69" s="670"/>
      <c r="J69" s="670"/>
      <c r="K69" s="670"/>
      <c r="L69" s="670"/>
      <c r="M69" s="670"/>
      <c r="N69" s="670"/>
      <c r="O69" s="670"/>
      <c r="P69" s="670"/>
      <c r="Q69" s="670"/>
      <c r="R69" s="670"/>
      <c r="S69" s="670"/>
      <c r="T69" s="670"/>
      <c r="U69" s="108"/>
      <c r="V69" s="670"/>
      <c r="W69" s="670"/>
      <c r="X69" s="825"/>
      <c r="Y69" s="825"/>
      <c r="Z69" s="825"/>
      <c r="AA69" s="825"/>
      <c r="AB69" s="825"/>
      <c r="AC69" s="825"/>
    </row>
    <row r="70" spans="1:29" s="253" customFormat="1" ht="15" customHeight="1" x14ac:dyDescent="0.2">
      <c r="A70" s="980"/>
      <c r="B70" s="266"/>
      <c r="C70" s="609" t="s">
        <v>19</v>
      </c>
      <c r="D70" s="609"/>
      <c r="E70" s="609"/>
      <c r="F70" s="609"/>
      <c r="G70" s="609"/>
      <c r="H70" s="609"/>
      <c r="I70" s="609"/>
      <c r="J70" s="609"/>
      <c r="K70" s="609"/>
      <c r="L70" s="609"/>
      <c r="M70" s="609"/>
      <c r="N70" s="609"/>
      <c r="O70" s="609"/>
      <c r="P70" s="255"/>
      <c r="Q70" s="255"/>
      <c r="R70" s="248"/>
      <c r="S70" s="255"/>
      <c r="T70" s="248"/>
      <c r="U70" s="670"/>
      <c r="V70" s="255"/>
      <c r="W70" s="255"/>
      <c r="X70" s="255"/>
      <c r="Y70" s="255"/>
      <c r="Z70" s="255"/>
      <c r="AA70" s="825"/>
      <c r="AB70" s="825"/>
      <c r="AC70" s="825"/>
    </row>
    <row r="71" spans="1:29" s="253" customFormat="1" ht="15" customHeight="1" x14ac:dyDescent="0.2">
      <c r="A71" s="980"/>
      <c r="B71" s="266"/>
      <c r="C71" s="313"/>
      <c r="D71" s="313"/>
      <c r="E71" s="313"/>
      <c r="F71" s="313"/>
      <c r="G71" s="313"/>
      <c r="H71" s="313"/>
      <c r="I71" s="313"/>
      <c r="J71" s="313"/>
      <c r="K71" s="313"/>
      <c r="L71" s="313"/>
      <c r="M71" s="313"/>
      <c r="N71" s="313"/>
      <c r="O71" s="313"/>
      <c r="P71" s="255"/>
      <c r="Q71" s="255"/>
      <c r="R71" s="248"/>
      <c r="S71" s="255"/>
      <c r="T71" s="248"/>
      <c r="U71" s="255"/>
      <c r="V71" s="255"/>
      <c r="W71" s="255"/>
      <c r="X71" s="255"/>
      <c r="Y71" s="255"/>
      <c r="Z71" s="255"/>
      <c r="AA71" s="825"/>
      <c r="AB71" s="825"/>
      <c r="AC71" s="825"/>
    </row>
    <row r="72" spans="1:29" s="607" customFormat="1" ht="15" customHeight="1" x14ac:dyDescent="0.2">
      <c r="A72" s="980"/>
      <c r="B72" s="670"/>
      <c r="C72" s="670"/>
      <c r="D72" s="670"/>
      <c r="E72" s="670"/>
      <c r="F72" s="670"/>
      <c r="G72" s="670"/>
      <c r="H72" s="670"/>
      <c r="I72" s="670"/>
      <c r="J72" s="670"/>
      <c r="K72" s="670"/>
      <c r="L72" s="670"/>
      <c r="M72" s="670"/>
      <c r="N72" s="670"/>
      <c r="O72" s="670"/>
      <c r="P72" s="670"/>
      <c r="Q72" s="670"/>
      <c r="R72" s="670"/>
      <c r="S72" s="670"/>
      <c r="T72" s="670"/>
      <c r="U72" s="255"/>
      <c r="V72" s="670"/>
      <c r="W72" s="670"/>
      <c r="X72" s="825"/>
      <c r="Y72" s="825"/>
      <c r="Z72" s="825"/>
      <c r="AA72" s="825"/>
      <c r="AB72" s="825"/>
      <c r="AC72" s="825"/>
    </row>
    <row r="73" spans="1:29" s="607" customFormat="1" ht="15" customHeight="1" x14ac:dyDescent="0.2">
      <c r="A73" s="980"/>
      <c r="B73" s="670"/>
      <c r="C73" s="670" t="str">
        <f>ListAVS!$B$332</f>
        <v>Wybierz dogodną technikę montażu mocowania frontu</v>
      </c>
      <c r="D73" s="670"/>
      <c r="E73" s="670"/>
      <c r="F73" s="670"/>
      <c r="G73" s="670"/>
      <c r="H73" s="670"/>
      <c r="I73" s="670"/>
      <c r="J73" s="670"/>
      <c r="K73" s="670"/>
      <c r="L73" s="670"/>
      <c r="M73" s="670"/>
      <c r="N73" s="670"/>
      <c r="O73" s="670"/>
      <c r="P73" s="670"/>
      <c r="Q73" s="670"/>
      <c r="R73" s="670"/>
      <c r="S73" s="670"/>
      <c r="T73" s="670"/>
      <c r="U73" s="670"/>
      <c r="V73" s="670"/>
      <c r="W73" s="670"/>
      <c r="X73" s="825"/>
      <c r="Y73" s="825"/>
      <c r="Z73" s="825"/>
      <c r="AA73" s="825"/>
      <c r="AB73" s="825"/>
      <c r="AC73" s="825"/>
    </row>
    <row r="74" spans="1:29" s="607" customFormat="1" ht="15" customHeight="1" x14ac:dyDescent="0.2">
      <c r="A74" s="980"/>
      <c r="B74" s="670"/>
      <c r="C74" s="670"/>
      <c r="D74" s="670"/>
      <c r="E74" s="670"/>
      <c r="F74" s="670"/>
      <c r="G74" s="670"/>
      <c r="H74" s="670"/>
      <c r="I74" s="670"/>
      <c r="J74" s="670"/>
      <c r="K74" s="670"/>
      <c r="L74" s="670"/>
      <c r="M74" s="670"/>
      <c r="N74" s="670"/>
      <c r="O74" s="670"/>
      <c r="P74" s="670"/>
      <c r="Q74" s="670"/>
      <c r="R74" s="670"/>
      <c r="S74" s="670"/>
      <c r="T74" s="670"/>
      <c r="U74" s="670"/>
      <c r="V74" s="670"/>
      <c r="W74" s="670"/>
      <c r="X74" s="825"/>
      <c r="Y74" s="825"/>
      <c r="Z74" s="825"/>
      <c r="AA74" s="825"/>
      <c r="AB74" s="825"/>
      <c r="AC74" s="825"/>
    </row>
    <row r="75" spans="1:29" s="607" customFormat="1" ht="15" customHeight="1" x14ac:dyDescent="0.2">
      <c r="A75" s="980"/>
      <c r="B75" s="670"/>
      <c r="C75" s="670" t="str">
        <f>ListAVS!$B$289</f>
        <v>Kliknij na zdjęcie lub opis, aby przejść do żądanego typu podnośnika.</v>
      </c>
      <c r="D75" s="670"/>
      <c r="E75" s="670"/>
      <c r="F75" s="670"/>
      <c r="G75" s="670"/>
      <c r="H75" s="670"/>
      <c r="I75" s="670"/>
      <c r="J75" s="670"/>
      <c r="K75" s="670"/>
      <c r="L75" s="670"/>
      <c r="M75" s="670"/>
      <c r="N75" s="670"/>
      <c r="O75" s="670"/>
      <c r="P75" s="670"/>
      <c r="Q75" s="670"/>
      <c r="R75" s="670"/>
      <c r="S75" s="670"/>
      <c r="T75" s="670"/>
      <c r="U75" s="670"/>
      <c r="V75" s="670"/>
      <c r="W75" s="670"/>
      <c r="X75" s="825"/>
      <c r="Y75" s="825"/>
      <c r="Z75" s="825"/>
      <c r="AA75" s="825"/>
      <c r="AB75" s="825"/>
      <c r="AC75" s="825"/>
    </row>
    <row r="76" spans="1:29" s="607" customFormat="1" ht="15" customHeight="1" x14ac:dyDescent="0.2">
      <c r="A76" s="980"/>
      <c r="B76" s="670"/>
      <c r="C76" s="670"/>
      <c r="D76" s="670"/>
      <c r="E76" s="670"/>
      <c r="F76" s="670"/>
      <c r="G76" s="670"/>
      <c r="H76" s="670"/>
      <c r="I76" s="670"/>
      <c r="J76" s="670"/>
      <c r="K76" s="670"/>
      <c r="L76" s="670"/>
      <c r="M76" s="670"/>
      <c r="N76" s="670"/>
      <c r="O76" s="670"/>
      <c r="P76" s="670"/>
      <c r="Q76" s="670"/>
      <c r="R76" s="670"/>
      <c r="S76" s="670"/>
      <c r="T76" s="670"/>
      <c r="U76" s="670"/>
      <c r="V76" s="670"/>
      <c r="W76" s="670"/>
      <c r="X76" s="825"/>
      <c r="Y76" s="825"/>
      <c r="Z76" s="825"/>
      <c r="AA76" s="825"/>
      <c r="AB76" s="825"/>
      <c r="AC76" s="825"/>
    </row>
    <row r="77" spans="1:29" s="607" customFormat="1" ht="15" customHeight="1" x14ac:dyDescent="0.2">
      <c r="A77" s="980"/>
      <c r="B77" s="670"/>
      <c r="C77" s="670"/>
      <c r="D77" s="670"/>
      <c r="E77" s="670"/>
      <c r="F77" s="670"/>
      <c r="G77" s="670"/>
      <c r="H77" s="670"/>
      <c r="I77" s="670"/>
      <c r="J77" s="670"/>
      <c r="K77" s="670"/>
      <c r="L77" s="670"/>
      <c r="M77" s="670"/>
      <c r="N77" s="670"/>
      <c r="O77" s="670"/>
      <c r="P77" s="670"/>
      <c r="Q77" s="670"/>
      <c r="R77" s="670"/>
      <c r="S77" s="670"/>
      <c r="T77" s="670"/>
      <c r="U77" s="670"/>
      <c r="V77" s="670"/>
      <c r="W77" s="670"/>
      <c r="X77" s="825"/>
      <c r="Y77" s="825"/>
      <c r="Z77" s="825"/>
      <c r="AA77" s="825"/>
      <c r="AB77" s="825"/>
      <c r="AC77" s="825"/>
    </row>
    <row r="78" spans="1:29" s="607" customFormat="1" ht="15" customHeight="1" x14ac:dyDescent="0.2">
      <c r="A78" s="980"/>
      <c r="B78" s="670"/>
      <c r="C78" s="670"/>
      <c r="D78" s="670"/>
      <c r="E78" s="670"/>
      <c r="F78" s="670"/>
      <c r="G78" s="670"/>
      <c r="H78" s="670"/>
      <c r="I78" s="670"/>
      <c r="J78" s="670"/>
      <c r="K78" s="670"/>
      <c r="L78" s="670"/>
      <c r="M78" s="670"/>
      <c r="N78" s="670"/>
      <c r="O78" s="670"/>
      <c r="P78" s="670"/>
      <c r="Q78" s="670"/>
      <c r="R78" s="670"/>
      <c r="S78" s="670"/>
      <c r="T78" s="670"/>
      <c r="U78" s="670"/>
      <c r="V78" s="670"/>
      <c r="W78" s="670"/>
      <c r="X78" s="825"/>
      <c r="Y78" s="825"/>
      <c r="Z78" s="825"/>
      <c r="AA78" s="825"/>
      <c r="AB78" s="825"/>
      <c r="AC78" s="825"/>
    </row>
    <row r="79" spans="1:29" s="607" customFormat="1" ht="15" customHeight="1" x14ac:dyDescent="0.2">
      <c r="A79" s="980"/>
      <c r="B79" s="670"/>
      <c r="C79" s="670"/>
      <c r="D79" s="670"/>
      <c r="E79" s="670"/>
      <c r="F79" s="670"/>
      <c r="G79" s="670"/>
      <c r="H79" s="670"/>
      <c r="I79" s="670"/>
      <c r="J79" s="670"/>
      <c r="K79" s="670"/>
      <c r="L79" s="670"/>
      <c r="M79" s="670"/>
      <c r="N79" s="670"/>
      <c r="O79" s="670"/>
      <c r="P79" s="670"/>
      <c r="Q79" s="670"/>
      <c r="R79" s="670"/>
      <c r="S79" s="670"/>
      <c r="T79" s="670"/>
      <c r="U79" s="670"/>
      <c r="V79" s="670"/>
      <c r="W79" s="670"/>
      <c r="X79" s="825"/>
      <c r="Y79" s="825"/>
      <c r="Z79" s="825"/>
      <c r="AA79" s="825"/>
      <c r="AB79" s="825"/>
      <c r="AC79" s="825"/>
    </row>
    <row r="80" spans="1:29" s="607" customFormat="1" ht="15" customHeight="1" x14ac:dyDescent="0.2">
      <c r="A80" s="980"/>
      <c r="B80" s="670"/>
      <c r="C80" s="670"/>
      <c r="D80" s="670"/>
      <c r="E80" s="670"/>
      <c r="F80" s="670"/>
      <c r="G80" s="670"/>
      <c r="H80" s="670"/>
      <c r="I80" s="670"/>
      <c r="J80" s="670"/>
      <c r="K80" s="670"/>
      <c r="L80" s="670"/>
      <c r="M80" s="670"/>
      <c r="N80" s="670"/>
      <c r="O80" s="670"/>
      <c r="P80" s="670"/>
      <c r="Q80" s="670"/>
      <c r="R80" s="670"/>
      <c r="S80" s="670"/>
      <c r="T80" s="670"/>
      <c r="U80" s="670"/>
      <c r="V80" s="670"/>
      <c r="W80" s="670"/>
      <c r="X80" s="825"/>
      <c r="Y80" s="825"/>
      <c r="Z80" s="825"/>
      <c r="AA80" s="825"/>
      <c r="AB80" s="825"/>
      <c r="AC80" s="825"/>
    </row>
    <row r="81" spans="1:23" s="607" customFormat="1" ht="15" customHeight="1" x14ac:dyDescent="0.2">
      <c r="A81" s="980"/>
      <c r="B81" s="670"/>
      <c r="C81" s="670"/>
      <c r="D81" s="670"/>
      <c r="E81" s="670"/>
      <c r="F81" s="670"/>
      <c r="G81" s="670"/>
      <c r="H81" s="670"/>
      <c r="I81" s="670"/>
      <c r="J81" s="671"/>
      <c r="K81" s="671"/>
      <c r="L81" s="670"/>
      <c r="M81" s="670"/>
      <c r="N81" s="670"/>
      <c r="O81" s="670"/>
      <c r="P81" s="670"/>
      <c r="Q81" s="670"/>
      <c r="R81" s="670"/>
      <c r="S81" s="670"/>
      <c r="T81" s="670"/>
      <c r="U81" s="670"/>
      <c r="V81" s="670"/>
      <c r="W81" s="670"/>
    </row>
    <row r="82" spans="1:23" s="607" customFormat="1" ht="15" customHeight="1" x14ac:dyDescent="0.2">
      <c r="A82" s="980"/>
      <c r="B82" s="670"/>
      <c r="C82" s="670"/>
      <c r="D82" s="670"/>
      <c r="E82" s="670"/>
      <c r="F82" s="670"/>
      <c r="G82" s="670"/>
      <c r="H82" s="670"/>
      <c r="I82" s="670"/>
      <c r="J82" s="670"/>
      <c r="K82" s="670"/>
      <c r="L82" s="670"/>
      <c r="M82" s="670"/>
      <c r="N82" s="670"/>
      <c r="O82" s="670"/>
      <c r="P82" s="670"/>
      <c r="Q82" s="670"/>
      <c r="R82" s="670"/>
      <c r="S82" s="670"/>
      <c r="T82" s="670"/>
      <c r="U82" s="670"/>
      <c r="V82" s="670"/>
      <c r="W82" s="670"/>
    </row>
    <row r="83" spans="1:23" s="607" customFormat="1" ht="15" customHeight="1" x14ac:dyDescent="0.2">
      <c r="A83" s="980"/>
      <c r="B83" s="670"/>
      <c r="C83" s="670"/>
      <c r="D83" s="670"/>
      <c r="E83" s="670"/>
      <c r="F83" s="670"/>
      <c r="G83" s="670"/>
      <c r="H83" s="670"/>
      <c r="I83" s="670"/>
      <c r="J83" s="670"/>
      <c r="K83" s="670"/>
      <c r="L83" s="670"/>
      <c r="M83" s="670"/>
      <c r="N83" s="670"/>
      <c r="O83" s="670"/>
      <c r="P83" s="670"/>
      <c r="Q83" s="670"/>
      <c r="R83" s="670"/>
      <c r="S83" s="670"/>
      <c r="T83" s="670"/>
      <c r="U83" s="670"/>
      <c r="V83" s="670"/>
      <c r="W83" s="670"/>
    </row>
    <row r="84" spans="1:23" s="607" customFormat="1" ht="15" customHeight="1" x14ac:dyDescent="0.2">
      <c r="A84" s="980"/>
      <c r="B84" s="670"/>
      <c r="C84" s="670"/>
      <c r="D84" s="670"/>
      <c r="E84" s="670"/>
      <c r="F84" s="670"/>
      <c r="G84" s="670"/>
      <c r="H84" s="670"/>
      <c r="I84" s="670"/>
      <c r="J84" s="670"/>
      <c r="K84" s="670"/>
      <c r="L84" s="670"/>
      <c r="M84" s="670"/>
      <c r="N84" s="670"/>
      <c r="O84" s="670"/>
      <c r="P84" s="670"/>
      <c r="Q84" s="670"/>
      <c r="R84" s="670"/>
      <c r="S84" s="670"/>
      <c r="T84" s="670"/>
      <c r="U84" s="670"/>
      <c r="V84" s="670"/>
      <c r="W84" s="670"/>
    </row>
    <row r="85" spans="1:23" s="607" customFormat="1" ht="15" customHeight="1" x14ac:dyDescent="0.2">
      <c r="A85" s="980"/>
      <c r="B85" s="670"/>
      <c r="C85" s="670"/>
      <c r="D85" s="670"/>
      <c r="E85" s="670"/>
      <c r="F85" s="670"/>
      <c r="G85" s="670"/>
      <c r="H85" s="979" t="str">
        <f>ListAVS!$B$168</f>
        <v>Z powrotem</v>
      </c>
      <c r="I85" s="979"/>
      <c r="J85" s="680"/>
      <c r="K85" s="680"/>
      <c r="L85" s="680"/>
      <c r="M85" s="1040"/>
      <c r="N85" s="1040"/>
      <c r="O85" s="670"/>
      <c r="P85" s="670"/>
      <c r="Q85" s="670"/>
      <c r="R85" s="670"/>
      <c r="S85" s="670"/>
      <c r="T85" s="670"/>
      <c r="U85" s="670"/>
      <c r="V85" s="670"/>
      <c r="W85" s="670"/>
    </row>
    <row r="86" spans="1:23" s="607" customFormat="1" ht="15" customHeight="1" x14ac:dyDescent="0.2">
      <c r="A86" s="980"/>
      <c r="B86" s="670"/>
      <c r="C86" s="670"/>
      <c r="D86" s="670"/>
      <c r="E86" s="670"/>
      <c r="F86" s="670"/>
      <c r="G86" s="670"/>
      <c r="H86" s="670"/>
      <c r="I86" s="670"/>
      <c r="J86" s="670"/>
      <c r="K86" s="670"/>
      <c r="L86" s="670"/>
      <c r="M86" s="670"/>
      <c r="N86" s="670"/>
      <c r="O86" s="670"/>
      <c r="P86" s="670"/>
      <c r="Q86" s="670"/>
      <c r="R86" s="670"/>
      <c r="S86" s="670"/>
      <c r="T86" s="670"/>
      <c r="U86" s="670"/>
      <c r="V86" s="670"/>
      <c r="W86" s="670"/>
    </row>
    <row r="87" spans="1:23" s="607" customFormat="1" ht="15" customHeight="1" x14ac:dyDescent="0.2">
      <c r="A87" s="980"/>
      <c r="B87" s="670"/>
      <c r="C87" s="670"/>
      <c r="D87" s="670"/>
      <c r="E87" s="670"/>
      <c r="F87" s="670"/>
      <c r="G87" s="670"/>
      <c r="H87" s="670"/>
      <c r="I87" s="670"/>
      <c r="J87" s="670"/>
      <c r="K87" s="670"/>
      <c r="L87" s="670"/>
      <c r="M87" s="670"/>
      <c r="N87" s="670"/>
      <c r="O87" s="670"/>
      <c r="P87" s="670"/>
      <c r="Q87" s="670"/>
      <c r="R87" s="670"/>
      <c r="S87" s="670"/>
      <c r="T87" s="670"/>
      <c r="U87" s="670"/>
      <c r="V87" s="670"/>
      <c r="W87" s="670"/>
    </row>
    <row r="88" spans="1:23" s="607" customFormat="1" ht="15" customHeight="1" x14ac:dyDescent="0.2">
      <c r="A88" s="980"/>
      <c r="B88" s="670"/>
      <c r="C88" s="670"/>
      <c r="D88" s="670"/>
      <c r="E88" s="670"/>
      <c r="F88" s="670"/>
      <c r="G88" s="670"/>
      <c r="H88" s="670"/>
      <c r="I88" s="670"/>
      <c r="J88" s="670"/>
      <c r="K88" s="670"/>
      <c r="L88" s="670"/>
      <c r="M88" s="670"/>
      <c r="N88" s="670"/>
      <c r="O88" s="670"/>
      <c r="P88" s="670"/>
      <c r="Q88" s="670"/>
      <c r="R88" s="670"/>
      <c r="S88" s="670"/>
      <c r="T88" s="670"/>
      <c r="U88" s="670"/>
      <c r="V88" s="670"/>
      <c r="W88" s="670"/>
    </row>
    <row r="89" spans="1:23" s="607" customFormat="1" ht="15" customHeight="1" x14ac:dyDescent="0.2">
      <c r="A89" s="980"/>
      <c r="B89" s="670"/>
      <c r="C89" s="670"/>
      <c r="D89" s="670"/>
      <c r="E89" s="670"/>
      <c r="F89" s="670"/>
      <c r="G89" s="670"/>
      <c r="H89" s="670"/>
      <c r="I89" s="670"/>
      <c r="J89" s="670"/>
      <c r="K89" s="670"/>
      <c r="L89" s="670"/>
      <c r="M89" s="670"/>
      <c r="N89" s="670"/>
      <c r="O89" s="670"/>
      <c r="P89" s="670"/>
      <c r="Q89" s="670"/>
      <c r="R89" s="670"/>
      <c r="S89" s="670"/>
      <c r="T89" s="670"/>
      <c r="U89" s="670"/>
      <c r="V89" s="670"/>
      <c r="W89" s="670"/>
    </row>
    <row r="90" spans="1:23" s="607" customFormat="1" ht="15" customHeight="1" x14ac:dyDescent="0.2">
      <c r="A90" s="980"/>
      <c r="B90" s="670"/>
      <c r="C90" s="670"/>
      <c r="D90" s="670"/>
      <c r="E90" s="670"/>
      <c r="F90" s="670"/>
      <c r="G90" s="670"/>
      <c r="H90" s="670"/>
      <c r="I90" s="670"/>
      <c r="J90" s="670"/>
      <c r="K90" s="670"/>
      <c r="L90" s="670"/>
      <c r="M90" s="670"/>
      <c r="N90" s="670"/>
      <c r="O90" s="670"/>
      <c r="P90" s="670"/>
      <c r="Q90" s="670"/>
      <c r="R90" s="670"/>
      <c r="S90" s="670"/>
      <c r="T90" s="670"/>
      <c r="U90" s="670"/>
      <c r="V90" s="670"/>
      <c r="W90" s="670"/>
    </row>
    <row r="91" spans="1:23" ht="12.75" x14ac:dyDescent="0.2">
      <c r="A91" s="980"/>
      <c r="B91" s="108"/>
      <c r="C91" s="108"/>
      <c r="D91" s="108"/>
      <c r="E91" s="108"/>
      <c r="F91" s="108"/>
      <c r="G91" s="108"/>
      <c r="H91" s="108"/>
      <c r="I91" s="108"/>
      <c r="J91" s="108"/>
      <c r="K91" s="108"/>
      <c r="L91" s="108"/>
      <c r="M91" s="108"/>
      <c r="N91" s="108"/>
      <c r="O91" s="108"/>
      <c r="P91" s="108"/>
      <c r="Q91" s="108"/>
      <c r="R91" s="108"/>
      <c r="S91" s="108"/>
      <c r="T91" s="108"/>
      <c r="U91" s="670"/>
      <c r="V91" s="108"/>
      <c r="W91" s="108"/>
    </row>
    <row r="92" spans="1:23" x14ac:dyDescent="0.2">
      <c r="A92" s="980"/>
      <c r="B92" s="108"/>
      <c r="C92" s="108"/>
      <c r="D92" s="108"/>
      <c r="E92" s="108"/>
      <c r="F92" s="108"/>
      <c r="G92" s="108"/>
      <c r="H92" s="108"/>
      <c r="I92" s="108"/>
      <c r="J92" s="108"/>
      <c r="K92" s="108"/>
      <c r="L92" s="108"/>
      <c r="M92" s="108"/>
      <c r="N92" s="108"/>
      <c r="O92" s="108"/>
      <c r="P92" s="108"/>
      <c r="Q92" s="108"/>
      <c r="R92" s="108"/>
      <c r="S92" s="108"/>
      <c r="T92" s="108"/>
      <c r="V92" s="108"/>
      <c r="W92" s="108"/>
    </row>
    <row r="93" spans="1:23" x14ac:dyDescent="0.2">
      <c r="A93" s="980"/>
      <c r="B93" s="108"/>
      <c r="C93" s="108"/>
      <c r="D93" s="108"/>
      <c r="E93" s="108"/>
      <c r="F93" s="108"/>
      <c r="G93" s="108"/>
      <c r="H93" s="108"/>
      <c r="I93" s="108"/>
      <c r="J93" s="108"/>
      <c r="K93" s="108"/>
      <c r="L93" s="108"/>
      <c r="M93" s="108"/>
      <c r="N93" s="108"/>
      <c r="O93" s="108"/>
      <c r="P93" s="108"/>
      <c r="Q93" s="108"/>
      <c r="R93" s="108"/>
      <c r="S93" s="108"/>
      <c r="T93" s="108"/>
      <c r="V93" s="108"/>
      <c r="W93" s="108"/>
    </row>
    <row r="94" spans="1:23" x14ac:dyDescent="0.2">
      <c r="A94" s="980"/>
      <c r="B94" s="108"/>
      <c r="C94" s="108"/>
      <c r="D94" s="108"/>
      <c r="E94" s="108"/>
      <c r="F94" s="108"/>
      <c r="G94" s="108"/>
      <c r="H94" s="108"/>
      <c r="I94" s="108"/>
      <c r="J94" s="108"/>
      <c r="K94" s="108"/>
      <c r="L94" s="108"/>
      <c r="M94" s="108"/>
      <c r="N94" s="108"/>
      <c r="O94" s="108"/>
      <c r="P94" s="108"/>
      <c r="Q94" s="108"/>
      <c r="R94" s="108"/>
      <c r="S94" s="108"/>
      <c r="T94" s="108"/>
      <c r="V94" s="108"/>
      <c r="W94" s="108"/>
    </row>
    <row r="95" spans="1:23" x14ac:dyDescent="0.2">
      <c r="A95" s="980"/>
      <c r="B95" s="108"/>
      <c r="C95" s="108"/>
      <c r="D95" s="108"/>
      <c r="E95" s="108"/>
      <c r="F95" s="108"/>
      <c r="G95" s="108"/>
      <c r="H95" s="108"/>
      <c r="I95" s="108"/>
      <c r="J95" s="108"/>
      <c r="K95" s="108"/>
      <c r="L95" s="108"/>
      <c r="M95" s="108"/>
      <c r="N95" s="108"/>
      <c r="O95" s="108"/>
      <c r="P95" s="108"/>
      <c r="Q95" s="108"/>
      <c r="R95" s="108"/>
      <c r="S95" s="108"/>
      <c r="T95" s="108"/>
      <c r="V95" s="108"/>
      <c r="W95" s="108"/>
    </row>
    <row r="96" spans="1:23" x14ac:dyDescent="0.2">
      <c r="A96" s="980"/>
      <c r="B96" s="108"/>
      <c r="C96" s="108"/>
      <c r="D96" s="108"/>
      <c r="E96" s="108"/>
      <c r="F96" s="108"/>
      <c r="G96" s="108"/>
      <c r="H96" s="108"/>
      <c r="I96" s="108"/>
      <c r="J96" s="108"/>
      <c r="K96" s="108"/>
      <c r="L96" s="108"/>
      <c r="M96" s="108"/>
      <c r="N96" s="108"/>
      <c r="O96" s="108"/>
      <c r="P96" s="108"/>
      <c r="Q96" s="108"/>
      <c r="R96" s="108"/>
      <c r="S96" s="108"/>
      <c r="T96" s="108"/>
      <c r="V96" s="108"/>
      <c r="W96" s="108"/>
    </row>
    <row r="97" spans="1:23" x14ac:dyDescent="0.2">
      <c r="A97" s="980"/>
      <c r="B97" s="108"/>
      <c r="C97" s="108"/>
      <c r="D97" s="108"/>
      <c r="E97" s="108"/>
      <c r="F97" s="108"/>
      <c r="G97" s="108"/>
      <c r="H97" s="108"/>
      <c r="I97" s="108"/>
      <c r="J97" s="108"/>
      <c r="K97" s="108"/>
      <c r="L97" s="108"/>
      <c r="M97" s="108"/>
      <c r="N97" s="108"/>
      <c r="O97" s="108"/>
      <c r="P97" s="108"/>
      <c r="Q97" s="108"/>
      <c r="R97" s="108"/>
      <c r="S97" s="108"/>
      <c r="T97" s="108"/>
      <c r="V97" s="108"/>
      <c r="W97" s="108"/>
    </row>
    <row r="98" spans="1:23" x14ac:dyDescent="0.2">
      <c r="A98" s="980"/>
      <c r="B98" s="108"/>
      <c r="C98" s="108"/>
      <c r="D98" s="108"/>
      <c r="E98" s="108"/>
      <c r="F98" s="108"/>
      <c r="G98" s="108"/>
      <c r="H98" s="108"/>
      <c r="I98" s="108"/>
      <c r="J98" s="108"/>
      <c r="K98" s="108"/>
      <c r="L98" s="108"/>
      <c r="M98" s="108"/>
      <c r="N98" s="108"/>
      <c r="O98" s="108"/>
      <c r="P98" s="108"/>
      <c r="Q98" s="108"/>
      <c r="R98" s="108"/>
      <c r="S98" s="108"/>
      <c r="T98" s="108"/>
      <c r="V98" s="108"/>
      <c r="W98" s="108"/>
    </row>
    <row r="99" spans="1:23" x14ac:dyDescent="0.2">
      <c r="A99" s="980"/>
      <c r="B99" s="108"/>
      <c r="C99" s="108"/>
      <c r="D99" s="108"/>
      <c r="E99" s="108"/>
      <c r="F99" s="108"/>
      <c r="G99" s="108"/>
      <c r="H99" s="108"/>
      <c r="I99" s="108"/>
      <c r="J99" s="108"/>
      <c r="K99" s="108"/>
      <c r="L99" s="108"/>
      <c r="M99" s="108"/>
      <c r="N99" s="108"/>
      <c r="O99" s="108"/>
      <c r="P99" s="108"/>
      <c r="Q99" s="108"/>
      <c r="R99" s="108"/>
      <c r="S99" s="108"/>
      <c r="T99" s="108"/>
      <c r="V99" s="108"/>
      <c r="W99" s="108"/>
    </row>
    <row r="100" spans="1:23" x14ac:dyDescent="0.2">
      <c r="A100" s="980"/>
      <c r="B100" s="108"/>
      <c r="C100" s="108"/>
      <c r="D100" s="108"/>
      <c r="E100" s="108"/>
      <c r="F100" s="108"/>
      <c r="G100" s="108"/>
      <c r="H100" s="108"/>
      <c r="I100" s="108"/>
      <c r="J100" s="108"/>
      <c r="K100" s="108"/>
      <c r="L100" s="108"/>
      <c r="M100" s="108"/>
      <c r="N100" s="108"/>
      <c r="O100" s="108"/>
      <c r="P100" s="108"/>
      <c r="Q100" s="108"/>
      <c r="R100" s="108"/>
      <c r="S100" s="108"/>
      <c r="T100" s="108"/>
      <c r="V100" s="108"/>
      <c r="W100" s="108"/>
    </row>
    <row r="101" spans="1:23" x14ac:dyDescent="0.2">
      <c r="A101" s="980"/>
      <c r="B101" s="108"/>
      <c r="C101" s="108"/>
      <c r="D101" s="108"/>
      <c r="E101" s="108"/>
      <c r="F101" s="108"/>
      <c r="G101" s="108"/>
      <c r="H101" s="108"/>
      <c r="I101" s="108"/>
      <c r="J101" s="108"/>
      <c r="K101" s="108"/>
      <c r="L101" s="108"/>
      <c r="M101" s="108"/>
      <c r="N101" s="108"/>
      <c r="O101" s="108"/>
      <c r="P101" s="108"/>
      <c r="Q101" s="108"/>
      <c r="R101" s="108"/>
      <c r="S101" s="108"/>
      <c r="T101" s="108"/>
      <c r="V101" s="108"/>
      <c r="W101" s="108"/>
    </row>
    <row r="102" spans="1:23" x14ac:dyDescent="0.2">
      <c r="A102" s="980"/>
      <c r="B102" s="108"/>
      <c r="C102" s="108"/>
      <c r="D102" s="108"/>
      <c r="E102" s="108"/>
      <c r="F102" s="108"/>
      <c r="G102" s="108"/>
      <c r="H102" s="108"/>
      <c r="I102" s="108"/>
      <c r="J102" s="108"/>
      <c r="K102" s="108"/>
      <c r="L102" s="108"/>
      <c r="M102" s="108"/>
      <c r="N102" s="108"/>
      <c r="O102" s="108"/>
      <c r="P102" s="108"/>
      <c r="Q102" s="108"/>
      <c r="R102" s="108"/>
      <c r="S102" s="108"/>
      <c r="T102" s="108"/>
      <c r="V102" s="108"/>
      <c r="W102" s="108"/>
    </row>
    <row r="103" spans="1:23" x14ac:dyDescent="0.2">
      <c r="A103" s="980"/>
      <c r="B103" s="108"/>
      <c r="C103" s="108"/>
      <c r="D103" s="108"/>
      <c r="E103" s="108"/>
      <c r="F103" s="108"/>
      <c r="G103" s="108"/>
      <c r="H103" s="108"/>
      <c r="I103" s="108"/>
      <c r="J103" s="108"/>
      <c r="K103" s="108"/>
      <c r="L103" s="108"/>
      <c r="M103" s="108"/>
      <c r="N103" s="108"/>
      <c r="O103" s="108"/>
      <c r="P103" s="108"/>
      <c r="Q103" s="108"/>
      <c r="R103" s="108"/>
      <c r="S103" s="108"/>
      <c r="T103" s="108"/>
      <c r="V103" s="108"/>
      <c r="W103" s="108"/>
    </row>
    <row r="104" spans="1:23" x14ac:dyDescent="0.2">
      <c r="A104" s="980"/>
      <c r="B104" s="108"/>
      <c r="C104" s="108"/>
      <c r="D104" s="108"/>
      <c r="E104" s="108"/>
      <c r="F104" s="108"/>
      <c r="G104" s="108"/>
      <c r="H104" s="108"/>
      <c r="I104" s="108"/>
      <c r="J104" s="108"/>
      <c r="K104" s="108"/>
      <c r="L104" s="108"/>
      <c r="M104" s="108"/>
      <c r="N104" s="108"/>
      <c r="O104" s="108"/>
      <c r="P104" s="108"/>
      <c r="Q104" s="108"/>
      <c r="R104" s="108"/>
      <c r="S104" s="108"/>
      <c r="T104" s="108"/>
      <c r="V104" s="108"/>
      <c r="W104" s="108"/>
    </row>
    <row r="105" spans="1:23" x14ac:dyDescent="0.2">
      <c r="A105" s="980"/>
      <c r="B105" s="108"/>
      <c r="C105" s="108"/>
      <c r="D105" s="108"/>
      <c r="E105" s="108"/>
      <c r="F105" s="108"/>
      <c r="G105" s="108"/>
      <c r="H105" s="108"/>
      <c r="I105" s="108"/>
      <c r="J105" s="108"/>
      <c r="K105" s="108"/>
      <c r="L105" s="108"/>
      <c r="M105" s="108"/>
      <c r="N105" s="108"/>
      <c r="O105" s="108"/>
      <c r="P105" s="108"/>
      <c r="Q105" s="108"/>
      <c r="R105" s="108"/>
      <c r="S105" s="108"/>
      <c r="T105" s="108"/>
      <c r="V105" s="108"/>
      <c r="W105" s="108"/>
    </row>
    <row r="106" spans="1:23" x14ac:dyDescent="0.2">
      <c r="A106" s="980"/>
      <c r="B106" s="108"/>
      <c r="C106" s="108"/>
      <c r="D106" s="108"/>
      <c r="E106" s="108"/>
      <c r="F106" s="108"/>
      <c r="G106" s="108"/>
      <c r="H106" s="108"/>
      <c r="I106" s="108"/>
      <c r="J106" s="108"/>
      <c r="K106" s="108"/>
      <c r="L106" s="108"/>
      <c r="M106" s="108"/>
      <c r="N106" s="108"/>
      <c r="O106" s="108"/>
      <c r="P106" s="108"/>
      <c r="Q106" s="108"/>
      <c r="R106" s="108"/>
      <c r="S106" s="108"/>
      <c r="T106" s="108"/>
      <c r="V106" s="108"/>
      <c r="W106" s="108"/>
    </row>
    <row r="107" spans="1:23" x14ac:dyDescent="0.2">
      <c r="A107" s="980"/>
      <c r="B107" s="108"/>
      <c r="C107" s="108"/>
      <c r="D107" s="108"/>
      <c r="E107" s="108"/>
      <c r="F107" s="108"/>
      <c r="G107" s="108"/>
      <c r="H107" s="108"/>
      <c r="I107" s="108"/>
      <c r="J107" s="108"/>
      <c r="K107" s="108"/>
      <c r="L107" s="108"/>
      <c r="M107" s="108"/>
      <c r="N107" s="108"/>
      <c r="O107" s="108"/>
      <c r="P107" s="108"/>
      <c r="Q107" s="108"/>
      <c r="R107" s="108"/>
      <c r="S107" s="108"/>
      <c r="T107" s="108"/>
      <c r="V107" s="108"/>
      <c r="W107" s="108"/>
    </row>
    <row r="108" spans="1:23" x14ac:dyDescent="0.2">
      <c r="A108" s="980"/>
      <c r="B108" s="108"/>
      <c r="C108" s="108"/>
      <c r="D108" s="108"/>
      <c r="E108" s="108"/>
      <c r="F108" s="108"/>
      <c r="G108" s="108"/>
      <c r="H108" s="108"/>
      <c r="I108" s="108"/>
      <c r="J108" s="108"/>
      <c r="K108" s="108"/>
      <c r="L108" s="108"/>
      <c r="M108" s="108"/>
      <c r="N108" s="108"/>
      <c r="O108" s="108"/>
      <c r="P108" s="108"/>
      <c r="Q108" s="108"/>
      <c r="R108" s="108"/>
      <c r="S108" s="108"/>
      <c r="T108" s="108"/>
      <c r="V108" s="108"/>
      <c r="W108" s="108"/>
    </row>
    <row r="109" spans="1:23" x14ac:dyDescent="0.2">
      <c r="A109" s="980"/>
      <c r="B109" s="108"/>
      <c r="C109" s="108"/>
      <c r="D109" s="108"/>
      <c r="E109" s="108"/>
      <c r="F109" s="108"/>
      <c r="G109" s="108"/>
      <c r="H109" s="108"/>
      <c r="I109" s="108"/>
      <c r="J109" s="108"/>
      <c r="K109" s="108"/>
      <c r="L109" s="108"/>
      <c r="M109" s="108"/>
      <c r="N109" s="108"/>
      <c r="O109" s="108"/>
      <c r="P109" s="108"/>
      <c r="Q109" s="108"/>
      <c r="R109" s="108"/>
      <c r="S109" s="108"/>
      <c r="T109" s="108"/>
      <c r="V109" s="108"/>
      <c r="W109" s="108"/>
    </row>
    <row r="110" spans="1:23" x14ac:dyDescent="0.2">
      <c r="A110" s="980"/>
      <c r="B110" s="108"/>
      <c r="C110" s="108"/>
      <c r="D110" s="108"/>
      <c r="E110" s="108"/>
      <c r="F110" s="108"/>
      <c r="G110" s="108"/>
      <c r="H110" s="108"/>
      <c r="I110" s="108"/>
      <c r="J110" s="108"/>
      <c r="K110" s="108"/>
      <c r="L110" s="108"/>
      <c r="M110" s="108"/>
      <c r="N110" s="108"/>
      <c r="O110" s="108"/>
      <c r="P110" s="108"/>
      <c r="Q110" s="108"/>
      <c r="R110" s="108"/>
      <c r="S110" s="108"/>
      <c r="T110" s="108"/>
      <c r="V110" s="108"/>
      <c r="W110" s="108"/>
    </row>
  </sheetData>
  <sheetProtection algorithmName="SHA-512" hashValue="hBdFaVzEPIIhwnTnSEPTHmtmifbHtfy/Z2yb1AZN0E00+ZWAYlHCrbsyegwALkz8H2z7CWlKCMGZLGmIa+G+Pg==" saltValue="N+SLgHQOzf2fGG1lzKdXTw==" spinCount="100000" sheet="1" objects="1" scenarios="1"/>
  <mergeCells count="14">
    <mergeCell ref="A69:A110"/>
    <mergeCell ref="H85:I85"/>
    <mergeCell ref="M85:N85"/>
    <mergeCell ref="K23:L23"/>
    <mergeCell ref="B7:C7"/>
    <mergeCell ref="D7:E7"/>
    <mergeCell ref="B8:C8"/>
    <mergeCell ref="D8:E8"/>
    <mergeCell ref="B12:G16"/>
    <mergeCell ref="B23:C23"/>
    <mergeCell ref="E23:F23"/>
    <mergeCell ref="H23:I23"/>
    <mergeCell ref="B26:D26"/>
    <mergeCell ref="B27:D27"/>
  </mergeCells>
  <hyperlinks>
    <hyperlink ref="U6" location="HK!A70" tooltip=" " display="HK!A70" xr:uid="{01E97DF2-8193-4215-AE75-AAEF41135295}"/>
    <hyperlink ref="H85" location="Menu!A1" tooltip=" " display="Menu!A1" xr:uid="{12C976C5-99D3-41A5-9890-8BBDDCFE1E16}"/>
    <hyperlink ref="H85:I85" location="HK!A1" tooltip=" " display="HK!A1" xr:uid="{CB4500B8-601A-46B0-B6DA-0168129632F1}"/>
    <hyperlink ref="B23:C23" location="HKw!A1" tooltip=" " display="HKw!A1" xr:uid="{D604DEBB-893F-4327-AB61-D1D8A5B07E18}"/>
    <hyperlink ref="E23:F23" location="HKwa!A1" tooltip=" " display="HKwa!A1" xr:uid="{F925CC15-1D56-4205-ACF8-A99356493CD4}"/>
    <hyperlink ref="H23:I23" location="HKna!A1" tooltip=" " display="HKna!A1" xr:uid="{027AEABB-97BF-4797-A0CB-A48FE4490A01}"/>
    <hyperlink ref="K23:L23" location="HKt!A1" tooltip=" " display="HKt!A1" xr:uid="{DDD77B4A-A8C2-4339-ACC3-D21A6B759664}"/>
    <hyperlink ref="U10" location="SumAVS!A1" tooltip=" " display="SumAVS!A1" xr:uid="{FC0FC908-BD36-4E87-8B24-BC2F651125E0}"/>
    <hyperlink ref="U11" location="OrdAVS!A1" tooltip=" " display="OrdAVS!A1" xr:uid="{B4D23706-B3A3-403D-801E-B2DE3F7E9E37}"/>
    <hyperlink ref="U8" location="AcsAVS!A1" tooltip=" " display="AcsAVS!A1" xr:uid="{5C0DA15A-41D6-46B2-9562-1C1FB66328B2}"/>
    <hyperlink ref="U5" location="MenuAVS!A1" tooltip=" " display="MenuAVS!A1" xr:uid="{8FDBFE8F-A81A-413F-A60A-1100ACAC0622}"/>
  </hyperlinks>
  <pageMargins left="0.7" right="0.7" top="0.78740157499999996" bottom="0.78740157499999996" header="0.3" footer="0.3"/>
  <pageSetup paperSize="9" orientation="portrait" horizontalDpi="4294967293"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152577" r:id="rId4" name="Drop Down 1">
              <controlPr defaultSize="0" autoLine="0" autoPict="0">
                <anchor moveWithCells="1">
                  <from>
                    <xdr:col>3</xdr:col>
                    <xdr:colOff>266700</xdr:colOff>
                    <xdr:row>25</xdr:row>
                    <xdr:rowOff>0</xdr:rowOff>
                  </from>
                  <to>
                    <xdr:col>5</xdr:col>
                    <xdr:colOff>723900</xdr:colOff>
                    <xdr:row>26</xdr:row>
                    <xdr:rowOff>0</xdr:rowOff>
                  </to>
                </anchor>
              </controlPr>
            </control>
          </mc:Choice>
        </mc:AlternateContent>
        <mc:AlternateContent xmlns:mc="http://schemas.openxmlformats.org/markup-compatibility/2006">
          <mc:Choice Requires="x14">
            <control shapeId="152578" r:id="rId5" name="Drop Down 2">
              <controlPr defaultSize="0" autoLine="0" autoPict="0">
                <anchor moveWithCells="1">
                  <from>
                    <xdr:col>3</xdr:col>
                    <xdr:colOff>266700</xdr:colOff>
                    <xdr:row>26</xdr:row>
                    <xdr:rowOff>0</xdr:rowOff>
                  </from>
                  <to>
                    <xdr:col>5</xdr:col>
                    <xdr:colOff>723900</xdr:colOff>
                    <xdr:row>26</xdr:row>
                    <xdr:rowOff>200025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1AD37-814A-4A83-B38F-B4A61658D840}">
  <sheetPr codeName="Sheet13"/>
  <dimension ref="A1:AC110"/>
  <sheetViews>
    <sheetView showGridLines="0" showRowColHeaders="0" workbookViewId="0">
      <selection activeCell="U18" sqref="U18"/>
    </sheetView>
  </sheetViews>
  <sheetFormatPr defaultColWidth="8.7109375" defaultRowHeight="12" x14ac:dyDescent="0.2"/>
  <cols>
    <col min="1" max="1" width="2.7109375" style="36" customWidth="1"/>
    <col min="2" max="3" width="10.42578125" style="36" customWidth="1"/>
    <col min="4" max="4" width="3.7109375" style="36" customWidth="1"/>
    <col min="5" max="6" width="10.42578125" style="36" customWidth="1"/>
    <col min="7" max="7" width="3.7109375" style="36" customWidth="1"/>
    <col min="8" max="9" width="10.42578125" style="36" customWidth="1"/>
    <col min="10" max="10" width="3.7109375" style="36" customWidth="1"/>
    <col min="11" max="12" width="10.42578125" style="36" customWidth="1"/>
    <col min="13" max="19" width="8.28515625" style="36" hidden="1" customWidth="1"/>
    <col min="20" max="20" width="8.7109375" style="36"/>
    <col min="21" max="21" width="20.7109375" style="108" customWidth="1"/>
    <col min="22" max="16384" width="8.7109375" style="36"/>
  </cols>
  <sheetData>
    <row r="1" spans="1:23" x14ac:dyDescent="0.2">
      <c r="A1" s="108"/>
      <c r="B1" s="108"/>
      <c r="C1" s="108"/>
      <c r="D1" s="108"/>
      <c r="E1" s="108"/>
      <c r="F1" s="108"/>
      <c r="G1" s="108"/>
      <c r="H1" s="108"/>
      <c r="I1" s="108"/>
      <c r="J1" s="108"/>
      <c r="K1" s="108"/>
      <c r="L1" s="108"/>
      <c r="M1" s="108"/>
      <c r="N1" s="108"/>
      <c r="O1" s="108"/>
      <c r="P1" s="108"/>
      <c r="Q1" s="108"/>
      <c r="R1" s="108"/>
      <c r="S1" s="108"/>
      <c r="T1" s="108"/>
      <c r="V1" s="108"/>
      <c r="W1" s="108"/>
    </row>
    <row r="2" spans="1:23" ht="6" customHeight="1" thickBot="1" x14ac:dyDescent="0.25">
      <c r="A2" s="108"/>
      <c r="B2" s="303"/>
      <c r="C2" s="305"/>
      <c r="D2" s="303"/>
      <c r="E2" s="303"/>
      <c r="F2" s="303"/>
      <c r="G2" s="303"/>
      <c r="H2" s="303"/>
      <c r="I2" s="303"/>
      <c r="J2" s="303"/>
      <c r="K2" s="303"/>
      <c r="L2" s="303"/>
      <c r="M2" s="306"/>
      <c r="N2" s="108"/>
      <c r="O2" s="108"/>
      <c r="P2" s="108"/>
      <c r="Q2" s="108"/>
      <c r="R2" s="108"/>
      <c r="S2" s="108"/>
      <c r="T2" s="108"/>
      <c r="V2" s="108"/>
      <c r="W2" s="108"/>
    </row>
    <row r="3" spans="1:23" ht="18" customHeight="1" thickBot="1" x14ac:dyDescent="0.25">
      <c r="A3" s="108"/>
      <c r="B3" s="304" t="s">
        <v>20</v>
      </c>
      <c r="C3" s="305"/>
      <c r="D3" s="303"/>
      <c r="E3" s="303"/>
      <c r="F3" s="303"/>
      <c r="G3" s="303"/>
      <c r="H3" s="303"/>
      <c r="I3" s="303"/>
      <c r="J3" s="303"/>
      <c r="K3" s="303"/>
      <c r="L3" s="303"/>
      <c r="M3" s="306"/>
      <c r="N3" s="108"/>
      <c r="O3" s="108"/>
      <c r="P3" s="108"/>
      <c r="Q3" s="108"/>
      <c r="R3" s="108"/>
      <c r="S3" s="108"/>
      <c r="T3" s="108"/>
      <c r="U3" s="226" t="str">
        <f>ListAVS!$B$153</f>
        <v>Przejdź do</v>
      </c>
      <c r="V3" s="108"/>
      <c r="W3" s="108"/>
    </row>
    <row r="4" spans="1:23" ht="4.5" customHeight="1" x14ac:dyDescent="0.2">
      <c r="A4" s="108"/>
      <c r="B4" s="303"/>
      <c r="C4" s="303"/>
      <c r="D4" s="303"/>
      <c r="E4" s="303"/>
      <c r="F4" s="303"/>
      <c r="G4" s="303"/>
      <c r="H4" s="303"/>
      <c r="I4" s="303"/>
      <c r="J4" s="303"/>
      <c r="K4" s="303"/>
      <c r="L4" s="303"/>
      <c r="M4" s="306"/>
      <c r="N4" s="108"/>
      <c r="O4" s="108"/>
      <c r="P4" s="108"/>
      <c r="Q4" s="108"/>
      <c r="R4" s="108"/>
      <c r="S4" s="108"/>
      <c r="T4" s="108"/>
      <c r="V4" s="108"/>
      <c r="W4" s="108"/>
    </row>
    <row r="5" spans="1:23" ht="15" customHeight="1" thickBot="1" x14ac:dyDescent="0.25">
      <c r="A5" s="670"/>
      <c r="B5" s="670"/>
      <c r="C5" s="670"/>
      <c r="D5" s="670"/>
      <c r="E5" s="670"/>
      <c r="F5" s="670"/>
      <c r="G5" s="670"/>
      <c r="H5" s="670"/>
      <c r="I5" s="670"/>
      <c r="J5" s="670"/>
      <c r="K5" s="670"/>
      <c r="L5" s="670"/>
      <c r="M5" s="670"/>
      <c r="N5" s="670"/>
      <c r="O5" s="670"/>
      <c r="P5" s="670"/>
      <c r="Q5" s="670"/>
      <c r="R5" s="670"/>
      <c r="S5" s="670"/>
      <c r="T5" s="670"/>
      <c r="U5" s="383" t="str">
        <f>" "&amp;ListAVS!$B$154</f>
        <v xml:space="preserve"> Wprowadzenie do planowania</v>
      </c>
      <c r="V5" s="108"/>
      <c r="W5" s="108"/>
    </row>
    <row r="6" spans="1:23" ht="15" customHeight="1" x14ac:dyDescent="0.2">
      <c r="A6" s="670"/>
      <c r="B6" s="670"/>
      <c r="C6" s="670"/>
      <c r="D6" s="670"/>
      <c r="E6" s="670"/>
      <c r="F6" s="670"/>
      <c r="G6" s="670"/>
      <c r="H6" s="670"/>
      <c r="I6" s="670"/>
      <c r="J6" s="670"/>
      <c r="K6" s="670"/>
      <c r="L6" s="670"/>
      <c r="M6" s="670"/>
      <c r="N6" s="670"/>
      <c r="O6" s="670"/>
      <c r="P6" s="670"/>
      <c r="Q6" s="670"/>
      <c r="R6" s="670"/>
      <c r="S6" s="670"/>
      <c r="T6" s="670"/>
      <c r="U6" s="634" t="str">
        <f>" "&amp;ListAVS!$B$155</f>
        <v xml:space="preserve"> Pomoc</v>
      </c>
      <c r="V6" s="108"/>
      <c r="W6" s="108"/>
    </row>
    <row r="7" spans="1:23" ht="15" customHeight="1" x14ac:dyDescent="0.2">
      <c r="A7" s="670"/>
      <c r="B7" s="1036" t="str">
        <f>ListAVS!$B$74&amp;" (KB) "</f>
        <v xml:space="preserve">Szerokość korpusu (KB) </v>
      </c>
      <c r="C7" s="1036"/>
      <c r="D7" s="1037" t="str">
        <f>" "&amp;ListAVS!$B$171&amp;" 1800 mm *"</f>
        <v xml:space="preserve"> do 1800 mm *</v>
      </c>
      <c r="E7" s="1037"/>
      <c r="F7" s="670"/>
      <c r="G7" s="670"/>
      <c r="H7" s="670"/>
      <c r="I7" s="670"/>
      <c r="J7" s="670"/>
      <c r="K7" s="670"/>
      <c r="L7" s="670"/>
      <c r="M7" s="670"/>
      <c r="N7" s="670"/>
      <c r="O7" s="670"/>
      <c r="P7" s="670"/>
      <c r="Q7" s="670"/>
      <c r="R7" s="670"/>
      <c r="S7" s="670"/>
      <c r="T7" s="670"/>
      <c r="U7" s="891"/>
      <c r="V7" s="108"/>
      <c r="W7" s="108"/>
    </row>
    <row r="8" spans="1:23" ht="15" customHeight="1" x14ac:dyDescent="0.2">
      <c r="A8" s="670"/>
      <c r="B8" s="1036" t="str">
        <f>ListAVS!$B$75&amp;" (KH) "</f>
        <v xml:space="preserve">Wysokość korpusu (KH) </v>
      </c>
      <c r="C8" s="1036"/>
      <c r="D8" s="1037" t="s">
        <v>21</v>
      </c>
      <c r="E8" s="1037"/>
      <c r="F8" s="670"/>
      <c r="G8" s="670"/>
      <c r="H8" s="670"/>
      <c r="I8" s="670"/>
      <c r="J8" s="670"/>
      <c r="K8" s="670"/>
      <c r="L8" s="670"/>
      <c r="M8" s="670"/>
      <c r="N8" s="670"/>
      <c r="O8" s="670"/>
      <c r="P8" s="670"/>
      <c r="Q8" s="670"/>
      <c r="R8" s="670"/>
      <c r="S8" s="670"/>
      <c r="T8" s="670"/>
      <c r="U8" s="675" t="str">
        <f>" "&amp;ListAVS!$B$160</f>
        <v xml:space="preserve"> Dodatki</v>
      </c>
      <c r="V8" s="108"/>
      <c r="W8" s="108"/>
    </row>
    <row r="9" spans="1:23" ht="15" customHeight="1" x14ac:dyDescent="0.2">
      <c r="A9" s="670"/>
      <c r="B9" s="670"/>
      <c r="C9" s="670"/>
      <c r="D9" s="670"/>
      <c r="E9" s="670"/>
      <c r="F9" s="670"/>
      <c r="G9" s="670"/>
      <c r="H9" s="670"/>
      <c r="I9" s="670"/>
      <c r="J9" s="670"/>
      <c r="K9" s="670"/>
      <c r="L9" s="670"/>
      <c r="M9" s="670"/>
      <c r="N9" s="670"/>
      <c r="O9" s="670"/>
      <c r="P9" s="670"/>
      <c r="Q9" s="670"/>
      <c r="R9" s="670"/>
      <c r="S9" s="670"/>
      <c r="T9" s="670"/>
      <c r="U9" s="671"/>
      <c r="V9" s="108"/>
      <c r="W9" s="108"/>
    </row>
    <row r="10" spans="1:23" ht="15" customHeight="1" thickBot="1" x14ac:dyDescent="0.25">
      <c r="A10" s="670"/>
      <c r="B10" s="1020" t="str">
        <f>"* "&amp;ListAVS!$B$233</f>
        <v>* Wszystko zależy od współczynnika mocy</v>
      </c>
      <c r="C10" s="1020"/>
      <c r="D10" s="1020"/>
      <c r="E10" s="1020"/>
      <c r="F10" s="1020"/>
      <c r="G10" s="794"/>
      <c r="H10" s="670"/>
      <c r="I10" s="670"/>
      <c r="J10" s="670"/>
      <c r="K10" s="670"/>
      <c r="L10" s="670"/>
      <c r="M10" s="670"/>
      <c r="N10" s="670"/>
      <c r="O10" s="670"/>
      <c r="P10" s="670"/>
      <c r="Q10" s="670"/>
      <c r="R10" s="670"/>
      <c r="S10" s="670"/>
      <c r="T10" s="670"/>
      <c r="U10" s="383" t="str">
        <f>" "&amp;ListAVS!$B$157</f>
        <v xml:space="preserve"> Rodzaje korpusów</v>
      </c>
      <c r="V10" s="108"/>
      <c r="W10" s="108"/>
    </row>
    <row r="11" spans="1:23" ht="15" customHeight="1" thickBot="1" x14ac:dyDescent="0.25">
      <c r="A11" s="670"/>
      <c r="B11" s="1020"/>
      <c r="C11" s="1020"/>
      <c r="D11" s="1020"/>
      <c r="E11" s="1020"/>
      <c r="F11" s="1020"/>
      <c r="G11" s="794"/>
      <c r="H11" s="670"/>
      <c r="I11" s="670"/>
      <c r="J11" s="670"/>
      <c r="K11" s="670"/>
      <c r="L11" s="670"/>
      <c r="M11" s="670"/>
      <c r="N11" s="670"/>
      <c r="O11" s="670"/>
      <c r="P11" s="670"/>
      <c r="Q11" s="670"/>
      <c r="R11" s="670"/>
      <c r="S11" s="670"/>
      <c r="T11" s="670"/>
      <c r="U11" s="383" t="str">
        <f>" "&amp;ListAVS!$B$158</f>
        <v xml:space="preserve"> Zamówienie</v>
      </c>
      <c r="V11" s="108"/>
      <c r="W11" s="108"/>
    </row>
    <row r="12" spans="1:23" ht="15" customHeight="1" x14ac:dyDescent="0.2">
      <c r="A12" s="670"/>
      <c r="B12" s="1020"/>
      <c r="C12" s="1020"/>
      <c r="D12" s="1020"/>
      <c r="E12" s="1020"/>
      <c r="F12" s="1020"/>
      <c r="G12" s="794"/>
      <c r="H12" s="670"/>
      <c r="I12" s="670"/>
      <c r="J12" s="670"/>
      <c r="K12" s="670"/>
      <c r="L12" s="670"/>
      <c r="M12" s="670"/>
      <c r="N12" s="670"/>
      <c r="O12" s="670"/>
      <c r="P12" s="670"/>
      <c r="Q12" s="670"/>
      <c r="R12" s="670"/>
      <c r="S12" s="670"/>
      <c r="T12" s="670"/>
      <c r="U12" s="670"/>
      <c r="V12" s="108"/>
      <c r="W12" s="108"/>
    </row>
    <row r="13" spans="1:23" ht="15" customHeight="1" x14ac:dyDescent="0.2">
      <c r="A13" s="670"/>
      <c r="B13" s="794"/>
      <c r="C13" s="794"/>
      <c r="D13" s="794"/>
      <c r="E13" s="794"/>
      <c r="F13" s="794"/>
      <c r="G13" s="794"/>
      <c r="H13" s="670"/>
      <c r="I13" s="670"/>
      <c r="J13" s="670"/>
      <c r="K13" s="670"/>
      <c r="L13" s="670"/>
      <c r="M13" s="670"/>
      <c r="N13" s="670"/>
      <c r="O13" s="670"/>
      <c r="P13" s="670"/>
      <c r="Q13" s="670"/>
      <c r="R13" s="670"/>
      <c r="S13" s="670"/>
      <c r="T13" s="670"/>
      <c r="U13" s="670"/>
      <c r="V13" s="108"/>
      <c r="W13" s="108"/>
    </row>
    <row r="14" spans="1:23" ht="15" customHeight="1" x14ac:dyDescent="0.2">
      <c r="A14" s="670"/>
      <c r="B14" s="794"/>
      <c r="C14" s="794"/>
      <c r="D14" s="794"/>
      <c r="E14" s="794"/>
      <c r="F14" s="794"/>
      <c r="G14" s="794"/>
      <c r="H14" s="670"/>
      <c r="I14" s="670"/>
      <c r="J14" s="670"/>
      <c r="K14" s="670"/>
      <c r="L14" s="670"/>
      <c r="M14" s="670"/>
      <c r="N14" s="670"/>
      <c r="O14" s="670"/>
      <c r="P14" s="670"/>
      <c r="Q14" s="670"/>
      <c r="R14" s="670"/>
      <c r="S14" s="670"/>
      <c r="T14" s="670"/>
      <c r="U14" s="891"/>
      <c r="V14" s="108"/>
      <c r="W14" s="108"/>
    </row>
    <row r="15" spans="1:23" ht="15" customHeight="1" x14ac:dyDescent="0.2">
      <c r="A15" s="670"/>
      <c r="B15" s="794"/>
      <c r="C15" s="794"/>
      <c r="D15" s="794"/>
      <c r="E15" s="794"/>
      <c r="F15" s="794"/>
      <c r="G15" s="794"/>
      <c r="H15" s="670"/>
      <c r="I15" s="670"/>
      <c r="J15" s="670"/>
      <c r="K15" s="670"/>
      <c r="L15" s="670"/>
      <c r="M15" s="670"/>
      <c r="N15" s="670"/>
      <c r="O15" s="670"/>
      <c r="P15" s="670"/>
      <c r="Q15" s="670"/>
      <c r="R15" s="670"/>
      <c r="S15" s="670"/>
      <c r="T15" s="670"/>
      <c r="U15" s="671"/>
      <c r="V15" s="108"/>
      <c r="W15" s="108"/>
    </row>
    <row r="16" spans="1:23" ht="15" customHeight="1" x14ac:dyDescent="0.2">
      <c r="A16" s="670"/>
      <c r="B16" s="670"/>
      <c r="C16" s="670"/>
      <c r="D16" s="670"/>
      <c r="E16" s="670"/>
      <c r="F16" s="670"/>
      <c r="G16" s="670"/>
      <c r="H16" s="670"/>
      <c r="I16" s="670"/>
      <c r="J16" s="670"/>
      <c r="K16" s="670"/>
      <c r="L16" s="670"/>
      <c r="M16" s="670"/>
      <c r="N16" s="670"/>
      <c r="O16" s="670"/>
      <c r="P16" s="670"/>
      <c r="Q16" s="670"/>
      <c r="R16" s="670"/>
      <c r="S16" s="670"/>
      <c r="T16" s="670"/>
      <c r="V16" s="108"/>
      <c r="W16" s="108"/>
    </row>
    <row r="17" spans="1:23" ht="15" customHeight="1" x14ac:dyDescent="0.2">
      <c r="A17" s="670"/>
      <c r="B17" s="670"/>
      <c r="C17" s="670"/>
      <c r="D17" s="670"/>
      <c r="E17" s="670"/>
      <c r="F17" s="670"/>
      <c r="G17" s="670"/>
      <c r="H17" s="670"/>
      <c r="I17" s="670"/>
      <c r="J17" s="670"/>
      <c r="K17" s="670"/>
      <c r="L17" s="670"/>
      <c r="M17" s="670"/>
      <c r="N17" s="670"/>
      <c r="O17" s="670"/>
      <c r="P17" s="670"/>
      <c r="Q17" s="670"/>
      <c r="R17" s="670"/>
      <c r="S17" s="670"/>
      <c r="T17" s="670"/>
      <c r="V17" s="108"/>
      <c r="W17" s="108"/>
    </row>
    <row r="18" spans="1:23" ht="15" customHeight="1" x14ac:dyDescent="0.2">
      <c r="A18" s="670"/>
      <c r="B18" s="670"/>
      <c r="C18" s="670"/>
      <c r="D18" s="670"/>
      <c r="E18" s="670"/>
      <c r="F18" s="670"/>
      <c r="G18" s="670"/>
      <c r="H18" s="670"/>
      <c r="I18" s="670"/>
      <c r="J18" s="670"/>
      <c r="K18" s="670"/>
      <c r="L18" s="670"/>
      <c r="M18" s="670"/>
      <c r="N18" s="670"/>
      <c r="O18" s="670"/>
      <c r="P18" s="670"/>
      <c r="Q18" s="670"/>
      <c r="R18" s="670"/>
      <c r="S18" s="670"/>
      <c r="T18" s="670"/>
      <c r="V18" s="108"/>
      <c r="W18" s="108"/>
    </row>
    <row r="19" spans="1:23" ht="15" customHeight="1" x14ac:dyDescent="0.2">
      <c r="A19" s="670"/>
      <c r="B19" s="670"/>
      <c r="C19" s="670"/>
      <c r="D19" s="670"/>
      <c r="E19" s="670"/>
      <c r="F19" s="670"/>
      <c r="G19" s="670"/>
      <c r="H19" s="670"/>
      <c r="I19" s="670"/>
      <c r="J19" s="670"/>
      <c r="K19" s="670"/>
      <c r="L19" s="670"/>
      <c r="M19" s="670"/>
      <c r="N19" s="670"/>
      <c r="O19" s="670"/>
      <c r="P19" s="670"/>
      <c r="Q19" s="670"/>
      <c r="R19" s="670"/>
      <c r="S19" s="670"/>
      <c r="T19" s="670"/>
      <c r="V19" s="108"/>
      <c r="W19" s="108"/>
    </row>
    <row r="20" spans="1:23" ht="15" customHeight="1" x14ac:dyDescent="0.2">
      <c r="A20" s="670"/>
      <c r="B20" s="670"/>
      <c r="C20" s="670"/>
      <c r="D20" s="670"/>
      <c r="E20" s="670"/>
      <c r="F20" s="670"/>
      <c r="G20" s="670"/>
      <c r="H20" s="670"/>
      <c r="I20" s="670"/>
      <c r="J20" s="670"/>
      <c r="K20" s="670"/>
      <c r="L20" s="670"/>
      <c r="M20" s="670"/>
      <c r="N20" s="670"/>
      <c r="O20" s="670"/>
      <c r="P20" s="670"/>
      <c r="Q20" s="670"/>
      <c r="R20" s="670"/>
      <c r="S20" s="670"/>
      <c r="T20" s="670"/>
      <c r="V20" s="108"/>
      <c r="W20" s="108"/>
    </row>
    <row r="21" spans="1:23" ht="15" customHeight="1" x14ac:dyDescent="0.2">
      <c r="A21" s="670"/>
      <c r="B21" s="670"/>
      <c r="C21" s="670"/>
      <c r="D21" s="670"/>
      <c r="E21" s="670"/>
      <c r="F21" s="670"/>
      <c r="G21" s="670"/>
      <c r="H21" s="670"/>
      <c r="I21" s="670"/>
      <c r="J21" s="670"/>
      <c r="K21" s="670"/>
      <c r="L21" s="670"/>
      <c r="M21" s="670"/>
      <c r="N21" s="670"/>
      <c r="O21" s="670"/>
      <c r="P21" s="670"/>
      <c r="Q21" s="670"/>
      <c r="R21" s="670"/>
      <c r="S21" s="670"/>
      <c r="T21" s="670"/>
      <c r="V21" s="108"/>
      <c r="W21" s="108"/>
    </row>
    <row r="22" spans="1:23" ht="5.25" customHeight="1" x14ac:dyDescent="0.2">
      <c r="A22" s="670"/>
      <c r="B22" s="670"/>
      <c r="C22" s="670"/>
      <c r="D22" s="670"/>
      <c r="E22" s="670"/>
      <c r="F22" s="670"/>
      <c r="G22" s="670"/>
      <c r="H22" s="670"/>
      <c r="I22" s="670"/>
      <c r="J22" s="670"/>
      <c r="K22" s="670"/>
      <c r="L22" s="670"/>
      <c r="M22" s="670"/>
      <c r="N22" s="670"/>
      <c r="O22" s="670"/>
      <c r="P22" s="670"/>
      <c r="Q22" s="670"/>
      <c r="R22" s="670"/>
      <c r="S22" s="670"/>
      <c r="T22" s="670"/>
      <c r="U22" s="670"/>
      <c r="V22" s="108"/>
      <c r="W22" s="108"/>
    </row>
    <row r="23" spans="1:23" ht="15" customHeight="1" x14ac:dyDescent="0.2">
      <c r="A23" s="670"/>
      <c r="B23" s="1038" t="str">
        <f>ListAVS!$B$17</f>
        <v>Front drewniany</v>
      </c>
      <c r="C23" s="1038"/>
      <c r="D23" s="677"/>
      <c r="E23" s="1038" t="str">
        <f>ListAVS!$B$20</f>
        <v>Szeroka ramka aluminiowa</v>
      </c>
      <c r="F23" s="1038"/>
      <c r="G23" s="677"/>
      <c r="H23" s="1038" t="str">
        <f>ListAVS!$B$22</f>
        <v>Wąska ramka aluminiowa</v>
      </c>
      <c r="I23" s="1038"/>
      <c r="J23" s="677"/>
      <c r="K23" s="1038" t="str">
        <f>ListAVS!$B$23</f>
        <v>Cienkie materiały</v>
      </c>
      <c r="L23" s="1038"/>
      <c r="M23" s="670"/>
      <c r="N23" s="670"/>
      <c r="O23" s="670"/>
      <c r="P23" s="670"/>
      <c r="Q23" s="670"/>
      <c r="R23" s="670"/>
      <c r="S23" s="670"/>
      <c r="T23" s="670"/>
      <c r="U23" s="670"/>
      <c r="V23" s="108"/>
      <c r="W23" s="108"/>
    </row>
    <row r="24" spans="1:23" ht="12.75" x14ac:dyDescent="0.2">
      <c r="A24" s="670"/>
      <c r="B24" s="670"/>
      <c r="C24" s="670"/>
      <c r="D24" s="670"/>
      <c r="E24" s="670"/>
      <c r="F24" s="670"/>
      <c r="G24" s="670"/>
      <c r="H24" s="670"/>
      <c r="I24" s="670"/>
      <c r="J24" s="670"/>
      <c r="K24" s="670"/>
      <c r="L24" s="670"/>
      <c r="M24" s="670"/>
      <c r="N24" s="670"/>
      <c r="O24" s="670"/>
      <c r="P24" s="670"/>
      <c r="Q24" s="670"/>
      <c r="R24" s="670"/>
      <c r="S24" s="670"/>
      <c r="T24" s="670"/>
      <c r="U24" s="670"/>
      <c r="V24" s="108"/>
      <c r="W24" s="108"/>
    </row>
    <row r="25" spans="1:23" ht="12.75" x14ac:dyDescent="0.2">
      <c r="A25" s="670"/>
      <c r="B25" s="670"/>
      <c r="C25" s="670"/>
      <c r="D25" s="670"/>
      <c r="E25" s="670"/>
      <c r="F25" s="670"/>
      <c r="G25" s="670"/>
      <c r="H25" s="670"/>
      <c r="I25" s="670"/>
      <c r="J25" s="670"/>
      <c r="K25" s="670"/>
      <c r="L25" s="670"/>
      <c r="M25" s="670"/>
      <c r="N25" s="670"/>
      <c r="O25" s="670"/>
      <c r="P25" s="670"/>
      <c r="Q25" s="670"/>
      <c r="R25" s="670"/>
      <c r="S25" s="670"/>
      <c r="T25" s="670"/>
      <c r="U25" s="670"/>
      <c r="V25" s="108"/>
      <c r="W25" s="108"/>
    </row>
    <row r="26" spans="1:23" ht="15.75" customHeight="1" x14ac:dyDescent="0.2">
      <c r="A26" s="670"/>
      <c r="B26" s="1011" t="str">
        <f>ListAVS!$B$142&amp;" "</f>
        <v xml:space="preserve">Mocowanie frontu </v>
      </c>
      <c r="C26" s="1012"/>
      <c r="D26" s="1013"/>
      <c r="E26" s="269"/>
      <c r="F26" s="266"/>
      <c r="G26" s="670"/>
      <c r="H26" s="670"/>
      <c r="I26" s="670"/>
      <c r="J26" s="670"/>
      <c r="K26" s="670"/>
      <c r="L26" s="670"/>
      <c r="M26" s="670"/>
      <c r="N26" s="523">
        <v>1</v>
      </c>
      <c r="O26" s="670"/>
      <c r="P26" s="670"/>
      <c r="Q26" s="523">
        <v>2</v>
      </c>
      <c r="R26" s="670"/>
      <c r="S26" s="670"/>
      <c r="T26" s="670"/>
      <c r="U26" s="670"/>
      <c r="V26" s="108"/>
      <c r="W26" s="108"/>
    </row>
    <row r="27" spans="1:23" ht="12.75" x14ac:dyDescent="0.2">
      <c r="A27" s="670"/>
      <c r="B27" s="670"/>
      <c r="C27" s="670"/>
      <c r="D27" s="670"/>
      <c r="E27" s="670"/>
      <c r="F27" s="670"/>
      <c r="G27" s="670"/>
      <c r="H27" s="670"/>
      <c r="I27" s="670"/>
      <c r="J27" s="670"/>
      <c r="K27" s="670"/>
      <c r="L27" s="670"/>
      <c r="M27" s="670"/>
      <c r="N27" s="38" t="s">
        <v>13</v>
      </c>
      <c r="O27" s="670"/>
      <c r="P27" s="670"/>
      <c r="Q27" s="38" t="s">
        <v>6</v>
      </c>
      <c r="R27" s="670"/>
      <c r="S27" s="670"/>
      <c r="T27" s="670"/>
      <c r="U27" s="670"/>
      <c r="V27" s="108"/>
      <c r="W27" s="108"/>
    </row>
    <row r="28" spans="1:23" ht="13.5" customHeight="1" x14ac:dyDescent="0.2">
      <c r="A28" s="670"/>
      <c r="B28" s="227"/>
      <c r="C28" s="227"/>
      <c r="D28" s="227"/>
      <c r="E28" s="670"/>
      <c r="F28" s="670"/>
      <c r="G28" s="670"/>
      <c r="H28" s="670"/>
      <c r="I28" s="670"/>
      <c r="J28" s="670"/>
      <c r="K28" s="670"/>
      <c r="L28" s="670"/>
      <c r="M28" s="670"/>
      <c r="N28" s="248" t="s">
        <v>10</v>
      </c>
      <c r="O28" s="670"/>
      <c r="P28" s="670"/>
      <c r="Q28" s="255" t="str">
        <f>IF(MenuAVS!$P$28=3,ListAVS!$B146," ")</f>
        <v xml:space="preserve"> </v>
      </c>
      <c r="R28" s="670"/>
      <c r="S28" s="670"/>
      <c r="T28" s="670"/>
      <c r="U28" s="670"/>
      <c r="V28" s="108"/>
      <c r="W28" s="108"/>
    </row>
    <row r="29" spans="1:23" ht="16.5" customHeight="1" x14ac:dyDescent="0.2">
      <c r="A29" s="670"/>
      <c r="B29" s="794"/>
      <c r="C29" s="794"/>
      <c r="D29" s="794"/>
      <c r="E29" s="794"/>
      <c r="F29" s="794"/>
      <c r="G29" s="794"/>
      <c r="H29" s="670"/>
      <c r="I29" s="670"/>
      <c r="J29" s="670"/>
      <c r="K29" s="670"/>
      <c r="L29" s="670"/>
      <c r="M29" s="670"/>
      <c r="N29" s="248" t="str">
        <f>ListAVS!$B$144</f>
        <v>na wkręty</v>
      </c>
      <c r="O29" s="670"/>
      <c r="P29" s="670"/>
      <c r="Q29" s="255" t="str">
        <f>IF(MenuAVS!$P$28=3,ListAVS!$B148," ")</f>
        <v xml:space="preserve"> </v>
      </c>
      <c r="R29" s="670"/>
      <c r="S29" s="670"/>
      <c r="T29" s="670"/>
      <c r="U29" s="670"/>
      <c r="V29" s="108"/>
      <c r="W29" s="108"/>
    </row>
    <row r="30" spans="1:23" ht="12.75" x14ac:dyDescent="0.2">
      <c r="A30" s="108"/>
      <c r="B30" s="469"/>
      <c r="C30" s="469"/>
      <c r="D30" s="469"/>
      <c r="E30" s="469"/>
      <c r="F30" s="469"/>
      <c r="G30" s="469"/>
      <c r="H30" s="108"/>
      <c r="I30" s="108"/>
      <c r="J30" s="108"/>
      <c r="K30" s="108"/>
      <c r="L30" s="108"/>
      <c r="M30" s="108"/>
      <c r="N30" s="108"/>
      <c r="O30" s="108"/>
      <c r="P30" s="108"/>
      <c r="Q30" s="108"/>
      <c r="R30" s="108"/>
      <c r="S30" s="108"/>
      <c r="T30" s="108"/>
      <c r="U30" s="670"/>
      <c r="V30" s="108"/>
      <c r="W30" s="108"/>
    </row>
    <row r="31" spans="1:23" x14ac:dyDescent="0.2">
      <c r="A31" s="108"/>
      <c r="B31" s="469"/>
      <c r="C31" s="469"/>
      <c r="D31" s="469"/>
      <c r="E31" s="469"/>
      <c r="F31" s="469"/>
      <c r="G31" s="469"/>
      <c r="H31" s="108"/>
      <c r="I31" s="108"/>
      <c r="J31" s="108"/>
      <c r="K31" s="108"/>
      <c r="L31" s="108"/>
      <c r="M31" s="108"/>
      <c r="N31" s="108"/>
      <c r="O31" s="108"/>
      <c r="P31" s="108"/>
      <c r="Q31" s="108"/>
      <c r="R31" s="108"/>
      <c r="S31" s="108"/>
      <c r="T31" s="108"/>
      <c r="V31" s="108"/>
      <c r="W31" s="108"/>
    </row>
    <row r="32" spans="1:23" x14ac:dyDescent="0.2">
      <c r="A32" s="108"/>
      <c r="B32" s="108"/>
      <c r="C32" s="108"/>
      <c r="D32" s="108"/>
      <c r="E32" s="108"/>
      <c r="F32" s="108"/>
      <c r="G32" s="108"/>
      <c r="H32" s="108"/>
      <c r="I32" s="108"/>
      <c r="J32" s="108"/>
      <c r="K32" s="108"/>
      <c r="L32" s="108"/>
      <c r="M32" s="108"/>
      <c r="N32" s="108"/>
      <c r="O32" s="108"/>
      <c r="P32" s="108"/>
      <c r="Q32" s="108"/>
      <c r="R32" s="108"/>
      <c r="S32" s="108"/>
      <c r="T32" s="108"/>
      <c r="V32" s="108"/>
      <c r="W32" s="108"/>
    </row>
    <row r="33" spans="1:23" x14ac:dyDescent="0.2">
      <c r="A33" s="108"/>
      <c r="B33" s="108"/>
      <c r="C33" s="108"/>
      <c r="D33" s="108"/>
      <c r="E33" s="108"/>
      <c r="F33" s="108"/>
      <c r="G33" s="108"/>
      <c r="H33" s="108"/>
      <c r="I33" s="108"/>
      <c r="J33" s="108"/>
      <c r="K33" s="108"/>
      <c r="L33" s="108"/>
      <c r="M33" s="108"/>
      <c r="N33" s="108"/>
      <c r="O33" s="108"/>
      <c r="P33" s="108"/>
      <c r="Q33" s="108"/>
      <c r="R33" s="108"/>
      <c r="S33" s="108"/>
      <c r="T33" s="108"/>
      <c r="V33" s="108"/>
      <c r="W33" s="108"/>
    </row>
    <row r="34" spans="1:23" x14ac:dyDescent="0.2">
      <c r="A34" s="108"/>
      <c r="B34" s="108"/>
      <c r="C34" s="108"/>
      <c r="D34" s="108"/>
      <c r="E34" s="108"/>
      <c r="F34" s="108"/>
      <c r="G34" s="108"/>
      <c r="H34" s="108"/>
      <c r="I34" s="108"/>
      <c r="J34" s="108"/>
      <c r="K34" s="108"/>
      <c r="L34" s="108"/>
      <c r="M34" s="108"/>
      <c r="N34" s="108"/>
      <c r="O34" s="108"/>
      <c r="P34" s="108"/>
      <c r="Q34" s="108"/>
      <c r="R34" s="108"/>
      <c r="S34" s="108"/>
      <c r="T34" s="108"/>
      <c r="V34" s="108"/>
      <c r="W34" s="108"/>
    </row>
    <row r="35" spans="1:23" x14ac:dyDescent="0.2">
      <c r="A35" s="108"/>
      <c r="B35" s="108"/>
      <c r="C35" s="108"/>
      <c r="D35" s="108"/>
      <c r="E35" s="108"/>
      <c r="F35" s="108"/>
      <c r="G35" s="108"/>
      <c r="H35" s="108"/>
      <c r="I35" s="108"/>
      <c r="J35" s="108"/>
      <c r="K35" s="108"/>
      <c r="L35" s="108"/>
      <c r="M35" s="108"/>
      <c r="N35" s="108"/>
      <c r="O35" s="108"/>
      <c r="P35" s="108"/>
      <c r="Q35" s="108"/>
      <c r="R35" s="108"/>
      <c r="S35" s="108"/>
      <c r="T35" s="108"/>
      <c r="V35" s="108"/>
      <c r="W35" s="108"/>
    </row>
    <row r="36" spans="1:23" x14ac:dyDescent="0.2">
      <c r="A36" s="108"/>
      <c r="B36" s="108"/>
      <c r="C36" s="108"/>
      <c r="D36" s="108"/>
      <c r="E36" s="108"/>
      <c r="F36" s="108"/>
      <c r="G36" s="108"/>
      <c r="H36" s="108"/>
      <c r="I36" s="108"/>
      <c r="J36" s="108"/>
      <c r="K36" s="108"/>
      <c r="L36" s="108"/>
      <c r="M36" s="108"/>
      <c r="N36" s="108"/>
      <c r="O36" s="108"/>
      <c r="P36" s="108"/>
      <c r="Q36" s="108"/>
      <c r="R36" s="108"/>
      <c r="S36" s="108"/>
      <c r="T36" s="108"/>
      <c r="V36" s="108"/>
      <c r="W36" s="108"/>
    </row>
    <row r="37" spans="1:23" x14ac:dyDescent="0.2">
      <c r="A37" s="108"/>
      <c r="B37" s="108"/>
      <c r="C37" s="108"/>
      <c r="D37" s="108"/>
      <c r="E37" s="108"/>
      <c r="F37" s="108"/>
      <c r="G37" s="108"/>
      <c r="H37" s="108"/>
      <c r="I37" s="108"/>
      <c r="J37" s="108"/>
      <c r="K37" s="108"/>
      <c r="L37" s="108"/>
      <c r="M37" s="108"/>
      <c r="N37" s="108"/>
      <c r="O37" s="108"/>
      <c r="P37" s="108"/>
      <c r="Q37" s="108"/>
      <c r="R37" s="108"/>
      <c r="S37" s="108"/>
      <c r="T37" s="108"/>
      <c r="V37" s="108"/>
      <c r="W37" s="108"/>
    </row>
    <row r="38" spans="1:23" x14ac:dyDescent="0.2">
      <c r="A38" s="108"/>
      <c r="B38" s="108"/>
      <c r="C38" s="108"/>
      <c r="D38" s="108"/>
      <c r="E38" s="108"/>
      <c r="F38" s="108"/>
      <c r="G38" s="108"/>
      <c r="H38" s="108"/>
      <c r="I38" s="108"/>
      <c r="J38" s="108"/>
      <c r="K38" s="108"/>
      <c r="L38" s="108"/>
      <c r="M38" s="108"/>
      <c r="N38" s="108"/>
      <c r="O38" s="108"/>
      <c r="P38" s="108"/>
      <c r="Q38" s="108"/>
      <c r="R38" s="108"/>
      <c r="S38" s="108"/>
      <c r="T38" s="108"/>
      <c r="V38" s="108"/>
      <c r="W38" s="108"/>
    </row>
    <row r="39" spans="1:23" x14ac:dyDescent="0.2">
      <c r="A39" s="108"/>
      <c r="B39" s="108"/>
      <c r="C39" s="108"/>
      <c r="D39" s="108"/>
      <c r="E39" s="108"/>
      <c r="F39" s="108"/>
      <c r="G39" s="108"/>
      <c r="H39" s="108"/>
      <c r="I39" s="108"/>
      <c r="J39" s="108"/>
      <c r="K39" s="108"/>
      <c r="L39" s="108"/>
      <c r="M39" s="108"/>
      <c r="N39" s="108"/>
      <c r="O39" s="108"/>
      <c r="P39" s="108"/>
      <c r="Q39" s="108"/>
      <c r="R39" s="108"/>
      <c r="S39" s="108"/>
      <c r="T39" s="108"/>
      <c r="V39" s="108"/>
      <c r="W39" s="108"/>
    </row>
    <row r="40" spans="1:23" x14ac:dyDescent="0.2">
      <c r="A40" s="108"/>
      <c r="B40" s="108"/>
      <c r="C40" s="108"/>
      <c r="D40" s="108"/>
      <c r="E40" s="108"/>
      <c r="F40" s="108"/>
      <c r="G40" s="108"/>
      <c r="H40" s="108"/>
      <c r="I40" s="108"/>
      <c r="J40" s="108"/>
      <c r="K40" s="108"/>
      <c r="L40" s="108"/>
      <c r="M40" s="108"/>
      <c r="N40" s="108"/>
      <c r="O40" s="108"/>
      <c r="P40" s="108"/>
      <c r="Q40" s="108"/>
      <c r="R40" s="108"/>
      <c r="S40" s="108"/>
      <c r="T40" s="108"/>
      <c r="V40" s="108"/>
      <c r="W40" s="108"/>
    </row>
    <row r="41" spans="1:23" x14ac:dyDescent="0.2">
      <c r="A41" s="108"/>
      <c r="B41" s="108"/>
      <c r="C41" s="108"/>
      <c r="D41" s="108"/>
      <c r="E41" s="108"/>
      <c r="F41" s="108"/>
      <c r="G41" s="108"/>
      <c r="H41" s="108"/>
      <c r="I41" s="108"/>
      <c r="J41" s="108"/>
      <c r="K41" s="108"/>
      <c r="L41" s="108"/>
      <c r="M41" s="108"/>
      <c r="N41" s="108"/>
      <c r="O41" s="108"/>
      <c r="P41" s="108"/>
      <c r="Q41" s="108"/>
      <c r="R41" s="108"/>
      <c r="S41" s="108"/>
      <c r="T41" s="108"/>
      <c r="V41" s="108"/>
      <c r="W41" s="108"/>
    </row>
    <row r="42" spans="1:23" x14ac:dyDescent="0.2">
      <c r="A42" s="108"/>
      <c r="B42" s="108"/>
      <c r="C42" s="108"/>
      <c r="D42" s="108"/>
      <c r="E42" s="108"/>
      <c r="F42" s="108"/>
      <c r="G42" s="108"/>
      <c r="H42" s="108"/>
      <c r="I42" s="108"/>
      <c r="J42" s="108"/>
      <c r="K42" s="108"/>
      <c r="L42" s="108"/>
      <c r="M42" s="108"/>
      <c r="N42" s="108"/>
      <c r="O42" s="108"/>
      <c r="P42" s="108"/>
      <c r="Q42" s="108"/>
      <c r="R42" s="108"/>
      <c r="S42" s="108"/>
      <c r="T42" s="108"/>
      <c r="V42" s="108"/>
      <c r="W42" s="108"/>
    </row>
    <row r="43" spans="1:23" x14ac:dyDescent="0.2">
      <c r="A43" s="108"/>
      <c r="B43" s="108"/>
      <c r="C43" s="108"/>
      <c r="D43" s="108"/>
      <c r="E43" s="108"/>
      <c r="F43" s="108"/>
      <c r="G43" s="108"/>
      <c r="H43" s="108"/>
      <c r="I43" s="108"/>
      <c r="J43" s="108"/>
      <c r="K43" s="108"/>
      <c r="L43" s="108"/>
      <c r="M43" s="108"/>
      <c r="N43" s="108"/>
      <c r="O43" s="108"/>
      <c r="P43" s="108"/>
      <c r="Q43" s="108"/>
      <c r="R43" s="108"/>
      <c r="S43" s="108"/>
      <c r="T43" s="108"/>
      <c r="V43" s="108"/>
      <c r="W43" s="108"/>
    </row>
    <row r="44" spans="1:23" x14ac:dyDescent="0.2">
      <c r="A44" s="108"/>
      <c r="B44" s="108"/>
      <c r="C44" s="108"/>
      <c r="D44" s="108"/>
      <c r="E44" s="108"/>
      <c r="F44" s="108"/>
      <c r="G44" s="108"/>
      <c r="H44" s="108"/>
      <c r="I44" s="108"/>
      <c r="J44" s="108"/>
      <c r="K44" s="108"/>
      <c r="L44" s="108"/>
      <c r="M44" s="108"/>
      <c r="N44" s="108"/>
      <c r="O44" s="108"/>
      <c r="P44" s="108"/>
      <c r="Q44" s="108"/>
      <c r="R44" s="108"/>
      <c r="S44" s="108"/>
      <c r="T44" s="108"/>
      <c r="V44" s="108"/>
      <c r="W44" s="108"/>
    </row>
    <row r="45" spans="1:23" x14ac:dyDescent="0.2">
      <c r="A45" s="108"/>
      <c r="B45" s="108"/>
      <c r="C45" s="108"/>
      <c r="D45" s="108"/>
      <c r="E45" s="108"/>
      <c r="F45" s="108"/>
      <c r="G45" s="108"/>
      <c r="H45" s="108"/>
      <c r="I45" s="108"/>
      <c r="J45" s="108"/>
      <c r="K45" s="108"/>
      <c r="L45" s="108"/>
      <c r="M45" s="108"/>
      <c r="N45" s="108"/>
      <c r="O45" s="108"/>
      <c r="P45" s="108"/>
      <c r="Q45" s="108"/>
      <c r="R45" s="108"/>
      <c r="S45" s="108"/>
      <c r="T45" s="108"/>
      <c r="V45" s="108"/>
      <c r="W45" s="108"/>
    </row>
    <row r="46" spans="1:23" x14ac:dyDescent="0.2">
      <c r="A46" s="108"/>
      <c r="B46" s="108"/>
      <c r="C46" s="108"/>
      <c r="D46" s="108"/>
      <c r="E46" s="108"/>
      <c r="F46" s="108"/>
      <c r="G46" s="108"/>
      <c r="H46" s="108"/>
      <c r="I46" s="108"/>
      <c r="J46" s="108"/>
      <c r="K46" s="108"/>
      <c r="L46" s="108"/>
      <c r="M46" s="108"/>
      <c r="N46" s="108"/>
      <c r="O46" s="108"/>
      <c r="P46" s="108"/>
      <c r="Q46" s="108"/>
      <c r="R46" s="108"/>
      <c r="S46" s="108"/>
      <c r="T46" s="108"/>
      <c r="V46" s="108"/>
      <c r="W46" s="108"/>
    </row>
    <row r="47" spans="1:23" x14ac:dyDescent="0.2">
      <c r="A47" s="108"/>
      <c r="B47" s="108"/>
      <c r="C47" s="108"/>
      <c r="D47" s="108"/>
      <c r="E47" s="108"/>
      <c r="F47" s="108"/>
      <c r="G47" s="108"/>
      <c r="H47" s="108"/>
      <c r="I47" s="108"/>
      <c r="J47" s="108"/>
      <c r="K47" s="108"/>
      <c r="L47" s="108"/>
      <c r="M47" s="108"/>
      <c r="N47" s="108"/>
      <c r="O47" s="108"/>
      <c r="P47" s="108"/>
      <c r="Q47" s="108"/>
      <c r="R47" s="108"/>
      <c r="S47" s="108"/>
      <c r="T47" s="108"/>
      <c r="V47" s="108"/>
      <c r="W47" s="108"/>
    </row>
    <row r="48" spans="1:23" x14ac:dyDescent="0.2">
      <c r="A48" s="108"/>
      <c r="B48" s="108"/>
      <c r="C48" s="108"/>
      <c r="D48" s="108"/>
      <c r="E48" s="108"/>
      <c r="F48" s="108"/>
      <c r="G48" s="108"/>
      <c r="H48" s="108"/>
      <c r="I48" s="108"/>
      <c r="J48" s="108"/>
      <c r="K48" s="108"/>
      <c r="L48" s="108"/>
      <c r="M48" s="108"/>
      <c r="N48" s="108"/>
      <c r="O48" s="108"/>
      <c r="P48" s="108"/>
      <c r="Q48" s="108"/>
      <c r="R48" s="108"/>
      <c r="S48" s="108"/>
      <c r="T48" s="108"/>
      <c r="V48" s="108"/>
      <c r="W48" s="108"/>
    </row>
    <row r="49" spans="1:23" x14ac:dyDescent="0.2">
      <c r="A49" s="108"/>
      <c r="B49" s="108"/>
      <c r="C49" s="108"/>
      <c r="D49" s="108"/>
      <c r="E49" s="108"/>
      <c r="F49" s="108"/>
      <c r="G49" s="108"/>
      <c r="H49" s="108"/>
      <c r="I49" s="108"/>
      <c r="J49" s="108"/>
      <c r="K49" s="108"/>
      <c r="L49" s="108"/>
      <c r="M49" s="108"/>
      <c r="N49" s="108"/>
      <c r="O49" s="108"/>
      <c r="P49" s="108"/>
      <c r="Q49" s="108"/>
      <c r="R49" s="108"/>
      <c r="S49" s="108"/>
      <c r="T49" s="108"/>
      <c r="V49" s="108"/>
      <c r="W49" s="108"/>
    </row>
    <row r="50" spans="1:23" x14ac:dyDescent="0.2">
      <c r="A50" s="108"/>
      <c r="B50" s="108"/>
      <c r="C50" s="108"/>
      <c r="D50" s="108"/>
      <c r="E50" s="108"/>
      <c r="F50" s="108"/>
      <c r="G50" s="108"/>
      <c r="H50" s="108"/>
      <c r="I50" s="108"/>
      <c r="J50" s="108"/>
      <c r="K50" s="108"/>
      <c r="L50" s="108"/>
      <c r="M50" s="108"/>
      <c r="N50" s="108"/>
      <c r="O50" s="108"/>
      <c r="P50" s="108"/>
      <c r="Q50" s="108"/>
      <c r="R50" s="108"/>
      <c r="S50" s="108"/>
      <c r="T50" s="108"/>
      <c r="V50" s="108"/>
      <c r="W50" s="108"/>
    </row>
    <row r="51" spans="1:23" x14ac:dyDescent="0.2">
      <c r="A51" s="108"/>
      <c r="B51" s="108"/>
      <c r="C51" s="108"/>
      <c r="D51" s="108"/>
      <c r="E51" s="108"/>
      <c r="F51" s="108"/>
      <c r="G51" s="108"/>
      <c r="H51" s="108"/>
      <c r="I51" s="108"/>
      <c r="J51" s="108"/>
      <c r="K51" s="108"/>
      <c r="L51" s="108"/>
      <c r="M51" s="108"/>
      <c r="N51" s="108"/>
      <c r="O51" s="108"/>
      <c r="P51" s="108"/>
      <c r="Q51" s="108"/>
      <c r="R51" s="108"/>
      <c r="S51" s="108"/>
      <c r="T51" s="108"/>
      <c r="V51" s="108"/>
      <c r="W51" s="108"/>
    </row>
    <row r="52" spans="1:23" x14ac:dyDescent="0.2">
      <c r="A52" s="108"/>
      <c r="B52" s="108"/>
      <c r="C52" s="108"/>
      <c r="D52" s="108"/>
      <c r="E52" s="108"/>
      <c r="F52" s="108"/>
      <c r="G52" s="108"/>
      <c r="H52" s="108"/>
      <c r="I52" s="108"/>
      <c r="J52" s="108"/>
      <c r="K52" s="108"/>
      <c r="L52" s="108"/>
      <c r="M52" s="108"/>
      <c r="N52" s="108"/>
      <c r="O52" s="108"/>
      <c r="P52" s="108"/>
      <c r="Q52" s="108"/>
      <c r="R52" s="108"/>
      <c r="S52" s="108"/>
      <c r="T52" s="108"/>
      <c r="V52" s="108"/>
      <c r="W52" s="108"/>
    </row>
    <row r="53" spans="1:23" x14ac:dyDescent="0.2">
      <c r="A53" s="108"/>
      <c r="B53" s="108"/>
      <c r="C53" s="108"/>
      <c r="D53" s="108"/>
      <c r="E53" s="108"/>
      <c r="F53" s="108"/>
      <c r="G53" s="108"/>
      <c r="H53" s="108"/>
      <c r="I53" s="108"/>
      <c r="J53" s="108"/>
      <c r="K53" s="108"/>
      <c r="L53" s="108"/>
      <c r="M53" s="108"/>
      <c r="N53" s="108"/>
      <c r="O53" s="108"/>
      <c r="P53" s="108"/>
      <c r="Q53" s="108"/>
      <c r="R53" s="108"/>
      <c r="S53" s="108"/>
      <c r="T53" s="108"/>
      <c r="V53" s="108"/>
      <c r="W53" s="108"/>
    </row>
    <row r="54" spans="1:23" x14ac:dyDescent="0.2">
      <c r="A54" s="108"/>
      <c r="B54" s="108"/>
      <c r="C54" s="108"/>
      <c r="D54" s="108"/>
      <c r="E54" s="108"/>
      <c r="F54" s="108"/>
      <c r="G54" s="108"/>
      <c r="H54" s="108"/>
      <c r="I54" s="108"/>
      <c r="J54" s="108"/>
      <c r="K54" s="108"/>
      <c r="L54" s="108"/>
      <c r="M54" s="108"/>
      <c r="N54" s="108"/>
      <c r="O54" s="108"/>
      <c r="P54" s="108"/>
      <c r="Q54" s="108"/>
      <c r="R54" s="108"/>
      <c r="S54" s="108"/>
      <c r="T54" s="108"/>
      <c r="V54" s="108"/>
      <c r="W54" s="108"/>
    </row>
    <row r="55" spans="1:23" x14ac:dyDescent="0.2">
      <c r="A55" s="108"/>
      <c r="B55" s="108"/>
      <c r="C55" s="108"/>
      <c r="D55" s="108"/>
      <c r="E55" s="108"/>
      <c r="F55" s="108"/>
      <c r="G55" s="108"/>
      <c r="H55" s="108"/>
      <c r="I55" s="108"/>
      <c r="J55" s="108"/>
      <c r="K55" s="108"/>
      <c r="L55" s="108"/>
      <c r="M55" s="108"/>
      <c r="N55" s="108"/>
      <c r="O55" s="108"/>
      <c r="P55" s="108"/>
      <c r="Q55" s="108"/>
      <c r="R55" s="108"/>
      <c r="S55" s="108"/>
      <c r="T55" s="108"/>
      <c r="V55" s="108"/>
      <c r="W55" s="108"/>
    </row>
    <row r="56" spans="1:23" x14ac:dyDescent="0.2">
      <c r="A56" s="108"/>
      <c r="B56" s="108"/>
      <c r="C56" s="108"/>
      <c r="D56" s="108"/>
      <c r="E56" s="108"/>
      <c r="F56" s="108"/>
      <c r="G56" s="108"/>
      <c r="H56" s="108"/>
      <c r="I56" s="108"/>
      <c r="J56" s="108"/>
      <c r="K56" s="108"/>
      <c r="L56" s="108"/>
      <c r="M56" s="108"/>
      <c r="N56" s="108"/>
      <c r="O56" s="108"/>
      <c r="P56" s="108"/>
      <c r="Q56" s="108"/>
      <c r="R56" s="108"/>
      <c r="S56" s="108"/>
      <c r="T56" s="108"/>
      <c r="V56" s="108"/>
      <c r="W56" s="108"/>
    </row>
    <row r="57" spans="1:23" x14ac:dyDescent="0.2">
      <c r="A57" s="108"/>
      <c r="B57" s="108"/>
      <c r="C57" s="108"/>
      <c r="D57" s="108"/>
      <c r="E57" s="108"/>
      <c r="F57" s="108"/>
      <c r="G57" s="108"/>
      <c r="H57" s="108"/>
      <c r="I57" s="108"/>
      <c r="J57" s="108"/>
      <c r="K57" s="108"/>
      <c r="L57" s="108"/>
      <c r="M57" s="108"/>
      <c r="N57" s="108"/>
      <c r="O57" s="108"/>
      <c r="P57" s="108"/>
      <c r="Q57" s="108"/>
      <c r="R57" s="108"/>
      <c r="S57" s="108"/>
      <c r="T57" s="108"/>
      <c r="V57" s="108"/>
      <c r="W57" s="108"/>
    </row>
    <row r="58" spans="1:23" x14ac:dyDescent="0.2">
      <c r="A58" s="108"/>
      <c r="B58" s="108"/>
      <c r="C58" s="108"/>
      <c r="D58" s="108"/>
      <c r="E58" s="108"/>
      <c r="F58" s="108"/>
      <c r="G58" s="108"/>
      <c r="H58" s="108"/>
      <c r="I58" s="108"/>
      <c r="J58" s="108"/>
      <c r="K58" s="108"/>
      <c r="L58" s="108"/>
      <c r="M58" s="108"/>
      <c r="N58" s="108"/>
      <c r="O58" s="108"/>
      <c r="P58" s="108"/>
      <c r="Q58" s="108"/>
      <c r="R58" s="108"/>
      <c r="S58" s="108"/>
      <c r="T58" s="108"/>
      <c r="V58" s="108"/>
      <c r="W58" s="108"/>
    </row>
    <row r="59" spans="1:23" x14ac:dyDescent="0.2">
      <c r="A59" s="108"/>
      <c r="B59" s="108"/>
      <c r="C59" s="108"/>
      <c r="D59" s="108"/>
      <c r="E59" s="108"/>
      <c r="F59" s="108"/>
      <c r="G59" s="108"/>
      <c r="H59" s="108"/>
      <c r="I59" s="108"/>
      <c r="J59" s="108"/>
      <c r="K59" s="108"/>
      <c r="L59" s="108"/>
      <c r="M59" s="108"/>
      <c r="N59" s="108"/>
      <c r="O59" s="108"/>
      <c r="P59" s="108"/>
      <c r="Q59" s="108"/>
      <c r="R59" s="108"/>
      <c r="S59" s="108"/>
      <c r="T59" s="108"/>
      <c r="V59" s="108"/>
      <c r="W59" s="108"/>
    </row>
    <row r="60" spans="1:23" x14ac:dyDescent="0.2">
      <c r="A60" s="108"/>
      <c r="B60" s="108"/>
      <c r="C60" s="108"/>
      <c r="D60" s="108"/>
      <c r="E60" s="108"/>
      <c r="F60" s="108"/>
      <c r="G60" s="108"/>
      <c r="H60" s="108"/>
      <c r="I60" s="108"/>
      <c r="J60" s="108"/>
      <c r="K60" s="108"/>
      <c r="L60" s="108"/>
      <c r="M60" s="108"/>
      <c r="N60" s="108"/>
      <c r="O60" s="108"/>
      <c r="P60" s="108"/>
      <c r="Q60" s="108"/>
      <c r="R60" s="108"/>
      <c r="S60" s="108"/>
      <c r="T60" s="108"/>
      <c r="V60" s="108"/>
      <c r="W60" s="108"/>
    </row>
    <row r="61" spans="1:23" x14ac:dyDescent="0.2">
      <c r="A61" s="108"/>
      <c r="B61" s="108"/>
      <c r="C61" s="108"/>
      <c r="D61" s="108"/>
      <c r="E61" s="108"/>
      <c r="F61" s="108"/>
      <c r="G61" s="108"/>
      <c r="H61" s="108"/>
      <c r="I61" s="108"/>
      <c r="J61" s="108"/>
      <c r="K61" s="108"/>
      <c r="L61" s="108"/>
      <c r="M61" s="108"/>
      <c r="N61" s="108"/>
      <c r="O61" s="108"/>
      <c r="P61" s="108"/>
      <c r="Q61" s="108"/>
      <c r="R61" s="108"/>
      <c r="S61" s="108"/>
      <c r="T61" s="108"/>
      <c r="V61" s="108"/>
      <c r="W61" s="108"/>
    </row>
    <row r="62" spans="1:23" x14ac:dyDescent="0.2">
      <c r="A62" s="108"/>
      <c r="B62" s="108"/>
      <c r="C62" s="108"/>
      <c r="D62" s="108"/>
      <c r="E62" s="108"/>
      <c r="F62" s="108"/>
      <c r="G62" s="108"/>
      <c r="H62" s="108"/>
      <c r="I62" s="108"/>
      <c r="J62" s="108"/>
      <c r="K62" s="108"/>
      <c r="L62" s="108"/>
      <c r="M62" s="108"/>
      <c r="N62" s="108"/>
      <c r="O62" s="108"/>
      <c r="P62" s="108"/>
      <c r="Q62" s="108"/>
      <c r="R62" s="108"/>
      <c r="S62" s="108"/>
      <c r="T62" s="108"/>
      <c r="V62" s="108"/>
      <c r="W62" s="108"/>
    </row>
    <row r="63" spans="1:23" x14ac:dyDescent="0.2">
      <c r="A63" s="108"/>
      <c r="B63" s="108"/>
      <c r="C63" s="108"/>
      <c r="D63" s="108"/>
      <c r="E63" s="108"/>
      <c r="F63" s="108"/>
      <c r="G63" s="108"/>
      <c r="H63" s="108"/>
      <c r="I63" s="108"/>
      <c r="J63" s="108"/>
      <c r="K63" s="108"/>
      <c r="L63" s="108"/>
      <c r="M63" s="108"/>
      <c r="N63" s="108"/>
      <c r="O63" s="108"/>
      <c r="P63" s="108"/>
      <c r="Q63" s="108"/>
      <c r="R63" s="108"/>
      <c r="S63" s="108"/>
      <c r="T63" s="108"/>
      <c r="V63" s="108"/>
      <c r="W63" s="108"/>
    </row>
    <row r="64" spans="1:23" x14ac:dyDescent="0.2">
      <c r="A64" s="108"/>
      <c r="B64" s="108"/>
      <c r="C64" s="108"/>
      <c r="D64" s="108"/>
      <c r="E64" s="108"/>
      <c r="F64" s="108"/>
      <c r="G64" s="108"/>
      <c r="H64" s="108"/>
      <c r="I64" s="108"/>
      <c r="J64" s="108"/>
      <c r="K64" s="108"/>
      <c r="L64" s="108"/>
      <c r="M64" s="108"/>
      <c r="N64" s="108"/>
      <c r="O64" s="108"/>
      <c r="P64" s="108"/>
      <c r="Q64" s="108"/>
      <c r="R64" s="108"/>
      <c r="S64" s="108"/>
      <c r="T64" s="108"/>
      <c r="V64" s="108"/>
      <c r="W64" s="108"/>
    </row>
    <row r="65" spans="1:29" x14ac:dyDescent="0.2">
      <c r="A65" s="108"/>
      <c r="B65" s="108"/>
      <c r="C65" s="108"/>
      <c r="D65" s="108"/>
      <c r="E65" s="108"/>
      <c r="F65" s="108"/>
      <c r="G65" s="108"/>
      <c r="H65" s="108"/>
      <c r="I65" s="108"/>
      <c r="J65" s="108"/>
      <c r="K65" s="108"/>
      <c r="L65" s="108"/>
      <c r="M65" s="108"/>
      <c r="N65" s="108"/>
      <c r="O65" s="108"/>
      <c r="P65" s="108"/>
      <c r="Q65" s="108"/>
      <c r="R65" s="108"/>
      <c r="S65" s="108"/>
      <c r="T65" s="108"/>
      <c r="V65" s="108"/>
      <c r="W65" s="108"/>
    </row>
    <row r="66" spans="1:29" x14ac:dyDescent="0.2">
      <c r="A66" s="108"/>
      <c r="B66" s="108"/>
      <c r="C66" s="108"/>
      <c r="D66" s="108"/>
      <c r="E66" s="108"/>
      <c r="F66" s="108"/>
      <c r="G66" s="108"/>
      <c r="H66" s="108"/>
      <c r="I66" s="108"/>
      <c r="J66" s="108"/>
      <c r="K66" s="108"/>
      <c r="L66" s="108"/>
      <c r="M66" s="108"/>
      <c r="N66" s="108"/>
      <c r="O66" s="108"/>
      <c r="P66" s="108"/>
      <c r="Q66" s="108"/>
      <c r="R66" s="108"/>
      <c r="S66" s="108"/>
      <c r="T66" s="108"/>
      <c r="V66" s="108"/>
      <c r="W66" s="108"/>
    </row>
    <row r="67" spans="1:29" x14ac:dyDescent="0.2">
      <c r="A67" s="108"/>
      <c r="B67" s="108"/>
      <c r="C67" s="108"/>
      <c r="D67" s="108"/>
      <c r="E67" s="108"/>
      <c r="F67" s="108"/>
      <c r="G67" s="108"/>
      <c r="H67" s="108"/>
      <c r="I67" s="108"/>
      <c r="J67" s="108"/>
      <c r="K67" s="108"/>
      <c r="L67" s="108"/>
      <c r="M67" s="108"/>
      <c r="N67" s="108"/>
      <c r="O67" s="108"/>
      <c r="P67" s="108"/>
      <c r="Q67" s="108"/>
      <c r="R67" s="108"/>
      <c r="S67" s="108"/>
      <c r="T67" s="108"/>
      <c r="V67" s="108"/>
      <c r="W67" s="108"/>
    </row>
    <row r="68" spans="1:29" x14ac:dyDescent="0.2">
      <c r="A68" s="108"/>
      <c r="B68" s="108"/>
      <c r="C68" s="108"/>
      <c r="D68" s="108"/>
      <c r="E68" s="108"/>
      <c r="F68" s="108"/>
      <c r="G68" s="108"/>
      <c r="H68" s="108"/>
      <c r="I68" s="108"/>
      <c r="J68" s="108"/>
      <c r="K68" s="108"/>
      <c r="L68" s="108"/>
      <c r="M68" s="108"/>
      <c r="N68" s="108"/>
      <c r="O68" s="108"/>
      <c r="P68" s="108"/>
      <c r="Q68" s="108"/>
      <c r="R68" s="108"/>
      <c r="S68" s="108"/>
      <c r="T68" s="108"/>
      <c r="V68" s="108"/>
      <c r="W68" s="108"/>
    </row>
    <row r="69" spans="1:29" s="607" customFormat="1" ht="15" customHeight="1" x14ac:dyDescent="0.2">
      <c r="A69" s="980"/>
      <c r="B69" s="670"/>
      <c r="C69" s="670"/>
      <c r="D69" s="670"/>
      <c r="E69" s="670"/>
      <c r="F69" s="670"/>
      <c r="G69" s="670"/>
      <c r="H69" s="670"/>
      <c r="I69" s="670"/>
      <c r="J69" s="670"/>
      <c r="K69" s="670"/>
      <c r="L69" s="670"/>
      <c r="M69" s="670"/>
      <c r="N69" s="670"/>
      <c r="O69" s="670"/>
      <c r="P69" s="670"/>
      <c r="Q69" s="670"/>
      <c r="R69" s="670"/>
      <c r="S69" s="670"/>
      <c r="T69" s="670"/>
      <c r="U69" s="108"/>
      <c r="V69" s="670"/>
      <c r="W69" s="670"/>
      <c r="X69" s="825"/>
      <c r="Y69" s="825"/>
      <c r="Z69" s="825"/>
      <c r="AA69" s="825"/>
      <c r="AB69" s="825"/>
      <c r="AC69" s="825"/>
    </row>
    <row r="70" spans="1:29" s="253" customFormat="1" ht="15" customHeight="1" x14ac:dyDescent="0.2">
      <c r="A70" s="980"/>
      <c r="B70" s="266"/>
      <c r="C70" s="609" t="s">
        <v>22</v>
      </c>
      <c r="D70" s="609"/>
      <c r="E70" s="609"/>
      <c r="F70" s="609"/>
      <c r="G70" s="609"/>
      <c r="H70" s="609"/>
      <c r="I70" s="609"/>
      <c r="J70" s="609"/>
      <c r="K70" s="609"/>
      <c r="L70" s="609"/>
      <c r="M70" s="609"/>
      <c r="N70" s="609"/>
      <c r="O70" s="609"/>
      <c r="P70" s="255"/>
      <c r="Q70" s="255"/>
      <c r="R70" s="248"/>
      <c r="S70" s="255"/>
      <c r="T70" s="248"/>
      <c r="U70" s="670"/>
      <c r="V70" s="255"/>
      <c r="W70" s="255"/>
      <c r="X70" s="255"/>
      <c r="Y70" s="255"/>
      <c r="Z70" s="255"/>
      <c r="AA70" s="825"/>
      <c r="AB70" s="825"/>
      <c r="AC70" s="825"/>
    </row>
    <row r="71" spans="1:29" s="253" customFormat="1" ht="15" customHeight="1" x14ac:dyDescent="0.2">
      <c r="A71" s="980"/>
      <c r="B71" s="266"/>
      <c r="C71" s="313"/>
      <c r="D71" s="313"/>
      <c r="E71" s="313"/>
      <c r="F71" s="313"/>
      <c r="G71" s="313"/>
      <c r="H71" s="313"/>
      <c r="I71" s="313"/>
      <c r="J71" s="313"/>
      <c r="K71" s="313"/>
      <c r="L71" s="313"/>
      <c r="M71" s="313"/>
      <c r="N71" s="313"/>
      <c r="O71" s="313"/>
      <c r="P71" s="255"/>
      <c r="Q71" s="255"/>
      <c r="R71" s="248"/>
      <c r="S71" s="255"/>
      <c r="T71" s="248"/>
      <c r="U71" s="255"/>
      <c r="V71" s="255"/>
      <c r="W71" s="255"/>
      <c r="X71" s="255"/>
      <c r="Y71" s="255"/>
      <c r="Z71" s="255"/>
      <c r="AA71" s="825"/>
      <c r="AB71" s="825"/>
      <c r="AC71" s="825"/>
    </row>
    <row r="72" spans="1:29" s="607" customFormat="1" ht="15" customHeight="1" x14ac:dyDescent="0.2">
      <c r="A72" s="980"/>
      <c r="B72" s="670"/>
      <c r="C72" s="670"/>
      <c r="D72" s="670"/>
      <c r="E72" s="670"/>
      <c r="F72" s="670"/>
      <c r="G72" s="670"/>
      <c r="H72" s="670"/>
      <c r="I72" s="670"/>
      <c r="J72" s="670"/>
      <c r="K72" s="670"/>
      <c r="L72" s="670"/>
      <c r="M72" s="670"/>
      <c r="N72" s="670"/>
      <c r="O72" s="670"/>
      <c r="P72" s="670"/>
      <c r="Q72" s="670"/>
      <c r="R72" s="670"/>
      <c r="S72" s="670"/>
      <c r="T72" s="670"/>
      <c r="U72" s="255"/>
      <c r="V72" s="670"/>
      <c r="W72" s="670"/>
      <c r="X72" s="825"/>
      <c r="Y72" s="825"/>
      <c r="Z72" s="825"/>
      <c r="AA72" s="825"/>
      <c r="AB72" s="825"/>
      <c r="AC72" s="825"/>
    </row>
    <row r="73" spans="1:29" s="607" customFormat="1" ht="15" customHeight="1" x14ac:dyDescent="0.2">
      <c r="A73" s="980"/>
      <c r="B73" s="670"/>
      <c r="C73" s="670" t="str">
        <f>ListAVS!$B$332</f>
        <v>Wybierz dogodną technikę montażu mocowania frontu</v>
      </c>
      <c r="D73" s="670"/>
      <c r="E73" s="670"/>
      <c r="F73" s="670"/>
      <c r="G73" s="670"/>
      <c r="H73" s="670"/>
      <c r="I73" s="670"/>
      <c r="J73" s="670"/>
      <c r="K73" s="670"/>
      <c r="L73" s="670"/>
      <c r="M73" s="670"/>
      <c r="N73" s="670"/>
      <c r="O73" s="670"/>
      <c r="P73" s="670"/>
      <c r="Q73" s="670"/>
      <c r="R73" s="670"/>
      <c r="S73" s="670"/>
      <c r="T73" s="670"/>
      <c r="U73" s="670"/>
      <c r="V73" s="670"/>
      <c r="W73" s="670"/>
      <c r="X73" s="825"/>
      <c r="Y73" s="825"/>
      <c r="Z73" s="825"/>
      <c r="AA73" s="825"/>
      <c r="AB73" s="825"/>
      <c r="AC73" s="825"/>
    </row>
    <row r="74" spans="1:29" s="607" customFormat="1" ht="15" customHeight="1" x14ac:dyDescent="0.2">
      <c r="A74" s="980"/>
      <c r="B74" s="670"/>
      <c r="C74" s="670"/>
      <c r="D74" s="670"/>
      <c r="E74" s="670"/>
      <c r="F74" s="670"/>
      <c r="G74" s="670"/>
      <c r="H74" s="670"/>
      <c r="I74" s="670"/>
      <c r="J74" s="670"/>
      <c r="K74" s="670"/>
      <c r="L74" s="670"/>
      <c r="M74" s="670"/>
      <c r="N74" s="670"/>
      <c r="O74" s="670"/>
      <c r="P74" s="670"/>
      <c r="Q74" s="670"/>
      <c r="R74" s="670"/>
      <c r="S74" s="670"/>
      <c r="T74" s="670"/>
      <c r="U74" s="670"/>
      <c r="V74" s="670"/>
      <c r="W74" s="670"/>
      <c r="X74" s="825"/>
      <c r="Y74" s="825"/>
      <c r="Z74" s="825"/>
      <c r="AA74" s="825"/>
      <c r="AB74" s="825"/>
      <c r="AC74" s="825"/>
    </row>
    <row r="75" spans="1:29" s="607" customFormat="1" ht="15" customHeight="1" x14ac:dyDescent="0.2">
      <c r="A75" s="980"/>
      <c r="B75" s="670"/>
      <c r="C75" s="670" t="str">
        <f>ListAVS!$B$289</f>
        <v>Kliknij na zdjęcie lub opis, aby przejść do żądanego typu podnośnika.</v>
      </c>
      <c r="D75" s="670"/>
      <c r="E75" s="670"/>
      <c r="F75" s="670"/>
      <c r="G75" s="670"/>
      <c r="H75" s="670"/>
      <c r="I75" s="670"/>
      <c r="J75" s="670"/>
      <c r="K75" s="670"/>
      <c r="L75" s="670"/>
      <c r="M75" s="670"/>
      <c r="N75" s="670"/>
      <c r="O75" s="670"/>
      <c r="P75" s="670"/>
      <c r="Q75" s="670"/>
      <c r="R75" s="670"/>
      <c r="S75" s="670"/>
      <c r="T75" s="670"/>
      <c r="U75" s="670"/>
      <c r="V75" s="670"/>
      <c r="W75" s="670"/>
      <c r="X75" s="825"/>
      <c r="Y75" s="825"/>
      <c r="Z75" s="825"/>
      <c r="AA75" s="825"/>
      <c r="AB75" s="825"/>
      <c r="AC75" s="825"/>
    </row>
    <row r="76" spans="1:29" s="607" customFormat="1" ht="15" customHeight="1" x14ac:dyDescent="0.2">
      <c r="A76" s="980"/>
      <c r="B76" s="670"/>
      <c r="C76" s="670"/>
      <c r="D76" s="670"/>
      <c r="E76" s="670"/>
      <c r="F76" s="670"/>
      <c r="G76" s="670"/>
      <c r="H76" s="670"/>
      <c r="I76" s="670"/>
      <c r="J76" s="670"/>
      <c r="K76" s="670"/>
      <c r="L76" s="670"/>
      <c r="M76" s="670"/>
      <c r="N76" s="670"/>
      <c r="O76" s="670"/>
      <c r="P76" s="670"/>
      <c r="Q76" s="670"/>
      <c r="R76" s="670"/>
      <c r="S76" s="670"/>
      <c r="T76" s="670"/>
      <c r="U76" s="670"/>
      <c r="V76" s="670"/>
      <c r="W76" s="670"/>
      <c r="X76" s="825"/>
      <c r="Y76" s="825"/>
      <c r="Z76" s="825"/>
      <c r="AA76" s="825"/>
      <c r="AB76" s="825"/>
      <c r="AC76" s="825"/>
    </row>
    <row r="77" spans="1:29" s="607" customFormat="1" ht="15" customHeight="1" x14ac:dyDescent="0.2">
      <c r="A77" s="980"/>
      <c r="B77" s="670"/>
      <c r="C77" s="670"/>
      <c r="D77" s="670"/>
      <c r="E77" s="670"/>
      <c r="F77" s="670"/>
      <c r="G77" s="670"/>
      <c r="H77" s="670"/>
      <c r="I77" s="670"/>
      <c r="J77" s="670"/>
      <c r="K77" s="670"/>
      <c r="L77" s="670"/>
      <c r="M77" s="670"/>
      <c r="N77" s="670"/>
      <c r="O77" s="670"/>
      <c r="P77" s="670"/>
      <c r="Q77" s="670"/>
      <c r="R77" s="670"/>
      <c r="S77" s="670"/>
      <c r="T77" s="670"/>
      <c r="U77" s="670"/>
      <c r="V77" s="670"/>
      <c r="W77" s="670"/>
      <c r="X77" s="825"/>
      <c r="Y77" s="825"/>
      <c r="Z77" s="825"/>
      <c r="AA77" s="825"/>
      <c r="AB77" s="825"/>
      <c r="AC77" s="825"/>
    </row>
    <row r="78" spans="1:29" s="607" customFormat="1" ht="15" customHeight="1" x14ac:dyDescent="0.2">
      <c r="A78" s="980"/>
      <c r="B78" s="670"/>
      <c r="C78" s="670"/>
      <c r="D78" s="670"/>
      <c r="E78" s="670"/>
      <c r="F78" s="670"/>
      <c r="G78" s="670"/>
      <c r="H78" s="670"/>
      <c r="I78" s="670"/>
      <c r="J78" s="670"/>
      <c r="K78" s="670"/>
      <c r="L78" s="670"/>
      <c r="M78" s="670"/>
      <c r="N78" s="670"/>
      <c r="O78" s="670"/>
      <c r="P78" s="670"/>
      <c r="Q78" s="670"/>
      <c r="R78" s="670"/>
      <c r="S78" s="670"/>
      <c r="T78" s="670"/>
      <c r="U78" s="670"/>
      <c r="V78" s="670"/>
      <c r="W78" s="670"/>
      <c r="X78" s="825"/>
      <c r="Y78" s="825"/>
      <c r="Z78" s="825"/>
      <c r="AA78" s="825"/>
      <c r="AB78" s="825"/>
      <c r="AC78" s="825"/>
    </row>
    <row r="79" spans="1:29" s="607" customFormat="1" ht="15" customHeight="1" x14ac:dyDescent="0.2">
      <c r="A79" s="980"/>
      <c r="B79" s="670"/>
      <c r="C79" s="670"/>
      <c r="D79" s="670"/>
      <c r="E79" s="670"/>
      <c r="F79" s="670"/>
      <c r="G79" s="670"/>
      <c r="H79" s="670"/>
      <c r="I79" s="670"/>
      <c r="J79" s="670"/>
      <c r="K79" s="670"/>
      <c r="L79" s="670"/>
      <c r="M79" s="670"/>
      <c r="N79" s="670"/>
      <c r="O79" s="670"/>
      <c r="P79" s="670"/>
      <c r="Q79" s="670"/>
      <c r="R79" s="670"/>
      <c r="S79" s="670"/>
      <c r="T79" s="670"/>
      <c r="U79" s="670"/>
      <c r="V79" s="670"/>
      <c r="W79" s="670"/>
      <c r="X79" s="825"/>
      <c r="Y79" s="825"/>
      <c r="Z79" s="825"/>
      <c r="AA79" s="825"/>
      <c r="AB79" s="825"/>
      <c r="AC79" s="825"/>
    </row>
    <row r="80" spans="1:29" s="607" customFormat="1" ht="15" customHeight="1" x14ac:dyDescent="0.2">
      <c r="A80" s="980"/>
      <c r="B80" s="670"/>
      <c r="C80" s="670"/>
      <c r="D80" s="670"/>
      <c r="E80" s="670"/>
      <c r="F80" s="670"/>
      <c r="G80" s="670"/>
      <c r="H80" s="670"/>
      <c r="I80" s="670"/>
      <c r="J80" s="670"/>
      <c r="K80" s="670"/>
      <c r="L80" s="670"/>
      <c r="M80" s="670"/>
      <c r="N80" s="670"/>
      <c r="O80" s="670"/>
      <c r="P80" s="670"/>
      <c r="Q80" s="670"/>
      <c r="R80" s="670"/>
      <c r="S80" s="670"/>
      <c r="T80" s="670"/>
      <c r="U80" s="670"/>
      <c r="V80" s="670"/>
      <c r="W80" s="670"/>
      <c r="X80" s="825"/>
      <c r="Y80" s="825"/>
      <c r="Z80" s="825"/>
      <c r="AA80" s="825"/>
      <c r="AB80" s="825"/>
      <c r="AC80" s="825"/>
    </row>
    <row r="81" spans="1:23" s="607" customFormat="1" ht="15" customHeight="1" x14ac:dyDescent="0.2">
      <c r="A81" s="980"/>
      <c r="B81" s="670"/>
      <c r="C81" s="670"/>
      <c r="D81" s="670"/>
      <c r="E81" s="670"/>
      <c r="F81" s="670"/>
      <c r="G81" s="670"/>
      <c r="H81" s="670"/>
      <c r="I81" s="670"/>
      <c r="J81" s="671"/>
      <c r="K81" s="671"/>
      <c r="L81" s="670"/>
      <c r="M81" s="670"/>
      <c r="N81" s="670"/>
      <c r="O81" s="670"/>
      <c r="P81" s="670"/>
      <c r="Q81" s="670"/>
      <c r="R81" s="670"/>
      <c r="S81" s="670"/>
      <c r="T81" s="670"/>
      <c r="U81" s="670"/>
      <c r="V81" s="670"/>
      <c r="W81" s="670"/>
    </row>
    <row r="82" spans="1:23" s="607" customFormat="1" ht="15" customHeight="1" x14ac:dyDescent="0.2">
      <c r="A82" s="980"/>
      <c r="B82" s="670"/>
      <c r="C82" s="670"/>
      <c r="D82" s="670"/>
      <c r="E82" s="670"/>
      <c r="F82" s="670"/>
      <c r="G82" s="670"/>
      <c r="H82" s="670"/>
      <c r="I82" s="670"/>
      <c r="J82" s="670"/>
      <c r="K82" s="670"/>
      <c r="L82" s="670"/>
      <c r="M82" s="670"/>
      <c r="N82" s="670"/>
      <c r="O82" s="670"/>
      <c r="P82" s="670"/>
      <c r="Q82" s="670"/>
      <c r="R82" s="670"/>
      <c r="S82" s="670"/>
      <c r="T82" s="670"/>
      <c r="U82" s="670"/>
      <c r="V82" s="670"/>
      <c r="W82" s="670"/>
    </row>
    <row r="83" spans="1:23" s="607" customFormat="1" ht="15" customHeight="1" x14ac:dyDescent="0.2">
      <c r="A83" s="980"/>
      <c r="B83" s="670"/>
      <c r="C83" s="670"/>
      <c r="D83" s="670"/>
      <c r="E83" s="670"/>
      <c r="F83" s="670"/>
      <c r="G83" s="670"/>
      <c r="H83" s="670"/>
      <c r="I83" s="670"/>
      <c r="J83" s="670"/>
      <c r="K83" s="670"/>
      <c r="L83" s="670"/>
      <c r="M83" s="670"/>
      <c r="N83" s="670"/>
      <c r="O83" s="670"/>
      <c r="P83" s="670"/>
      <c r="Q83" s="670"/>
      <c r="R83" s="670"/>
      <c r="S83" s="670"/>
      <c r="T83" s="670"/>
      <c r="U83" s="670"/>
      <c r="V83" s="670"/>
      <c r="W83" s="670"/>
    </row>
    <row r="84" spans="1:23" s="607" customFormat="1" ht="15" customHeight="1" x14ac:dyDescent="0.2">
      <c r="A84" s="980"/>
      <c r="B84" s="670"/>
      <c r="C84" s="670"/>
      <c r="D84" s="670"/>
      <c r="E84" s="670"/>
      <c r="F84" s="670"/>
      <c r="G84" s="670"/>
      <c r="H84" s="670"/>
      <c r="I84" s="670"/>
      <c r="J84" s="670"/>
      <c r="K84" s="670"/>
      <c r="L84" s="670"/>
      <c r="M84" s="670"/>
      <c r="N84" s="670"/>
      <c r="O84" s="670"/>
      <c r="P84" s="670"/>
      <c r="Q84" s="670"/>
      <c r="R84" s="670"/>
      <c r="S84" s="670"/>
      <c r="T84" s="670"/>
      <c r="U84" s="670"/>
      <c r="V84" s="670"/>
      <c r="W84" s="670"/>
    </row>
    <row r="85" spans="1:23" s="607" customFormat="1" ht="15" customHeight="1" x14ac:dyDescent="0.2">
      <c r="A85" s="980"/>
      <c r="B85" s="670"/>
      <c r="C85" s="670"/>
      <c r="D85" s="670"/>
      <c r="E85" s="670"/>
      <c r="F85" s="670"/>
      <c r="G85" s="670"/>
      <c r="H85" s="682"/>
      <c r="I85" s="682"/>
      <c r="J85" s="682"/>
      <c r="K85" s="682"/>
      <c r="L85" s="682"/>
      <c r="M85" s="979" t="str">
        <f>ListAVS!$B$168</f>
        <v>Z powrotem</v>
      </c>
      <c r="N85" s="979"/>
      <c r="O85" s="670"/>
      <c r="P85" s="670"/>
      <c r="Q85" s="670"/>
      <c r="R85" s="670"/>
      <c r="S85" s="670"/>
      <c r="T85" s="670"/>
      <c r="U85" s="670"/>
      <c r="V85" s="670"/>
      <c r="W85" s="670"/>
    </row>
    <row r="86" spans="1:23" s="607" customFormat="1" ht="15" customHeight="1" x14ac:dyDescent="0.2">
      <c r="A86" s="980"/>
      <c r="B86" s="670"/>
      <c r="C86" s="670"/>
      <c r="D86" s="670"/>
      <c r="E86" s="670"/>
      <c r="F86" s="670"/>
      <c r="G86" s="670"/>
      <c r="H86" s="670"/>
      <c r="I86" s="670"/>
      <c r="J86" s="670"/>
      <c r="K86" s="670"/>
      <c r="L86" s="670"/>
      <c r="M86" s="670"/>
      <c r="N86" s="670"/>
      <c r="O86" s="670"/>
      <c r="P86" s="670"/>
      <c r="Q86" s="670"/>
      <c r="R86" s="670"/>
      <c r="S86" s="670"/>
      <c r="T86" s="670"/>
      <c r="U86" s="670"/>
      <c r="V86" s="670"/>
      <c r="W86" s="670"/>
    </row>
    <row r="87" spans="1:23" s="607" customFormat="1" ht="15" customHeight="1" x14ac:dyDescent="0.2">
      <c r="A87" s="980"/>
      <c r="B87" s="670"/>
      <c r="C87" s="670"/>
      <c r="D87" s="670"/>
      <c r="E87" s="670"/>
      <c r="F87" s="670"/>
      <c r="G87" s="670"/>
      <c r="H87" s="670"/>
      <c r="I87" s="670"/>
      <c r="J87" s="670"/>
      <c r="K87" s="670"/>
      <c r="L87" s="670"/>
      <c r="M87" s="670"/>
      <c r="N87" s="670"/>
      <c r="O87" s="670"/>
      <c r="P87" s="670"/>
      <c r="Q87" s="670"/>
      <c r="R87" s="670"/>
      <c r="S87" s="670"/>
      <c r="T87" s="670"/>
      <c r="U87" s="670"/>
      <c r="V87" s="670"/>
      <c r="W87" s="670"/>
    </row>
    <row r="88" spans="1:23" s="607" customFormat="1" ht="15" customHeight="1" x14ac:dyDescent="0.2">
      <c r="A88" s="980"/>
      <c r="B88" s="670"/>
      <c r="C88" s="670"/>
      <c r="D88" s="670"/>
      <c r="E88" s="670"/>
      <c r="F88" s="670"/>
      <c r="G88" s="670"/>
      <c r="H88" s="670"/>
      <c r="I88" s="670"/>
      <c r="J88" s="670"/>
      <c r="K88" s="670"/>
      <c r="L88" s="670"/>
      <c r="M88" s="670"/>
      <c r="N88" s="670"/>
      <c r="O88" s="670"/>
      <c r="P88" s="670"/>
      <c r="Q88" s="670"/>
      <c r="R88" s="670"/>
      <c r="S88" s="670"/>
      <c r="T88" s="670"/>
      <c r="U88" s="670"/>
      <c r="V88" s="670"/>
      <c r="W88" s="670"/>
    </row>
    <row r="89" spans="1:23" s="607" customFormat="1" ht="15" customHeight="1" x14ac:dyDescent="0.2">
      <c r="A89" s="980"/>
      <c r="B89" s="670"/>
      <c r="C89" s="670"/>
      <c r="D89" s="670"/>
      <c r="E89" s="670"/>
      <c r="F89" s="670"/>
      <c r="G89" s="670"/>
      <c r="H89" s="670"/>
      <c r="I89" s="670"/>
      <c r="J89" s="670"/>
      <c r="K89" s="670"/>
      <c r="L89" s="670"/>
      <c r="M89" s="670"/>
      <c r="N89" s="670"/>
      <c r="O89" s="670"/>
      <c r="P89" s="670"/>
      <c r="Q89" s="670"/>
      <c r="R89" s="670"/>
      <c r="S89" s="670"/>
      <c r="T89" s="670"/>
      <c r="U89" s="670"/>
      <c r="V89" s="670"/>
      <c r="W89" s="670"/>
    </row>
    <row r="90" spans="1:23" s="607" customFormat="1" ht="15" customHeight="1" x14ac:dyDescent="0.2">
      <c r="A90" s="980"/>
      <c r="B90" s="670"/>
      <c r="C90" s="670"/>
      <c r="D90" s="670"/>
      <c r="E90" s="670"/>
      <c r="F90" s="670"/>
      <c r="G90" s="670"/>
      <c r="H90" s="670"/>
      <c r="I90" s="670"/>
      <c r="J90" s="670"/>
      <c r="K90" s="670"/>
      <c r="L90" s="670"/>
      <c r="M90" s="670"/>
      <c r="N90" s="670"/>
      <c r="O90" s="670"/>
      <c r="P90" s="670"/>
      <c r="Q90" s="670"/>
      <c r="R90" s="670"/>
      <c r="S90" s="670"/>
      <c r="T90" s="670"/>
      <c r="U90" s="670"/>
      <c r="V90" s="670"/>
      <c r="W90" s="670"/>
    </row>
    <row r="91" spans="1:23" ht="12.75" x14ac:dyDescent="0.2">
      <c r="A91" s="980"/>
      <c r="B91" s="108"/>
      <c r="C91" s="108"/>
      <c r="D91" s="108"/>
      <c r="E91" s="108"/>
      <c r="F91" s="108"/>
      <c r="G91" s="108"/>
      <c r="H91" s="108"/>
      <c r="I91" s="108"/>
      <c r="J91" s="108"/>
      <c r="K91" s="108"/>
      <c r="L91" s="108"/>
      <c r="M91" s="108"/>
      <c r="N91" s="108"/>
      <c r="O91" s="108"/>
      <c r="P91" s="108"/>
      <c r="Q91" s="108"/>
      <c r="R91" s="108"/>
      <c r="S91" s="108"/>
      <c r="T91" s="108"/>
      <c r="U91" s="670"/>
      <c r="V91" s="108"/>
      <c r="W91" s="108"/>
    </row>
    <row r="92" spans="1:23" x14ac:dyDescent="0.2">
      <c r="A92" s="980"/>
      <c r="B92" s="108"/>
      <c r="C92" s="108"/>
      <c r="D92" s="108"/>
      <c r="E92" s="108"/>
      <c r="F92" s="108"/>
      <c r="G92" s="108"/>
      <c r="H92" s="108"/>
      <c r="I92" s="108"/>
      <c r="J92" s="108"/>
      <c r="K92" s="108"/>
      <c r="L92" s="108"/>
      <c r="M92" s="108"/>
      <c r="N92" s="108"/>
      <c r="O92" s="108"/>
      <c r="P92" s="108"/>
      <c r="Q92" s="108"/>
      <c r="R92" s="108"/>
      <c r="S92" s="108"/>
      <c r="T92" s="108"/>
      <c r="V92" s="108"/>
      <c r="W92" s="108"/>
    </row>
    <row r="93" spans="1:23" x14ac:dyDescent="0.2">
      <c r="A93" s="980"/>
      <c r="B93" s="108"/>
      <c r="C93" s="108"/>
      <c r="D93" s="108"/>
      <c r="E93" s="108"/>
      <c r="F93" s="108"/>
      <c r="G93" s="108"/>
      <c r="H93" s="108"/>
      <c r="I93" s="108"/>
      <c r="J93" s="108"/>
      <c r="K93" s="108"/>
      <c r="L93" s="108"/>
      <c r="M93" s="108"/>
      <c r="N93" s="108"/>
      <c r="O93" s="108"/>
      <c r="P93" s="108"/>
      <c r="Q93" s="108"/>
      <c r="R93" s="108"/>
      <c r="S93" s="108"/>
      <c r="T93" s="108"/>
      <c r="V93" s="108"/>
      <c r="W93" s="108"/>
    </row>
    <row r="94" spans="1:23" x14ac:dyDescent="0.2">
      <c r="A94" s="980"/>
      <c r="B94" s="108"/>
      <c r="C94" s="108"/>
      <c r="D94" s="108"/>
      <c r="E94" s="108"/>
      <c r="F94" s="108"/>
      <c r="G94" s="108"/>
      <c r="H94" s="108"/>
      <c r="I94" s="108"/>
      <c r="J94" s="108"/>
      <c r="K94" s="108"/>
      <c r="L94" s="108"/>
      <c r="M94" s="108"/>
      <c r="N94" s="108"/>
      <c r="O94" s="108"/>
      <c r="P94" s="108"/>
      <c r="Q94" s="108"/>
      <c r="R94" s="108"/>
      <c r="S94" s="108"/>
      <c r="T94" s="108"/>
      <c r="V94" s="108"/>
      <c r="W94" s="108"/>
    </row>
    <row r="95" spans="1:23" x14ac:dyDescent="0.2">
      <c r="A95" s="980"/>
      <c r="B95" s="108"/>
      <c r="C95" s="108"/>
      <c r="D95" s="108"/>
      <c r="E95" s="108"/>
      <c r="F95" s="108"/>
      <c r="G95" s="108"/>
      <c r="H95" s="108"/>
      <c r="I95" s="108"/>
      <c r="J95" s="108"/>
      <c r="K95" s="108"/>
      <c r="L95" s="108"/>
      <c r="M95" s="108"/>
      <c r="N95" s="108"/>
      <c r="O95" s="108"/>
      <c r="P95" s="108"/>
      <c r="Q95" s="108"/>
      <c r="R95" s="108"/>
      <c r="S95" s="108"/>
      <c r="T95" s="108"/>
      <c r="V95" s="108"/>
      <c r="W95" s="108"/>
    </row>
    <row r="96" spans="1:23" x14ac:dyDescent="0.2">
      <c r="A96" s="980"/>
      <c r="B96" s="108"/>
      <c r="C96" s="108"/>
      <c r="D96" s="108"/>
      <c r="E96" s="108"/>
      <c r="F96" s="108"/>
      <c r="G96" s="108"/>
      <c r="H96" s="108"/>
      <c r="I96" s="108"/>
      <c r="J96" s="108"/>
      <c r="K96" s="108"/>
      <c r="L96" s="108"/>
      <c r="M96" s="108"/>
      <c r="N96" s="108"/>
      <c r="O96" s="108"/>
      <c r="P96" s="108"/>
      <c r="Q96" s="108"/>
      <c r="R96" s="108"/>
      <c r="S96" s="108"/>
      <c r="T96" s="108"/>
      <c r="V96" s="108"/>
      <c r="W96" s="108"/>
    </row>
    <row r="97" spans="1:23" x14ac:dyDescent="0.2">
      <c r="A97" s="980"/>
      <c r="B97" s="108"/>
      <c r="C97" s="108"/>
      <c r="D97" s="108"/>
      <c r="E97" s="108"/>
      <c r="F97" s="108"/>
      <c r="G97" s="108"/>
      <c r="H97" s="108"/>
      <c r="I97" s="108"/>
      <c r="J97" s="108"/>
      <c r="K97" s="108"/>
      <c r="L97" s="108"/>
      <c r="M97" s="108"/>
      <c r="N97" s="108"/>
      <c r="O97" s="108"/>
      <c r="P97" s="108"/>
      <c r="Q97" s="108"/>
      <c r="R97" s="108"/>
      <c r="S97" s="108"/>
      <c r="T97" s="108"/>
      <c r="V97" s="108"/>
      <c r="W97" s="108"/>
    </row>
    <row r="98" spans="1:23" x14ac:dyDescent="0.2">
      <c r="A98" s="980"/>
      <c r="B98" s="108"/>
      <c r="C98" s="108"/>
      <c r="D98" s="108"/>
      <c r="E98" s="108"/>
      <c r="F98" s="108"/>
      <c r="G98" s="108"/>
      <c r="H98" s="108"/>
      <c r="I98" s="108"/>
      <c r="J98" s="108"/>
      <c r="K98" s="108"/>
      <c r="L98" s="108"/>
      <c r="M98" s="108"/>
      <c r="N98" s="108"/>
      <c r="O98" s="108"/>
      <c r="P98" s="108"/>
      <c r="Q98" s="108"/>
      <c r="R98" s="108"/>
      <c r="S98" s="108"/>
      <c r="T98" s="108"/>
      <c r="V98" s="108"/>
      <c r="W98" s="108"/>
    </row>
    <row r="99" spans="1:23" x14ac:dyDescent="0.2">
      <c r="A99" s="980"/>
      <c r="B99" s="108"/>
      <c r="C99" s="108"/>
      <c r="D99" s="108"/>
      <c r="E99" s="108"/>
      <c r="F99" s="108"/>
      <c r="G99" s="108"/>
      <c r="H99" s="108"/>
      <c r="I99" s="108"/>
      <c r="J99" s="108"/>
      <c r="K99" s="108"/>
      <c r="L99" s="108"/>
      <c r="M99" s="108"/>
      <c r="N99" s="108"/>
      <c r="O99" s="108"/>
      <c r="P99" s="108"/>
      <c r="Q99" s="108"/>
      <c r="R99" s="108"/>
      <c r="S99" s="108"/>
      <c r="T99" s="108"/>
      <c r="V99" s="108"/>
      <c r="W99" s="108"/>
    </row>
    <row r="100" spans="1:23" x14ac:dyDescent="0.2">
      <c r="A100" s="980"/>
      <c r="B100" s="108"/>
      <c r="C100" s="108"/>
      <c r="D100" s="108"/>
      <c r="E100" s="108"/>
      <c r="F100" s="108"/>
      <c r="G100" s="108"/>
      <c r="H100" s="108"/>
      <c r="I100" s="108"/>
      <c r="J100" s="108"/>
      <c r="K100" s="108"/>
      <c r="L100" s="108"/>
      <c r="M100" s="108"/>
      <c r="N100" s="108"/>
      <c r="O100" s="108"/>
      <c r="P100" s="108"/>
      <c r="Q100" s="108"/>
      <c r="R100" s="108"/>
      <c r="S100" s="108"/>
      <c r="T100" s="108"/>
      <c r="V100" s="108"/>
      <c r="W100" s="108"/>
    </row>
    <row r="101" spans="1:23" x14ac:dyDescent="0.2">
      <c r="A101" s="980"/>
      <c r="B101" s="108"/>
      <c r="C101" s="108"/>
      <c r="D101" s="108"/>
      <c r="E101" s="108"/>
      <c r="F101" s="108"/>
      <c r="G101" s="108"/>
      <c r="H101" s="108"/>
      <c r="I101" s="108"/>
      <c r="J101" s="108"/>
      <c r="K101" s="108"/>
      <c r="L101" s="108"/>
      <c r="M101" s="108"/>
      <c r="N101" s="108"/>
      <c r="O101" s="108"/>
      <c r="P101" s="108"/>
      <c r="Q101" s="108"/>
      <c r="R101" s="108"/>
      <c r="S101" s="108"/>
      <c r="T101" s="108"/>
      <c r="V101" s="108"/>
      <c r="W101" s="108"/>
    </row>
    <row r="102" spans="1:23" x14ac:dyDescent="0.2">
      <c r="A102" s="980"/>
      <c r="B102" s="108"/>
      <c r="C102" s="108"/>
      <c r="D102" s="108"/>
      <c r="E102" s="108"/>
      <c r="F102" s="108"/>
      <c r="G102" s="108"/>
      <c r="H102" s="108"/>
      <c r="I102" s="108"/>
      <c r="J102" s="108"/>
      <c r="K102" s="108"/>
      <c r="L102" s="108"/>
      <c r="M102" s="108"/>
      <c r="N102" s="108"/>
      <c r="O102" s="108"/>
      <c r="P102" s="108"/>
      <c r="Q102" s="108"/>
      <c r="R102" s="108"/>
      <c r="S102" s="108"/>
      <c r="T102" s="108"/>
      <c r="V102" s="108"/>
      <c r="W102" s="108"/>
    </row>
    <row r="103" spans="1:23" x14ac:dyDescent="0.2">
      <c r="A103" s="980"/>
      <c r="B103" s="108"/>
      <c r="C103" s="108"/>
      <c r="D103" s="108"/>
      <c r="E103" s="108"/>
      <c r="F103" s="108"/>
      <c r="G103" s="108"/>
      <c r="H103" s="108"/>
      <c r="I103" s="108"/>
      <c r="J103" s="108"/>
      <c r="K103" s="108"/>
      <c r="L103" s="108"/>
      <c r="M103" s="108"/>
      <c r="N103" s="108"/>
      <c r="O103" s="108"/>
      <c r="P103" s="108"/>
      <c r="Q103" s="108"/>
      <c r="R103" s="108"/>
      <c r="S103" s="108"/>
      <c r="T103" s="108"/>
      <c r="V103" s="108"/>
      <c r="W103" s="108"/>
    </row>
    <row r="104" spans="1:23" x14ac:dyDescent="0.2">
      <c r="A104" s="980"/>
      <c r="B104" s="108"/>
      <c r="C104" s="108"/>
      <c r="D104" s="108"/>
      <c r="E104" s="108"/>
      <c r="F104" s="108"/>
      <c r="G104" s="108"/>
      <c r="H104" s="108"/>
      <c r="I104" s="108"/>
      <c r="J104" s="108"/>
      <c r="K104" s="108"/>
      <c r="L104" s="108"/>
      <c r="M104" s="108"/>
      <c r="N104" s="108"/>
      <c r="O104" s="108"/>
      <c r="P104" s="108"/>
      <c r="Q104" s="108"/>
      <c r="R104" s="108"/>
      <c r="S104" s="108"/>
      <c r="T104" s="108"/>
      <c r="V104" s="108"/>
      <c r="W104" s="108"/>
    </row>
    <row r="105" spans="1:23" x14ac:dyDescent="0.2">
      <c r="A105" s="980"/>
      <c r="B105" s="108"/>
      <c r="C105" s="108"/>
      <c r="D105" s="108"/>
      <c r="E105" s="108"/>
      <c r="F105" s="108"/>
      <c r="G105" s="108"/>
      <c r="H105" s="108"/>
      <c r="I105" s="108"/>
      <c r="J105" s="108"/>
      <c r="K105" s="108"/>
      <c r="L105" s="108"/>
      <c r="M105" s="108"/>
      <c r="N105" s="108"/>
      <c r="O105" s="108"/>
      <c r="P105" s="108"/>
      <c r="Q105" s="108"/>
      <c r="R105" s="108"/>
      <c r="S105" s="108"/>
      <c r="T105" s="108"/>
      <c r="V105" s="108"/>
      <c r="W105" s="108"/>
    </row>
    <row r="106" spans="1:23" x14ac:dyDescent="0.2">
      <c r="A106" s="980"/>
      <c r="B106" s="108"/>
      <c r="C106" s="108"/>
      <c r="D106" s="108"/>
      <c r="E106" s="108"/>
      <c r="F106" s="108"/>
      <c r="G106" s="108"/>
      <c r="H106" s="108"/>
      <c r="I106" s="108"/>
      <c r="J106" s="108"/>
      <c r="K106" s="108"/>
      <c r="L106" s="108"/>
      <c r="M106" s="108"/>
      <c r="N106" s="108"/>
      <c r="O106" s="108"/>
      <c r="P106" s="108"/>
      <c r="Q106" s="108"/>
      <c r="R106" s="108"/>
      <c r="S106" s="108"/>
      <c r="T106" s="108"/>
      <c r="V106" s="108"/>
      <c r="W106" s="108"/>
    </row>
    <row r="107" spans="1:23" x14ac:dyDescent="0.2">
      <c r="A107" s="980"/>
      <c r="B107" s="108"/>
      <c r="C107" s="108"/>
      <c r="D107" s="108"/>
      <c r="E107" s="108"/>
      <c r="F107" s="108"/>
      <c r="G107" s="108"/>
      <c r="H107" s="108"/>
      <c r="I107" s="108"/>
      <c r="J107" s="108"/>
      <c r="K107" s="108"/>
      <c r="L107" s="108"/>
      <c r="M107" s="108"/>
      <c r="N107" s="108"/>
      <c r="O107" s="108"/>
      <c r="P107" s="108"/>
      <c r="Q107" s="108"/>
      <c r="R107" s="108"/>
      <c r="S107" s="108"/>
      <c r="T107" s="108"/>
      <c r="V107" s="108"/>
      <c r="W107" s="108"/>
    </row>
    <row r="108" spans="1:23" x14ac:dyDescent="0.2">
      <c r="A108" s="980"/>
      <c r="B108" s="108"/>
      <c r="C108" s="108"/>
      <c r="D108" s="108"/>
      <c r="E108" s="108"/>
      <c r="F108" s="108"/>
      <c r="G108" s="108"/>
      <c r="H108" s="108"/>
      <c r="I108" s="108"/>
      <c r="J108" s="108"/>
      <c r="K108" s="108"/>
      <c r="L108" s="108"/>
      <c r="M108" s="108"/>
      <c r="N108" s="108"/>
      <c r="O108" s="108"/>
      <c r="P108" s="108"/>
      <c r="Q108" s="108"/>
      <c r="R108" s="108"/>
      <c r="S108" s="108"/>
      <c r="T108" s="108"/>
      <c r="V108" s="108"/>
      <c r="W108" s="108"/>
    </row>
    <row r="109" spans="1:23" x14ac:dyDescent="0.2">
      <c r="A109" s="980"/>
      <c r="B109" s="108"/>
      <c r="C109" s="108"/>
      <c r="D109" s="108"/>
      <c r="E109" s="108"/>
      <c r="F109" s="108"/>
      <c r="G109" s="108"/>
      <c r="H109" s="108"/>
      <c r="I109" s="108"/>
      <c r="J109" s="108"/>
      <c r="K109" s="108"/>
      <c r="L109" s="108"/>
      <c r="M109" s="108"/>
      <c r="N109" s="108"/>
      <c r="O109" s="108"/>
      <c r="P109" s="108"/>
      <c r="Q109" s="108"/>
      <c r="R109" s="108"/>
      <c r="S109" s="108"/>
      <c r="T109" s="108"/>
      <c r="V109" s="108"/>
      <c r="W109" s="108"/>
    </row>
    <row r="110" spans="1:23" x14ac:dyDescent="0.2">
      <c r="A110" s="980"/>
      <c r="B110" s="108"/>
      <c r="C110" s="108"/>
      <c r="D110" s="108"/>
      <c r="E110" s="108"/>
      <c r="F110" s="108"/>
      <c r="G110" s="108"/>
      <c r="H110" s="108"/>
      <c r="I110" s="108"/>
      <c r="J110" s="108"/>
      <c r="K110" s="108"/>
      <c r="L110" s="108"/>
      <c r="M110" s="108"/>
      <c r="N110" s="108"/>
      <c r="O110" s="108"/>
      <c r="P110" s="108"/>
      <c r="Q110" s="108"/>
      <c r="R110" s="108"/>
      <c r="S110" s="108"/>
      <c r="T110" s="108"/>
      <c r="V110" s="108"/>
      <c r="W110" s="108"/>
    </row>
  </sheetData>
  <sheetProtection algorithmName="SHA-512" hashValue="3RBvxAir307tFZ4szOvQVuEkFEBvcZgU71ObdW9VdbiQWONW5g2JWAGzKar9shUt3gxgsLR1UsNr5ccOS5lEgQ==" saltValue="m502WpH/AuT+QL8tBhx1QQ==" spinCount="100000" sheet="1" objects="1" scenarios="1"/>
  <mergeCells count="12">
    <mergeCell ref="H23:I23"/>
    <mergeCell ref="B26:D26"/>
    <mergeCell ref="A69:A110"/>
    <mergeCell ref="M85:N85"/>
    <mergeCell ref="K23:L23"/>
    <mergeCell ref="B23:C23"/>
    <mergeCell ref="E23:F23"/>
    <mergeCell ref="B7:C7"/>
    <mergeCell ref="D7:E7"/>
    <mergeCell ref="B8:C8"/>
    <mergeCell ref="D8:E8"/>
    <mergeCell ref="B10:F12"/>
  </mergeCells>
  <hyperlinks>
    <hyperlink ref="U6" location="HKS!A70" tooltip=" " display="HKS!A70" xr:uid="{B3943553-D1D1-414E-8CCB-38CFA7976C95}"/>
    <hyperlink ref="M85" location="HF!A1" tooltip=" " display="HF!A1" xr:uid="{BB2DFD91-8340-4442-B626-AD5D46340B4F}"/>
    <hyperlink ref="M85:N85" location="HKS!A1" tooltip=" " display="HKS!A1" xr:uid="{51327C9D-6344-4B6F-9AC6-68B9A4419D8C}"/>
    <hyperlink ref="B23:C23" location="HKSw!A1" tooltip=" " display="HKSw!A1" xr:uid="{3684A2F2-0415-4ACE-82B4-5268E7D9DCB5}"/>
    <hyperlink ref="E23:F23" location="HKSwa!A1" tooltip=" " display="HKSwa!A1" xr:uid="{B8D227A7-29B6-4C2B-BAC6-3C9D827607C6}"/>
    <hyperlink ref="H23:I23" location="HKSna!A1" tooltip=" " display="HKSna!A1" xr:uid="{05CE2FB0-038D-4A4D-90BC-739680F9798F}"/>
    <hyperlink ref="K23:L23" location="HKSt!A1" tooltip=" " display="HKSt!A1" xr:uid="{51CB9A67-24B5-4982-BD04-7842DB049EF6}"/>
    <hyperlink ref="U10" location="SumAVS!A1" tooltip=" " display="SumAVS!A1" xr:uid="{03ADCC97-8CFF-4D89-A360-3DC25D42BD84}"/>
    <hyperlink ref="U11" location="OrdAVS!A1" tooltip=" " display="OrdAVS!A1" xr:uid="{C39CAD31-D770-4866-9545-1EAEB8CB8D79}"/>
    <hyperlink ref="U5" location="MenuAVS!A1" tooltip=" " display="MenuAVS!A1" xr:uid="{9FC4289A-F5E9-4B0F-9519-05F765670D66}"/>
    <hyperlink ref="U8" location="AcsAVS!A1" tooltip=" " display="AcsAVS!A1" xr:uid="{E7B1A1D1-3AA8-4F2F-B50A-4F804D2FF010}"/>
  </hyperlinks>
  <pageMargins left="0.7" right="0.7" top="0.78740157499999996" bottom="0.78740157499999996" header="0.3" footer="0.3"/>
  <pageSetup paperSize="9" orientation="portrait" horizontalDpi="4294967293"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153601" r:id="rId4" name="Drop Down 1">
              <controlPr defaultSize="0" autoLine="0" autoPict="0">
                <anchor moveWithCells="1">
                  <from>
                    <xdr:col>4</xdr:col>
                    <xdr:colOff>0</xdr:colOff>
                    <xdr:row>25</xdr:row>
                    <xdr:rowOff>0</xdr:rowOff>
                  </from>
                  <to>
                    <xdr:col>5</xdr:col>
                    <xdr:colOff>209550</xdr:colOff>
                    <xdr:row>26</xdr:row>
                    <xdr:rowOff>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A76DE-C9F1-4F00-84B0-FE726CDD055C}">
  <sheetPr codeName="Sheet35"/>
  <dimension ref="A1:AC110"/>
  <sheetViews>
    <sheetView showGridLines="0" showRowColHeaders="0" workbookViewId="0">
      <selection activeCell="F32" sqref="F32"/>
    </sheetView>
  </sheetViews>
  <sheetFormatPr defaultColWidth="8.7109375" defaultRowHeight="12" x14ac:dyDescent="0.2"/>
  <cols>
    <col min="1" max="1" width="2.7109375" style="36" customWidth="1"/>
    <col min="2" max="3" width="10.42578125" style="36" customWidth="1"/>
    <col min="4" max="4" width="3.7109375" style="36" customWidth="1"/>
    <col min="5" max="6" width="10.42578125" style="36" customWidth="1"/>
    <col min="7" max="7" width="3.7109375" style="36" customWidth="1"/>
    <col min="8" max="9" width="10.42578125" style="36" customWidth="1"/>
    <col min="10" max="10" width="3.7109375" style="36" customWidth="1"/>
    <col min="11" max="12" width="10.42578125" style="36" customWidth="1"/>
    <col min="13" max="13" width="8.28515625" style="36" hidden="1" customWidth="1"/>
    <col min="14" max="14" width="10.7109375" style="36" hidden="1" customWidth="1"/>
    <col min="15" max="19" width="8.28515625" style="36" hidden="1" customWidth="1"/>
    <col min="20" max="20" width="8.7109375" style="36"/>
    <col min="21" max="21" width="20.7109375" style="108" customWidth="1"/>
    <col min="22" max="16384" width="8.7109375" style="36"/>
  </cols>
  <sheetData>
    <row r="1" spans="1:23" x14ac:dyDescent="0.2">
      <c r="A1" s="108"/>
      <c r="B1" s="108"/>
      <c r="C1" s="108"/>
      <c r="D1" s="108"/>
      <c r="E1" s="108"/>
      <c r="F1" s="108"/>
      <c r="G1" s="108"/>
      <c r="H1" s="108"/>
      <c r="I1" s="108"/>
      <c r="J1" s="108"/>
      <c r="K1" s="108"/>
      <c r="L1" s="108"/>
      <c r="M1" s="108"/>
      <c r="N1" s="108"/>
      <c r="O1" s="108"/>
      <c r="P1" s="108"/>
      <c r="Q1" s="108"/>
      <c r="R1" s="108"/>
      <c r="S1" s="108"/>
      <c r="T1" s="108"/>
      <c r="V1" s="108"/>
      <c r="W1" s="108"/>
    </row>
    <row r="2" spans="1:23" ht="6" customHeight="1" thickBot="1" x14ac:dyDescent="0.25">
      <c r="A2" s="108"/>
      <c r="B2" s="309"/>
      <c r="C2" s="310"/>
      <c r="D2" s="309"/>
      <c r="E2" s="309"/>
      <c r="F2" s="309"/>
      <c r="G2" s="309"/>
      <c r="H2" s="309"/>
      <c r="I2" s="309"/>
      <c r="J2" s="309"/>
      <c r="K2" s="309"/>
      <c r="L2" s="309"/>
      <c r="M2" s="211"/>
      <c r="N2" s="108"/>
      <c r="O2" s="108"/>
      <c r="P2" s="108"/>
      <c r="Q2" s="108"/>
      <c r="R2" s="108"/>
      <c r="S2" s="108"/>
      <c r="T2" s="108"/>
      <c r="V2" s="108"/>
      <c r="W2" s="108"/>
    </row>
    <row r="3" spans="1:23" ht="18" customHeight="1" thickBot="1" x14ac:dyDescent="0.25">
      <c r="A3" s="108"/>
      <c r="B3" s="311" t="s">
        <v>23</v>
      </c>
      <c r="C3" s="310"/>
      <c r="D3" s="309"/>
      <c r="E3" s="309"/>
      <c r="F3" s="309"/>
      <c r="G3" s="309"/>
      <c r="H3" s="309"/>
      <c r="I3" s="309"/>
      <c r="J3" s="309"/>
      <c r="K3" s="309"/>
      <c r="L3" s="309"/>
      <c r="M3" s="211"/>
      <c r="N3" s="108"/>
      <c r="O3" s="108"/>
      <c r="P3" s="108"/>
      <c r="Q3" s="108"/>
      <c r="R3" s="108"/>
      <c r="S3" s="108"/>
      <c r="T3" s="108"/>
      <c r="U3" s="683" t="str">
        <f>ListAVS!$B$153</f>
        <v>Przejdź do</v>
      </c>
      <c r="V3" s="108"/>
      <c r="W3" s="108"/>
    </row>
    <row r="4" spans="1:23" ht="4.5" customHeight="1" x14ac:dyDescent="0.2">
      <c r="A4" s="108"/>
      <c r="B4" s="309"/>
      <c r="C4" s="309"/>
      <c r="D4" s="309"/>
      <c r="E4" s="309"/>
      <c r="F4" s="309"/>
      <c r="G4" s="309"/>
      <c r="H4" s="309"/>
      <c r="I4" s="309"/>
      <c r="J4" s="309"/>
      <c r="K4" s="309"/>
      <c r="L4" s="309"/>
      <c r="M4" s="211"/>
      <c r="N4" s="108"/>
      <c r="O4" s="108"/>
      <c r="P4" s="108"/>
      <c r="Q4" s="108"/>
      <c r="R4" s="108"/>
      <c r="S4" s="108"/>
      <c r="T4" s="108"/>
      <c r="V4" s="108"/>
      <c r="W4" s="108"/>
    </row>
    <row r="5" spans="1:23" ht="14.25" customHeight="1" thickBot="1" x14ac:dyDescent="0.25">
      <c r="A5" s="670"/>
      <c r="B5" s="670"/>
      <c r="C5" s="670"/>
      <c r="D5" s="670"/>
      <c r="E5" s="670"/>
      <c r="F5" s="670"/>
      <c r="G5" s="670"/>
      <c r="H5" s="670"/>
      <c r="I5" s="670"/>
      <c r="J5" s="670"/>
      <c r="K5" s="670"/>
      <c r="L5" s="670"/>
      <c r="M5" s="670"/>
      <c r="N5" s="670"/>
      <c r="O5" s="670"/>
      <c r="P5" s="670"/>
      <c r="Q5" s="670"/>
      <c r="R5" s="670"/>
      <c r="S5" s="670"/>
      <c r="T5" s="670"/>
      <c r="U5" s="383" t="str">
        <f>" "&amp;ListAVS!$B$154</f>
        <v xml:space="preserve"> Wprowadzenie do planowania</v>
      </c>
      <c r="V5" s="670"/>
      <c r="W5" s="108"/>
    </row>
    <row r="6" spans="1:23" ht="14.25" customHeight="1" x14ac:dyDescent="0.2">
      <c r="A6" s="670"/>
      <c r="B6" s="670"/>
      <c r="C6" s="670"/>
      <c r="D6" s="670"/>
      <c r="E6" s="670"/>
      <c r="F6" s="670"/>
      <c r="G6" s="670"/>
      <c r="H6" s="670"/>
      <c r="I6" s="670"/>
      <c r="J6" s="670"/>
      <c r="K6" s="670"/>
      <c r="L6" s="670"/>
      <c r="M6" s="670"/>
      <c r="N6" s="670"/>
      <c r="O6" s="670"/>
      <c r="P6" s="670"/>
      <c r="Q6" s="670"/>
      <c r="R6" s="670"/>
      <c r="S6" s="670"/>
      <c r="T6" s="670"/>
      <c r="U6" s="634" t="str">
        <f>" "&amp;ListAVS!$B$155</f>
        <v xml:space="preserve"> Pomoc</v>
      </c>
      <c r="V6" s="670"/>
      <c r="W6" s="108"/>
    </row>
    <row r="7" spans="1:23" ht="14.25" customHeight="1" x14ac:dyDescent="0.2">
      <c r="A7" s="670"/>
      <c r="B7" s="1036" t="str">
        <f>ListAVS!$B$74&amp;" (KB) "</f>
        <v xml:space="preserve">Szerokość korpusu (KB) </v>
      </c>
      <c r="C7" s="1036"/>
      <c r="D7" s="1037" t="str">
        <f>" "&amp;ListAVS!$B$171&amp;" 1800 mm *"</f>
        <v xml:space="preserve"> do 1800 mm *</v>
      </c>
      <c r="E7" s="1037"/>
      <c r="F7" s="670"/>
      <c r="G7" s="670"/>
      <c r="H7" s="670"/>
      <c r="I7" s="670"/>
      <c r="J7" s="670"/>
      <c r="K7" s="670"/>
      <c r="L7" s="670"/>
      <c r="M7" s="670"/>
      <c r="N7" s="670"/>
      <c r="O7" s="670"/>
      <c r="P7" s="670"/>
      <c r="Q7" s="670"/>
      <c r="R7" s="670"/>
      <c r="S7" s="670"/>
      <c r="T7" s="670"/>
      <c r="U7" s="893"/>
      <c r="V7" s="670"/>
      <c r="W7" s="108"/>
    </row>
    <row r="8" spans="1:23" ht="14.25" customHeight="1" x14ac:dyDescent="0.2">
      <c r="A8" s="670"/>
      <c r="B8" s="1036" t="str">
        <f>ListAVS!$B$75&amp;" (KH) "</f>
        <v xml:space="preserve">Wysokość korpusu (KH) </v>
      </c>
      <c r="C8" s="1036"/>
      <c r="D8" s="1037" t="s">
        <v>24</v>
      </c>
      <c r="E8" s="1037"/>
      <c r="F8" s="670"/>
      <c r="G8" s="670"/>
      <c r="H8" s="670"/>
      <c r="I8" s="670"/>
      <c r="J8" s="670"/>
      <c r="K8" s="670"/>
      <c r="L8" s="670"/>
      <c r="M8" s="670"/>
      <c r="N8" s="670"/>
      <c r="O8" s="670"/>
      <c r="P8" s="670"/>
      <c r="Q8" s="670"/>
      <c r="R8" s="670"/>
      <c r="S8" s="670"/>
      <c r="T8" s="670"/>
      <c r="U8" s="675" t="str">
        <f>" "&amp;ListAVS!$B$160</f>
        <v xml:space="preserve"> Dodatki</v>
      </c>
      <c r="V8" s="670"/>
      <c r="W8" s="108"/>
    </row>
    <row r="9" spans="1:23" ht="14.25" customHeight="1" x14ac:dyDescent="0.2">
      <c r="A9" s="670"/>
      <c r="B9" s="670"/>
      <c r="C9" s="670"/>
      <c r="D9" s="670"/>
      <c r="E9" s="670"/>
      <c r="F9" s="670"/>
      <c r="G9" s="670"/>
      <c r="H9" s="670"/>
      <c r="I9" s="670"/>
      <c r="J9" s="670"/>
      <c r="K9" s="670"/>
      <c r="L9" s="670"/>
      <c r="M9" s="670"/>
      <c r="N9" s="670"/>
      <c r="O9" s="670"/>
      <c r="P9" s="670"/>
      <c r="Q9" s="670"/>
      <c r="R9" s="670"/>
      <c r="S9" s="670"/>
      <c r="T9" s="670"/>
      <c r="U9" s="671"/>
      <c r="V9" s="670"/>
      <c r="W9" s="108"/>
    </row>
    <row r="10" spans="1:23" ht="14.25" customHeight="1" thickBot="1" x14ac:dyDescent="0.25">
      <c r="A10" s="670"/>
      <c r="B10" s="1020" t="str">
        <f>"* "&amp;ListAVS!$B$233</f>
        <v>* Wszystko zależy od współczynnika mocy</v>
      </c>
      <c r="C10" s="1020"/>
      <c r="D10" s="1020"/>
      <c r="E10" s="1020"/>
      <c r="F10" s="1020"/>
      <c r="G10" s="794"/>
      <c r="H10" s="670"/>
      <c r="I10" s="670"/>
      <c r="J10" s="670"/>
      <c r="K10" s="670"/>
      <c r="L10" s="670"/>
      <c r="M10" s="670"/>
      <c r="N10" s="670"/>
      <c r="O10" s="670"/>
      <c r="P10" s="670"/>
      <c r="Q10" s="670"/>
      <c r="R10" s="670"/>
      <c r="S10" s="670"/>
      <c r="T10" s="670"/>
      <c r="U10" s="383" t="str">
        <f>" "&amp;ListAVS!$B$157</f>
        <v xml:space="preserve"> Rodzaje korpusów</v>
      </c>
      <c r="V10" s="670"/>
      <c r="W10" s="108"/>
    </row>
    <row r="11" spans="1:23" ht="14.25" customHeight="1" thickBot="1" x14ac:dyDescent="0.25">
      <c r="A11" s="670"/>
      <c r="B11" s="1020"/>
      <c r="C11" s="1020"/>
      <c r="D11" s="1020"/>
      <c r="E11" s="1020"/>
      <c r="F11" s="1020"/>
      <c r="G11" s="794"/>
      <c r="H11" s="670"/>
      <c r="I11" s="670"/>
      <c r="J11" s="670"/>
      <c r="K11" s="670"/>
      <c r="L11" s="670"/>
      <c r="M11" s="670"/>
      <c r="N11" s="670"/>
      <c r="O11" s="670"/>
      <c r="P11" s="670"/>
      <c r="Q11" s="670"/>
      <c r="R11" s="670"/>
      <c r="S11" s="670"/>
      <c r="T11" s="670"/>
      <c r="U11" s="383" t="str">
        <f>" "&amp;ListAVS!$B$158</f>
        <v xml:space="preserve"> Zamówienie</v>
      </c>
      <c r="V11" s="670"/>
      <c r="W11" s="108"/>
    </row>
    <row r="12" spans="1:23" ht="14.25" customHeight="1" x14ac:dyDescent="0.2">
      <c r="A12" s="670"/>
      <c r="B12" s="1020"/>
      <c r="C12" s="1020"/>
      <c r="D12" s="1020"/>
      <c r="E12" s="1020"/>
      <c r="F12" s="1020"/>
      <c r="G12" s="794"/>
      <c r="H12" s="670"/>
      <c r="I12" s="670"/>
      <c r="J12" s="670"/>
      <c r="K12" s="670"/>
      <c r="L12" s="670"/>
      <c r="M12" s="670"/>
      <c r="N12" s="670"/>
      <c r="O12" s="670"/>
      <c r="P12" s="670"/>
      <c r="Q12" s="670"/>
      <c r="R12" s="670"/>
      <c r="S12" s="670"/>
      <c r="T12" s="670"/>
      <c r="U12" s="670"/>
      <c r="V12" s="670"/>
      <c r="W12" s="108"/>
    </row>
    <row r="13" spans="1:23" ht="14.25" customHeight="1" x14ac:dyDescent="0.2">
      <c r="A13" s="670"/>
      <c r="B13" s="794"/>
      <c r="C13" s="794"/>
      <c r="D13" s="794"/>
      <c r="E13" s="794"/>
      <c r="F13" s="794"/>
      <c r="G13" s="794"/>
      <c r="H13" s="670"/>
      <c r="I13" s="670"/>
      <c r="J13" s="670"/>
      <c r="K13" s="670"/>
      <c r="L13" s="670"/>
      <c r="M13" s="670"/>
      <c r="N13" s="670"/>
      <c r="O13" s="670"/>
      <c r="P13" s="670"/>
      <c r="Q13" s="670"/>
      <c r="R13" s="670"/>
      <c r="S13" s="670"/>
      <c r="T13" s="670"/>
      <c r="U13" s="670"/>
      <c r="V13" s="670"/>
      <c r="W13" s="108"/>
    </row>
    <row r="14" spans="1:23" ht="14.25" customHeight="1" x14ac:dyDescent="0.2">
      <c r="A14" s="670"/>
      <c r="B14" s="794"/>
      <c r="C14" s="794"/>
      <c r="D14" s="794"/>
      <c r="E14" s="794"/>
      <c r="F14" s="794"/>
      <c r="G14" s="794"/>
      <c r="H14" s="670"/>
      <c r="I14" s="670"/>
      <c r="J14" s="670"/>
      <c r="K14" s="670"/>
      <c r="L14" s="670"/>
      <c r="M14" s="670"/>
      <c r="N14" s="670"/>
      <c r="O14" s="670"/>
      <c r="P14" s="670"/>
      <c r="Q14" s="670"/>
      <c r="R14" s="670"/>
      <c r="S14" s="670"/>
      <c r="T14" s="670"/>
      <c r="U14" s="891"/>
      <c r="V14" s="670"/>
      <c r="W14" s="108"/>
    </row>
    <row r="15" spans="1:23" ht="14.25" customHeight="1" x14ac:dyDescent="0.2">
      <c r="A15" s="670"/>
      <c r="B15" s="670"/>
      <c r="C15" s="670"/>
      <c r="D15" s="670"/>
      <c r="E15" s="670"/>
      <c r="F15" s="670"/>
      <c r="G15" s="670"/>
      <c r="H15" s="670"/>
      <c r="I15" s="670"/>
      <c r="J15" s="670"/>
      <c r="K15" s="670"/>
      <c r="L15" s="670"/>
      <c r="M15" s="670"/>
      <c r="N15" s="670"/>
      <c r="O15" s="670"/>
      <c r="P15" s="670"/>
      <c r="Q15" s="670"/>
      <c r="R15" s="670"/>
      <c r="S15" s="670"/>
      <c r="T15" s="670"/>
      <c r="U15" s="671"/>
      <c r="V15" s="670"/>
      <c r="W15" s="108"/>
    </row>
    <row r="16" spans="1:23" ht="14.25" customHeight="1" x14ac:dyDescent="0.2">
      <c r="A16" s="670"/>
      <c r="B16" s="670"/>
      <c r="C16" s="670"/>
      <c r="D16" s="670"/>
      <c r="E16" s="670"/>
      <c r="F16" s="670"/>
      <c r="G16" s="670"/>
      <c r="H16" s="670"/>
      <c r="I16" s="670"/>
      <c r="J16" s="670"/>
      <c r="K16" s="670"/>
      <c r="L16" s="670"/>
      <c r="M16" s="670"/>
      <c r="N16" s="670"/>
      <c r="O16" s="670"/>
      <c r="P16" s="670"/>
      <c r="Q16" s="670"/>
      <c r="R16" s="670"/>
      <c r="S16" s="670"/>
      <c r="T16" s="670"/>
      <c r="V16" s="670"/>
      <c r="W16" s="108"/>
    </row>
    <row r="17" spans="1:23" ht="14.25" customHeight="1" x14ac:dyDescent="0.2">
      <c r="A17" s="670"/>
      <c r="B17" s="670"/>
      <c r="C17" s="670"/>
      <c r="D17" s="670"/>
      <c r="E17" s="670"/>
      <c r="F17" s="670"/>
      <c r="G17" s="670"/>
      <c r="H17" s="670"/>
      <c r="I17" s="670"/>
      <c r="J17" s="670"/>
      <c r="K17" s="670"/>
      <c r="L17" s="670"/>
      <c r="M17" s="670"/>
      <c r="N17" s="670"/>
      <c r="O17" s="670"/>
      <c r="P17" s="670"/>
      <c r="Q17" s="670"/>
      <c r="R17" s="670"/>
      <c r="S17" s="670"/>
      <c r="T17" s="670"/>
      <c r="V17" s="670"/>
      <c r="W17" s="108"/>
    </row>
    <row r="18" spans="1:23" ht="12.75" x14ac:dyDescent="0.2">
      <c r="A18" s="670"/>
      <c r="B18" s="670"/>
      <c r="C18" s="670"/>
      <c r="D18" s="670"/>
      <c r="E18" s="670"/>
      <c r="F18" s="670"/>
      <c r="G18" s="670"/>
      <c r="H18" s="670"/>
      <c r="I18" s="670"/>
      <c r="J18" s="670"/>
      <c r="K18" s="670"/>
      <c r="L18" s="670"/>
      <c r="M18" s="670"/>
      <c r="N18" s="670"/>
      <c r="O18" s="670"/>
      <c r="P18" s="670"/>
      <c r="Q18" s="670"/>
      <c r="R18" s="670"/>
      <c r="S18" s="670"/>
      <c r="T18" s="670"/>
      <c r="V18" s="670"/>
      <c r="W18" s="108"/>
    </row>
    <row r="19" spans="1:23" ht="12.75" x14ac:dyDescent="0.2">
      <c r="A19" s="670"/>
      <c r="B19" s="670"/>
      <c r="C19" s="670"/>
      <c r="D19" s="670"/>
      <c r="E19" s="670"/>
      <c r="F19" s="670"/>
      <c r="G19" s="670"/>
      <c r="H19" s="670"/>
      <c r="I19" s="670"/>
      <c r="J19" s="670"/>
      <c r="K19" s="670"/>
      <c r="L19" s="670"/>
      <c r="M19" s="670"/>
      <c r="N19" s="670"/>
      <c r="O19" s="670"/>
      <c r="P19" s="670"/>
      <c r="Q19" s="670"/>
      <c r="R19" s="670"/>
      <c r="S19" s="670"/>
      <c r="T19" s="670"/>
      <c r="V19" s="670"/>
      <c r="W19" s="108"/>
    </row>
    <row r="20" spans="1:23" ht="12.75" x14ac:dyDescent="0.2">
      <c r="A20" s="670"/>
      <c r="B20" s="670"/>
      <c r="C20" s="670"/>
      <c r="D20" s="670"/>
      <c r="E20" s="670"/>
      <c r="F20" s="670"/>
      <c r="G20" s="670"/>
      <c r="H20" s="670"/>
      <c r="I20" s="670"/>
      <c r="J20" s="670"/>
      <c r="K20" s="670"/>
      <c r="L20" s="670"/>
      <c r="M20" s="670"/>
      <c r="N20" s="670"/>
      <c r="O20" s="670"/>
      <c r="P20" s="670"/>
      <c r="Q20" s="670"/>
      <c r="R20" s="670"/>
      <c r="S20" s="670"/>
      <c r="T20" s="670"/>
      <c r="V20" s="670"/>
      <c r="W20" s="108"/>
    </row>
    <row r="21" spans="1:23" ht="12.75" x14ac:dyDescent="0.2">
      <c r="A21" s="670"/>
      <c r="B21" s="670"/>
      <c r="C21" s="670"/>
      <c r="D21" s="670"/>
      <c r="E21" s="670"/>
      <c r="F21" s="670"/>
      <c r="G21" s="670"/>
      <c r="H21" s="670"/>
      <c r="I21" s="670"/>
      <c r="J21" s="670"/>
      <c r="K21" s="670"/>
      <c r="L21" s="670"/>
      <c r="M21" s="670"/>
      <c r="N21" s="670"/>
      <c r="O21" s="670"/>
      <c r="P21" s="670"/>
      <c r="Q21" s="670"/>
      <c r="R21" s="670"/>
      <c r="S21" s="670"/>
      <c r="T21" s="670"/>
      <c r="V21" s="670"/>
      <c r="W21" s="108"/>
    </row>
    <row r="22" spans="1:23" ht="5.25" customHeight="1" x14ac:dyDescent="0.2">
      <c r="A22" s="670"/>
      <c r="B22" s="670"/>
      <c r="C22" s="670"/>
      <c r="D22" s="670"/>
      <c r="E22" s="670"/>
      <c r="F22" s="670"/>
      <c r="G22" s="670"/>
      <c r="H22" s="670"/>
      <c r="I22" s="670"/>
      <c r="J22" s="670"/>
      <c r="K22" s="670"/>
      <c r="L22" s="670"/>
      <c r="M22" s="670"/>
      <c r="N22" s="670"/>
      <c r="O22" s="670"/>
      <c r="P22" s="670"/>
      <c r="Q22" s="670"/>
      <c r="R22" s="670"/>
      <c r="S22" s="670"/>
      <c r="T22" s="670"/>
      <c r="U22" s="670"/>
      <c r="V22" s="670"/>
      <c r="W22" s="108"/>
    </row>
    <row r="23" spans="1:23" ht="15" customHeight="1" x14ac:dyDescent="0.2">
      <c r="A23" s="670"/>
      <c r="B23" s="1041" t="str">
        <f>ListAVS!$B$17</f>
        <v>Front drewniany</v>
      </c>
      <c r="C23" s="1041"/>
      <c r="D23" s="677"/>
      <c r="E23" s="1038" t="str">
        <f>ListAVS!$B$20</f>
        <v>Szeroka ramka aluminiowa</v>
      </c>
      <c r="F23" s="1038"/>
      <c r="G23" s="677"/>
      <c r="H23" s="1038" t="str">
        <f>ListAVS!$B$22</f>
        <v>Wąska ramka aluminiowa</v>
      </c>
      <c r="I23" s="1038"/>
      <c r="J23" s="677"/>
      <c r="K23" s="1038" t="str">
        <f>ListAVS!$B$23</f>
        <v>Cienkie materiały</v>
      </c>
      <c r="L23" s="1038"/>
      <c r="M23" s="670"/>
      <c r="N23" s="670"/>
      <c r="O23" s="670"/>
      <c r="P23" s="670"/>
      <c r="Q23" s="670"/>
      <c r="R23" s="670"/>
      <c r="S23" s="670"/>
      <c r="T23" s="670"/>
      <c r="U23" s="670"/>
      <c r="V23" s="670"/>
      <c r="W23" s="108"/>
    </row>
    <row r="24" spans="1:23" ht="12.75" x14ac:dyDescent="0.2">
      <c r="A24" s="670"/>
      <c r="B24" s="670"/>
      <c r="C24" s="670"/>
      <c r="D24" s="670"/>
      <c r="E24" s="670"/>
      <c r="F24" s="670"/>
      <c r="G24" s="670"/>
      <c r="H24" s="670"/>
      <c r="I24" s="670"/>
      <c r="J24" s="670"/>
      <c r="K24" s="670"/>
      <c r="L24" s="670"/>
      <c r="M24" s="670"/>
      <c r="N24" s="670"/>
      <c r="O24" s="670"/>
      <c r="P24" s="670"/>
      <c r="Q24" s="670"/>
      <c r="R24" s="670"/>
      <c r="S24" s="670"/>
      <c r="T24" s="670"/>
      <c r="U24" s="670"/>
      <c r="V24" s="670"/>
      <c r="W24" s="108"/>
    </row>
    <row r="25" spans="1:23" ht="12.75" x14ac:dyDescent="0.2">
      <c r="A25" s="670"/>
      <c r="B25" s="670"/>
      <c r="C25" s="670"/>
      <c r="D25" s="670"/>
      <c r="E25" s="670"/>
      <c r="F25" s="670"/>
      <c r="G25" s="670"/>
      <c r="H25" s="670"/>
      <c r="I25" s="670"/>
      <c r="J25" s="670"/>
      <c r="K25" s="670"/>
      <c r="L25" s="670"/>
      <c r="M25" s="670"/>
      <c r="N25" s="670"/>
      <c r="O25" s="670"/>
      <c r="P25" s="670"/>
      <c r="Q25" s="670"/>
      <c r="R25" s="670"/>
      <c r="S25" s="670"/>
      <c r="T25" s="670"/>
      <c r="U25" s="670"/>
      <c r="V25" s="670"/>
      <c r="W25" s="108"/>
    </row>
    <row r="26" spans="1:23" ht="15.75" customHeight="1" x14ac:dyDescent="0.2">
      <c r="A26" s="670"/>
      <c r="B26" s="1011" t="str">
        <f>ListAVS!$B$142&amp;" "</f>
        <v xml:space="preserve">Mocowanie frontu </v>
      </c>
      <c r="C26" s="1012"/>
      <c r="D26" s="1013"/>
      <c r="E26" s="269"/>
      <c r="F26" s="266"/>
      <c r="G26" s="670"/>
      <c r="H26" s="670"/>
      <c r="I26" s="670"/>
      <c r="J26" s="670"/>
      <c r="K26" s="670"/>
      <c r="L26" s="670"/>
      <c r="M26" s="670"/>
      <c r="N26" s="523">
        <v>1</v>
      </c>
      <c r="O26" s="523">
        <v>1</v>
      </c>
      <c r="P26" s="523">
        <v>1</v>
      </c>
      <c r="Q26" s="523">
        <v>1</v>
      </c>
      <c r="R26" s="670"/>
      <c r="S26" s="670"/>
      <c r="T26" s="670"/>
      <c r="U26" s="670"/>
      <c r="V26" s="670"/>
      <c r="W26" s="108"/>
    </row>
    <row r="27" spans="1:23" ht="15.75" customHeight="1" x14ac:dyDescent="0.2">
      <c r="A27" s="670"/>
      <c r="B27" s="1011" t="str">
        <f>ListAVS!$B$151&amp;" "</f>
        <v xml:space="preserve">Mocowanie korpusu </v>
      </c>
      <c r="C27" s="1012"/>
      <c r="D27" s="1013"/>
      <c r="E27" s="670"/>
      <c r="F27" s="670"/>
      <c r="G27" s="670"/>
      <c r="H27" s="670"/>
      <c r="I27" s="670"/>
      <c r="J27" s="670"/>
      <c r="K27" s="670"/>
      <c r="L27" s="670"/>
      <c r="M27" s="670"/>
      <c r="N27" s="38" t="s">
        <v>13</v>
      </c>
      <c r="O27" s="38" t="s">
        <v>25</v>
      </c>
      <c r="P27" s="38" t="s">
        <v>26</v>
      </c>
      <c r="Q27" s="38" t="s">
        <v>27</v>
      </c>
      <c r="R27" s="670"/>
      <c r="S27" s="670"/>
      <c r="T27" s="670"/>
      <c r="U27" s="670"/>
      <c r="V27" s="670"/>
      <c r="W27" s="108"/>
    </row>
    <row r="28" spans="1:23" ht="15.75" customHeight="1" x14ac:dyDescent="0.2">
      <c r="A28" s="670"/>
      <c r="B28" s="1011" t="str">
        <f>ListAVS!$B$133&amp;" "</f>
        <v xml:space="preserve">Zawiasy górne </v>
      </c>
      <c r="C28" s="1012"/>
      <c r="D28" s="1013"/>
      <c r="E28" s="670"/>
      <c r="F28" s="670"/>
      <c r="G28" s="670"/>
      <c r="H28" s="670"/>
      <c r="I28" s="670"/>
      <c r="J28" s="670"/>
      <c r="K28" s="670"/>
      <c r="L28" s="670"/>
      <c r="M28" s="670"/>
      <c r="N28" s="248" t="s">
        <v>10</v>
      </c>
      <c r="O28" s="248" t="s">
        <v>10</v>
      </c>
      <c r="P28" s="248" t="s">
        <v>10</v>
      </c>
      <c r="Q28" s="248" t="s">
        <v>10</v>
      </c>
      <c r="R28" s="670"/>
      <c r="S28" s="670"/>
      <c r="T28" s="670"/>
      <c r="U28" s="670"/>
      <c r="V28" s="670"/>
      <c r="W28" s="108"/>
    </row>
    <row r="29" spans="1:23" ht="15.75" customHeight="1" x14ac:dyDescent="0.2">
      <c r="A29" s="670"/>
      <c r="B29" s="1011" t="str">
        <f>ListAVS!$B$139&amp;" "</f>
        <v xml:space="preserve">Prowadniki </v>
      </c>
      <c r="C29" s="1012"/>
      <c r="D29" s="1013"/>
      <c r="E29" s="794"/>
      <c r="F29" s="794"/>
      <c r="G29" s="794"/>
      <c r="H29" s="670"/>
      <c r="I29" s="670"/>
      <c r="J29" s="670"/>
      <c r="K29" s="670"/>
      <c r="L29" s="670"/>
      <c r="M29" s="670"/>
      <c r="N29" s="248" t="str">
        <f>ListAVS!$B$144</f>
        <v>na wkręty</v>
      </c>
      <c r="O29" s="248" t="str">
        <f>ListAVS!$B$144</f>
        <v>na wkręty</v>
      </c>
      <c r="P29" s="248" t="str">
        <f>ListAVS!$B$144</f>
        <v>na wkręty</v>
      </c>
      <c r="Q29" s="248" t="str">
        <f>ListAVS!$B$144</f>
        <v>na wkręty</v>
      </c>
      <c r="R29" s="670"/>
      <c r="S29" s="670"/>
      <c r="T29" s="670"/>
      <c r="U29" s="670"/>
      <c r="V29" s="670"/>
      <c r="W29" s="108"/>
    </row>
    <row r="30" spans="1:23" ht="12.75" x14ac:dyDescent="0.2">
      <c r="A30" s="670"/>
      <c r="B30" s="794"/>
      <c r="C30" s="794"/>
      <c r="D30" s="794"/>
      <c r="E30" s="794"/>
      <c r="F30" s="794"/>
      <c r="G30" s="794"/>
      <c r="H30" s="670"/>
      <c r="I30" s="670"/>
      <c r="J30" s="670"/>
      <c r="K30" s="670"/>
      <c r="L30" s="670"/>
      <c r="M30" s="670"/>
      <c r="N30" s="670"/>
      <c r="O30" s="670"/>
      <c r="P30" s="670"/>
      <c r="Q30" s="670"/>
      <c r="R30" s="670"/>
      <c r="S30" s="670"/>
      <c r="T30" s="670"/>
      <c r="U30" s="670"/>
      <c r="V30" s="670"/>
      <c r="W30" s="108"/>
    </row>
    <row r="31" spans="1:23" ht="12.75" x14ac:dyDescent="0.2">
      <c r="A31" s="670"/>
      <c r="B31" s="794"/>
      <c r="C31" s="794"/>
      <c r="D31" s="794"/>
      <c r="E31" s="794"/>
      <c r="F31" s="794"/>
      <c r="G31" s="794"/>
      <c r="H31" s="670"/>
      <c r="I31" s="670"/>
      <c r="J31" s="670"/>
      <c r="K31" s="670"/>
      <c r="L31" s="670"/>
      <c r="M31" s="670"/>
      <c r="N31" s="670"/>
      <c r="O31" s="670"/>
      <c r="P31" s="670"/>
      <c r="Q31" s="670"/>
      <c r="R31" s="670"/>
      <c r="S31" s="670"/>
      <c r="T31" s="670"/>
      <c r="U31" s="670"/>
      <c r="V31" s="670"/>
      <c r="W31" s="108"/>
    </row>
    <row r="32" spans="1:23" ht="12.75" x14ac:dyDescent="0.2">
      <c r="A32" s="670"/>
      <c r="B32" s="670"/>
      <c r="C32" s="670"/>
      <c r="D32" s="670"/>
      <c r="E32" s="670"/>
      <c r="F32" s="670"/>
      <c r="G32" s="670"/>
      <c r="H32" s="670"/>
      <c r="I32" s="670"/>
      <c r="J32" s="670"/>
      <c r="K32" s="670"/>
      <c r="L32" s="670"/>
      <c r="M32" s="670"/>
      <c r="N32" s="670"/>
      <c r="O32" s="670"/>
      <c r="P32" s="670"/>
      <c r="Q32" s="670"/>
      <c r="R32" s="670"/>
      <c r="S32" s="670"/>
      <c r="T32" s="670"/>
      <c r="U32" s="670"/>
      <c r="V32" s="670"/>
      <c r="W32" s="108"/>
    </row>
    <row r="33" spans="1:23" ht="12.75" x14ac:dyDescent="0.2">
      <c r="A33" s="670"/>
      <c r="B33" s="670"/>
      <c r="C33" s="670"/>
      <c r="D33" s="670"/>
      <c r="E33" s="670"/>
      <c r="F33" s="670"/>
      <c r="G33" s="670"/>
      <c r="H33" s="670"/>
      <c r="I33" s="670"/>
      <c r="J33" s="670"/>
      <c r="K33" s="670"/>
      <c r="L33" s="670"/>
      <c r="M33" s="670"/>
      <c r="N33" s="670"/>
      <c r="O33" s="670"/>
      <c r="P33" s="670"/>
      <c r="Q33" s="670"/>
      <c r="R33" s="670"/>
      <c r="S33" s="670"/>
      <c r="T33" s="670"/>
      <c r="U33" s="670"/>
      <c r="V33" s="670"/>
      <c r="W33" s="108"/>
    </row>
    <row r="34" spans="1:23" ht="12.75" x14ac:dyDescent="0.2">
      <c r="A34" s="670"/>
      <c r="B34" s="670"/>
      <c r="C34" s="670"/>
      <c r="D34" s="670"/>
      <c r="E34" s="670"/>
      <c r="F34" s="670"/>
      <c r="G34" s="670"/>
      <c r="H34" s="670"/>
      <c r="I34" s="670"/>
      <c r="J34" s="670"/>
      <c r="K34" s="670"/>
      <c r="L34" s="670"/>
      <c r="M34" s="670"/>
      <c r="N34" s="670"/>
      <c r="O34" s="670"/>
      <c r="P34" s="670"/>
      <c r="Q34" s="670"/>
      <c r="R34" s="670"/>
      <c r="S34" s="670"/>
      <c r="T34" s="670"/>
      <c r="U34" s="670"/>
      <c r="V34" s="670"/>
      <c r="W34" s="108"/>
    </row>
    <row r="35" spans="1:23" ht="12.75" x14ac:dyDescent="0.2">
      <c r="A35" s="670"/>
      <c r="B35" s="670"/>
      <c r="C35" s="670"/>
      <c r="D35" s="670"/>
      <c r="E35" s="670"/>
      <c r="F35" s="670"/>
      <c r="G35" s="670"/>
      <c r="H35" s="670"/>
      <c r="I35" s="670"/>
      <c r="J35" s="670"/>
      <c r="K35" s="670"/>
      <c r="L35" s="670"/>
      <c r="M35" s="670"/>
      <c r="N35" s="670"/>
      <c r="O35" s="670"/>
      <c r="P35" s="670"/>
      <c r="Q35" s="670"/>
      <c r="R35" s="670"/>
      <c r="S35" s="670"/>
      <c r="T35" s="670"/>
      <c r="U35" s="670"/>
      <c r="V35" s="670"/>
      <c r="W35" s="108"/>
    </row>
    <row r="36" spans="1:23" ht="12.75" x14ac:dyDescent="0.2">
      <c r="A36" s="108"/>
      <c r="B36" s="108"/>
      <c r="C36" s="108"/>
      <c r="D36" s="108"/>
      <c r="E36" s="108"/>
      <c r="F36" s="108"/>
      <c r="G36" s="108"/>
      <c r="H36" s="108"/>
      <c r="I36" s="108"/>
      <c r="J36" s="108"/>
      <c r="K36" s="108"/>
      <c r="L36" s="108"/>
      <c r="M36" s="108"/>
      <c r="N36" s="108"/>
      <c r="O36" s="108"/>
      <c r="P36" s="108"/>
      <c r="Q36" s="108"/>
      <c r="R36" s="108"/>
      <c r="S36" s="108"/>
      <c r="T36" s="108"/>
      <c r="U36" s="670"/>
      <c r="V36" s="108"/>
      <c r="W36" s="108"/>
    </row>
    <row r="37" spans="1:23" x14ac:dyDescent="0.2">
      <c r="A37" s="108"/>
      <c r="B37" s="108"/>
      <c r="C37" s="108"/>
      <c r="D37" s="108"/>
      <c r="E37" s="108"/>
      <c r="F37" s="108"/>
      <c r="G37" s="108"/>
      <c r="H37" s="108"/>
      <c r="I37" s="108"/>
      <c r="J37" s="108"/>
      <c r="K37" s="108"/>
      <c r="L37" s="108"/>
      <c r="M37" s="108"/>
      <c r="N37" s="108"/>
      <c r="O37" s="108"/>
      <c r="P37" s="108"/>
      <c r="Q37" s="108"/>
      <c r="R37" s="108"/>
      <c r="S37" s="108"/>
      <c r="T37" s="108"/>
      <c r="V37" s="108"/>
      <c r="W37" s="108"/>
    </row>
    <row r="38" spans="1:23" x14ac:dyDescent="0.2">
      <c r="A38" s="108"/>
      <c r="B38" s="108"/>
      <c r="C38" s="108"/>
      <c r="D38" s="108"/>
      <c r="E38" s="108"/>
      <c r="F38" s="108"/>
      <c r="G38" s="108"/>
      <c r="H38" s="108"/>
      <c r="I38" s="108"/>
      <c r="J38" s="108"/>
      <c r="K38" s="108"/>
      <c r="L38" s="108"/>
      <c r="M38" s="108"/>
      <c r="N38" s="108"/>
      <c r="O38" s="108"/>
      <c r="P38" s="108"/>
      <c r="Q38" s="108"/>
      <c r="R38" s="108"/>
      <c r="S38" s="108"/>
      <c r="T38" s="108"/>
      <c r="V38" s="108"/>
      <c r="W38" s="108"/>
    </row>
    <row r="39" spans="1:23" x14ac:dyDescent="0.2">
      <c r="A39" s="108"/>
      <c r="B39" s="108"/>
      <c r="C39" s="108"/>
      <c r="D39" s="108"/>
      <c r="E39" s="108"/>
      <c r="F39" s="108"/>
      <c r="G39" s="108"/>
      <c r="H39" s="108"/>
      <c r="I39" s="108"/>
      <c r="J39" s="108"/>
      <c r="K39" s="108"/>
      <c r="L39" s="108"/>
      <c r="M39" s="108"/>
      <c r="N39" s="108"/>
      <c r="O39" s="108"/>
      <c r="P39" s="108"/>
      <c r="Q39" s="108"/>
      <c r="R39" s="108"/>
      <c r="S39" s="108"/>
      <c r="T39" s="108"/>
      <c r="V39" s="108"/>
      <c r="W39" s="108"/>
    </row>
    <row r="40" spans="1:23" x14ac:dyDescent="0.2">
      <c r="A40" s="108"/>
      <c r="B40" s="108"/>
      <c r="C40" s="108"/>
      <c r="D40" s="108"/>
      <c r="E40" s="108"/>
      <c r="F40" s="108"/>
      <c r="G40" s="108"/>
      <c r="H40" s="108"/>
      <c r="I40" s="108"/>
      <c r="J40" s="108"/>
      <c r="K40" s="108"/>
      <c r="L40" s="108"/>
      <c r="M40" s="108"/>
      <c r="N40" s="108"/>
      <c r="O40" s="108"/>
      <c r="P40" s="108"/>
      <c r="Q40" s="108"/>
      <c r="R40" s="108"/>
      <c r="S40" s="108"/>
      <c r="T40" s="108"/>
      <c r="V40" s="108"/>
      <c r="W40" s="108"/>
    </row>
    <row r="41" spans="1:23" x14ac:dyDescent="0.2">
      <c r="A41" s="108"/>
      <c r="B41" s="108"/>
      <c r="C41" s="108"/>
      <c r="D41" s="108"/>
      <c r="E41" s="108"/>
      <c r="F41" s="108"/>
      <c r="G41" s="108"/>
      <c r="H41" s="108"/>
      <c r="I41" s="108"/>
      <c r="J41" s="108"/>
      <c r="K41" s="108"/>
      <c r="L41" s="108"/>
      <c r="M41" s="108"/>
      <c r="N41" s="108"/>
      <c r="O41" s="108"/>
      <c r="P41" s="108"/>
      <c r="Q41" s="108"/>
      <c r="R41" s="108"/>
      <c r="S41" s="108"/>
      <c r="T41" s="108"/>
      <c r="V41" s="108"/>
      <c r="W41" s="108"/>
    </row>
    <row r="42" spans="1:23" x14ac:dyDescent="0.2">
      <c r="A42" s="108"/>
      <c r="B42" s="108"/>
      <c r="C42" s="108"/>
      <c r="D42" s="108"/>
      <c r="E42" s="108"/>
      <c r="F42" s="108"/>
      <c r="G42" s="108"/>
      <c r="H42" s="108"/>
      <c r="I42" s="108"/>
      <c r="J42" s="108"/>
      <c r="K42" s="108"/>
      <c r="L42" s="108"/>
      <c r="M42" s="108"/>
      <c r="N42" s="108"/>
      <c r="O42" s="108"/>
      <c r="P42" s="108"/>
      <c r="Q42" s="108"/>
      <c r="R42" s="108"/>
      <c r="S42" s="108"/>
      <c r="T42" s="108"/>
      <c r="V42" s="108"/>
      <c r="W42" s="108"/>
    </row>
    <row r="43" spans="1:23" x14ac:dyDescent="0.2">
      <c r="A43" s="108"/>
      <c r="B43" s="108"/>
      <c r="C43" s="108"/>
      <c r="D43" s="108"/>
      <c r="E43" s="108"/>
      <c r="F43" s="108"/>
      <c r="G43" s="108"/>
      <c r="H43" s="108"/>
      <c r="I43" s="108"/>
      <c r="J43" s="108"/>
      <c r="K43" s="108"/>
      <c r="L43" s="108"/>
      <c r="M43" s="108"/>
      <c r="N43" s="108"/>
      <c r="O43" s="108"/>
      <c r="P43" s="108"/>
      <c r="Q43" s="108"/>
      <c r="R43" s="108"/>
      <c r="S43" s="108"/>
      <c r="T43" s="108"/>
      <c r="V43" s="108"/>
      <c r="W43" s="108"/>
    </row>
    <row r="44" spans="1:23" x14ac:dyDescent="0.2">
      <c r="A44" s="108"/>
      <c r="B44" s="108"/>
      <c r="C44" s="108"/>
      <c r="D44" s="108"/>
      <c r="E44" s="108"/>
      <c r="F44" s="108"/>
      <c r="G44" s="108"/>
      <c r="H44" s="108"/>
      <c r="I44" s="108"/>
      <c r="J44" s="108"/>
      <c r="K44" s="108"/>
      <c r="L44" s="108"/>
      <c r="M44" s="108"/>
      <c r="N44" s="108"/>
      <c r="O44" s="108"/>
      <c r="P44" s="108"/>
      <c r="Q44" s="108"/>
      <c r="R44" s="108"/>
      <c r="S44" s="108"/>
      <c r="T44" s="108"/>
      <c r="V44" s="108"/>
      <c r="W44" s="108"/>
    </row>
    <row r="45" spans="1:23" x14ac:dyDescent="0.2">
      <c r="A45" s="108"/>
      <c r="B45" s="108"/>
      <c r="C45" s="108"/>
      <c r="D45" s="108"/>
      <c r="E45" s="108"/>
      <c r="F45" s="108"/>
      <c r="G45" s="108"/>
      <c r="H45" s="108"/>
      <c r="I45" s="108"/>
      <c r="J45" s="108"/>
      <c r="K45" s="108"/>
      <c r="L45" s="108"/>
      <c r="M45" s="108"/>
      <c r="N45" s="108"/>
      <c r="O45" s="108"/>
      <c r="P45" s="108"/>
      <c r="Q45" s="108"/>
      <c r="R45" s="108"/>
      <c r="S45" s="108"/>
      <c r="T45" s="108"/>
      <c r="V45" s="108"/>
      <c r="W45" s="108"/>
    </row>
    <row r="46" spans="1:23" x14ac:dyDescent="0.2">
      <c r="A46" s="108"/>
      <c r="B46" s="108"/>
      <c r="C46" s="108"/>
      <c r="D46" s="108"/>
      <c r="E46" s="108"/>
      <c r="F46" s="108"/>
      <c r="G46" s="108"/>
      <c r="H46" s="108"/>
      <c r="I46" s="108"/>
      <c r="J46" s="108"/>
      <c r="K46" s="108"/>
      <c r="L46" s="108"/>
      <c r="M46" s="108"/>
      <c r="N46" s="108"/>
      <c r="O46" s="108"/>
      <c r="P46" s="108"/>
      <c r="Q46" s="108"/>
      <c r="R46" s="108"/>
      <c r="S46" s="108"/>
      <c r="T46" s="108"/>
      <c r="V46" s="108"/>
      <c r="W46" s="108"/>
    </row>
    <row r="47" spans="1:23" x14ac:dyDescent="0.2">
      <c r="A47" s="108"/>
      <c r="B47" s="108"/>
      <c r="C47" s="108"/>
      <c r="D47" s="108"/>
      <c r="E47" s="108"/>
      <c r="F47" s="108"/>
      <c r="G47" s="108"/>
      <c r="H47" s="108"/>
      <c r="I47" s="108"/>
      <c r="J47" s="108"/>
      <c r="K47" s="108"/>
      <c r="L47" s="108"/>
      <c r="M47" s="108"/>
      <c r="N47" s="108"/>
      <c r="O47" s="108"/>
      <c r="P47" s="108"/>
      <c r="Q47" s="108"/>
      <c r="R47" s="108"/>
      <c r="S47" s="108"/>
      <c r="T47" s="108"/>
      <c r="V47" s="108"/>
      <c r="W47" s="108"/>
    </row>
    <row r="48" spans="1:23" x14ac:dyDescent="0.2">
      <c r="A48" s="108"/>
      <c r="B48" s="108"/>
      <c r="C48" s="108"/>
      <c r="D48" s="108"/>
      <c r="E48" s="108"/>
      <c r="F48" s="108"/>
      <c r="G48" s="108"/>
      <c r="H48" s="108"/>
      <c r="I48" s="108"/>
      <c r="J48" s="108"/>
      <c r="K48" s="108"/>
      <c r="L48" s="108"/>
      <c r="M48" s="108"/>
      <c r="N48" s="108"/>
      <c r="O48" s="108"/>
      <c r="P48" s="108"/>
      <c r="Q48" s="108"/>
      <c r="R48" s="108"/>
      <c r="S48" s="108"/>
      <c r="T48" s="108"/>
      <c r="V48" s="108"/>
      <c r="W48" s="108"/>
    </row>
    <row r="49" spans="1:23" x14ac:dyDescent="0.2">
      <c r="A49" s="108"/>
      <c r="B49" s="108"/>
      <c r="C49" s="108"/>
      <c r="D49" s="108"/>
      <c r="E49" s="108"/>
      <c r="F49" s="108"/>
      <c r="G49" s="108"/>
      <c r="H49" s="108"/>
      <c r="I49" s="108"/>
      <c r="J49" s="108"/>
      <c r="K49" s="108"/>
      <c r="L49" s="108"/>
      <c r="M49" s="108"/>
      <c r="N49" s="108"/>
      <c r="O49" s="108"/>
      <c r="P49" s="108"/>
      <c r="Q49" s="108"/>
      <c r="R49" s="108"/>
      <c r="S49" s="108"/>
      <c r="T49" s="108"/>
      <c r="V49" s="108"/>
      <c r="W49" s="108"/>
    </row>
    <row r="50" spans="1:23" x14ac:dyDescent="0.2">
      <c r="A50" s="108"/>
      <c r="B50" s="108"/>
      <c r="C50" s="108"/>
      <c r="D50" s="108"/>
      <c r="E50" s="108"/>
      <c r="F50" s="108"/>
      <c r="G50" s="108"/>
      <c r="H50" s="108"/>
      <c r="I50" s="108"/>
      <c r="J50" s="108"/>
      <c r="K50" s="108"/>
      <c r="L50" s="108"/>
      <c r="M50" s="108"/>
      <c r="N50" s="108"/>
      <c r="O50" s="108"/>
      <c r="P50" s="108"/>
      <c r="Q50" s="108"/>
      <c r="R50" s="108"/>
      <c r="S50" s="108"/>
      <c r="T50" s="108"/>
      <c r="V50" s="108"/>
      <c r="W50" s="108"/>
    </row>
    <row r="51" spans="1:23" x14ac:dyDescent="0.2">
      <c r="A51" s="108"/>
      <c r="B51" s="108"/>
      <c r="C51" s="108"/>
      <c r="D51" s="108"/>
      <c r="E51" s="108"/>
      <c r="F51" s="108"/>
      <c r="G51" s="108"/>
      <c r="H51" s="108"/>
      <c r="I51" s="108"/>
      <c r="J51" s="108"/>
      <c r="K51" s="108"/>
      <c r="L51" s="108"/>
      <c r="M51" s="108"/>
      <c r="N51" s="108"/>
      <c r="O51" s="108"/>
      <c r="P51" s="108"/>
      <c r="Q51" s="108"/>
      <c r="R51" s="108"/>
      <c r="S51" s="108"/>
      <c r="T51" s="108"/>
      <c r="V51" s="108"/>
      <c r="W51" s="108"/>
    </row>
    <row r="52" spans="1:23" x14ac:dyDescent="0.2">
      <c r="A52" s="108"/>
      <c r="B52" s="108"/>
      <c r="C52" s="108"/>
      <c r="D52" s="108"/>
      <c r="E52" s="108"/>
      <c r="F52" s="108"/>
      <c r="G52" s="108"/>
      <c r="H52" s="108"/>
      <c r="I52" s="108"/>
      <c r="J52" s="108"/>
      <c r="K52" s="108"/>
      <c r="L52" s="108"/>
      <c r="M52" s="108"/>
      <c r="N52" s="108"/>
      <c r="O52" s="108"/>
      <c r="P52" s="108"/>
      <c r="Q52" s="108"/>
      <c r="R52" s="108"/>
      <c r="S52" s="108"/>
      <c r="T52" s="108"/>
      <c r="V52" s="108"/>
      <c r="W52" s="108"/>
    </row>
    <row r="53" spans="1:23" x14ac:dyDescent="0.2">
      <c r="A53" s="108"/>
      <c r="B53" s="108"/>
      <c r="C53" s="108"/>
      <c r="D53" s="108"/>
      <c r="E53" s="108"/>
      <c r="F53" s="108"/>
      <c r="G53" s="108"/>
      <c r="H53" s="108"/>
      <c r="I53" s="108"/>
      <c r="J53" s="108"/>
      <c r="K53" s="108"/>
      <c r="L53" s="108"/>
      <c r="M53" s="108"/>
      <c r="N53" s="108"/>
      <c r="O53" s="108"/>
      <c r="P53" s="108"/>
      <c r="Q53" s="108"/>
      <c r="R53" s="108"/>
      <c r="S53" s="108"/>
      <c r="T53" s="108"/>
      <c r="V53" s="108"/>
      <c r="W53" s="108"/>
    </row>
    <row r="54" spans="1:23" x14ac:dyDescent="0.2">
      <c r="A54" s="108"/>
      <c r="B54" s="108"/>
      <c r="C54" s="108"/>
      <c r="D54" s="108"/>
      <c r="E54" s="108"/>
      <c r="F54" s="108"/>
      <c r="G54" s="108"/>
      <c r="H54" s="108"/>
      <c r="I54" s="108"/>
      <c r="J54" s="108"/>
      <c r="K54" s="108"/>
      <c r="L54" s="108"/>
      <c r="M54" s="108"/>
      <c r="N54" s="108"/>
      <c r="O54" s="108"/>
      <c r="P54" s="108"/>
      <c r="Q54" s="108"/>
      <c r="R54" s="108"/>
      <c r="S54" s="108"/>
      <c r="T54" s="108"/>
      <c r="V54" s="108"/>
      <c r="W54" s="108"/>
    </row>
    <row r="55" spans="1:23" x14ac:dyDescent="0.2">
      <c r="A55" s="108"/>
      <c r="B55" s="108"/>
      <c r="C55" s="108"/>
      <c r="D55" s="108"/>
      <c r="E55" s="108"/>
      <c r="F55" s="108"/>
      <c r="G55" s="108"/>
      <c r="H55" s="108"/>
      <c r="I55" s="108"/>
      <c r="J55" s="108"/>
      <c r="K55" s="108"/>
      <c r="L55" s="108"/>
      <c r="M55" s="108"/>
      <c r="N55" s="108"/>
      <c r="O55" s="108"/>
      <c r="P55" s="108"/>
      <c r="Q55" s="108"/>
      <c r="R55" s="108"/>
      <c r="S55" s="108"/>
      <c r="T55" s="108"/>
      <c r="V55" s="108"/>
      <c r="W55" s="108"/>
    </row>
    <row r="56" spans="1:23" x14ac:dyDescent="0.2">
      <c r="A56" s="108"/>
      <c r="B56" s="108"/>
      <c r="C56" s="108"/>
      <c r="D56" s="108"/>
      <c r="E56" s="108"/>
      <c r="F56" s="108"/>
      <c r="G56" s="108"/>
      <c r="H56" s="108"/>
      <c r="I56" s="108"/>
      <c r="J56" s="108"/>
      <c r="K56" s="108"/>
      <c r="L56" s="108"/>
      <c r="M56" s="108"/>
      <c r="N56" s="108"/>
      <c r="O56" s="108"/>
      <c r="P56" s="108"/>
      <c r="Q56" s="108"/>
      <c r="R56" s="108"/>
      <c r="S56" s="108"/>
      <c r="T56" s="108"/>
      <c r="V56" s="108"/>
      <c r="W56" s="108"/>
    </row>
    <row r="57" spans="1:23" x14ac:dyDescent="0.2">
      <c r="A57" s="108"/>
      <c r="B57" s="108"/>
      <c r="C57" s="108"/>
      <c r="D57" s="108"/>
      <c r="E57" s="108"/>
      <c r="F57" s="108"/>
      <c r="G57" s="108"/>
      <c r="H57" s="108"/>
      <c r="I57" s="108"/>
      <c r="J57" s="108"/>
      <c r="K57" s="108"/>
      <c r="L57" s="108"/>
      <c r="M57" s="108"/>
      <c r="N57" s="108"/>
      <c r="O57" s="108"/>
      <c r="P57" s="108"/>
      <c r="Q57" s="108"/>
      <c r="R57" s="108"/>
      <c r="S57" s="108"/>
      <c r="T57" s="108"/>
      <c r="V57" s="108"/>
      <c r="W57" s="108"/>
    </row>
    <row r="58" spans="1:23" x14ac:dyDescent="0.2">
      <c r="A58" s="108"/>
      <c r="B58" s="108"/>
      <c r="C58" s="108"/>
      <c r="D58" s="108"/>
      <c r="E58" s="108"/>
      <c r="F58" s="108"/>
      <c r="G58" s="108"/>
      <c r="H58" s="108"/>
      <c r="I58" s="108"/>
      <c r="J58" s="108"/>
      <c r="K58" s="108"/>
      <c r="L58" s="108"/>
      <c r="M58" s="108"/>
      <c r="N58" s="108"/>
      <c r="O58" s="108"/>
      <c r="P58" s="108"/>
      <c r="Q58" s="108"/>
      <c r="R58" s="108"/>
      <c r="S58" s="108"/>
      <c r="T58" s="108"/>
      <c r="V58" s="108"/>
      <c r="W58" s="108"/>
    </row>
    <row r="59" spans="1:23" x14ac:dyDescent="0.2">
      <c r="A59" s="108"/>
      <c r="B59" s="108"/>
      <c r="C59" s="108"/>
      <c r="D59" s="108"/>
      <c r="E59" s="108"/>
      <c r="F59" s="108"/>
      <c r="G59" s="108"/>
      <c r="H59" s="108"/>
      <c r="I59" s="108"/>
      <c r="J59" s="108"/>
      <c r="K59" s="108"/>
      <c r="L59" s="108"/>
      <c r="M59" s="108"/>
      <c r="N59" s="108"/>
      <c r="O59" s="108"/>
      <c r="P59" s="108"/>
      <c r="Q59" s="108"/>
      <c r="R59" s="108"/>
      <c r="S59" s="108"/>
      <c r="T59" s="108"/>
      <c r="V59" s="108"/>
      <c r="W59" s="108"/>
    </row>
    <row r="60" spans="1:23" x14ac:dyDescent="0.2">
      <c r="A60" s="108"/>
      <c r="B60" s="108"/>
      <c r="C60" s="108"/>
      <c r="D60" s="108"/>
      <c r="E60" s="108"/>
      <c r="F60" s="108"/>
      <c r="G60" s="108"/>
      <c r="H60" s="108"/>
      <c r="I60" s="108"/>
      <c r="J60" s="108"/>
      <c r="K60" s="108"/>
      <c r="L60" s="108"/>
      <c r="M60" s="108"/>
      <c r="N60" s="108"/>
      <c r="O60" s="108"/>
      <c r="P60" s="108"/>
      <c r="Q60" s="108"/>
      <c r="R60" s="108"/>
      <c r="S60" s="108"/>
      <c r="T60" s="108"/>
      <c r="V60" s="108"/>
      <c r="W60" s="108"/>
    </row>
    <row r="61" spans="1:23" x14ac:dyDescent="0.2">
      <c r="A61" s="108"/>
      <c r="B61" s="108"/>
      <c r="C61" s="108"/>
      <c r="D61" s="108"/>
      <c r="E61" s="108"/>
      <c r="F61" s="108"/>
      <c r="G61" s="108"/>
      <c r="H61" s="108"/>
      <c r="I61" s="108"/>
      <c r="J61" s="108"/>
      <c r="K61" s="108"/>
      <c r="L61" s="108"/>
      <c r="M61" s="108"/>
      <c r="N61" s="108"/>
      <c r="O61" s="108"/>
      <c r="P61" s="108"/>
      <c r="Q61" s="108"/>
      <c r="R61" s="108"/>
      <c r="S61" s="108"/>
      <c r="T61" s="108"/>
      <c r="V61" s="108"/>
      <c r="W61" s="108"/>
    </row>
    <row r="62" spans="1:23" x14ac:dyDescent="0.2">
      <c r="A62" s="108"/>
      <c r="B62" s="108"/>
      <c r="C62" s="108"/>
      <c r="D62" s="108"/>
      <c r="E62" s="108"/>
      <c r="F62" s="108"/>
      <c r="G62" s="108"/>
      <c r="H62" s="108"/>
      <c r="I62" s="108"/>
      <c r="J62" s="108"/>
      <c r="K62" s="108"/>
      <c r="L62" s="108"/>
      <c r="M62" s="108"/>
      <c r="N62" s="108"/>
      <c r="O62" s="108"/>
      <c r="P62" s="108"/>
      <c r="Q62" s="108"/>
      <c r="R62" s="108"/>
      <c r="S62" s="108"/>
      <c r="T62" s="108"/>
      <c r="V62" s="108"/>
      <c r="W62" s="108"/>
    </row>
    <row r="63" spans="1:23" x14ac:dyDescent="0.2">
      <c r="A63" s="108"/>
      <c r="B63" s="108"/>
      <c r="C63" s="108"/>
      <c r="D63" s="108"/>
      <c r="E63" s="108"/>
      <c r="F63" s="108"/>
      <c r="G63" s="108"/>
      <c r="H63" s="108"/>
      <c r="I63" s="108"/>
      <c r="J63" s="108"/>
      <c r="K63" s="108"/>
      <c r="L63" s="108"/>
      <c r="M63" s="108"/>
      <c r="N63" s="108"/>
      <c r="O63" s="108"/>
      <c r="P63" s="108"/>
      <c r="Q63" s="108"/>
      <c r="R63" s="108"/>
      <c r="S63" s="108"/>
      <c r="T63" s="108"/>
      <c r="V63" s="108"/>
      <c r="W63" s="108"/>
    </row>
    <row r="64" spans="1:23" x14ac:dyDescent="0.2">
      <c r="A64" s="108"/>
      <c r="B64" s="108"/>
      <c r="C64" s="108"/>
      <c r="D64" s="108"/>
      <c r="E64" s="108"/>
      <c r="F64" s="108"/>
      <c r="G64" s="108"/>
      <c r="H64" s="108"/>
      <c r="I64" s="108"/>
      <c r="J64" s="108"/>
      <c r="K64" s="108"/>
      <c r="L64" s="108"/>
      <c r="M64" s="108"/>
      <c r="N64" s="108"/>
      <c r="O64" s="108"/>
      <c r="P64" s="108"/>
      <c r="Q64" s="108"/>
      <c r="R64" s="108"/>
      <c r="S64" s="108"/>
      <c r="T64" s="108"/>
      <c r="V64" s="108"/>
      <c r="W64" s="108"/>
    </row>
    <row r="65" spans="1:29" x14ac:dyDescent="0.2">
      <c r="A65" s="108"/>
      <c r="B65" s="108"/>
      <c r="C65" s="108"/>
      <c r="D65" s="108"/>
      <c r="E65" s="108"/>
      <c r="F65" s="108"/>
      <c r="G65" s="108"/>
      <c r="H65" s="108"/>
      <c r="I65" s="108"/>
      <c r="J65" s="108"/>
      <c r="K65" s="108"/>
      <c r="L65" s="108"/>
      <c r="M65" s="108"/>
      <c r="N65" s="108"/>
      <c r="O65" s="108"/>
      <c r="P65" s="108"/>
      <c r="Q65" s="108"/>
      <c r="R65" s="108"/>
      <c r="S65" s="108"/>
      <c r="T65" s="108"/>
      <c r="V65" s="108"/>
      <c r="W65" s="108"/>
    </row>
    <row r="66" spans="1:29" x14ac:dyDescent="0.2">
      <c r="A66" s="108"/>
      <c r="B66" s="108"/>
      <c r="C66" s="108"/>
      <c r="D66" s="108"/>
      <c r="E66" s="108"/>
      <c r="F66" s="108"/>
      <c r="G66" s="108"/>
      <c r="H66" s="108"/>
      <c r="I66" s="108"/>
      <c r="J66" s="108"/>
      <c r="K66" s="108"/>
      <c r="L66" s="108"/>
      <c r="M66" s="108"/>
      <c r="N66" s="108"/>
      <c r="O66" s="108"/>
      <c r="P66" s="108"/>
      <c r="Q66" s="108"/>
      <c r="R66" s="108"/>
      <c r="S66" s="108"/>
      <c r="T66" s="108"/>
      <c r="V66" s="108"/>
      <c r="W66" s="108"/>
    </row>
    <row r="67" spans="1:29" x14ac:dyDescent="0.2">
      <c r="A67" s="108"/>
      <c r="B67" s="108"/>
      <c r="C67" s="108"/>
      <c r="D67" s="108"/>
      <c r="E67" s="108"/>
      <c r="F67" s="108"/>
      <c r="G67" s="108"/>
      <c r="H67" s="108"/>
      <c r="I67" s="108"/>
      <c r="J67" s="108"/>
      <c r="K67" s="108"/>
      <c r="L67" s="108"/>
      <c r="M67" s="108"/>
      <c r="N67" s="108"/>
      <c r="O67" s="108"/>
      <c r="P67" s="108"/>
      <c r="Q67" s="108"/>
      <c r="R67" s="108"/>
      <c r="S67" s="108"/>
      <c r="T67" s="108"/>
      <c r="V67" s="108"/>
      <c r="W67" s="108"/>
    </row>
    <row r="68" spans="1:29" x14ac:dyDescent="0.2">
      <c r="A68" s="108"/>
      <c r="B68" s="108"/>
      <c r="C68" s="108"/>
      <c r="D68" s="108"/>
      <c r="E68" s="108"/>
      <c r="F68" s="108"/>
      <c r="G68" s="108"/>
      <c r="H68" s="108"/>
      <c r="I68" s="108"/>
      <c r="J68" s="108"/>
      <c r="K68" s="108"/>
      <c r="L68" s="108"/>
      <c r="M68" s="108"/>
      <c r="N68" s="108"/>
      <c r="O68" s="108"/>
      <c r="P68" s="108"/>
      <c r="Q68" s="108"/>
      <c r="R68" s="108"/>
      <c r="S68" s="108"/>
      <c r="T68" s="108"/>
      <c r="V68" s="108"/>
      <c r="W68" s="108"/>
    </row>
    <row r="69" spans="1:29" s="607" customFormat="1" ht="15" customHeight="1" x14ac:dyDescent="0.2">
      <c r="A69" s="980"/>
      <c r="B69" s="670"/>
      <c r="C69" s="670"/>
      <c r="D69" s="670"/>
      <c r="E69" s="670"/>
      <c r="F69" s="670"/>
      <c r="G69" s="670"/>
      <c r="H69" s="670"/>
      <c r="I69" s="670"/>
      <c r="J69" s="670"/>
      <c r="K69" s="670"/>
      <c r="L69" s="670"/>
      <c r="M69" s="670"/>
      <c r="N69" s="670"/>
      <c r="O69" s="670"/>
      <c r="P69" s="670"/>
      <c r="Q69" s="670"/>
      <c r="R69" s="670"/>
      <c r="S69" s="670"/>
      <c r="T69" s="670"/>
      <c r="U69" s="108"/>
      <c r="V69" s="670"/>
      <c r="W69" s="670"/>
      <c r="X69" s="825"/>
      <c r="Y69" s="825"/>
      <c r="Z69" s="825"/>
      <c r="AA69" s="825"/>
      <c r="AB69" s="825"/>
      <c r="AC69" s="825"/>
    </row>
    <row r="70" spans="1:29" s="253" customFormat="1" ht="15" customHeight="1" x14ac:dyDescent="0.2">
      <c r="A70" s="980"/>
      <c r="B70" s="266"/>
      <c r="C70" s="569" t="s">
        <v>22</v>
      </c>
      <c r="D70" s="569"/>
      <c r="E70" s="569"/>
      <c r="F70" s="569"/>
      <c r="G70" s="569"/>
      <c r="H70" s="569"/>
      <c r="I70" s="569"/>
      <c r="J70" s="569"/>
      <c r="K70" s="569"/>
      <c r="L70" s="569"/>
      <c r="M70" s="569"/>
      <c r="N70" s="569"/>
      <c r="O70" s="569"/>
      <c r="P70" s="255"/>
      <c r="Q70" s="255"/>
      <c r="R70" s="248"/>
      <c r="S70" s="255"/>
      <c r="T70" s="248"/>
      <c r="U70" s="670"/>
      <c r="V70" s="255"/>
      <c r="W70" s="255"/>
      <c r="X70" s="255"/>
      <c r="Y70" s="255"/>
      <c r="Z70" s="255"/>
      <c r="AA70" s="825"/>
      <c r="AB70" s="825"/>
      <c r="AC70" s="825"/>
    </row>
    <row r="71" spans="1:29" s="253" customFormat="1" ht="15" customHeight="1" x14ac:dyDescent="0.2">
      <c r="A71" s="980"/>
      <c r="B71" s="266"/>
      <c r="C71" s="212"/>
      <c r="D71" s="212"/>
      <c r="E71" s="212"/>
      <c r="F71" s="212"/>
      <c r="G71" s="212"/>
      <c r="H71" s="212"/>
      <c r="I71" s="212"/>
      <c r="J71" s="212"/>
      <c r="K71" s="212"/>
      <c r="L71" s="212"/>
      <c r="M71" s="212"/>
      <c r="N71" s="212"/>
      <c r="O71" s="212"/>
      <c r="P71" s="255"/>
      <c r="Q71" s="255"/>
      <c r="R71" s="248"/>
      <c r="S71" s="255"/>
      <c r="T71" s="248"/>
      <c r="U71" s="670"/>
      <c r="V71" s="255"/>
      <c r="W71" s="255"/>
      <c r="X71" s="255"/>
      <c r="Y71" s="255"/>
      <c r="Z71" s="255"/>
      <c r="AA71" s="825"/>
      <c r="AB71" s="825"/>
      <c r="AC71" s="825"/>
    </row>
    <row r="72" spans="1:29" s="607" customFormat="1" ht="15" customHeight="1" x14ac:dyDescent="0.2">
      <c r="A72" s="980"/>
      <c r="B72" s="670"/>
      <c r="C72" s="670"/>
      <c r="D72" s="670"/>
      <c r="E72" s="670"/>
      <c r="F72" s="670"/>
      <c r="G72" s="670"/>
      <c r="H72" s="670"/>
      <c r="I72" s="670"/>
      <c r="J72" s="670"/>
      <c r="K72" s="670"/>
      <c r="L72" s="670"/>
      <c r="M72" s="670"/>
      <c r="N72" s="670"/>
      <c r="O72" s="670"/>
      <c r="P72" s="670"/>
      <c r="Q72" s="670"/>
      <c r="R72" s="670"/>
      <c r="S72" s="670"/>
      <c r="T72" s="670"/>
      <c r="U72" s="255"/>
      <c r="V72" s="670"/>
      <c r="W72" s="670"/>
      <c r="X72" s="825"/>
      <c r="Y72" s="825"/>
      <c r="Z72" s="825"/>
      <c r="AA72" s="825"/>
      <c r="AB72" s="825"/>
      <c r="AC72" s="825"/>
    </row>
    <row r="73" spans="1:29" s="607" customFormat="1" ht="15" customHeight="1" x14ac:dyDescent="0.2">
      <c r="A73" s="980"/>
      <c r="B73" s="670"/>
      <c r="C73" s="670" t="str">
        <f>ListAVS!$B$332</f>
        <v>Wybierz dogodną technikę montażu mocowania frontu</v>
      </c>
      <c r="D73" s="670"/>
      <c r="E73" s="670"/>
      <c r="F73" s="670"/>
      <c r="G73" s="670"/>
      <c r="H73" s="670"/>
      <c r="I73" s="670"/>
      <c r="J73" s="670"/>
      <c r="K73" s="670"/>
      <c r="L73" s="670"/>
      <c r="M73" s="670"/>
      <c r="N73" s="670"/>
      <c r="O73" s="670"/>
      <c r="P73" s="670"/>
      <c r="Q73" s="670"/>
      <c r="R73" s="670"/>
      <c r="S73" s="670"/>
      <c r="T73" s="670"/>
      <c r="U73" s="255"/>
      <c r="V73" s="670"/>
      <c r="W73" s="670"/>
      <c r="X73" s="825"/>
      <c r="Y73" s="825"/>
      <c r="Z73" s="825"/>
      <c r="AA73" s="825"/>
      <c r="AB73" s="825"/>
      <c r="AC73" s="825"/>
    </row>
    <row r="74" spans="1:29" s="607" customFormat="1" ht="15" customHeight="1" x14ac:dyDescent="0.2">
      <c r="A74" s="980"/>
      <c r="B74" s="670"/>
      <c r="C74" s="670"/>
      <c r="D74" s="670"/>
      <c r="E74" s="670"/>
      <c r="F74" s="670"/>
      <c r="G74" s="670"/>
      <c r="H74" s="670"/>
      <c r="I74" s="670"/>
      <c r="J74" s="670"/>
      <c r="K74" s="670"/>
      <c r="L74" s="670"/>
      <c r="M74" s="670"/>
      <c r="N74" s="670"/>
      <c r="O74" s="670"/>
      <c r="P74" s="670"/>
      <c r="Q74" s="670"/>
      <c r="R74" s="670"/>
      <c r="S74" s="670"/>
      <c r="T74" s="670"/>
      <c r="U74" s="670"/>
      <c r="V74" s="670"/>
      <c r="W74" s="670"/>
      <c r="X74" s="825"/>
      <c r="Y74" s="825"/>
      <c r="Z74" s="825"/>
      <c r="AA74" s="825"/>
      <c r="AB74" s="825"/>
      <c r="AC74" s="825"/>
    </row>
    <row r="75" spans="1:29" s="607" customFormat="1" ht="15" customHeight="1" x14ac:dyDescent="0.2">
      <c r="A75" s="980"/>
      <c r="B75" s="670"/>
      <c r="C75" s="670" t="str">
        <f>ListAVS!$B$289</f>
        <v>Kliknij na zdjęcie lub opis, aby przejść do żądanego typu podnośnika.</v>
      </c>
      <c r="D75" s="670"/>
      <c r="E75" s="670"/>
      <c r="F75" s="670"/>
      <c r="G75" s="670"/>
      <c r="H75" s="670"/>
      <c r="I75" s="670"/>
      <c r="J75" s="670"/>
      <c r="K75" s="670"/>
      <c r="L75" s="670"/>
      <c r="M75" s="670"/>
      <c r="N75" s="670"/>
      <c r="O75" s="670"/>
      <c r="P75" s="670"/>
      <c r="Q75" s="670"/>
      <c r="R75" s="670"/>
      <c r="S75" s="670"/>
      <c r="T75" s="670"/>
      <c r="U75" s="670"/>
      <c r="V75" s="670"/>
      <c r="W75" s="670"/>
      <c r="X75" s="825"/>
      <c r="Y75" s="825"/>
      <c r="Z75" s="825"/>
      <c r="AA75" s="825"/>
      <c r="AB75" s="825"/>
      <c r="AC75" s="825"/>
    </row>
    <row r="76" spans="1:29" s="607" customFormat="1" ht="15" customHeight="1" x14ac:dyDescent="0.2">
      <c r="A76" s="980"/>
      <c r="B76" s="670"/>
      <c r="C76" s="670"/>
      <c r="D76" s="670"/>
      <c r="E76" s="670"/>
      <c r="F76" s="670"/>
      <c r="G76" s="670"/>
      <c r="H76" s="670"/>
      <c r="I76" s="670"/>
      <c r="J76" s="670"/>
      <c r="K76" s="670"/>
      <c r="L76" s="670"/>
      <c r="M76" s="670"/>
      <c r="N76" s="670"/>
      <c r="O76" s="670"/>
      <c r="P76" s="670"/>
      <c r="Q76" s="670"/>
      <c r="R76" s="670"/>
      <c r="S76" s="670"/>
      <c r="T76" s="670"/>
      <c r="U76" s="670"/>
      <c r="V76" s="670"/>
      <c r="W76" s="670"/>
      <c r="X76" s="825"/>
      <c r="Y76" s="825"/>
      <c r="Z76" s="825"/>
      <c r="AA76" s="825"/>
      <c r="AB76" s="825"/>
      <c r="AC76" s="825"/>
    </row>
    <row r="77" spans="1:29" s="607" customFormat="1" ht="15" customHeight="1" x14ac:dyDescent="0.2">
      <c r="A77" s="980"/>
      <c r="B77" s="670"/>
      <c r="C77" s="670"/>
      <c r="D77" s="670"/>
      <c r="E77" s="670"/>
      <c r="F77" s="670"/>
      <c r="G77" s="670"/>
      <c r="H77" s="670"/>
      <c r="I77" s="670"/>
      <c r="J77" s="670"/>
      <c r="K77" s="670"/>
      <c r="L77" s="670"/>
      <c r="M77" s="670"/>
      <c r="N77" s="670"/>
      <c r="O77" s="670"/>
      <c r="P77" s="670"/>
      <c r="Q77" s="670"/>
      <c r="R77" s="670"/>
      <c r="S77" s="670"/>
      <c r="T77" s="670"/>
      <c r="U77" s="670"/>
      <c r="V77" s="670"/>
      <c r="W77" s="670"/>
      <c r="X77" s="825"/>
      <c r="Y77" s="825"/>
      <c r="Z77" s="825"/>
      <c r="AA77" s="825"/>
      <c r="AB77" s="825"/>
      <c r="AC77" s="825"/>
    </row>
    <row r="78" spans="1:29" s="607" customFormat="1" ht="15" customHeight="1" x14ac:dyDescent="0.2">
      <c r="A78" s="980"/>
      <c r="B78" s="670"/>
      <c r="C78" s="670"/>
      <c r="D78" s="670"/>
      <c r="E78" s="670"/>
      <c r="F78" s="670"/>
      <c r="G78" s="670"/>
      <c r="H78" s="670"/>
      <c r="I78" s="670"/>
      <c r="J78" s="670"/>
      <c r="K78" s="670"/>
      <c r="L78" s="670"/>
      <c r="M78" s="670"/>
      <c r="N78" s="670"/>
      <c r="O78" s="670"/>
      <c r="P78" s="670"/>
      <c r="Q78" s="670"/>
      <c r="R78" s="670"/>
      <c r="S78" s="670"/>
      <c r="T78" s="670"/>
      <c r="U78" s="670"/>
      <c r="V78" s="670"/>
      <c r="W78" s="670"/>
      <c r="X78" s="825"/>
      <c r="Y78" s="825"/>
      <c r="Z78" s="825"/>
      <c r="AA78" s="825"/>
      <c r="AB78" s="825"/>
      <c r="AC78" s="825"/>
    </row>
    <row r="79" spans="1:29" s="607" customFormat="1" ht="15" customHeight="1" x14ac:dyDescent="0.2">
      <c r="A79" s="980"/>
      <c r="B79" s="670"/>
      <c r="C79" s="670"/>
      <c r="D79" s="670"/>
      <c r="E79" s="670"/>
      <c r="F79" s="670"/>
      <c r="G79" s="670"/>
      <c r="H79" s="670"/>
      <c r="I79" s="670"/>
      <c r="J79" s="670"/>
      <c r="K79" s="670"/>
      <c r="L79" s="670"/>
      <c r="M79" s="670"/>
      <c r="N79" s="670"/>
      <c r="O79" s="670"/>
      <c r="P79" s="670"/>
      <c r="Q79" s="670"/>
      <c r="R79" s="670"/>
      <c r="S79" s="670"/>
      <c r="T79" s="670"/>
      <c r="U79" s="670"/>
      <c r="V79" s="670"/>
      <c r="W79" s="670"/>
      <c r="X79" s="825"/>
      <c r="Y79" s="825"/>
      <c r="Z79" s="825"/>
      <c r="AA79" s="825"/>
      <c r="AB79" s="825"/>
      <c r="AC79" s="825"/>
    </row>
    <row r="80" spans="1:29" s="607" customFormat="1" ht="15" customHeight="1" x14ac:dyDescent="0.2">
      <c r="A80" s="980"/>
      <c r="B80" s="670"/>
      <c r="C80" s="670"/>
      <c r="D80" s="670"/>
      <c r="E80" s="670"/>
      <c r="F80" s="670"/>
      <c r="G80" s="670"/>
      <c r="H80" s="670"/>
      <c r="I80" s="670"/>
      <c r="J80" s="670"/>
      <c r="K80" s="670"/>
      <c r="L80" s="670"/>
      <c r="M80" s="670"/>
      <c r="N80" s="670"/>
      <c r="O80" s="670"/>
      <c r="P80" s="670"/>
      <c r="Q80" s="670"/>
      <c r="R80" s="670"/>
      <c r="S80" s="670"/>
      <c r="T80" s="670"/>
      <c r="U80" s="670"/>
      <c r="V80" s="670"/>
      <c r="W80" s="670"/>
      <c r="X80" s="825"/>
      <c r="Y80" s="825"/>
      <c r="Z80" s="825"/>
      <c r="AA80" s="825"/>
      <c r="AB80" s="825"/>
      <c r="AC80" s="825"/>
    </row>
    <row r="81" spans="1:23" s="607" customFormat="1" ht="15" customHeight="1" x14ac:dyDescent="0.2">
      <c r="A81" s="980"/>
      <c r="B81" s="670"/>
      <c r="C81" s="670"/>
      <c r="D81" s="670"/>
      <c r="E81" s="670"/>
      <c r="F81" s="670"/>
      <c r="G81" s="670"/>
      <c r="H81" s="670"/>
      <c r="I81" s="670"/>
      <c r="J81" s="671"/>
      <c r="K81" s="671"/>
      <c r="L81" s="670"/>
      <c r="M81" s="670"/>
      <c r="N81" s="670"/>
      <c r="O81" s="670"/>
      <c r="P81" s="670"/>
      <c r="Q81" s="670"/>
      <c r="R81" s="670"/>
      <c r="S81" s="670"/>
      <c r="T81" s="670"/>
      <c r="U81" s="670"/>
      <c r="V81" s="670"/>
      <c r="W81" s="670"/>
    </row>
    <row r="82" spans="1:23" s="607" customFormat="1" ht="15" customHeight="1" x14ac:dyDescent="0.2">
      <c r="A82" s="980"/>
      <c r="B82" s="670"/>
      <c r="C82" s="670"/>
      <c r="D82" s="670"/>
      <c r="E82" s="670"/>
      <c r="F82" s="670"/>
      <c r="G82" s="670"/>
      <c r="H82" s="670"/>
      <c r="I82" s="670"/>
      <c r="J82" s="670"/>
      <c r="K82" s="670"/>
      <c r="L82" s="670"/>
      <c r="M82" s="670"/>
      <c r="N82" s="670"/>
      <c r="O82" s="670"/>
      <c r="P82" s="670"/>
      <c r="Q82" s="670"/>
      <c r="R82" s="670"/>
      <c r="S82" s="670"/>
      <c r="T82" s="670"/>
      <c r="U82" s="670"/>
      <c r="V82" s="670"/>
      <c r="W82" s="670"/>
    </row>
    <row r="83" spans="1:23" s="607" customFormat="1" ht="15" customHeight="1" x14ac:dyDescent="0.2">
      <c r="A83" s="980"/>
      <c r="B83" s="670"/>
      <c r="C83" s="670"/>
      <c r="D83" s="670"/>
      <c r="E83" s="670"/>
      <c r="F83" s="670"/>
      <c r="G83" s="670"/>
      <c r="H83" s="670"/>
      <c r="I83" s="670"/>
      <c r="J83" s="670"/>
      <c r="K83" s="670"/>
      <c r="L83" s="670"/>
      <c r="M83" s="670"/>
      <c r="N83" s="670"/>
      <c r="O83" s="670"/>
      <c r="P83" s="670"/>
      <c r="Q83" s="670"/>
      <c r="R83" s="670"/>
      <c r="S83" s="670"/>
      <c r="T83" s="670"/>
      <c r="U83" s="670"/>
      <c r="V83" s="670"/>
      <c r="W83" s="670"/>
    </row>
    <row r="84" spans="1:23" s="607" customFormat="1" ht="15" customHeight="1" x14ac:dyDescent="0.2">
      <c r="A84" s="980"/>
      <c r="B84" s="670"/>
      <c r="C84" s="670"/>
      <c r="D84" s="670"/>
      <c r="E84" s="670"/>
      <c r="F84" s="670"/>
      <c r="G84" s="670"/>
      <c r="H84" s="670"/>
      <c r="I84" s="670"/>
      <c r="J84" s="670"/>
      <c r="K84" s="670"/>
      <c r="L84" s="670"/>
      <c r="M84" s="670"/>
      <c r="N84" s="670"/>
      <c r="O84" s="670"/>
      <c r="P84" s="670"/>
      <c r="Q84" s="670"/>
      <c r="R84" s="670"/>
      <c r="S84" s="670"/>
      <c r="T84" s="670"/>
      <c r="U84" s="670"/>
      <c r="V84" s="670"/>
      <c r="W84" s="670"/>
    </row>
    <row r="85" spans="1:23" s="607" customFormat="1" ht="15" customHeight="1" x14ac:dyDescent="0.2">
      <c r="A85" s="980"/>
      <c r="B85" s="670"/>
      <c r="C85" s="670"/>
      <c r="D85" s="670"/>
      <c r="E85" s="670"/>
      <c r="F85" s="670"/>
      <c r="G85" s="670"/>
      <c r="H85" s="684"/>
      <c r="I85" s="684"/>
      <c r="J85" s="684"/>
      <c r="K85" s="684"/>
      <c r="L85" s="684"/>
      <c r="M85" s="995" t="str">
        <f>ListAVS!$B$168</f>
        <v>Z powrotem</v>
      </c>
      <c r="N85" s="995"/>
      <c r="O85" s="670"/>
      <c r="P85" s="670"/>
      <c r="Q85" s="670"/>
      <c r="R85" s="670"/>
      <c r="S85" s="670"/>
      <c r="T85" s="670"/>
      <c r="U85" s="670"/>
      <c r="V85" s="670"/>
      <c r="W85" s="670"/>
    </row>
    <row r="86" spans="1:23" s="607" customFormat="1" ht="15" customHeight="1" x14ac:dyDescent="0.2">
      <c r="A86" s="980"/>
      <c r="B86" s="670"/>
      <c r="C86" s="670"/>
      <c r="D86" s="670"/>
      <c r="E86" s="670"/>
      <c r="F86" s="670"/>
      <c r="G86" s="670"/>
      <c r="H86" s="670"/>
      <c r="I86" s="670"/>
      <c r="J86" s="670"/>
      <c r="K86" s="670"/>
      <c r="L86" s="670"/>
      <c r="M86" s="670"/>
      <c r="N86" s="670"/>
      <c r="O86" s="670"/>
      <c r="P86" s="670"/>
      <c r="Q86" s="670"/>
      <c r="R86" s="670"/>
      <c r="S86" s="670"/>
      <c r="T86" s="670"/>
      <c r="U86" s="670"/>
      <c r="V86" s="670"/>
      <c r="W86" s="670"/>
    </row>
    <row r="87" spans="1:23" s="607" customFormat="1" ht="15" customHeight="1" x14ac:dyDescent="0.2">
      <c r="A87" s="980"/>
      <c r="B87" s="670"/>
      <c r="C87" s="670"/>
      <c r="D87" s="670"/>
      <c r="E87" s="670"/>
      <c r="F87" s="670"/>
      <c r="G87" s="670"/>
      <c r="H87" s="670"/>
      <c r="I87" s="670"/>
      <c r="J87" s="670"/>
      <c r="K87" s="670"/>
      <c r="L87" s="670"/>
      <c r="M87" s="670"/>
      <c r="N87" s="670"/>
      <c r="O87" s="670"/>
      <c r="P87" s="670"/>
      <c r="Q87" s="670"/>
      <c r="R87" s="670"/>
      <c r="S87" s="670"/>
      <c r="T87" s="670"/>
      <c r="U87" s="670"/>
      <c r="V87" s="670"/>
      <c r="W87" s="670"/>
    </row>
    <row r="88" spans="1:23" s="607" customFormat="1" ht="15" customHeight="1" x14ac:dyDescent="0.2">
      <c r="A88" s="980"/>
      <c r="B88" s="670"/>
      <c r="C88" s="670"/>
      <c r="D88" s="670"/>
      <c r="E88" s="670"/>
      <c r="F88" s="670"/>
      <c r="G88" s="670"/>
      <c r="H88" s="670"/>
      <c r="I88" s="670"/>
      <c r="J88" s="670"/>
      <c r="K88" s="670"/>
      <c r="L88" s="670"/>
      <c r="M88" s="670"/>
      <c r="N88" s="670"/>
      <c r="O88" s="670"/>
      <c r="P88" s="670"/>
      <c r="Q88" s="670"/>
      <c r="R88" s="670"/>
      <c r="S88" s="670"/>
      <c r="T88" s="670"/>
      <c r="U88" s="670"/>
      <c r="V88" s="670"/>
      <c r="W88" s="670"/>
    </row>
    <row r="89" spans="1:23" s="607" customFormat="1" ht="15" customHeight="1" x14ac:dyDescent="0.2">
      <c r="A89" s="980"/>
      <c r="B89" s="670"/>
      <c r="C89" s="670"/>
      <c r="D89" s="670"/>
      <c r="E89" s="670"/>
      <c r="F89" s="670"/>
      <c r="G89" s="670"/>
      <c r="H89" s="670"/>
      <c r="I89" s="670"/>
      <c r="J89" s="670"/>
      <c r="K89" s="670"/>
      <c r="L89" s="670"/>
      <c r="M89" s="670"/>
      <c r="N89" s="670"/>
      <c r="O89" s="670"/>
      <c r="P89" s="670"/>
      <c r="Q89" s="670"/>
      <c r="R89" s="670"/>
      <c r="S89" s="670"/>
      <c r="T89" s="670"/>
      <c r="U89" s="670"/>
      <c r="V89" s="670"/>
      <c r="W89" s="670"/>
    </row>
    <row r="90" spans="1:23" s="607" customFormat="1" ht="15" customHeight="1" x14ac:dyDescent="0.2">
      <c r="A90" s="980"/>
      <c r="B90" s="670"/>
      <c r="C90" s="670"/>
      <c r="D90" s="670"/>
      <c r="E90" s="670"/>
      <c r="F90" s="670"/>
      <c r="G90" s="670"/>
      <c r="H90" s="670"/>
      <c r="I90" s="670"/>
      <c r="J90" s="670"/>
      <c r="K90" s="670"/>
      <c r="L90" s="670"/>
      <c r="M90" s="670"/>
      <c r="N90" s="670"/>
      <c r="O90" s="670"/>
      <c r="P90" s="670"/>
      <c r="Q90" s="670"/>
      <c r="R90" s="670"/>
      <c r="S90" s="670"/>
      <c r="T90" s="670"/>
      <c r="U90" s="670"/>
      <c r="V90" s="670"/>
      <c r="W90" s="670"/>
    </row>
    <row r="91" spans="1:23" ht="12.75" x14ac:dyDescent="0.2">
      <c r="A91" s="980"/>
      <c r="B91" s="108"/>
      <c r="C91" s="108"/>
      <c r="D91" s="108"/>
      <c r="E91" s="108"/>
      <c r="F91" s="108"/>
      <c r="G91" s="108"/>
      <c r="H91" s="108"/>
      <c r="I91" s="108"/>
      <c r="J91" s="108"/>
      <c r="K91" s="108"/>
      <c r="L91" s="108"/>
      <c r="M91" s="108"/>
      <c r="N91" s="108"/>
      <c r="O91" s="108"/>
      <c r="P91" s="108"/>
      <c r="Q91" s="108"/>
      <c r="R91" s="108"/>
      <c r="S91" s="108"/>
      <c r="T91" s="108"/>
      <c r="U91" s="670"/>
      <c r="V91" s="108"/>
      <c r="W91" s="108"/>
    </row>
    <row r="92" spans="1:23" x14ac:dyDescent="0.2">
      <c r="A92" s="980"/>
      <c r="B92" s="108"/>
      <c r="C92" s="108"/>
      <c r="D92" s="108"/>
      <c r="E92" s="108"/>
      <c r="F92" s="108"/>
      <c r="G92" s="108"/>
      <c r="H92" s="108"/>
      <c r="I92" s="108"/>
      <c r="J92" s="108"/>
      <c r="K92" s="108"/>
      <c r="L92" s="108"/>
      <c r="M92" s="108"/>
      <c r="N92" s="108"/>
      <c r="O92" s="108"/>
      <c r="P92" s="108"/>
      <c r="Q92" s="108"/>
      <c r="R92" s="108"/>
      <c r="S92" s="108"/>
      <c r="T92" s="108"/>
      <c r="V92" s="108"/>
      <c r="W92" s="108"/>
    </row>
    <row r="93" spans="1:23" x14ac:dyDescent="0.2">
      <c r="A93" s="980"/>
      <c r="B93" s="108"/>
      <c r="C93" s="108"/>
      <c r="D93" s="108"/>
      <c r="E93" s="108"/>
      <c r="F93" s="108"/>
      <c r="G93" s="108"/>
      <c r="H93" s="108"/>
      <c r="I93" s="108"/>
      <c r="J93" s="108"/>
      <c r="K93" s="108"/>
      <c r="L93" s="108"/>
      <c r="M93" s="108"/>
      <c r="N93" s="108"/>
      <c r="O93" s="108"/>
      <c r="P93" s="108"/>
      <c r="Q93" s="108"/>
      <c r="R93" s="108"/>
      <c r="S93" s="108"/>
      <c r="T93" s="108"/>
      <c r="V93" s="108"/>
      <c r="W93" s="108"/>
    </row>
    <row r="94" spans="1:23" x14ac:dyDescent="0.2">
      <c r="A94" s="980"/>
      <c r="B94" s="108"/>
      <c r="C94" s="108"/>
      <c r="D94" s="108"/>
      <c r="E94" s="108"/>
      <c r="F94" s="108"/>
      <c r="G94" s="108"/>
      <c r="H94" s="108"/>
      <c r="I94" s="108"/>
      <c r="J94" s="108"/>
      <c r="K94" s="108"/>
      <c r="L94" s="108"/>
      <c r="M94" s="108"/>
      <c r="N94" s="108"/>
      <c r="O94" s="108"/>
      <c r="P94" s="108"/>
      <c r="Q94" s="108"/>
      <c r="R94" s="108"/>
      <c r="S94" s="108"/>
      <c r="T94" s="108"/>
      <c r="V94" s="108"/>
      <c r="W94" s="108"/>
    </row>
    <row r="95" spans="1:23" x14ac:dyDescent="0.2">
      <c r="A95" s="980"/>
      <c r="B95" s="108"/>
      <c r="C95" s="108"/>
      <c r="D95" s="108"/>
      <c r="E95" s="108"/>
      <c r="F95" s="108"/>
      <c r="G95" s="108"/>
      <c r="H95" s="108"/>
      <c r="I95" s="108"/>
      <c r="J95" s="108"/>
      <c r="K95" s="108"/>
      <c r="L95" s="108"/>
      <c r="M95" s="108"/>
      <c r="N95" s="108"/>
      <c r="O95" s="108"/>
      <c r="P95" s="108"/>
      <c r="Q95" s="108"/>
      <c r="R95" s="108"/>
      <c r="S95" s="108"/>
      <c r="T95" s="108"/>
      <c r="V95" s="108"/>
      <c r="W95" s="108"/>
    </row>
    <row r="96" spans="1:23" x14ac:dyDescent="0.2">
      <c r="A96" s="980"/>
      <c r="B96" s="108"/>
      <c r="C96" s="108"/>
      <c r="D96" s="108"/>
      <c r="E96" s="108"/>
      <c r="F96" s="108"/>
      <c r="G96" s="108"/>
      <c r="H96" s="108"/>
      <c r="I96" s="108"/>
      <c r="J96" s="108"/>
      <c r="K96" s="108"/>
      <c r="L96" s="108"/>
      <c r="M96" s="108"/>
      <c r="N96" s="108"/>
      <c r="O96" s="108"/>
      <c r="P96" s="108"/>
      <c r="Q96" s="108"/>
      <c r="R96" s="108"/>
      <c r="S96" s="108"/>
      <c r="T96" s="108"/>
      <c r="V96" s="108"/>
      <c r="W96" s="108"/>
    </row>
    <row r="97" spans="1:23" x14ac:dyDescent="0.2">
      <c r="A97" s="980"/>
      <c r="B97" s="108"/>
      <c r="C97" s="108"/>
      <c r="D97" s="108"/>
      <c r="E97" s="108"/>
      <c r="F97" s="108"/>
      <c r="G97" s="108"/>
      <c r="H97" s="108"/>
      <c r="I97" s="108"/>
      <c r="J97" s="108"/>
      <c r="K97" s="108"/>
      <c r="L97" s="108"/>
      <c r="M97" s="108"/>
      <c r="N97" s="108"/>
      <c r="O97" s="108"/>
      <c r="P97" s="108"/>
      <c r="Q97" s="108"/>
      <c r="R97" s="108"/>
      <c r="S97" s="108"/>
      <c r="T97" s="108"/>
      <c r="V97" s="108"/>
      <c r="W97" s="108"/>
    </row>
    <row r="98" spans="1:23" x14ac:dyDescent="0.2">
      <c r="A98" s="980"/>
      <c r="B98" s="108"/>
      <c r="C98" s="108"/>
      <c r="D98" s="108"/>
      <c r="E98" s="108"/>
      <c r="F98" s="108"/>
      <c r="G98" s="108"/>
      <c r="H98" s="108"/>
      <c r="I98" s="108"/>
      <c r="J98" s="108"/>
      <c r="K98" s="108"/>
      <c r="L98" s="108"/>
      <c r="M98" s="108"/>
      <c r="N98" s="108"/>
      <c r="O98" s="108"/>
      <c r="P98" s="108"/>
      <c r="Q98" s="108"/>
      <c r="R98" s="108"/>
      <c r="S98" s="108"/>
      <c r="T98" s="108"/>
      <c r="V98" s="108"/>
      <c r="W98" s="108"/>
    </row>
    <row r="99" spans="1:23" x14ac:dyDescent="0.2">
      <c r="A99" s="980"/>
      <c r="B99" s="108"/>
      <c r="C99" s="108"/>
      <c r="D99" s="108"/>
      <c r="E99" s="108"/>
      <c r="F99" s="108"/>
      <c r="G99" s="108"/>
      <c r="H99" s="108"/>
      <c r="I99" s="108"/>
      <c r="J99" s="108"/>
      <c r="K99" s="108"/>
      <c r="L99" s="108"/>
      <c r="M99" s="108"/>
      <c r="N99" s="108"/>
      <c r="O99" s="108"/>
      <c r="P99" s="108"/>
      <c r="Q99" s="108"/>
      <c r="R99" s="108"/>
      <c r="S99" s="108"/>
      <c r="T99" s="108"/>
      <c r="V99" s="108"/>
      <c r="W99" s="108"/>
    </row>
    <row r="100" spans="1:23" x14ac:dyDescent="0.2">
      <c r="A100" s="980"/>
      <c r="B100" s="108"/>
      <c r="C100" s="108"/>
      <c r="D100" s="108"/>
      <c r="E100" s="108"/>
      <c r="F100" s="108"/>
      <c r="G100" s="108"/>
      <c r="H100" s="108"/>
      <c r="I100" s="108"/>
      <c r="J100" s="108"/>
      <c r="K100" s="108"/>
      <c r="L100" s="108"/>
      <c r="M100" s="108"/>
      <c r="N100" s="108"/>
      <c r="O100" s="108"/>
      <c r="P100" s="108"/>
      <c r="Q100" s="108"/>
      <c r="R100" s="108"/>
      <c r="S100" s="108"/>
      <c r="T100" s="108"/>
      <c r="V100" s="108"/>
      <c r="W100" s="108"/>
    </row>
    <row r="101" spans="1:23" x14ac:dyDescent="0.2">
      <c r="A101" s="980"/>
      <c r="B101" s="108"/>
      <c r="C101" s="108"/>
      <c r="D101" s="108"/>
      <c r="E101" s="108"/>
      <c r="F101" s="108"/>
      <c r="G101" s="108"/>
      <c r="H101" s="108"/>
      <c r="I101" s="108"/>
      <c r="J101" s="108"/>
      <c r="K101" s="108"/>
      <c r="L101" s="108"/>
      <c r="M101" s="108"/>
      <c r="N101" s="108"/>
      <c r="O101" s="108"/>
      <c r="P101" s="108"/>
      <c r="Q101" s="108"/>
      <c r="R101" s="108"/>
      <c r="S101" s="108"/>
      <c r="T101" s="108"/>
      <c r="V101" s="108"/>
      <c r="W101" s="108"/>
    </row>
    <row r="102" spans="1:23" x14ac:dyDescent="0.2">
      <c r="A102" s="980"/>
      <c r="B102" s="108"/>
      <c r="C102" s="108"/>
      <c r="D102" s="108"/>
      <c r="E102" s="108"/>
      <c r="F102" s="108"/>
      <c r="G102" s="108"/>
      <c r="H102" s="108"/>
      <c r="I102" s="108"/>
      <c r="J102" s="108"/>
      <c r="K102" s="108"/>
      <c r="L102" s="108"/>
      <c r="M102" s="108"/>
      <c r="N102" s="108"/>
      <c r="O102" s="108"/>
      <c r="P102" s="108"/>
      <c r="Q102" s="108"/>
      <c r="R102" s="108"/>
      <c r="S102" s="108"/>
      <c r="T102" s="108"/>
      <c r="V102" s="108"/>
      <c r="W102" s="108"/>
    </row>
    <row r="103" spans="1:23" x14ac:dyDescent="0.2">
      <c r="A103" s="980"/>
      <c r="B103" s="108"/>
      <c r="C103" s="108"/>
      <c r="D103" s="108"/>
      <c r="E103" s="108"/>
      <c r="F103" s="108"/>
      <c r="G103" s="108"/>
      <c r="H103" s="108"/>
      <c r="I103" s="108"/>
      <c r="J103" s="108"/>
      <c r="K103" s="108"/>
      <c r="L103" s="108"/>
      <c r="M103" s="108"/>
      <c r="N103" s="108"/>
      <c r="O103" s="108"/>
      <c r="P103" s="108"/>
      <c r="Q103" s="108"/>
      <c r="R103" s="108"/>
      <c r="S103" s="108"/>
      <c r="T103" s="108"/>
      <c r="V103" s="108"/>
      <c r="W103" s="108"/>
    </row>
    <row r="104" spans="1:23" x14ac:dyDescent="0.2">
      <c r="A104" s="980"/>
      <c r="B104" s="108"/>
      <c r="C104" s="108"/>
      <c r="D104" s="108"/>
      <c r="E104" s="108"/>
      <c r="F104" s="108"/>
      <c r="G104" s="108"/>
      <c r="H104" s="108"/>
      <c r="I104" s="108"/>
      <c r="J104" s="108"/>
      <c r="K104" s="108"/>
      <c r="L104" s="108"/>
      <c r="M104" s="108"/>
      <c r="N104" s="108"/>
      <c r="O104" s="108"/>
      <c r="P104" s="108"/>
      <c r="Q104" s="108"/>
      <c r="R104" s="108"/>
      <c r="S104" s="108"/>
      <c r="T104" s="108"/>
      <c r="V104" s="108"/>
      <c r="W104" s="108"/>
    </row>
    <row r="105" spans="1:23" x14ac:dyDescent="0.2">
      <c r="A105" s="980"/>
      <c r="B105" s="108"/>
      <c r="C105" s="108"/>
      <c r="D105" s="108"/>
      <c r="E105" s="108"/>
      <c r="F105" s="108"/>
      <c r="G105" s="108"/>
      <c r="H105" s="108"/>
      <c r="I105" s="108"/>
      <c r="J105" s="108"/>
      <c r="K105" s="108"/>
      <c r="L105" s="108"/>
      <c r="M105" s="108"/>
      <c r="N105" s="108"/>
      <c r="O105" s="108"/>
      <c r="P105" s="108"/>
      <c r="Q105" s="108"/>
      <c r="R105" s="108"/>
      <c r="S105" s="108"/>
      <c r="T105" s="108"/>
      <c r="V105" s="108"/>
      <c r="W105" s="108"/>
    </row>
    <row r="106" spans="1:23" x14ac:dyDescent="0.2">
      <c r="A106" s="980"/>
      <c r="B106" s="108"/>
      <c r="C106" s="108"/>
      <c r="D106" s="108"/>
      <c r="E106" s="108"/>
      <c r="F106" s="108"/>
      <c r="G106" s="108"/>
      <c r="H106" s="108"/>
      <c r="I106" s="108"/>
      <c r="J106" s="108"/>
      <c r="K106" s="108"/>
      <c r="L106" s="108"/>
      <c r="M106" s="108"/>
      <c r="N106" s="108"/>
      <c r="O106" s="108"/>
      <c r="P106" s="108"/>
      <c r="Q106" s="108"/>
      <c r="R106" s="108"/>
      <c r="S106" s="108"/>
      <c r="T106" s="108"/>
      <c r="V106" s="108"/>
      <c r="W106" s="108"/>
    </row>
    <row r="107" spans="1:23" x14ac:dyDescent="0.2">
      <c r="A107" s="980"/>
      <c r="B107" s="108"/>
      <c r="C107" s="108"/>
      <c r="D107" s="108"/>
      <c r="E107" s="108"/>
      <c r="F107" s="108"/>
      <c r="G107" s="108"/>
      <c r="H107" s="108"/>
      <c r="I107" s="108"/>
      <c r="J107" s="108"/>
      <c r="K107" s="108"/>
      <c r="L107" s="108"/>
      <c r="M107" s="108"/>
      <c r="N107" s="108"/>
      <c r="O107" s="108"/>
      <c r="P107" s="108"/>
      <c r="Q107" s="108"/>
      <c r="R107" s="108"/>
      <c r="S107" s="108"/>
      <c r="T107" s="108"/>
      <c r="V107" s="108"/>
      <c r="W107" s="108"/>
    </row>
    <row r="108" spans="1:23" x14ac:dyDescent="0.2">
      <c r="A108" s="980"/>
      <c r="B108" s="108"/>
      <c r="C108" s="108"/>
      <c r="D108" s="108"/>
      <c r="E108" s="108"/>
      <c r="F108" s="108"/>
      <c r="G108" s="108"/>
      <c r="H108" s="108"/>
      <c r="I108" s="108"/>
      <c r="J108" s="108"/>
      <c r="K108" s="108"/>
      <c r="L108" s="108"/>
      <c r="M108" s="108"/>
      <c r="N108" s="108"/>
      <c r="O108" s="108"/>
      <c r="P108" s="108"/>
      <c r="Q108" s="108"/>
      <c r="R108" s="108"/>
      <c r="S108" s="108"/>
      <c r="T108" s="108"/>
      <c r="V108" s="108"/>
      <c r="W108" s="108"/>
    </row>
    <row r="109" spans="1:23" x14ac:dyDescent="0.2">
      <c r="A109" s="980"/>
      <c r="B109" s="108"/>
      <c r="C109" s="108"/>
      <c r="D109" s="108"/>
      <c r="E109" s="108"/>
      <c r="F109" s="108"/>
      <c r="G109" s="108"/>
      <c r="H109" s="108"/>
      <c r="I109" s="108"/>
      <c r="J109" s="108"/>
      <c r="K109" s="108"/>
      <c r="L109" s="108"/>
      <c r="M109" s="108"/>
      <c r="N109" s="108"/>
      <c r="O109" s="108"/>
      <c r="P109" s="108"/>
      <c r="Q109" s="108"/>
      <c r="R109" s="108"/>
      <c r="S109" s="108"/>
      <c r="T109" s="108"/>
      <c r="V109" s="108"/>
      <c r="W109" s="108"/>
    </row>
    <row r="110" spans="1:23" x14ac:dyDescent="0.2">
      <c r="A110" s="980"/>
      <c r="B110" s="108"/>
      <c r="C110" s="108"/>
      <c r="D110" s="108"/>
      <c r="E110" s="108"/>
      <c r="F110" s="108"/>
      <c r="G110" s="108"/>
      <c r="H110" s="108"/>
      <c r="I110" s="108"/>
      <c r="J110" s="108"/>
      <c r="K110" s="108"/>
      <c r="L110" s="108"/>
      <c r="M110" s="108"/>
      <c r="N110" s="108"/>
      <c r="O110" s="108"/>
      <c r="P110" s="108"/>
      <c r="Q110" s="108"/>
      <c r="R110" s="108"/>
      <c r="S110" s="108"/>
      <c r="T110" s="108"/>
      <c r="V110" s="108"/>
      <c r="W110" s="108"/>
    </row>
  </sheetData>
  <sheetProtection algorithmName="SHA-512" hashValue="zbWUj12RD6a/3yLbT58nNOe35Kzkam4KhCUr4SUXDKIq2A04izm6vEnPVAjtFZZHm3wg+Qi/RDbhP6ttXemlDA==" saltValue="q3AG6f1hyKHoC8L/K+I2hA==" spinCount="100000" sheet="1" objects="1" scenarios="1"/>
  <mergeCells count="15">
    <mergeCell ref="M85:N85"/>
    <mergeCell ref="K23:L23"/>
    <mergeCell ref="H23:I23"/>
    <mergeCell ref="B26:D26"/>
    <mergeCell ref="B27:D27"/>
    <mergeCell ref="B28:D28"/>
    <mergeCell ref="B29:D29"/>
    <mergeCell ref="A69:A110"/>
    <mergeCell ref="B7:C7"/>
    <mergeCell ref="D7:E7"/>
    <mergeCell ref="B8:C8"/>
    <mergeCell ref="D8:E8"/>
    <mergeCell ref="B10:F12"/>
    <mergeCell ref="B23:C23"/>
    <mergeCell ref="E23:F23"/>
  </mergeCells>
  <hyperlinks>
    <hyperlink ref="U6" location="HKXS!A70" tooltip=" " display="HKXS!A70" xr:uid="{F7127398-298A-47B8-B34B-E28FDB3D6C97}"/>
    <hyperlink ref="M85" location="HF!A1" tooltip=" " display="HF!A1" xr:uid="{2704673F-28F3-4C15-B659-7E4298B4EBD2}"/>
    <hyperlink ref="M85:N85" location="HKXS!A1" tooltip=" " display="HKXS!A1" xr:uid="{9076198D-65BA-4829-BBD8-5F6BED23994E}"/>
    <hyperlink ref="B23:C23" location="HKXSw!A1" tooltip=" " display="HKXSw!A1" xr:uid="{5F9F81D3-9618-4FD5-B1DA-C53B47BB264B}"/>
    <hyperlink ref="E23:F23" location="HKXSwa!A1" tooltip=" " display="HKXSwa!A1" xr:uid="{83531C90-96DD-4A71-83B0-7E63EA3978AE}"/>
    <hyperlink ref="H23:I23" location="HKXSna!A1" tooltip=" " display="HKXSna!A1" xr:uid="{BD03B95A-B9D0-485C-97A4-29103E686219}"/>
    <hyperlink ref="K23:L23" location="HKXSt!A1" tooltip=" " display="HKXSt!A1" xr:uid="{AECAB593-717B-4930-92AA-4974FB7DB4D2}"/>
    <hyperlink ref="U10" location="SumAVS!A1" tooltip=" " display="SumAVS!A1" xr:uid="{7F8EBE7F-E6BE-4A0D-8340-0456A2121A8A}"/>
    <hyperlink ref="U11" location="OrdAVS!A1" tooltip=" " display="OrdAVS!A1" xr:uid="{DC13D454-3175-45E8-9986-400BFDB971CE}"/>
    <hyperlink ref="U8" location="AcsAVS!A1" tooltip=" " display="AcsAVS!A1" xr:uid="{2180EA0D-1094-49BC-8240-D46EA66BBC35}"/>
    <hyperlink ref="U5" location="MenuAVS!A1" tooltip=" " display="MenuAVS!A1" xr:uid="{9822BA47-3A38-4455-8338-3B21E34E0434}"/>
  </hyperlinks>
  <pageMargins left="0.7" right="0.7" top="0.78740157499999996" bottom="0.78740157499999996" header="0.3" footer="0.3"/>
  <pageSetup paperSize="9" orientation="portrait" horizontalDpi="4294967293"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54625" r:id="rId4" name="Drop Down 1">
              <controlPr defaultSize="0" autoLine="0" autoPict="0">
                <anchor moveWithCells="1">
                  <from>
                    <xdr:col>4</xdr:col>
                    <xdr:colOff>0</xdr:colOff>
                    <xdr:row>25</xdr:row>
                    <xdr:rowOff>0</xdr:rowOff>
                  </from>
                  <to>
                    <xdr:col>5</xdr:col>
                    <xdr:colOff>209550</xdr:colOff>
                    <xdr:row>26</xdr:row>
                    <xdr:rowOff>0</xdr:rowOff>
                  </to>
                </anchor>
              </controlPr>
            </control>
          </mc:Choice>
        </mc:AlternateContent>
        <mc:AlternateContent xmlns:mc="http://schemas.openxmlformats.org/markup-compatibility/2006">
          <mc:Choice Requires="x14">
            <control shapeId="154626" r:id="rId5" name="Drop Down 2">
              <controlPr defaultSize="0" autoLine="0" autoPict="0">
                <anchor moveWithCells="1">
                  <from>
                    <xdr:col>4</xdr:col>
                    <xdr:colOff>0</xdr:colOff>
                    <xdr:row>26</xdr:row>
                    <xdr:rowOff>0</xdr:rowOff>
                  </from>
                  <to>
                    <xdr:col>5</xdr:col>
                    <xdr:colOff>209550</xdr:colOff>
                    <xdr:row>27</xdr:row>
                    <xdr:rowOff>0</xdr:rowOff>
                  </to>
                </anchor>
              </controlPr>
            </control>
          </mc:Choice>
        </mc:AlternateContent>
        <mc:AlternateContent xmlns:mc="http://schemas.openxmlformats.org/markup-compatibility/2006">
          <mc:Choice Requires="x14">
            <control shapeId="154627" r:id="rId6" name="Drop Down 3">
              <controlPr defaultSize="0" autoLine="0" autoPict="0">
                <anchor moveWithCells="1">
                  <from>
                    <xdr:col>4</xdr:col>
                    <xdr:colOff>0</xdr:colOff>
                    <xdr:row>27</xdr:row>
                    <xdr:rowOff>0</xdr:rowOff>
                  </from>
                  <to>
                    <xdr:col>5</xdr:col>
                    <xdr:colOff>209550</xdr:colOff>
                    <xdr:row>28</xdr:row>
                    <xdr:rowOff>0</xdr:rowOff>
                  </to>
                </anchor>
              </controlPr>
            </control>
          </mc:Choice>
        </mc:AlternateContent>
        <mc:AlternateContent xmlns:mc="http://schemas.openxmlformats.org/markup-compatibility/2006">
          <mc:Choice Requires="x14">
            <control shapeId="154628" r:id="rId7" name="Drop Down 4">
              <controlPr defaultSize="0" autoLine="0" autoPict="0">
                <anchor moveWithCells="1">
                  <from>
                    <xdr:col>4</xdr:col>
                    <xdr:colOff>0</xdr:colOff>
                    <xdr:row>28</xdr:row>
                    <xdr:rowOff>0</xdr:rowOff>
                  </from>
                  <to>
                    <xdr:col>5</xdr:col>
                    <xdr:colOff>209550</xdr:colOff>
                    <xdr:row>29</xdr:row>
                    <xdr:rowOff>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3DB2A-78F7-4061-8D9F-303E02465583}">
  <sheetPr codeName="Sheet14"/>
  <dimension ref="A1:AC110"/>
  <sheetViews>
    <sheetView showGridLines="0" showRowColHeaders="0" zoomScaleNormal="100" workbookViewId="0">
      <selection activeCell="H23" sqref="H23:I23"/>
    </sheetView>
  </sheetViews>
  <sheetFormatPr defaultColWidth="8.7109375" defaultRowHeight="12" x14ac:dyDescent="0.2"/>
  <cols>
    <col min="1" max="1" width="2.7109375" style="36" customWidth="1"/>
    <col min="2" max="3" width="10.42578125" style="36" customWidth="1"/>
    <col min="4" max="4" width="3.7109375" style="36" customWidth="1"/>
    <col min="5" max="5" width="12.7109375" style="36" customWidth="1"/>
    <col min="6" max="6" width="12" style="36" customWidth="1"/>
    <col min="7" max="7" width="3.7109375" style="36" customWidth="1"/>
    <col min="8" max="8" width="10.42578125" style="36" customWidth="1"/>
    <col min="9" max="9" width="11.85546875" style="36" customWidth="1"/>
    <col min="10" max="10" width="3.7109375" style="36" customWidth="1"/>
    <col min="11" max="12" width="10.42578125" style="36" customWidth="1"/>
    <col min="13" max="19" width="8.28515625" style="36" hidden="1" customWidth="1"/>
    <col min="20" max="20" width="8.7109375" style="36"/>
    <col min="21" max="21" width="20.7109375" style="108" customWidth="1"/>
    <col min="22" max="16384" width="8.7109375" style="36"/>
  </cols>
  <sheetData>
    <row r="1" spans="1:23" x14ac:dyDescent="0.2">
      <c r="A1" s="108"/>
      <c r="B1" s="108"/>
      <c r="C1" s="108"/>
      <c r="D1" s="108"/>
      <c r="E1" s="108"/>
      <c r="F1" s="108"/>
      <c r="G1" s="108"/>
      <c r="H1" s="108"/>
      <c r="I1" s="108"/>
      <c r="J1" s="108"/>
      <c r="K1" s="108"/>
      <c r="L1" s="108"/>
      <c r="M1" s="108"/>
      <c r="N1" s="108"/>
      <c r="O1" s="108"/>
      <c r="P1" s="108"/>
      <c r="Q1" s="108"/>
      <c r="R1" s="108"/>
      <c r="S1" s="108"/>
      <c r="T1" s="108"/>
      <c r="V1" s="108"/>
      <c r="W1" s="108"/>
    </row>
    <row r="2" spans="1:23" ht="6" customHeight="1" thickBot="1" x14ac:dyDescent="0.25">
      <c r="A2" s="108"/>
      <c r="B2" s="303"/>
      <c r="C2" s="305"/>
      <c r="D2" s="303"/>
      <c r="E2" s="303"/>
      <c r="F2" s="303"/>
      <c r="G2" s="303"/>
      <c r="H2" s="303"/>
      <c r="I2" s="303"/>
      <c r="J2" s="303"/>
      <c r="K2" s="303"/>
      <c r="L2" s="303"/>
      <c r="M2" s="306"/>
      <c r="N2" s="108"/>
      <c r="O2" s="108"/>
      <c r="P2" s="108"/>
      <c r="Q2" s="108"/>
      <c r="R2" s="108"/>
      <c r="S2" s="108"/>
      <c r="T2" s="108"/>
      <c r="V2" s="108"/>
      <c r="W2" s="108"/>
    </row>
    <row r="3" spans="1:23" ht="18" customHeight="1" thickBot="1" x14ac:dyDescent="0.25">
      <c r="A3" s="108"/>
      <c r="B3" s="304" t="s">
        <v>637</v>
      </c>
      <c r="C3" s="305"/>
      <c r="D3" s="303"/>
      <c r="E3" s="303"/>
      <c r="F3" s="303"/>
      <c r="G3" s="303"/>
      <c r="H3" s="303"/>
      <c r="I3" s="303"/>
      <c r="J3" s="303"/>
      <c r="K3" s="303"/>
      <c r="L3" s="303"/>
      <c r="M3" s="306"/>
      <c r="N3" s="108"/>
      <c r="O3" s="108"/>
      <c r="P3" s="108"/>
      <c r="Q3" s="108"/>
      <c r="R3" s="108"/>
      <c r="S3" s="108"/>
      <c r="T3" s="108"/>
      <c r="U3" s="226" t="str">
        <f>ListAVS!$B$153</f>
        <v>Przejdź do</v>
      </c>
      <c r="V3" s="108"/>
      <c r="W3" s="108"/>
    </row>
    <row r="4" spans="1:23" ht="4.5" customHeight="1" x14ac:dyDescent="0.2">
      <c r="A4" s="108"/>
      <c r="B4" s="303"/>
      <c r="C4" s="303"/>
      <c r="D4" s="303"/>
      <c r="E4" s="303"/>
      <c r="F4" s="303"/>
      <c r="G4" s="303"/>
      <c r="H4" s="303"/>
      <c r="I4" s="303"/>
      <c r="J4" s="303"/>
      <c r="K4" s="303"/>
      <c r="L4" s="303"/>
      <c r="M4" s="306"/>
      <c r="N4" s="108"/>
      <c r="O4" s="108"/>
      <c r="P4" s="108"/>
      <c r="Q4" s="108"/>
      <c r="R4" s="108"/>
      <c r="S4" s="108"/>
      <c r="T4" s="108"/>
      <c r="V4" s="108"/>
      <c r="W4" s="108"/>
    </row>
    <row r="5" spans="1:23" ht="15" customHeight="1" thickBot="1" x14ac:dyDescent="0.25">
      <c r="A5" s="670"/>
      <c r="B5" s="670"/>
      <c r="C5" s="670"/>
      <c r="D5" s="670"/>
      <c r="E5" s="670"/>
      <c r="F5" s="670"/>
      <c r="G5" s="670"/>
      <c r="H5" s="670"/>
      <c r="I5" s="670"/>
      <c r="J5" s="670"/>
      <c r="K5" s="670"/>
      <c r="L5" s="670"/>
      <c r="M5" s="670"/>
      <c r="N5" s="670"/>
      <c r="O5" s="670"/>
      <c r="P5" s="670"/>
      <c r="Q5" s="670"/>
      <c r="R5" s="670"/>
      <c r="S5" s="670"/>
      <c r="T5" s="670"/>
      <c r="U5" s="383" t="str">
        <f>" "&amp;ListAVS!$B$154</f>
        <v xml:space="preserve"> Wprowadzenie do planowania</v>
      </c>
      <c r="V5" s="108"/>
      <c r="W5" s="108"/>
    </row>
    <row r="6" spans="1:23" ht="15" customHeight="1" x14ac:dyDescent="0.2">
      <c r="A6" s="670"/>
      <c r="B6" s="670"/>
      <c r="C6" s="670"/>
      <c r="D6" s="670"/>
      <c r="E6" s="670"/>
      <c r="F6" s="670"/>
      <c r="G6" s="670"/>
      <c r="H6" s="670"/>
      <c r="I6" s="670"/>
      <c r="J6" s="670"/>
      <c r="K6" s="670"/>
      <c r="L6" s="670"/>
      <c r="M6" s="670"/>
      <c r="N6" s="670"/>
      <c r="O6" s="670"/>
      <c r="P6" s="670"/>
      <c r="Q6" s="670"/>
      <c r="R6" s="670"/>
      <c r="S6" s="670"/>
      <c r="T6" s="670"/>
      <c r="U6" s="634" t="str">
        <f>" "&amp;ListAVS!$B$155</f>
        <v xml:space="preserve"> Pomoc</v>
      </c>
      <c r="V6" s="108"/>
      <c r="W6" s="108"/>
    </row>
    <row r="7" spans="1:23" ht="15" customHeight="1" x14ac:dyDescent="0.2">
      <c r="A7" s="670"/>
      <c r="B7" s="1036" t="str">
        <f>ListAVS!$B$74&amp;" (KB) "</f>
        <v xml:space="preserve">Szerokość korpusu (KB) </v>
      </c>
      <c r="C7" s="1036"/>
      <c r="D7" s="1037" t="str">
        <f>" "&amp;ListAVS!$B$171&amp;" 1800 mm *"</f>
        <v xml:space="preserve"> do 1800 mm *</v>
      </c>
      <c r="E7" s="1037"/>
      <c r="F7" s="670"/>
      <c r="G7" s="670"/>
      <c r="H7" s="670"/>
      <c r="I7" s="670"/>
      <c r="J7" s="670"/>
      <c r="K7" s="670"/>
      <c r="L7" s="670"/>
      <c r="M7" s="670"/>
      <c r="N7" s="670"/>
      <c r="O7" s="670"/>
      <c r="P7" s="670"/>
      <c r="Q7" s="670"/>
      <c r="R7" s="670"/>
      <c r="S7" s="670"/>
      <c r="T7" s="670"/>
      <c r="U7" s="891"/>
      <c r="V7" s="108"/>
      <c r="W7" s="108"/>
    </row>
    <row r="8" spans="1:23" ht="15" customHeight="1" x14ac:dyDescent="0.2">
      <c r="A8" s="670"/>
      <c r="B8" s="1036" t="str">
        <f>ListAVS!$B$75&amp;" (KH) "</f>
        <v xml:space="preserve">Wysokość korpusu (KH) </v>
      </c>
      <c r="C8" s="1036"/>
      <c r="D8" s="1037" t="s">
        <v>639</v>
      </c>
      <c r="E8" s="1037"/>
      <c r="F8" s="670"/>
      <c r="G8" s="670"/>
      <c r="H8" s="670"/>
      <c r="I8" s="670"/>
      <c r="J8" s="670"/>
      <c r="K8" s="670"/>
      <c r="L8" s="670"/>
      <c r="M8" s="670"/>
      <c r="N8" s="670"/>
      <c r="O8" s="670"/>
      <c r="P8" s="670"/>
      <c r="Q8" s="670"/>
      <c r="R8" s="670"/>
      <c r="S8" s="670"/>
      <c r="T8" s="670"/>
      <c r="U8" s="675" t="s">
        <v>636</v>
      </c>
      <c r="V8" s="108"/>
      <c r="W8" s="108"/>
    </row>
    <row r="9" spans="1:23" ht="15" customHeight="1" x14ac:dyDescent="0.2">
      <c r="A9" s="670"/>
      <c r="B9" s="670"/>
      <c r="C9" s="670"/>
      <c r="D9" s="670"/>
      <c r="E9" s="670"/>
      <c r="F9" s="670"/>
      <c r="G9" s="670"/>
      <c r="H9" s="670"/>
      <c r="I9" s="670"/>
      <c r="J9" s="670"/>
      <c r="K9" s="670"/>
      <c r="L9" s="670"/>
      <c r="M9" s="670"/>
      <c r="N9" s="670"/>
      <c r="O9" s="670"/>
      <c r="P9" s="670"/>
      <c r="Q9" s="670"/>
      <c r="R9" s="670"/>
      <c r="S9" s="670"/>
      <c r="T9" s="670"/>
      <c r="U9" s="671"/>
      <c r="V9" s="108"/>
      <c r="W9" s="108"/>
    </row>
    <row r="10" spans="1:23" ht="15" customHeight="1" thickBot="1" x14ac:dyDescent="0.25">
      <c r="A10" s="670"/>
      <c r="B10" s="1020" t="str">
        <f>"* "&amp;ListAVS!$B$233</f>
        <v>* Wszystko zależy od współczynnika mocy</v>
      </c>
      <c r="C10" s="1020"/>
      <c r="D10" s="1020"/>
      <c r="E10" s="1020"/>
      <c r="F10" s="1020"/>
      <c r="G10" s="794"/>
      <c r="H10" s="670"/>
      <c r="I10" s="670"/>
      <c r="J10" s="670"/>
      <c r="K10" s="670"/>
      <c r="L10" s="670"/>
      <c r="M10" s="670"/>
      <c r="N10" s="670"/>
      <c r="O10" s="670"/>
      <c r="P10" s="670"/>
      <c r="Q10" s="670"/>
      <c r="R10" s="670"/>
      <c r="S10" s="670"/>
      <c r="T10" s="670"/>
      <c r="U10" s="383" t="str">
        <f>" "&amp;ListAVS!$B$157</f>
        <v xml:space="preserve"> Rodzaje korpusów</v>
      </c>
      <c r="V10" s="108"/>
      <c r="W10" s="108"/>
    </row>
    <row r="11" spans="1:23" ht="15" customHeight="1" thickBot="1" x14ac:dyDescent="0.25">
      <c r="A11" s="670"/>
      <c r="B11" s="1020"/>
      <c r="C11" s="1020"/>
      <c r="D11" s="1020"/>
      <c r="E11" s="1020"/>
      <c r="F11" s="1020"/>
      <c r="G11" s="794"/>
      <c r="H11" s="670"/>
      <c r="I11" s="670"/>
      <c r="J11" s="670"/>
      <c r="K11" s="670"/>
      <c r="L11" s="670"/>
      <c r="M11" s="670"/>
      <c r="N11" s="670"/>
      <c r="O11" s="670"/>
      <c r="P11" s="670"/>
      <c r="Q11" s="670"/>
      <c r="R11" s="670"/>
      <c r="S11" s="670"/>
      <c r="T11" s="670"/>
      <c r="U11" s="383" t="str">
        <f>" "&amp;ListAVS!$B$158</f>
        <v xml:space="preserve"> Zamówienie</v>
      </c>
      <c r="V11" s="108"/>
      <c r="W11" s="108"/>
    </row>
    <row r="12" spans="1:23" ht="15" customHeight="1" x14ac:dyDescent="0.2">
      <c r="A12" s="670"/>
      <c r="B12" s="1020"/>
      <c r="C12" s="1020"/>
      <c r="D12" s="1020"/>
      <c r="E12" s="1020"/>
      <c r="F12" s="1020"/>
      <c r="G12" s="794"/>
      <c r="H12" s="670"/>
      <c r="I12" s="670"/>
      <c r="J12" s="670"/>
      <c r="K12" s="670"/>
      <c r="L12" s="670"/>
      <c r="M12" s="670"/>
      <c r="N12" s="670"/>
      <c r="O12" s="670"/>
      <c r="P12" s="670"/>
      <c r="Q12" s="670"/>
      <c r="R12" s="670"/>
      <c r="S12" s="670"/>
      <c r="T12" s="670"/>
      <c r="U12" s="891"/>
      <c r="V12" s="108"/>
      <c r="W12" s="108"/>
    </row>
    <row r="13" spans="1:23" ht="15" customHeight="1" x14ac:dyDescent="0.2">
      <c r="A13" s="670"/>
      <c r="B13" s="794"/>
      <c r="C13" s="794"/>
      <c r="D13" s="794"/>
      <c r="E13" s="794"/>
      <c r="F13" s="794"/>
      <c r="G13" s="794"/>
      <c r="H13" s="670"/>
      <c r="I13" s="670"/>
      <c r="J13" s="670"/>
      <c r="K13" s="670"/>
      <c r="L13" s="670"/>
      <c r="M13" s="670"/>
      <c r="N13" s="670"/>
      <c r="O13" s="670"/>
      <c r="P13" s="670"/>
      <c r="Q13" s="670"/>
      <c r="R13" s="670"/>
      <c r="S13" s="670"/>
      <c r="T13" s="670"/>
      <c r="U13" s="891"/>
      <c r="V13" s="108"/>
      <c r="W13" s="108"/>
    </row>
    <row r="14" spans="1:23" ht="15" customHeight="1" x14ac:dyDescent="0.2">
      <c r="A14" s="670"/>
      <c r="B14" s="794"/>
      <c r="C14" s="794"/>
      <c r="D14" s="794"/>
      <c r="E14" s="794"/>
      <c r="F14" s="794"/>
      <c r="G14" s="794"/>
      <c r="H14" s="670"/>
      <c r="I14" s="670"/>
      <c r="J14" s="670"/>
      <c r="K14" s="670"/>
      <c r="L14" s="670"/>
      <c r="M14" s="670"/>
      <c r="N14" s="670"/>
      <c r="O14" s="670"/>
      <c r="P14" s="670"/>
      <c r="Q14" s="670"/>
      <c r="R14" s="670"/>
      <c r="S14" s="670"/>
      <c r="T14" s="670"/>
      <c r="U14" s="892"/>
      <c r="V14" s="108"/>
      <c r="W14" s="108"/>
    </row>
    <row r="15" spans="1:23" ht="15" customHeight="1" x14ac:dyDescent="0.2">
      <c r="A15" s="670"/>
      <c r="B15" s="794"/>
      <c r="C15" s="794"/>
      <c r="D15" s="794"/>
      <c r="E15" s="794"/>
      <c r="F15" s="794"/>
      <c r="G15" s="794"/>
      <c r="H15" s="670"/>
      <c r="I15" s="670"/>
      <c r="J15" s="670"/>
      <c r="K15" s="670"/>
      <c r="L15" s="670"/>
      <c r="M15" s="670"/>
      <c r="N15" s="670"/>
      <c r="O15" s="670"/>
      <c r="P15" s="670"/>
      <c r="Q15" s="670"/>
      <c r="R15" s="670"/>
      <c r="S15" s="670"/>
      <c r="T15" s="670"/>
      <c r="U15" s="671"/>
      <c r="V15" s="108"/>
      <c r="W15" s="108"/>
    </row>
    <row r="16" spans="1:23" ht="15" customHeight="1" x14ac:dyDescent="0.2">
      <c r="A16" s="670"/>
      <c r="B16" s="670"/>
      <c r="C16" s="670"/>
      <c r="D16" s="670"/>
      <c r="E16" s="670"/>
      <c r="F16" s="670"/>
      <c r="G16" s="670"/>
      <c r="H16" s="670"/>
      <c r="I16" s="670"/>
      <c r="J16" s="670"/>
      <c r="K16" s="670"/>
      <c r="L16" s="670"/>
      <c r="M16" s="670"/>
      <c r="N16" s="670"/>
      <c r="O16" s="670"/>
      <c r="P16" s="670"/>
      <c r="Q16" s="670"/>
      <c r="R16" s="670"/>
      <c r="S16" s="670"/>
      <c r="T16" s="670"/>
      <c r="V16" s="108"/>
      <c r="W16" s="108"/>
    </row>
    <row r="17" spans="1:23" ht="15" customHeight="1" x14ac:dyDescent="0.2">
      <c r="A17" s="670"/>
      <c r="B17" s="670"/>
      <c r="C17" s="670"/>
      <c r="D17" s="670"/>
      <c r="E17" s="670"/>
      <c r="F17" s="670"/>
      <c r="G17" s="670"/>
      <c r="H17" s="670"/>
      <c r="I17" s="670"/>
      <c r="J17" s="670"/>
      <c r="K17" s="670"/>
      <c r="L17" s="670"/>
      <c r="M17" s="670"/>
      <c r="N17" s="670"/>
      <c r="O17" s="670"/>
      <c r="P17" s="670"/>
      <c r="Q17" s="670"/>
      <c r="R17" s="670"/>
      <c r="S17" s="670"/>
      <c r="T17" s="670"/>
      <c r="V17" s="108"/>
      <c r="W17" s="108"/>
    </row>
    <row r="18" spans="1:23" ht="15" customHeight="1" x14ac:dyDescent="0.2">
      <c r="A18" s="670"/>
      <c r="B18" s="670"/>
      <c r="C18" s="670"/>
      <c r="D18" s="670"/>
      <c r="E18" s="670"/>
      <c r="F18" s="670"/>
      <c r="G18" s="670"/>
      <c r="H18" s="670"/>
      <c r="I18" s="670"/>
      <c r="J18" s="670"/>
      <c r="K18" s="670"/>
      <c r="L18" s="670"/>
      <c r="M18" s="670"/>
      <c r="N18" s="670"/>
      <c r="O18" s="670"/>
      <c r="P18" s="670"/>
      <c r="Q18" s="670"/>
      <c r="R18" s="670"/>
      <c r="S18" s="670"/>
      <c r="T18" s="670"/>
      <c r="V18" s="108"/>
      <c r="W18" s="108"/>
    </row>
    <row r="19" spans="1:23" ht="15" customHeight="1" x14ac:dyDescent="0.2">
      <c r="A19" s="670"/>
      <c r="B19" s="670"/>
      <c r="C19" s="670"/>
      <c r="D19" s="670"/>
      <c r="E19" s="670"/>
      <c r="F19" s="670"/>
      <c r="G19" s="670"/>
      <c r="H19" s="670"/>
      <c r="I19" s="670"/>
      <c r="J19" s="670"/>
      <c r="K19" s="670"/>
      <c r="L19" s="670"/>
      <c r="M19" s="670"/>
      <c r="N19" s="670"/>
      <c r="O19" s="670"/>
      <c r="P19" s="670"/>
      <c r="Q19" s="670"/>
      <c r="R19" s="670"/>
      <c r="S19" s="670"/>
      <c r="T19" s="670"/>
      <c r="V19" s="108"/>
      <c r="W19" s="108"/>
    </row>
    <row r="20" spans="1:23" ht="15" customHeight="1" x14ac:dyDescent="0.2">
      <c r="A20" s="670"/>
      <c r="B20" s="670"/>
      <c r="C20" s="670"/>
      <c r="D20" s="670"/>
      <c r="E20" s="670"/>
      <c r="F20" s="670"/>
      <c r="G20" s="670"/>
      <c r="H20" s="670"/>
      <c r="I20" s="670"/>
      <c r="J20" s="670"/>
      <c r="K20" s="670"/>
      <c r="L20" s="670"/>
      <c r="M20" s="670"/>
      <c r="N20" s="670"/>
      <c r="O20" s="670"/>
      <c r="P20" s="670"/>
      <c r="Q20" s="670"/>
      <c r="R20" s="670"/>
      <c r="S20" s="670"/>
      <c r="T20" s="670"/>
      <c r="U20" s="670"/>
      <c r="V20" s="108"/>
      <c r="W20" s="108"/>
    </row>
    <row r="21" spans="1:23" ht="15" customHeight="1" x14ac:dyDescent="0.2">
      <c r="A21" s="670"/>
      <c r="B21" s="670"/>
      <c r="C21" s="670"/>
      <c r="D21" s="670"/>
      <c r="E21" s="670"/>
      <c r="F21" s="670"/>
      <c r="G21" s="670"/>
      <c r="H21" s="670"/>
      <c r="I21" s="670"/>
      <c r="J21" s="670"/>
      <c r="K21" s="670"/>
      <c r="L21" s="670"/>
      <c r="M21" s="670"/>
      <c r="N21" s="670"/>
      <c r="O21" s="670"/>
      <c r="P21" s="670"/>
      <c r="Q21" s="670"/>
      <c r="R21" s="670"/>
      <c r="S21" s="670"/>
      <c r="T21" s="670"/>
      <c r="U21" s="670"/>
      <c r="V21" s="108"/>
      <c r="W21" s="108"/>
    </row>
    <row r="22" spans="1:23" ht="5.25" customHeight="1" x14ac:dyDescent="0.2">
      <c r="A22" s="670"/>
      <c r="B22" s="670"/>
      <c r="C22" s="670"/>
      <c r="D22" s="670"/>
      <c r="E22" s="670"/>
      <c r="F22" s="670"/>
      <c r="G22" s="670"/>
      <c r="H22" s="670"/>
      <c r="I22" s="670"/>
      <c r="J22" s="670"/>
      <c r="K22" s="670"/>
      <c r="L22" s="670"/>
      <c r="M22" s="670"/>
      <c r="N22" s="670"/>
      <c r="O22" s="670"/>
      <c r="P22" s="670"/>
      <c r="Q22" s="670"/>
      <c r="R22" s="670"/>
      <c r="S22" s="670"/>
      <c r="T22" s="670"/>
      <c r="U22" s="670"/>
      <c r="V22" s="108"/>
      <c r="W22" s="108"/>
    </row>
    <row r="23" spans="1:23" ht="15" customHeight="1" x14ac:dyDescent="0.2">
      <c r="A23" s="670"/>
      <c r="B23" s="1038" t="str">
        <f>ListAVS!$B$17</f>
        <v>Front drewniany</v>
      </c>
      <c r="C23" s="1038"/>
      <c r="D23" s="677"/>
      <c r="E23" s="1042" t="str">
        <f>ListAVS!$B$20</f>
        <v>Szeroka ramka aluminiowa</v>
      </c>
      <c r="F23" s="1042"/>
      <c r="G23" s="677"/>
      <c r="H23" s="1038" t="str">
        <f>ListAVS!$B$22</f>
        <v>Wąska ramka aluminiowa</v>
      </c>
      <c r="I23" s="1038"/>
      <c r="J23" s="677"/>
      <c r="K23" s="874"/>
      <c r="L23" s="874"/>
      <c r="M23" s="670"/>
      <c r="N23" s="670"/>
      <c r="O23" s="670"/>
      <c r="P23" s="670"/>
      <c r="Q23" s="670"/>
      <c r="R23" s="670"/>
      <c r="S23" s="670"/>
      <c r="T23" s="670"/>
      <c r="U23" s="670"/>
      <c r="V23" s="108"/>
      <c r="W23" s="108"/>
    </row>
    <row r="24" spans="1:23" ht="12.75" x14ac:dyDescent="0.2">
      <c r="A24" s="670"/>
      <c r="B24" s="670"/>
      <c r="C24" s="670"/>
      <c r="D24" s="670"/>
      <c r="E24" s="670"/>
      <c r="F24" s="670"/>
      <c r="G24" s="670"/>
      <c r="H24" s="670"/>
      <c r="I24" s="670"/>
      <c r="J24" s="670"/>
      <c r="K24" s="670"/>
      <c r="L24" s="670"/>
      <c r="M24" s="670"/>
      <c r="N24" s="670"/>
      <c r="O24" s="670"/>
      <c r="P24" s="670"/>
      <c r="Q24" s="670"/>
      <c r="R24" s="670"/>
      <c r="S24" s="670"/>
      <c r="T24" s="670"/>
      <c r="U24" s="670"/>
      <c r="V24" s="108"/>
      <c r="W24" s="108"/>
    </row>
    <row r="25" spans="1:23" ht="12.75" x14ac:dyDescent="0.2">
      <c r="A25" s="670"/>
      <c r="B25" s="670"/>
      <c r="C25" s="670"/>
      <c r="D25" s="670"/>
      <c r="E25" s="670"/>
      <c r="F25" s="670"/>
      <c r="G25" s="670"/>
      <c r="H25" s="670"/>
      <c r="I25" s="670"/>
      <c r="J25" s="670"/>
      <c r="K25" s="670"/>
      <c r="L25" s="670"/>
      <c r="M25" s="670"/>
      <c r="N25" s="670"/>
      <c r="O25" s="670"/>
      <c r="P25" s="670"/>
      <c r="Q25" s="670"/>
      <c r="R25" s="670"/>
      <c r="S25" s="670"/>
      <c r="T25" s="670"/>
      <c r="U25" s="670"/>
      <c r="V25" s="108"/>
      <c r="W25" s="108"/>
    </row>
    <row r="26" spans="1:23" ht="17.649999999999999" customHeight="1" x14ac:dyDescent="0.2">
      <c r="A26" s="670"/>
      <c r="B26" s="1033" t="str">
        <f>ListAVS!$B$428&amp;" "</f>
        <v xml:space="preserve">funkcja podnośnika </v>
      </c>
      <c r="C26" s="1034"/>
      <c r="D26" s="1035"/>
      <c r="E26" s="269"/>
      <c r="F26" s="266"/>
      <c r="G26" s="670"/>
      <c r="H26" s="670"/>
      <c r="I26" s="670"/>
      <c r="J26" s="670"/>
      <c r="K26" s="670"/>
      <c r="L26" s="670"/>
      <c r="M26" s="670"/>
      <c r="N26" s="523">
        <v>1</v>
      </c>
      <c r="O26" s="670"/>
      <c r="P26" s="670"/>
      <c r="Q26" s="523">
        <v>2</v>
      </c>
      <c r="R26" s="670"/>
      <c r="S26" s="670"/>
      <c r="T26" s="670"/>
      <c r="U26" s="670"/>
      <c r="V26" s="108"/>
      <c r="W26" s="108"/>
    </row>
    <row r="27" spans="1:23" ht="12.75" x14ac:dyDescent="0.2">
      <c r="A27" s="670"/>
      <c r="B27" s="670"/>
      <c r="C27" s="670"/>
      <c r="D27" s="670"/>
      <c r="E27" s="670"/>
      <c r="F27" s="670"/>
      <c r="G27" s="670"/>
      <c r="H27" s="670"/>
      <c r="I27" s="670"/>
      <c r="J27" s="670"/>
      <c r="K27" s="670"/>
      <c r="L27" s="670"/>
      <c r="M27" s="670"/>
      <c r="N27" s="879" t="str">
        <f>ListAVS!B428</f>
        <v>funkcja podnośnika</v>
      </c>
      <c r="O27" s="880"/>
      <c r="P27" s="880"/>
      <c r="Q27" s="879" t="s">
        <v>6</v>
      </c>
      <c r="R27" s="670"/>
      <c r="S27" s="670"/>
      <c r="T27" s="670"/>
      <c r="U27" s="670"/>
      <c r="V27" s="108"/>
      <c r="W27" s="108"/>
    </row>
    <row r="28" spans="1:23" ht="13.5" customHeight="1" x14ac:dyDescent="0.2">
      <c r="A28" s="670"/>
      <c r="B28" s="227"/>
      <c r="C28" s="227"/>
      <c r="D28" s="227"/>
      <c r="E28" s="670"/>
      <c r="F28" s="670"/>
      <c r="G28" s="670"/>
      <c r="H28" s="670"/>
      <c r="I28" s="670"/>
      <c r="J28" s="670"/>
      <c r="K28" s="670"/>
      <c r="L28" s="670"/>
      <c r="M28" s="670"/>
      <c r="N28" s="248" t="str">
        <f>ListAVS!B429</f>
        <v xml:space="preserve">w pełni zintegrowany </v>
      </c>
      <c r="O28" s="670"/>
      <c r="P28" s="670"/>
      <c r="Q28" s="255" t="str">
        <f>IF(MenuAVS!$P$28=3,ListAVS!$B146," ")</f>
        <v xml:space="preserve"> </v>
      </c>
      <c r="R28" s="670"/>
      <c r="S28" s="670"/>
      <c r="T28" s="670"/>
      <c r="U28" s="670"/>
      <c r="V28" s="108"/>
      <c r="W28" s="108"/>
    </row>
    <row r="29" spans="1:23" ht="16.5" customHeight="1" x14ac:dyDescent="0.2">
      <c r="A29" s="670"/>
      <c r="B29" s="794"/>
      <c r="C29" s="794"/>
      <c r="D29" s="794"/>
      <c r="E29" s="794"/>
      <c r="F29" s="794"/>
      <c r="G29" s="794"/>
      <c r="H29" s="670"/>
      <c r="I29" s="670"/>
      <c r="J29" s="670"/>
      <c r="K29" s="670"/>
      <c r="L29" s="670"/>
      <c r="M29" s="670"/>
      <c r="N29" s="248" t="str">
        <f>ListAVS!B430</f>
        <v>częściowo zintegrowany (z zaślepką )</v>
      </c>
      <c r="O29" s="670"/>
      <c r="P29" s="670"/>
      <c r="Q29" s="255" t="str">
        <f>IF(MenuAVS!$P$28=3,ListAVS!$B148," ")</f>
        <v xml:space="preserve"> </v>
      </c>
      <c r="R29" s="670"/>
      <c r="S29" s="670"/>
      <c r="T29" s="670"/>
      <c r="U29" s="670"/>
      <c r="V29" s="108"/>
      <c r="W29" s="108"/>
    </row>
    <row r="30" spans="1:23" ht="12.75" x14ac:dyDescent="0.2">
      <c r="A30" s="108"/>
      <c r="B30" s="469"/>
      <c r="C30" s="469"/>
      <c r="D30" s="469"/>
      <c r="E30" s="469"/>
      <c r="F30" s="469"/>
      <c r="G30" s="469"/>
      <c r="H30" s="108"/>
      <c r="I30" s="108"/>
      <c r="J30" s="108"/>
      <c r="K30" s="108"/>
      <c r="L30" s="108"/>
      <c r="M30" s="108"/>
      <c r="N30" s="108"/>
      <c r="O30" s="108"/>
      <c r="P30" s="108"/>
      <c r="Q30" s="108"/>
      <c r="R30" s="108"/>
      <c r="S30" s="108"/>
      <c r="T30" s="108"/>
      <c r="U30" s="670"/>
      <c r="V30" s="108"/>
      <c r="W30" s="108"/>
    </row>
    <row r="31" spans="1:23" x14ac:dyDescent="0.2">
      <c r="A31" s="108"/>
      <c r="B31" s="469"/>
      <c r="C31" s="469"/>
      <c r="D31" s="469"/>
      <c r="E31" s="469"/>
      <c r="F31" s="469"/>
      <c r="G31" s="469"/>
      <c r="H31" s="108"/>
      <c r="I31" s="108"/>
      <c r="J31" s="108"/>
      <c r="K31" s="108"/>
      <c r="L31" s="108"/>
      <c r="M31" s="108"/>
      <c r="N31" s="108"/>
      <c r="O31" s="108"/>
      <c r="P31" s="108"/>
      <c r="Q31" s="108"/>
      <c r="R31" s="108"/>
      <c r="S31" s="108"/>
      <c r="T31" s="108"/>
      <c r="V31" s="108"/>
      <c r="W31" s="108"/>
    </row>
    <row r="32" spans="1:23" x14ac:dyDescent="0.2">
      <c r="A32" s="108"/>
      <c r="B32" s="108"/>
      <c r="C32" s="108"/>
      <c r="D32" s="108"/>
      <c r="E32" s="108"/>
      <c r="F32" s="108"/>
      <c r="G32" s="108"/>
      <c r="H32" s="108"/>
      <c r="I32" s="108"/>
      <c r="J32" s="108"/>
      <c r="K32" s="108"/>
      <c r="L32" s="108"/>
      <c r="M32" s="108"/>
      <c r="N32" s="108"/>
      <c r="O32" s="108"/>
      <c r="P32" s="108"/>
      <c r="Q32" s="108"/>
      <c r="R32" s="108"/>
      <c r="S32" s="108"/>
      <c r="T32" s="108"/>
      <c r="V32" s="108"/>
      <c r="W32" s="108"/>
    </row>
    <row r="33" spans="1:23" x14ac:dyDescent="0.2">
      <c r="A33" s="108"/>
      <c r="B33" s="108"/>
      <c r="C33" s="108"/>
      <c r="D33" s="108"/>
      <c r="E33" s="108"/>
      <c r="F33" s="108"/>
      <c r="G33" s="108"/>
      <c r="H33" s="108"/>
      <c r="I33" s="108"/>
      <c r="J33" s="108"/>
      <c r="K33" s="108"/>
      <c r="L33" s="108"/>
      <c r="M33" s="108"/>
      <c r="N33" s="108"/>
      <c r="O33" s="108"/>
      <c r="P33" s="108"/>
      <c r="Q33" s="108"/>
      <c r="R33" s="108"/>
      <c r="S33" s="108"/>
      <c r="T33" s="108"/>
      <c r="V33" s="108"/>
      <c r="W33" s="108"/>
    </row>
    <row r="34" spans="1:23" x14ac:dyDescent="0.2">
      <c r="A34" s="108"/>
      <c r="B34" s="108"/>
      <c r="C34" s="108"/>
      <c r="D34" s="108"/>
      <c r="E34" s="108"/>
      <c r="F34" s="108"/>
      <c r="G34" s="108"/>
      <c r="H34" s="108"/>
      <c r="I34" s="108"/>
      <c r="J34" s="108"/>
      <c r="K34" s="108"/>
      <c r="L34" s="108"/>
      <c r="M34" s="108"/>
      <c r="N34" s="108"/>
      <c r="O34" s="108"/>
      <c r="P34" s="108"/>
      <c r="Q34" s="108"/>
      <c r="R34" s="108"/>
      <c r="S34" s="108"/>
      <c r="T34" s="108"/>
      <c r="V34" s="108"/>
      <c r="W34" s="108"/>
    </row>
    <row r="35" spans="1:23" x14ac:dyDescent="0.2">
      <c r="A35" s="108"/>
      <c r="B35" s="108"/>
      <c r="C35" s="108"/>
      <c r="D35" s="108"/>
      <c r="E35" s="108"/>
      <c r="F35" s="108"/>
      <c r="G35" s="108"/>
      <c r="H35" s="108"/>
      <c r="I35" s="108"/>
      <c r="J35" s="108"/>
      <c r="K35" s="108"/>
      <c r="L35" s="108"/>
      <c r="M35" s="108"/>
      <c r="N35" s="108"/>
      <c r="O35" s="108"/>
      <c r="P35" s="108"/>
      <c r="Q35" s="108"/>
      <c r="R35" s="108"/>
      <c r="S35" s="108"/>
      <c r="T35" s="108"/>
      <c r="V35" s="108"/>
      <c r="W35" s="108"/>
    </row>
    <row r="36" spans="1:23" x14ac:dyDescent="0.2">
      <c r="A36" s="108"/>
      <c r="B36" s="108"/>
      <c r="C36" s="108"/>
      <c r="D36" s="108"/>
      <c r="E36" s="108"/>
      <c r="F36" s="108"/>
      <c r="G36" s="108"/>
      <c r="H36" s="108"/>
      <c r="I36" s="108"/>
      <c r="J36" s="108"/>
      <c r="K36" s="108"/>
      <c r="L36" s="108"/>
      <c r="M36" s="108"/>
      <c r="N36" s="108"/>
      <c r="O36" s="108"/>
      <c r="P36" s="108"/>
      <c r="Q36" s="108"/>
      <c r="R36" s="108"/>
      <c r="S36" s="108"/>
      <c r="T36" s="108"/>
      <c r="V36" s="108"/>
      <c r="W36" s="108"/>
    </row>
    <row r="37" spans="1:23" x14ac:dyDescent="0.2">
      <c r="A37" s="108"/>
      <c r="B37" s="108"/>
      <c r="C37" s="108"/>
      <c r="D37" s="108"/>
      <c r="E37" s="108"/>
      <c r="F37" s="108"/>
      <c r="G37" s="108"/>
      <c r="H37" s="108"/>
      <c r="I37" s="108"/>
      <c r="J37" s="108"/>
      <c r="K37" s="108"/>
      <c r="L37" s="108"/>
      <c r="M37" s="108"/>
      <c r="N37" s="108"/>
      <c r="O37" s="108"/>
      <c r="P37" s="108"/>
      <c r="Q37" s="108"/>
      <c r="R37" s="108"/>
      <c r="S37" s="108"/>
      <c r="T37" s="108"/>
      <c r="V37" s="108"/>
      <c r="W37" s="108"/>
    </row>
    <row r="38" spans="1:23" x14ac:dyDescent="0.2">
      <c r="A38" s="108"/>
      <c r="B38" s="108"/>
      <c r="C38" s="108"/>
      <c r="D38" s="108"/>
      <c r="E38" s="108"/>
      <c r="F38" s="108"/>
      <c r="G38" s="108"/>
      <c r="H38" s="108"/>
      <c r="I38" s="108"/>
      <c r="J38" s="108"/>
      <c r="K38" s="108"/>
      <c r="L38" s="108"/>
      <c r="M38" s="108"/>
      <c r="N38" s="108"/>
      <c r="O38" s="108"/>
      <c r="P38" s="108"/>
      <c r="Q38" s="108"/>
      <c r="R38" s="108"/>
      <c r="S38" s="108"/>
      <c r="T38" s="108"/>
      <c r="V38" s="108"/>
      <c r="W38" s="108"/>
    </row>
    <row r="39" spans="1:23" x14ac:dyDescent="0.2">
      <c r="A39" s="108"/>
      <c r="B39" s="108"/>
      <c r="C39" s="108"/>
      <c r="D39" s="108"/>
      <c r="E39" s="108"/>
      <c r="F39" s="108"/>
      <c r="G39" s="108"/>
      <c r="H39" s="108"/>
      <c r="I39" s="108"/>
      <c r="J39" s="108"/>
      <c r="K39" s="108"/>
      <c r="L39" s="108"/>
      <c r="M39" s="108"/>
      <c r="N39" s="108"/>
      <c r="O39" s="108"/>
      <c r="P39" s="108"/>
      <c r="Q39" s="108"/>
      <c r="R39" s="108"/>
      <c r="S39" s="108"/>
      <c r="T39" s="108"/>
      <c r="V39" s="108"/>
      <c r="W39" s="108"/>
    </row>
    <row r="40" spans="1:23" x14ac:dyDescent="0.2">
      <c r="A40" s="108"/>
      <c r="B40" s="108"/>
      <c r="C40" s="108"/>
      <c r="D40" s="108"/>
      <c r="E40" s="108"/>
      <c r="F40" s="108"/>
      <c r="G40" s="108"/>
      <c r="H40" s="108"/>
      <c r="I40" s="108"/>
      <c r="J40" s="108"/>
      <c r="K40" s="108"/>
      <c r="L40" s="108"/>
      <c r="M40" s="108"/>
      <c r="N40" s="108"/>
      <c r="O40" s="108"/>
      <c r="P40" s="108"/>
      <c r="Q40" s="108"/>
      <c r="R40" s="108"/>
      <c r="S40" s="108"/>
      <c r="T40" s="108"/>
      <c r="V40" s="108"/>
      <c r="W40" s="108"/>
    </row>
    <row r="41" spans="1:23" x14ac:dyDescent="0.2">
      <c r="A41" s="108"/>
      <c r="B41" s="108"/>
      <c r="C41" s="108"/>
      <c r="D41" s="108"/>
      <c r="E41" s="108"/>
      <c r="F41" s="108"/>
      <c r="G41" s="108"/>
      <c r="H41" s="108"/>
      <c r="I41" s="108"/>
      <c r="J41" s="108"/>
      <c r="K41" s="108"/>
      <c r="L41" s="108"/>
      <c r="M41" s="108"/>
      <c r="N41" s="108"/>
      <c r="O41" s="108"/>
      <c r="P41" s="108"/>
      <c r="Q41" s="108"/>
      <c r="R41" s="108"/>
      <c r="S41" s="108"/>
      <c r="T41" s="108"/>
      <c r="V41" s="108"/>
      <c r="W41" s="108"/>
    </row>
    <row r="42" spans="1:23" x14ac:dyDescent="0.2">
      <c r="A42" s="108"/>
      <c r="B42" s="108"/>
      <c r="C42" s="108"/>
      <c r="D42" s="108"/>
      <c r="E42" s="108"/>
      <c r="F42" s="108"/>
      <c r="G42" s="108"/>
      <c r="H42" s="108"/>
      <c r="I42" s="108"/>
      <c r="J42" s="108"/>
      <c r="K42" s="108"/>
      <c r="L42" s="108"/>
      <c r="M42" s="108"/>
      <c r="N42" s="108"/>
      <c r="O42" s="108"/>
      <c r="P42" s="108"/>
      <c r="Q42" s="108"/>
      <c r="R42" s="108"/>
      <c r="S42" s="108"/>
      <c r="T42" s="108"/>
      <c r="V42" s="108"/>
      <c r="W42" s="108"/>
    </row>
    <row r="43" spans="1:23" x14ac:dyDescent="0.2">
      <c r="A43" s="108"/>
      <c r="B43" s="108"/>
      <c r="C43" s="108"/>
      <c r="D43" s="108"/>
      <c r="E43" s="108"/>
      <c r="F43" s="108"/>
      <c r="G43" s="108"/>
      <c r="H43" s="108"/>
      <c r="I43" s="108"/>
      <c r="J43" s="108"/>
      <c r="K43" s="108"/>
      <c r="L43" s="108"/>
      <c r="M43" s="108"/>
      <c r="N43" s="108"/>
      <c r="O43" s="108"/>
      <c r="P43" s="108"/>
      <c r="Q43" s="108"/>
      <c r="R43" s="108"/>
      <c r="S43" s="108"/>
      <c r="T43" s="108"/>
      <c r="V43" s="108"/>
      <c r="W43" s="108"/>
    </row>
    <row r="44" spans="1:23" x14ac:dyDescent="0.2">
      <c r="A44" s="108"/>
      <c r="B44" s="108"/>
      <c r="C44" s="108"/>
      <c r="D44" s="108"/>
      <c r="E44" s="108"/>
      <c r="F44" s="108"/>
      <c r="G44" s="108"/>
      <c r="H44" s="108"/>
      <c r="I44" s="108"/>
      <c r="J44" s="108"/>
      <c r="K44" s="108"/>
      <c r="L44" s="108"/>
      <c r="M44" s="108"/>
      <c r="N44" s="108"/>
      <c r="O44" s="108"/>
      <c r="P44" s="108"/>
      <c r="Q44" s="108"/>
      <c r="R44" s="108"/>
      <c r="S44" s="108"/>
      <c r="T44" s="108"/>
      <c r="V44" s="108"/>
      <c r="W44" s="108"/>
    </row>
    <row r="45" spans="1:23" x14ac:dyDescent="0.2">
      <c r="A45" s="108"/>
      <c r="B45" s="108"/>
      <c r="C45" s="108"/>
      <c r="D45" s="108"/>
      <c r="E45" s="108"/>
      <c r="F45" s="108"/>
      <c r="G45" s="108"/>
      <c r="H45" s="108"/>
      <c r="I45" s="108"/>
      <c r="J45" s="108"/>
      <c r="K45" s="108"/>
      <c r="L45" s="108"/>
      <c r="M45" s="108"/>
      <c r="N45" s="108"/>
      <c r="O45" s="108"/>
      <c r="P45" s="108"/>
      <c r="Q45" s="108"/>
      <c r="R45" s="108"/>
      <c r="S45" s="108"/>
      <c r="T45" s="108"/>
      <c r="V45" s="108"/>
      <c r="W45" s="108"/>
    </row>
    <row r="46" spans="1:23" x14ac:dyDescent="0.2">
      <c r="A46" s="108"/>
      <c r="B46" s="108"/>
      <c r="C46" s="108"/>
      <c r="D46" s="108"/>
      <c r="E46" s="108"/>
      <c r="F46" s="108"/>
      <c r="G46" s="108"/>
      <c r="H46" s="108"/>
      <c r="I46" s="108"/>
      <c r="J46" s="108"/>
      <c r="K46" s="108"/>
      <c r="L46" s="108"/>
      <c r="M46" s="108"/>
      <c r="N46" s="108"/>
      <c r="O46" s="108"/>
      <c r="P46" s="108"/>
      <c r="Q46" s="108"/>
      <c r="R46" s="108"/>
      <c r="S46" s="108"/>
      <c r="T46" s="108"/>
      <c r="V46" s="108"/>
      <c r="W46" s="108"/>
    </row>
    <row r="47" spans="1:23" x14ac:dyDescent="0.2">
      <c r="A47" s="108"/>
      <c r="B47" s="108"/>
      <c r="C47" s="108"/>
      <c r="D47" s="108"/>
      <c r="E47" s="108"/>
      <c r="F47" s="108"/>
      <c r="G47" s="108"/>
      <c r="H47" s="108"/>
      <c r="I47" s="108"/>
      <c r="J47" s="108"/>
      <c r="K47" s="108"/>
      <c r="L47" s="108"/>
      <c r="M47" s="108"/>
      <c r="N47" s="108"/>
      <c r="O47" s="108"/>
      <c r="P47" s="108"/>
      <c r="Q47" s="108"/>
      <c r="R47" s="108"/>
      <c r="S47" s="108"/>
      <c r="T47" s="108"/>
      <c r="V47" s="108"/>
      <c r="W47" s="108"/>
    </row>
    <row r="48" spans="1:23" x14ac:dyDescent="0.2">
      <c r="A48" s="108"/>
      <c r="B48" s="108"/>
      <c r="C48" s="108"/>
      <c r="D48" s="108"/>
      <c r="E48" s="108"/>
      <c r="F48" s="108"/>
      <c r="G48" s="108"/>
      <c r="H48" s="108"/>
      <c r="I48" s="108"/>
      <c r="J48" s="108"/>
      <c r="K48" s="108"/>
      <c r="L48" s="108"/>
      <c r="M48" s="108"/>
      <c r="N48" s="108"/>
      <c r="O48" s="108"/>
      <c r="P48" s="108"/>
      <c r="Q48" s="108"/>
      <c r="R48" s="108"/>
      <c r="S48" s="108"/>
      <c r="T48" s="108"/>
      <c r="V48" s="108"/>
      <c r="W48" s="108"/>
    </row>
    <row r="49" spans="1:23" x14ac:dyDescent="0.2">
      <c r="A49" s="108"/>
      <c r="B49" s="108"/>
      <c r="C49" s="108"/>
      <c r="D49" s="108"/>
      <c r="E49" s="108"/>
      <c r="F49" s="108"/>
      <c r="G49" s="108"/>
      <c r="H49" s="108"/>
      <c r="I49" s="108"/>
      <c r="J49" s="108"/>
      <c r="K49" s="108"/>
      <c r="L49" s="108"/>
      <c r="M49" s="108"/>
      <c r="N49" s="108"/>
      <c r="O49" s="108"/>
      <c r="P49" s="108"/>
      <c r="Q49" s="108"/>
      <c r="R49" s="108"/>
      <c r="S49" s="108"/>
      <c r="T49" s="108"/>
      <c r="V49" s="108"/>
      <c r="W49" s="108"/>
    </row>
    <row r="50" spans="1:23" x14ac:dyDescent="0.2">
      <c r="A50" s="108"/>
      <c r="B50" s="108"/>
      <c r="C50" s="108"/>
      <c r="D50" s="108"/>
      <c r="E50" s="108"/>
      <c r="F50" s="108"/>
      <c r="G50" s="108"/>
      <c r="H50" s="108"/>
      <c r="I50" s="108"/>
      <c r="J50" s="108"/>
      <c r="K50" s="108"/>
      <c r="L50" s="108"/>
      <c r="M50" s="108"/>
      <c r="N50" s="108"/>
      <c r="O50" s="108"/>
      <c r="P50" s="108"/>
      <c r="Q50" s="108"/>
      <c r="R50" s="108"/>
      <c r="S50" s="108"/>
      <c r="T50" s="108"/>
      <c r="V50" s="108"/>
      <c r="W50" s="108"/>
    </row>
    <row r="51" spans="1:23" x14ac:dyDescent="0.2">
      <c r="A51" s="108"/>
      <c r="B51" s="108"/>
      <c r="C51" s="108"/>
      <c r="D51" s="108"/>
      <c r="E51" s="108"/>
      <c r="F51" s="108"/>
      <c r="G51" s="108"/>
      <c r="H51" s="108"/>
      <c r="I51" s="108"/>
      <c r="J51" s="108"/>
      <c r="K51" s="108"/>
      <c r="L51" s="108"/>
      <c r="M51" s="108"/>
      <c r="N51" s="108"/>
      <c r="O51" s="108"/>
      <c r="P51" s="108"/>
      <c r="Q51" s="108"/>
      <c r="R51" s="108"/>
      <c r="S51" s="108"/>
      <c r="T51" s="108"/>
      <c r="V51" s="108"/>
      <c r="W51" s="108"/>
    </row>
    <row r="52" spans="1:23" x14ac:dyDescent="0.2">
      <c r="A52" s="108"/>
      <c r="B52" s="108"/>
      <c r="C52" s="108"/>
      <c r="D52" s="108"/>
      <c r="E52" s="108"/>
      <c r="F52" s="108"/>
      <c r="G52" s="108"/>
      <c r="H52" s="108"/>
      <c r="I52" s="108"/>
      <c r="J52" s="108"/>
      <c r="K52" s="108"/>
      <c r="L52" s="108"/>
      <c r="M52" s="108"/>
      <c r="N52" s="108"/>
      <c r="O52" s="108"/>
      <c r="P52" s="108"/>
      <c r="Q52" s="108"/>
      <c r="R52" s="108"/>
      <c r="S52" s="108"/>
      <c r="T52" s="108"/>
      <c r="V52" s="108"/>
      <c r="W52" s="108"/>
    </row>
    <row r="53" spans="1:23" x14ac:dyDescent="0.2">
      <c r="A53" s="108"/>
      <c r="B53" s="108"/>
      <c r="C53" s="108"/>
      <c r="D53" s="108"/>
      <c r="E53" s="108"/>
      <c r="F53" s="108"/>
      <c r="G53" s="108"/>
      <c r="H53" s="108"/>
      <c r="I53" s="108"/>
      <c r="J53" s="108"/>
      <c r="K53" s="108"/>
      <c r="L53" s="108"/>
      <c r="M53" s="108"/>
      <c r="N53" s="108"/>
      <c r="O53" s="108"/>
      <c r="P53" s="108"/>
      <c r="Q53" s="108"/>
      <c r="R53" s="108"/>
      <c r="S53" s="108"/>
      <c r="T53" s="108"/>
      <c r="V53" s="108"/>
      <c r="W53" s="108"/>
    </row>
    <row r="54" spans="1:23" x14ac:dyDescent="0.2">
      <c r="A54" s="108"/>
      <c r="B54" s="108"/>
      <c r="C54" s="108"/>
      <c r="D54" s="108"/>
      <c r="E54" s="108"/>
      <c r="F54" s="108"/>
      <c r="G54" s="108"/>
      <c r="H54" s="108"/>
      <c r="I54" s="108"/>
      <c r="J54" s="108"/>
      <c r="K54" s="108"/>
      <c r="L54" s="108"/>
      <c r="M54" s="108"/>
      <c r="N54" s="108"/>
      <c r="O54" s="108"/>
      <c r="P54" s="108"/>
      <c r="Q54" s="108"/>
      <c r="R54" s="108"/>
      <c r="S54" s="108"/>
      <c r="T54" s="108"/>
      <c r="V54" s="108"/>
      <c r="W54" s="108"/>
    </row>
    <row r="55" spans="1:23" x14ac:dyDescent="0.2">
      <c r="A55" s="108"/>
      <c r="B55" s="108"/>
      <c r="C55" s="108"/>
      <c r="D55" s="108"/>
      <c r="E55" s="108"/>
      <c r="F55" s="108"/>
      <c r="G55" s="108"/>
      <c r="H55" s="108"/>
      <c r="I55" s="108"/>
      <c r="J55" s="108"/>
      <c r="K55" s="108"/>
      <c r="L55" s="108"/>
      <c r="M55" s="108"/>
      <c r="N55" s="108"/>
      <c r="O55" s="108"/>
      <c r="P55" s="108"/>
      <c r="Q55" s="108"/>
      <c r="R55" s="108"/>
      <c r="S55" s="108"/>
      <c r="T55" s="108"/>
      <c r="V55" s="108"/>
      <c r="W55" s="108"/>
    </row>
    <row r="56" spans="1:23" x14ac:dyDescent="0.2">
      <c r="A56" s="108"/>
      <c r="B56" s="108"/>
      <c r="C56" s="108"/>
      <c r="D56" s="108"/>
      <c r="E56" s="108"/>
      <c r="F56" s="108"/>
      <c r="G56" s="108"/>
      <c r="H56" s="108"/>
      <c r="I56" s="108"/>
      <c r="J56" s="108"/>
      <c r="K56" s="108"/>
      <c r="L56" s="108"/>
      <c r="M56" s="108"/>
      <c r="N56" s="108"/>
      <c r="O56" s="108"/>
      <c r="P56" s="108"/>
      <c r="Q56" s="108"/>
      <c r="R56" s="108"/>
      <c r="S56" s="108"/>
      <c r="T56" s="108"/>
      <c r="V56" s="108"/>
      <c r="W56" s="108"/>
    </row>
    <row r="57" spans="1:23" x14ac:dyDescent="0.2">
      <c r="A57" s="108"/>
      <c r="B57" s="108"/>
      <c r="C57" s="108"/>
      <c r="D57" s="108"/>
      <c r="E57" s="108"/>
      <c r="F57" s="108"/>
      <c r="G57" s="108"/>
      <c r="H57" s="108"/>
      <c r="I57" s="108"/>
      <c r="J57" s="108"/>
      <c r="K57" s="108"/>
      <c r="L57" s="108"/>
      <c r="M57" s="108"/>
      <c r="N57" s="108"/>
      <c r="O57" s="108"/>
      <c r="P57" s="108"/>
      <c r="Q57" s="108"/>
      <c r="R57" s="108"/>
      <c r="S57" s="108"/>
      <c r="T57" s="108"/>
      <c r="V57" s="108"/>
      <c r="W57" s="108"/>
    </row>
    <row r="58" spans="1:23" x14ac:dyDescent="0.2">
      <c r="A58" s="108"/>
      <c r="B58" s="108"/>
      <c r="C58" s="108"/>
      <c r="D58" s="108"/>
      <c r="E58" s="108"/>
      <c r="F58" s="108"/>
      <c r="G58" s="108"/>
      <c r="H58" s="108"/>
      <c r="I58" s="108"/>
      <c r="J58" s="108"/>
      <c r="K58" s="108"/>
      <c r="L58" s="108"/>
      <c r="M58" s="108"/>
      <c r="N58" s="108"/>
      <c r="O58" s="108"/>
      <c r="P58" s="108"/>
      <c r="Q58" s="108"/>
      <c r="R58" s="108"/>
      <c r="S58" s="108"/>
      <c r="T58" s="108"/>
      <c r="V58" s="108"/>
      <c r="W58" s="108"/>
    </row>
    <row r="59" spans="1:23" x14ac:dyDescent="0.2">
      <c r="A59" s="108"/>
      <c r="B59" s="108"/>
      <c r="C59" s="108"/>
      <c r="D59" s="108"/>
      <c r="E59" s="108"/>
      <c r="F59" s="108"/>
      <c r="G59" s="108"/>
      <c r="H59" s="108"/>
      <c r="I59" s="108"/>
      <c r="J59" s="108"/>
      <c r="K59" s="108"/>
      <c r="L59" s="108"/>
      <c r="M59" s="108"/>
      <c r="N59" s="108"/>
      <c r="O59" s="108"/>
      <c r="P59" s="108"/>
      <c r="Q59" s="108"/>
      <c r="R59" s="108"/>
      <c r="S59" s="108"/>
      <c r="T59" s="108"/>
      <c r="V59" s="108"/>
      <c r="W59" s="108"/>
    </row>
    <row r="60" spans="1:23" x14ac:dyDescent="0.2">
      <c r="A60" s="108"/>
      <c r="B60" s="108"/>
      <c r="C60" s="108"/>
      <c r="D60" s="108"/>
      <c r="E60" s="108"/>
      <c r="F60" s="108"/>
      <c r="G60" s="108"/>
      <c r="H60" s="108"/>
      <c r="I60" s="108"/>
      <c r="J60" s="108"/>
      <c r="K60" s="108"/>
      <c r="L60" s="108"/>
      <c r="M60" s="108"/>
      <c r="N60" s="108"/>
      <c r="O60" s="108"/>
      <c r="P60" s="108"/>
      <c r="Q60" s="108"/>
      <c r="R60" s="108"/>
      <c r="S60" s="108"/>
      <c r="T60" s="108"/>
      <c r="V60" s="108"/>
      <c r="W60" s="108"/>
    </row>
    <row r="61" spans="1:23" x14ac:dyDescent="0.2">
      <c r="A61" s="108"/>
      <c r="B61" s="108"/>
      <c r="C61" s="108"/>
      <c r="D61" s="108"/>
      <c r="E61" s="108"/>
      <c r="F61" s="108"/>
      <c r="G61" s="108"/>
      <c r="H61" s="108"/>
      <c r="I61" s="108"/>
      <c r="J61" s="108"/>
      <c r="K61" s="108"/>
      <c r="L61" s="108"/>
      <c r="M61" s="108"/>
      <c r="N61" s="108"/>
      <c r="O61" s="108"/>
      <c r="P61" s="108"/>
      <c r="Q61" s="108"/>
      <c r="R61" s="108"/>
      <c r="S61" s="108"/>
      <c r="T61" s="108"/>
      <c r="V61" s="108"/>
      <c r="W61" s="108"/>
    </row>
    <row r="62" spans="1:23" x14ac:dyDescent="0.2">
      <c r="A62" s="108"/>
      <c r="B62" s="108"/>
      <c r="C62" s="108"/>
      <c r="D62" s="108"/>
      <c r="E62" s="108"/>
      <c r="F62" s="108"/>
      <c r="G62" s="108"/>
      <c r="H62" s="108"/>
      <c r="I62" s="108"/>
      <c r="J62" s="108"/>
      <c r="K62" s="108"/>
      <c r="L62" s="108"/>
      <c r="M62" s="108"/>
      <c r="N62" s="108"/>
      <c r="O62" s="108"/>
      <c r="P62" s="108"/>
      <c r="Q62" s="108"/>
      <c r="R62" s="108"/>
      <c r="S62" s="108"/>
      <c r="T62" s="108"/>
      <c r="V62" s="108"/>
      <c r="W62" s="108"/>
    </row>
    <row r="63" spans="1:23" x14ac:dyDescent="0.2">
      <c r="A63" s="108"/>
      <c r="B63" s="108"/>
      <c r="C63" s="108"/>
      <c r="D63" s="108"/>
      <c r="E63" s="108"/>
      <c r="F63" s="108"/>
      <c r="G63" s="108"/>
      <c r="H63" s="108"/>
      <c r="I63" s="108"/>
      <c r="J63" s="108"/>
      <c r="K63" s="108"/>
      <c r="L63" s="108"/>
      <c r="M63" s="108"/>
      <c r="N63" s="108"/>
      <c r="O63" s="108"/>
      <c r="P63" s="108"/>
      <c r="Q63" s="108"/>
      <c r="R63" s="108"/>
      <c r="S63" s="108"/>
      <c r="T63" s="108"/>
      <c r="V63" s="108"/>
      <c r="W63" s="108"/>
    </row>
    <row r="64" spans="1:23" x14ac:dyDescent="0.2">
      <c r="A64" s="108"/>
      <c r="B64" s="108"/>
      <c r="C64" s="108"/>
      <c r="D64" s="108"/>
      <c r="E64" s="108"/>
      <c r="F64" s="108"/>
      <c r="G64" s="108"/>
      <c r="H64" s="108"/>
      <c r="I64" s="108"/>
      <c r="J64" s="108"/>
      <c r="K64" s="108"/>
      <c r="L64" s="108"/>
      <c r="M64" s="108"/>
      <c r="N64" s="108"/>
      <c r="O64" s="108"/>
      <c r="P64" s="108"/>
      <c r="Q64" s="108"/>
      <c r="R64" s="108"/>
      <c r="S64" s="108"/>
      <c r="T64" s="108"/>
      <c r="V64" s="108"/>
      <c r="W64" s="108"/>
    </row>
    <row r="65" spans="1:29" x14ac:dyDescent="0.2">
      <c r="A65" s="108"/>
      <c r="B65" s="108"/>
      <c r="C65" s="108"/>
      <c r="D65" s="108"/>
      <c r="E65" s="108"/>
      <c r="F65" s="108"/>
      <c r="G65" s="108"/>
      <c r="H65" s="108"/>
      <c r="I65" s="108"/>
      <c r="J65" s="108"/>
      <c r="K65" s="108"/>
      <c r="L65" s="108"/>
      <c r="M65" s="108"/>
      <c r="N65" s="108"/>
      <c r="O65" s="108"/>
      <c r="P65" s="108"/>
      <c r="Q65" s="108"/>
      <c r="R65" s="108"/>
      <c r="S65" s="108"/>
      <c r="T65" s="108"/>
      <c r="V65" s="108"/>
      <c r="W65" s="108"/>
    </row>
    <row r="66" spans="1:29" x14ac:dyDescent="0.2">
      <c r="A66" s="108"/>
      <c r="B66" s="108"/>
      <c r="C66" s="108"/>
      <c r="D66" s="108"/>
      <c r="E66" s="108"/>
      <c r="F66" s="108"/>
      <c r="G66" s="108"/>
      <c r="H66" s="108"/>
      <c r="I66" s="108"/>
      <c r="J66" s="108"/>
      <c r="K66" s="108"/>
      <c r="L66" s="108"/>
      <c r="M66" s="108"/>
      <c r="N66" s="108"/>
      <c r="O66" s="108"/>
      <c r="P66" s="108"/>
      <c r="Q66" s="108"/>
      <c r="R66" s="108"/>
      <c r="S66" s="108"/>
      <c r="T66" s="108"/>
      <c r="V66" s="108"/>
      <c r="W66" s="108"/>
    </row>
    <row r="67" spans="1:29" x14ac:dyDescent="0.2">
      <c r="A67" s="108"/>
      <c r="B67" s="108"/>
      <c r="C67" s="108"/>
      <c r="D67" s="108"/>
      <c r="E67" s="108"/>
      <c r="F67" s="108"/>
      <c r="G67" s="108"/>
      <c r="H67" s="108"/>
      <c r="I67" s="108"/>
      <c r="J67" s="108"/>
      <c r="K67" s="108"/>
      <c r="L67" s="108"/>
      <c r="M67" s="108"/>
      <c r="N67" s="108"/>
      <c r="O67" s="108"/>
      <c r="P67" s="108"/>
      <c r="Q67" s="108"/>
      <c r="R67" s="108"/>
      <c r="S67" s="108"/>
      <c r="T67" s="108"/>
      <c r="V67" s="108"/>
      <c r="W67" s="108"/>
    </row>
    <row r="68" spans="1:29" x14ac:dyDescent="0.2">
      <c r="A68" s="108"/>
      <c r="B68" s="108"/>
      <c r="C68" s="108"/>
      <c r="D68" s="108"/>
      <c r="E68" s="108"/>
      <c r="F68" s="108"/>
      <c r="G68" s="108"/>
      <c r="H68" s="108"/>
      <c r="I68" s="108"/>
      <c r="J68" s="108"/>
      <c r="K68" s="108"/>
      <c r="L68" s="108"/>
      <c r="M68" s="108"/>
      <c r="N68" s="108"/>
      <c r="O68" s="108"/>
      <c r="P68" s="108"/>
      <c r="Q68" s="108"/>
      <c r="R68" s="108"/>
      <c r="S68" s="108"/>
      <c r="T68" s="108"/>
      <c r="V68" s="108"/>
      <c r="W68" s="108"/>
    </row>
    <row r="69" spans="1:29" s="607" customFormat="1" ht="15" customHeight="1" x14ac:dyDescent="0.2">
      <c r="A69" s="980"/>
      <c r="B69" s="670"/>
      <c r="C69" s="670"/>
      <c r="D69" s="670"/>
      <c r="E69" s="670"/>
      <c r="F69" s="670"/>
      <c r="G69" s="670"/>
      <c r="H69" s="670"/>
      <c r="I69" s="670"/>
      <c r="J69" s="670"/>
      <c r="K69" s="670"/>
      <c r="L69" s="670"/>
      <c r="M69" s="670"/>
      <c r="N69" s="670"/>
      <c r="O69" s="670"/>
      <c r="P69" s="670"/>
      <c r="Q69" s="670"/>
      <c r="R69" s="670"/>
      <c r="S69" s="670"/>
      <c r="T69" s="670"/>
      <c r="U69" s="108"/>
      <c r="V69" s="670"/>
      <c r="W69" s="670"/>
      <c r="X69" s="825"/>
      <c r="Y69" s="825"/>
      <c r="Z69" s="825"/>
      <c r="AA69" s="825"/>
      <c r="AB69" s="825"/>
      <c r="AC69" s="825"/>
    </row>
    <row r="70" spans="1:29" s="253" customFormat="1" ht="15" customHeight="1" x14ac:dyDescent="0.2">
      <c r="A70" s="980"/>
      <c r="B70" s="266"/>
      <c r="C70" s="609" t="s">
        <v>22</v>
      </c>
      <c r="D70" s="609"/>
      <c r="E70" s="609"/>
      <c r="F70" s="609"/>
      <c r="G70" s="609"/>
      <c r="H70" s="609"/>
      <c r="I70" s="609"/>
      <c r="J70" s="609"/>
      <c r="K70" s="609"/>
      <c r="L70" s="609"/>
      <c r="M70" s="609"/>
      <c r="N70" s="609"/>
      <c r="O70" s="609"/>
      <c r="P70" s="255"/>
      <c r="Q70" s="255"/>
      <c r="R70" s="248"/>
      <c r="S70" s="255"/>
      <c r="T70" s="248"/>
      <c r="U70" s="670"/>
      <c r="V70" s="255"/>
      <c r="W70" s="255"/>
      <c r="X70" s="255"/>
      <c r="Y70" s="255"/>
      <c r="Z70" s="255"/>
      <c r="AA70" s="825"/>
      <c r="AB70" s="825"/>
      <c r="AC70" s="825"/>
    </row>
    <row r="71" spans="1:29" s="253" customFormat="1" ht="15" customHeight="1" x14ac:dyDescent="0.2">
      <c r="A71" s="980"/>
      <c r="B71" s="266"/>
      <c r="C71" s="313"/>
      <c r="D71" s="313"/>
      <c r="E71" s="313"/>
      <c r="F71" s="313"/>
      <c r="G71" s="313"/>
      <c r="H71" s="313"/>
      <c r="I71" s="313"/>
      <c r="J71" s="313"/>
      <c r="K71" s="313"/>
      <c r="L71" s="313"/>
      <c r="M71" s="313"/>
      <c r="N71" s="313"/>
      <c r="O71" s="313"/>
      <c r="P71" s="255"/>
      <c r="Q71" s="255"/>
      <c r="R71" s="248"/>
      <c r="S71" s="255"/>
      <c r="T71" s="248"/>
      <c r="U71" s="255"/>
      <c r="V71" s="255"/>
      <c r="W71" s="255"/>
      <c r="X71" s="255"/>
      <c r="Y71" s="255"/>
      <c r="Z71" s="255"/>
      <c r="AA71" s="825"/>
      <c r="AB71" s="825"/>
      <c r="AC71" s="825"/>
    </row>
    <row r="72" spans="1:29" s="607" customFormat="1" ht="15" customHeight="1" x14ac:dyDescent="0.2">
      <c r="A72" s="980"/>
      <c r="B72" s="670"/>
      <c r="C72" s="670"/>
      <c r="D72" s="670"/>
      <c r="E72" s="670"/>
      <c r="F72" s="670"/>
      <c r="G72" s="670"/>
      <c r="H72" s="670"/>
      <c r="I72" s="670"/>
      <c r="J72" s="670"/>
      <c r="K72" s="670"/>
      <c r="L72" s="670"/>
      <c r="M72" s="670"/>
      <c r="N72" s="670"/>
      <c r="O72" s="670"/>
      <c r="P72" s="670"/>
      <c r="Q72" s="670"/>
      <c r="R72" s="670"/>
      <c r="S72" s="670"/>
      <c r="T72" s="670"/>
      <c r="U72" s="255"/>
      <c r="V72" s="670"/>
      <c r="W72" s="670"/>
      <c r="X72" s="825"/>
      <c r="Y72" s="825"/>
      <c r="Z72" s="825"/>
      <c r="AA72" s="825"/>
      <c r="AB72" s="825"/>
      <c r="AC72" s="825"/>
    </row>
    <row r="73" spans="1:29" s="607" customFormat="1" ht="15" customHeight="1" x14ac:dyDescent="0.2">
      <c r="A73" s="980"/>
      <c r="B73" s="670"/>
      <c r="C73" s="670" t="str">
        <f>ListAVS!$B$332</f>
        <v>Wybierz dogodną technikę montażu mocowania frontu</v>
      </c>
      <c r="D73" s="670"/>
      <c r="E73" s="670"/>
      <c r="F73" s="670"/>
      <c r="G73" s="670"/>
      <c r="H73" s="670"/>
      <c r="I73" s="670"/>
      <c r="J73" s="670"/>
      <c r="K73" s="670"/>
      <c r="L73" s="670"/>
      <c r="M73" s="670"/>
      <c r="N73" s="670"/>
      <c r="O73" s="670"/>
      <c r="P73" s="670"/>
      <c r="Q73" s="670"/>
      <c r="R73" s="670"/>
      <c r="S73" s="670"/>
      <c r="T73" s="670"/>
      <c r="U73" s="670"/>
      <c r="V73" s="670"/>
      <c r="W73" s="670"/>
      <c r="X73" s="825"/>
      <c r="Y73" s="825"/>
      <c r="Z73" s="825"/>
      <c r="AA73" s="825"/>
      <c r="AB73" s="825"/>
      <c r="AC73" s="825"/>
    </row>
    <row r="74" spans="1:29" s="607" customFormat="1" ht="15" customHeight="1" x14ac:dyDescent="0.2">
      <c r="A74" s="980"/>
      <c r="B74" s="670"/>
      <c r="C74" s="670"/>
      <c r="D74" s="670"/>
      <c r="E74" s="670"/>
      <c r="F74" s="670"/>
      <c r="G74" s="670"/>
      <c r="H74" s="670"/>
      <c r="I74" s="670"/>
      <c r="J74" s="670"/>
      <c r="K74" s="670"/>
      <c r="L74" s="670"/>
      <c r="M74" s="670"/>
      <c r="N74" s="670"/>
      <c r="O74" s="670"/>
      <c r="P74" s="670"/>
      <c r="Q74" s="670"/>
      <c r="R74" s="670"/>
      <c r="S74" s="670"/>
      <c r="T74" s="670"/>
      <c r="U74" s="670"/>
      <c r="V74" s="670"/>
      <c r="W74" s="670"/>
      <c r="X74" s="825"/>
      <c r="Y74" s="825"/>
      <c r="Z74" s="825"/>
      <c r="AA74" s="825"/>
      <c r="AB74" s="825"/>
      <c r="AC74" s="825"/>
    </row>
    <row r="75" spans="1:29" s="607" customFormat="1" ht="15" customHeight="1" x14ac:dyDescent="0.2">
      <c r="A75" s="980"/>
      <c r="B75" s="670"/>
      <c r="C75" s="670" t="str">
        <f>ListAVS!$B$289</f>
        <v>Kliknij na zdjęcie lub opis, aby przejść do żądanego typu podnośnika.</v>
      </c>
      <c r="D75" s="670"/>
      <c r="E75" s="670"/>
      <c r="F75" s="670"/>
      <c r="G75" s="670"/>
      <c r="H75" s="670"/>
      <c r="I75" s="670"/>
      <c r="J75" s="670"/>
      <c r="K75" s="670"/>
      <c r="L75" s="670"/>
      <c r="M75" s="670"/>
      <c r="N75" s="670"/>
      <c r="O75" s="670"/>
      <c r="P75" s="670"/>
      <c r="Q75" s="670"/>
      <c r="R75" s="670"/>
      <c r="S75" s="670"/>
      <c r="T75" s="670"/>
      <c r="U75" s="670"/>
      <c r="V75" s="670"/>
      <c r="W75" s="670"/>
      <c r="X75" s="825"/>
      <c r="Y75" s="825"/>
      <c r="Z75" s="825"/>
      <c r="AA75" s="825"/>
      <c r="AB75" s="825"/>
      <c r="AC75" s="825"/>
    </row>
    <row r="76" spans="1:29" s="607" customFormat="1" ht="15" customHeight="1" x14ac:dyDescent="0.2">
      <c r="A76" s="980"/>
      <c r="B76" s="670"/>
      <c r="C76" s="670"/>
      <c r="D76" s="670"/>
      <c r="E76" s="670"/>
      <c r="F76" s="670"/>
      <c r="G76" s="670"/>
      <c r="H76" s="670"/>
      <c r="I76" s="670"/>
      <c r="J76" s="670"/>
      <c r="K76" s="670"/>
      <c r="L76" s="670"/>
      <c r="M76" s="670"/>
      <c r="N76" s="670"/>
      <c r="O76" s="670"/>
      <c r="P76" s="670"/>
      <c r="Q76" s="670"/>
      <c r="R76" s="670"/>
      <c r="S76" s="670"/>
      <c r="T76" s="670"/>
      <c r="U76" s="670"/>
      <c r="V76" s="670"/>
      <c r="W76" s="670"/>
      <c r="X76" s="825"/>
      <c r="Y76" s="825"/>
      <c r="Z76" s="825"/>
      <c r="AA76" s="825"/>
      <c r="AB76" s="825"/>
      <c r="AC76" s="825"/>
    </row>
    <row r="77" spans="1:29" s="607" customFormat="1" ht="15" customHeight="1" x14ac:dyDescent="0.2">
      <c r="A77" s="980"/>
      <c r="B77" s="670"/>
      <c r="C77" s="670"/>
      <c r="D77" s="670"/>
      <c r="E77" s="670"/>
      <c r="F77" s="670"/>
      <c r="G77" s="670"/>
      <c r="H77" s="670"/>
      <c r="I77" s="670"/>
      <c r="J77" s="670"/>
      <c r="K77" s="670"/>
      <c r="L77" s="670"/>
      <c r="M77" s="670"/>
      <c r="N77" s="670"/>
      <c r="O77" s="670"/>
      <c r="P77" s="670"/>
      <c r="Q77" s="670"/>
      <c r="R77" s="670"/>
      <c r="S77" s="670"/>
      <c r="T77" s="670"/>
      <c r="U77" s="670"/>
      <c r="V77" s="670"/>
      <c r="W77" s="670"/>
      <c r="X77" s="825"/>
      <c r="Y77" s="825"/>
      <c r="Z77" s="825"/>
      <c r="AA77" s="825"/>
      <c r="AB77" s="825"/>
      <c r="AC77" s="825"/>
    </row>
    <row r="78" spans="1:29" s="607" customFormat="1" ht="15" customHeight="1" x14ac:dyDescent="0.2">
      <c r="A78" s="980"/>
      <c r="B78" s="670"/>
      <c r="C78" s="670"/>
      <c r="D78" s="670"/>
      <c r="E78" s="670"/>
      <c r="F78" s="670"/>
      <c r="G78" s="670"/>
      <c r="H78" s="670"/>
      <c r="I78" s="670"/>
      <c r="J78" s="670"/>
      <c r="K78" s="670"/>
      <c r="L78" s="670"/>
      <c r="M78" s="670"/>
      <c r="N78" s="670"/>
      <c r="O78" s="670"/>
      <c r="P78" s="670"/>
      <c r="Q78" s="670"/>
      <c r="R78" s="670"/>
      <c r="S78" s="670"/>
      <c r="T78" s="670"/>
      <c r="U78" s="670"/>
      <c r="V78" s="670"/>
      <c r="W78" s="670"/>
      <c r="X78" s="825"/>
      <c r="Y78" s="825"/>
      <c r="Z78" s="825"/>
      <c r="AA78" s="825"/>
      <c r="AB78" s="825"/>
      <c r="AC78" s="825"/>
    </row>
    <row r="79" spans="1:29" s="607" customFormat="1" ht="15" customHeight="1" x14ac:dyDescent="0.2">
      <c r="A79" s="980"/>
      <c r="B79" s="670"/>
      <c r="C79" s="670"/>
      <c r="D79" s="670"/>
      <c r="E79" s="670"/>
      <c r="F79" s="670"/>
      <c r="G79" s="670"/>
      <c r="H79" s="670"/>
      <c r="I79" s="670"/>
      <c r="J79" s="670"/>
      <c r="K79" s="670"/>
      <c r="L79" s="670"/>
      <c r="M79" s="670"/>
      <c r="N79" s="670"/>
      <c r="O79" s="670"/>
      <c r="P79" s="670"/>
      <c r="Q79" s="670"/>
      <c r="R79" s="670"/>
      <c r="S79" s="670"/>
      <c r="T79" s="670"/>
      <c r="U79" s="670"/>
      <c r="V79" s="670"/>
      <c r="W79" s="670"/>
      <c r="X79" s="825"/>
      <c r="Y79" s="825"/>
      <c r="Z79" s="825"/>
      <c r="AA79" s="825"/>
      <c r="AB79" s="825"/>
      <c r="AC79" s="825"/>
    </row>
    <row r="80" spans="1:29" s="607" customFormat="1" ht="15" customHeight="1" x14ac:dyDescent="0.2">
      <c r="A80" s="980"/>
      <c r="B80" s="670"/>
      <c r="C80" s="670"/>
      <c r="D80" s="670"/>
      <c r="E80" s="670"/>
      <c r="F80" s="670"/>
      <c r="G80" s="670"/>
      <c r="H80" s="670"/>
      <c r="I80" s="670"/>
      <c r="J80" s="670"/>
      <c r="K80" s="670"/>
      <c r="L80" s="670"/>
      <c r="M80" s="670"/>
      <c r="N80" s="670"/>
      <c r="O80" s="670"/>
      <c r="P80" s="670"/>
      <c r="Q80" s="670"/>
      <c r="R80" s="670"/>
      <c r="S80" s="670"/>
      <c r="T80" s="670"/>
      <c r="U80" s="670"/>
      <c r="V80" s="670"/>
      <c r="W80" s="670"/>
      <c r="X80" s="825"/>
      <c r="Y80" s="825"/>
      <c r="Z80" s="825"/>
      <c r="AA80" s="825"/>
      <c r="AB80" s="825"/>
      <c r="AC80" s="825"/>
    </row>
    <row r="81" spans="1:23" s="607" customFormat="1" ht="15" customHeight="1" x14ac:dyDescent="0.2">
      <c r="A81" s="980"/>
      <c r="B81" s="670"/>
      <c r="C81" s="670"/>
      <c r="D81" s="670"/>
      <c r="E81" s="670"/>
      <c r="F81" s="670"/>
      <c r="G81" s="670"/>
      <c r="H81" s="670"/>
      <c r="I81" s="670"/>
      <c r="J81" s="671"/>
      <c r="K81" s="671"/>
      <c r="L81" s="670"/>
      <c r="M81" s="670"/>
      <c r="N81" s="670"/>
      <c r="O81" s="670"/>
      <c r="P81" s="670"/>
      <c r="Q81" s="670"/>
      <c r="R81" s="670"/>
      <c r="S81" s="670"/>
      <c r="T81" s="670"/>
      <c r="U81" s="670"/>
      <c r="V81" s="670"/>
      <c r="W81" s="670"/>
    </row>
    <row r="82" spans="1:23" s="607" customFormat="1" ht="15" customHeight="1" x14ac:dyDescent="0.2">
      <c r="A82" s="980"/>
      <c r="B82" s="670"/>
      <c r="C82" s="670"/>
      <c r="D82" s="670"/>
      <c r="E82" s="670"/>
      <c r="F82" s="670"/>
      <c r="G82" s="670"/>
      <c r="H82" s="670"/>
      <c r="I82" s="670"/>
      <c r="J82" s="670"/>
      <c r="K82" s="670"/>
      <c r="L82" s="670"/>
      <c r="M82" s="670"/>
      <c r="N82" s="670"/>
      <c r="O82" s="670"/>
      <c r="P82" s="670"/>
      <c r="Q82" s="670"/>
      <c r="R82" s="670"/>
      <c r="S82" s="670"/>
      <c r="T82" s="670"/>
      <c r="U82" s="670"/>
      <c r="V82" s="670"/>
      <c r="W82" s="670"/>
    </row>
    <row r="83" spans="1:23" s="607" customFormat="1" ht="15" customHeight="1" x14ac:dyDescent="0.2">
      <c r="A83" s="980"/>
      <c r="B83" s="670"/>
      <c r="C83" s="670"/>
      <c r="D83" s="670"/>
      <c r="E83" s="670"/>
      <c r="F83" s="670"/>
      <c r="G83" s="670"/>
      <c r="H83" s="670"/>
      <c r="I83" s="670"/>
      <c r="J83" s="670"/>
      <c r="K83" s="670"/>
      <c r="L83" s="670"/>
      <c r="M83" s="670"/>
      <c r="N83" s="670"/>
      <c r="O83" s="670"/>
      <c r="P83" s="670"/>
      <c r="Q83" s="670"/>
      <c r="R83" s="670"/>
      <c r="S83" s="670"/>
      <c r="T83" s="670"/>
      <c r="U83" s="670"/>
      <c r="V83" s="670"/>
      <c r="W83" s="670"/>
    </row>
    <row r="84" spans="1:23" s="607" customFormat="1" ht="15" customHeight="1" x14ac:dyDescent="0.2">
      <c r="A84" s="980"/>
      <c r="B84" s="670"/>
      <c r="C84" s="670"/>
      <c r="D84" s="670"/>
      <c r="E84" s="670"/>
      <c r="F84" s="670"/>
      <c r="G84" s="670"/>
      <c r="H84" s="670"/>
      <c r="I84" s="670"/>
      <c r="J84" s="670"/>
      <c r="K84" s="670"/>
      <c r="L84" s="670"/>
      <c r="M84" s="670"/>
      <c r="N84" s="670"/>
      <c r="O84" s="670"/>
      <c r="P84" s="670"/>
      <c r="Q84" s="670"/>
      <c r="R84" s="670"/>
      <c r="S84" s="670"/>
      <c r="T84" s="670"/>
      <c r="U84" s="670"/>
      <c r="V84" s="670"/>
      <c r="W84" s="670"/>
    </row>
    <row r="85" spans="1:23" s="607" customFormat="1" ht="15" customHeight="1" x14ac:dyDescent="0.2">
      <c r="A85" s="980"/>
      <c r="B85" s="670"/>
      <c r="C85" s="670"/>
      <c r="D85" s="670"/>
      <c r="E85" s="670"/>
      <c r="F85" s="670"/>
      <c r="G85" s="670"/>
      <c r="H85" s="682"/>
      <c r="I85" s="682"/>
      <c r="J85" s="682"/>
      <c r="K85" s="682"/>
      <c r="L85" s="682"/>
      <c r="M85" s="979" t="str">
        <f>ListAVS!$B$168</f>
        <v>Z powrotem</v>
      </c>
      <c r="N85" s="979"/>
      <c r="O85" s="670"/>
      <c r="P85" s="670"/>
      <c r="Q85" s="670"/>
      <c r="R85" s="670"/>
      <c r="S85" s="670"/>
      <c r="T85" s="670"/>
      <c r="U85" s="670"/>
      <c r="V85" s="670"/>
      <c r="W85" s="670"/>
    </row>
    <row r="86" spans="1:23" s="607" customFormat="1" ht="15" customHeight="1" x14ac:dyDescent="0.2">
      <c r="A86" s="980"/>
      <c r="B86" s="670"/>
      <c r="C86" s="670"/>
      <c r="D86" s="670"/>
      <c r="E86" s="670"/>
      <c r="F86" s="670"/>
      <c r="G86" s="670"/>
      <c r="H86" s="670"/>
      <c r="I86" s="670"/>
      <c r="J86" s="670"/>
      <c r="K86" s="670"/>
      <c r="L86" s="670"/>
      <c r="M86" s="670"/>
      <c r="N86" s="670"/>
      <c r="O86" s="670"/>
      <c r="P86" s="670"/>
      <c r="Q86" s="670"/>
      <c r="R86" s="670"/>
      <c r="S86" s="670"/>
      <c r="T86" s="670"/>
      <c r="U86" s="670"/>
      <c r="V86" s="670"/>
      <c r="W86" s="670"/>
    </row>
    <row r="87" spans="1:23" s="607" customFormat="1" ht="15" customHeight="1" x14ac:dyDescent="0.2">
      <c r="A87" s="980"/>
      <c r="B87" s="670"/>
      <c r="C87" s="670"/>
      <c r="D87" s="670"/>
      <c r="E87" s="670"/>
      <c r="F87" s="670"/>
      <c r="G87" s="670"/>
      <c r="H87" s="670"/>
      <c r="I87" s="670"/>
      <c r="J87" s="670"/>
      <c r="K87" s="670"/>
      <c r="L87" s="670"/>
      <c r="M87" s="670"/>
      <c r="N87" s="670"/>
      <c r="O87" s="670"/>
      <c r="P87" s="670"/>
      <c r="Q87" s="670"/>
      <c r="R87" s="670"/>
      <c r="S87" s="670"/>
      <c r="T87" s="670"/>
      <c r="U87" s="670"/>
      <c r="V87" s="670"/>
      <c r="W87" s="670"/>
    </row>
    <row r="88" spans="1:23" s="607" customFormat="1" ht="15" customHeight="1" x14ac:dyDescent="0.2">
      <c r="A88" s="980"/>
      <c r="B88" s="670"/>
      <c r="C88" s="670"/>
      <c r="D88" s="670"/>
      <c r="E88" s="670"/>
      <c r="F88" s="670"/>
      <c r="G88" s="670"/>
      <c r="H88" s="670"/>
      <c r="I88" s="670"/>
      <c r="J88" s="670"/>
      <c r="K88" s="670"/>
      <c r="L88" s="670"/>
      <c r="M88" s="670"/>
      <c r="N88" s="670"/>
      <c r="O88" s="670"/>
      <c r="P88" s="670"/>
      <c r="Q88" s="670"/>
      <c r="R88" s="670"/>
      <c r="S88" s="670"/>
      <c r="T88" s="670"/>
      <c r="U88" s="670"/>
      <c r="V88" s="670"/>
      <c r="W88" s="670"/>
    </row>
    <row r="89" spans="1:23" s="607" customFormat="1" ht="15" customHeight="1" x14ac:dyDescent="0.2">
      <c r="A89" s="980"/>
      <c r="B89" s="670"/>
      <c r="C89" s="670"/>
      <c r="D89" s="670"/>
      <c r="E89" s="670"/>
      <c r="F89" s="670"/>
      <c r="G89" s="670"/>
      <c r="H89" s="670"/>
      <c r="I89" s="670"/>
      <c r="J89" s="670"/>
      <c r="K89" s="670"/>
      <c r="L89" s="670"/>
      <c r="M89" s="670"/>
      <c r="N89" s="670"/>
      <c r="O89" s="670"/>
      <c r="P89" s="670"/>
      <c r="Q89" s="670"/>
      <c r="R89" s="670"/>
      <c r="S89" s="670"/>
      <c r="T89" s="670"/>
      <c r="U89" s="670"/>
      <c r="V89" s="670"/>
      <c r="W89" s="670"/>
    </row>
    <row r="90" spans="1:23" s="607" customFormat="1" ht="15" customHeight="1" x14ac:dyDescent="0.2">
      <c r="A90" s="980"/>
      <c r="B90" s="670"/>
      <c r="C90" s="670"/>
      <c r="D90" s="670"/>
      <c r="E90" s="670"/>
      <c r="F90" s="670"/>
      <c r="G90" s="670"/>
      <c r="H90" s="670"/>
      <c r="I90" s="670"/>
      <c r="J90" s="670"/>
      <c r="K90" s="670"/>
      <c r="L90" s="670"/>
      <c r="M90" s="670"/>
      <c r="N90" s="670"/>
      <c r="O90" s="670"/>
      <c r="P90" s="670"/>
      <c r="Q90" s="670"/>
      <c r="R90" s="670"/>
      <c r="S90" s="670"/>
      <c r="T90" s="670"/>
      <c r="U90" s="670"/>
      <c r="V90" s="670"/>
      <c r="W90" s="670"/>
    </row>
    <row r="91" spans="1:23" ht="12.75" x14ac:dyDescent="0.2">
      <c r="A91" s="980"/>
      <c r="B91" s="108"/>
      <c r="C91" s="108"/>
      <c r="D91" s="108"/>
      <c r="E91" s="108"/>
      <c r="F91" s="108"/>
      <c r="G91" s="108"/>
      <c r="H91" s="108"/>
      <c r="I91" s="108"/>
      <c r="J91" s="108"/>
      <c r="K91" s="108"/>
      <c r="L91" s="108"/>
      <c r="M91" s="108"/>
      <c r="N91" s="108"/>
      <c r="O91" s="108"/>
      <c r="P91" s="108"/>
      <c r="Q91" s="108"/>
      <c r="R91" s="108"/>
      <c r="S91" s="108"/>
      <c r="T91" s="108"/>
      <c r="U91" s="670"/>
      <c r="V91" s="108"/>
      <c r="W91" s="108"/>
    </row>
    <row r="92" spans="1:23" x14ac:dyDescent="0.2">
      <c r="A92" s="980"/>
      <c r="B92" s="108"/>
      <c r="C92" s="108"/>
      <c r="D92" s="108"/>
      <c r="E92" s="108"/>
      <c r="F92" s="108"/>
      <c r="G92" s="108"/>
      <c r="H92" s="108"/>
      <c r="I92" s="108"/>
      <c r="J92" s="108"/>
      <c r="K92" s="108"/>
      <c r="L92" s="108"/>
      <c r="M92" s="108"/>
      <c r="N92" s="108"/>
      <c r="O92" s="108"/>
      <c r="P92" s="108"/>
      <c r="Q92" s="108"/>
      <c r="R92" s="108"/>
      <c r="S92" s="108"/>
      <c r="T92" s="108"/>
      <c r="V92" s="108"/>
      <c r="W92" s="108"/>
    </row>
    <row r="93" spans="1:23" x14ac:dyDescent="0.2">
      <c r="A93" s="980"/>
      <c r="B93" s="108"/>
      <c r="C93" s="108"/>
      <c r="D93" s="108"/>
      <c r="E93" s="108"/>
      <c r="F93" s="108"/>
      <c r="G93" s="108"/>
      <c r="H93" s="108"/>
      <c r="I93" s="108"/>
      <c r="J93" s="108"/>
      <c r="K93" s="108"/>
      <c r="L93" s="108"/>
      <c r="M93" s="108"/>
      <c r="N93" s="108"/>
      <c r="O93" s="108"/>
      <c r="P93" s="108"/>
      <c r="Q93" s="108"/>
      <c r="R93" s="108"/>
      <c r="S93" s="108"/>
      <c r="T93" s="108"/>
      <c r="V93" s="108"/>
      <c r="W93" s="108"/>
    </row>
    <row r="94" spans="1:23" x14ac:dyDescent="0.2">
      <c r="A94" s="980"/>
      <c r="B94" s="108"/>
      <c r="C94" s="108"/>
      <c r="D94" s="108"/>
      <c r="E94" s="108"/>
      <c r="F94" s="108"/>
      <c r="G94" s="108"/>
      <c r="H94" s="108"/>
      <c r="I94" s="108"/>
      <c r="J94" s="108"/>
      <c r="K94" s="108"/>
      <c r="L94" s="108"/>
      <c r="M94" s="108"/>
      <c r="N94" s="108"/>
      <c r="O94" s="108"/>
      <c r="P94" s="108"/>
      <c r="Q94" s="108"/>
      <c r="R94" s="108"/>
      <c r="S94" s="108"/>
      <c r="T94" s="108"/>
      <c r="V94" s="108"/>
      <c r="W94" s="108"/>
    </row>
    <row r="95" spans="1:23" x14ac:dyDescent="0.2">
      <c r="A95" s="980"/>
      <c r="B95" s="108"/>
      <c r="C95" s="108"/>
      <c r="D95" s="108"/>
      <c r="E95" s="108"/>
      <c r="F95" s="108"/>
      <c r="G95" s="108"/>
      <c r="H95" s="108"/>
      <c r="I95" s="108"/>
      <c r="J95" s="108"/>
      <c r="K95" s="108"/>
      <c r="L95" s="108"/>
      <c r="M95" s="108"/>
      <c r="N95" s="108"/>
      <c r="O95" s="108"/>
      <c r="P95" s="108"/>
      <c r="Q95" s="108"/>
      <c r="R95" s="108"/>
      <c r="S95" s="108"/>
      <c r="T95" s="108"/>
      <c r="V95" s="108"/>
      <c r="W95" s="108"/>
    </row>
    <row r="96" spans="1:23" x14ac:dyDescent="0.2">
      <c r="A96" s="980"/>
      <c r="B96" s="108"/>
      <c r="C96" s="108"/>
      <c r="D96" s="108"/>
      <c r="E96" s="108"/>
      <c r="F96" s="108"/>
      <c r="G96" s="108"/>
      <c r="H96" s="108"/>
      <c r="I96" s="108"/>
      <c r="J96" s="108"/>
      <c r="K96" s="108"/>
      <c r="L96" s="108"/>
      <c r="M96" s="108"/>
      <c r="N96" s="108"/>
      <c r="O96" s="108"/>
      <c r="P96" s="108"/>
      <c r="Q96" s="108"/>
      <c r="R96" s="108"/>
      <c r="S96" s="108"/>
      <c r="T96" s="108"/>
      <c r="V96" s="108"/>
      <c r="W96" s="108"/>
    </row>
    <row r="97" spans="1:23" x14ac:dyDescent="0.2">
      <c r="A97" s="980"/>
      <c r="B97" s="108"/>
      <c r="C97" s="108"/>
      <c r="D97" s="108"/>
      <c r="E97" s="108"/>
      <c r="F97" s="108"/>
      <c r="G97" s="108"/>
      <c r="H97" s="108"/>
      <c r="I97" s="108"/>
      <c r="J97" s="108"/>
      <c r="K97" s="108"/>
      <c r="L97" s="108"/>
      <c r="M97" s="108"/>
      <c r="N97" s="108"/>
      <c r="O97" s="108"/>
      <c r="P97" s="108"/>
      <c r="Q97" s="108"/>
      <c r="R97" s="108"/>
      <c r="S97" s="108"/>
      <c r="T97" s="108"/>
      <c r="V97" s="108"/>
      <c r="W97" s="108"/>
    </row>
    <row r="98" spans="1:23" x14ac:dyDescent="0.2">
      <c r="A98" s="980"/>
      <c r="B98" s="108"/>
      <c r="C98" s="108"/>
      <c r="D98" s="108"/>
      <c r="E98" s="108"/>
      <c r="F98" s="108"/>
      <c r="G98" s="108"/>
      <c r="H98" s="108"/>
      <c r="I98" s="108"/>
      <c r="J98" s="108"/>
      <c r="K98" s="108"/>
      <c r="L98" s="108"/>
      <c r="M98" s="108"/>
      <c r="N98" s="108"/>
      <c r="O98" s="108"/>
      <c r="P98" s="108"/>
      <c r="Q98" s="108"/>
      <c r="R98" s="108"/>
      <c r="S98" s="108"/>
      <c r="T98" s="108"/>
      <c r="V98" s="108"/>
      <c r="W98" s="108"/>
    </row>
    <row r="99" spans="1:23" x14ac:dyDescent="0.2">
      <c r="A99" s="980"/>
      <c r="B99" s="108"/>
      <c r="C99" s="108"/>
      <c r="D99" s="108"/>
      <c r="E99" s="108"/>
      <c r="F99" s="108"/>
      <c r="G99" s="108"/>
      <c r="H99" s="108"/>
      <c r="I99" s="108"/>
      <c r="J99" s="108"/>
      <c r="K99" s="108"/>
      <c r="L99" s="108"/>
      <c r="M99" s="108"/>
      <c r="N99" s="108"/>
      <c r="O99" s="108"/>
      <c r="P99" s="108"/>
      <c r="Q99" s="108"/>
      <c r="R99" s="108"/>
      <c r="S99" s="108"/>
      <c r="T99" s="108"/>
      <c r="V99" s="108"/>
      <c r="W99" s="108"/>
    </row>
    <row r="100" spans="1:23" x14ac:dyDescent="0.2">
      <c r="A100" s="980"/>
      <c r="B100" s="108"/>
      <c r="C100" s="108"/>
      <c r="D100" s="108"/>
      <c r="E100" s="108"/>
      <c r="F100" s="108"/>
      <c r="G100" s="108"/>
      <c r="H100" s="108"/>
      <c r="I100" s="108"/>
      <c r="J100" s="108"/>
      <c r="K100" s="108"/>
      <c r="L100" s="108"/>
      <c r="M100" s="108"/>
      <c r="N100" s="108"/>
      <c r="O100" s="108"/>
      <c r="P100" s="108"/>
      <c r="Q100" s="108"/>
      <c r="R100" s="108"/>
      <c r="S100" s="108"/>
      <c r="T100" s="108"/>
      <c r="V100" s="108"/>
      <c r="W100" s="108"/>
    </row>
    <row r="101" spans="1:23" x14ac:dyDescent="0.2">
      <c r="A101" s="980"/>
      <c r="B101" s="108"/>
      <c r="C101" s="108"/>
      <c r="D101" s="108"/>
      <c r="E101" s="108"/>
      <c r="F101" s="108"/>
      <c r="G101" s="108"/>
      <c r="H101" s="108"/>
      <c r="I101" s="108"/>
      <c r="J101" s="108"/>
      <c r="K101" s="108"/>
      <c r="L101" s="108"/>
      <c r="M101" s="108"/>
      <c r="N101" s="108"/>
      <c r="O101" s="108"/>
      <c r="P101" s="108"/>
      <c r="Q101" s="108"/>
      <c r="R101" s="108"/>
      <c r="S101" s="108"/>
      <c r="T101" s="108"/>
      <c r="V101" s="108"/>
      <c r="W101" s="108"/>
    </row>
    <row r="102" spans="1:23" x14ac:dyDescent="0.2">
      <c r="A102" s="980"/>
      <c r="B102" s="108"/>
      <c r="C102" s="108"/>
      <c r="D102" s="108"/>
      <c r="E102" s="108"/>
      <c r="F102" s="108"/>
      <c r="G102" s="108"/>
      <c r="H102" s="108"/>
      <c r="I102" s="108"/>
      <c r="J102" s="108"/>
      <c r="K102" s="108"/>
      <c r="L102" s="108"/>
      <c r="M102" s="108"/>
      <c r="N102" s="108"/>
      <c r="O102" s="108"/>
      <c r="P102" s="108"/>
      <c r="Q102" s="108"/>
      <c r="R102" s="108"/>
      <c r="S102" s="108"/>
      <c r="T102" s="108"/>
      <c r="V102" s="108"/>
      <c r="W102" s="108"/>
    </row>
    <row r="103" spans="1:23" x14ac:dyDescent="0.2">
      <c r="A103" s="980"/>
      <c r="B103" s="108"/>
      <c r="C103" s="108"/>
      <c r="D103" s="108"/>
      <c r="E103" s="108"/>
      <c r="F103" s="108"/>
      <c r="G103" s="108"/>
      <c r="H103" s="108"/>
      <c r="I103" s="108"/>
      <c r="J103" s="108"/>
      <c r="K103" s="108"/>
      <c r="L103" s="108"/>
      <c r="M103" s="108"/>
      <c r="N103" s="108"/>
      <c r="O103" s="108"/>
      <c r="P103" s="108"/>
      <c r="Q103" s="108"/>
      <c r="R103" s="108"/>
      <c r="S103" s="108"/>
      <c r="T103" s="108"/>
      <c r="V103" s="108"/>
      <c r="W103" s="108"/>
    </row>
    <row r="104" spans="1:23" x14ac:dyDescent="0.2">
      <c r="A104" s="980"/>
      <c r="B104" s="108"/>
      <c r="C104" s="108"/>
      <c r="D104" s="108"/>
      <c r="E104" s="108"/>
      <c r="F104" s="108"/>
      <c r="G104" s="108"/>
      <c r="H104" s="108"/>
      <c r="I104" s="108"/>
      <c r="J104" s="108"/>
      <c r="K104" s="108"/>
      <c r="L104" s="108"/>
      <c r="M104" s="108"/>
      <c r="N104" s="108"/>
      <c r="O104" s="108"/>
      <c r="P104" s="108"/>
      <c r="Q104" s="108"/>
      <c r="R104" s="108"/>
      <c r="S104" s="108"/>
      <c r="T104" s="108"/>
      <c r="V104" s="108"/>
      <c r="W104" s="108"/>
    </row>
    <row r="105" spans="1:23" x14ac:dyDescent="0.2">
      <c r="A105" s="980"/>
      <c r="B105" s="108"/>
      <c r="C105" s="108"/>
      <c r="D105" s="108"/>
      <c r="E105" s="108"/>
      <c r="F105" s="108"/>
      <c r="G105" s="108"/>
      <c r="H105" s="108"/>
      <c r="I105" s="108"/>
      <c r="J105" s="108"/>
      <c r="K105" s="108"/>
      <c r="L105" s="108"/>
      <c r="M105" s="108"/>
      <c r="N105" s="108"/>
      <c r="O105" s="108"/>
      <c r="P105" s="108"/>
      <c r="Q105" s="108"/>
      <c r="R105" s="108"/>
      <c r="S105" s="108"/>
      <c r="T105" s="108"/>
      <c r="V105" s="108"/>
      <c r="W105" s="108"/>
    </row>
    <row r="106" spans="1:23" x14ac:dyDescent="0.2">
      <c r="A106" s="980"/>
      <c r="B106" s="108"/>
      <c r="C106" s="108"/>
      <c r="D106" s="108"/>
      <c r="E106" s="108"/>
      <c r="F106" s="108"/>
      <c r="G106" s="108"/>
      <c r="H106" s="108"/>
      <c r="I106" s="108"/>
      <c r="J106" s="108"/>
      <c r="K106" s="108"/>
      <c r="L106" s="108"/>
      <c r="M106" s="108"/>
      <c r="N106" s="108"/>
      <c r="O106" s="108"/>
      <c r="P106" s="108"/>
      <c r="Q106" s="108"/>
      <c r="R106" s="108"/>
      <c r="S106" s="108"/>
      <c r="T106" s="108"/>
      <c r="V106" s="108"/>
      <c r="W106" s="108"/>
    </row>
    <row r="107" spans="1:23" x14ac:dyDescent="0.2">
      <c r="A107" s="980"/>
      <c r="B107" s="108"/>
      <c r="C107" s="108"/>
      <c r="D107" s="108"/>
      <c r="E107" s="108"/>
      <c r="F107" s="108"/>
      <c r="G107" s="108"/>
      <c r="H107" s="108"/>
      <c r="I107" s="108"/>
      <c r="J107" s="108"/>
      <c r="K107" s="108"/>
      <c r="L107" s="108"/>
      <c r="M107" s="108"/>
      <c r="N107" s="108"/>
      <c r="O107" s="108"/>
      <c r="P107" s="108"/>
      <c r="Q107" s="108"/>
      <c r="R107" s="108"/>
      <c r="S107" s="108"/>
      <c r="T107" s="108"/>
      <c r="V107" s="108"/>
      <c r="W107" s="108"/>
    </row>
    <row r="108" spans="1:23" x14ac:dyDescent="0.2">
      <c r="A108" s="980"/>
      <c r="B108" s="108"/>
      <c r="C108" s="108"/>
      <c r="D108" s="108"/>
      <c r="E108" s="108"/>
      <c r="F108" s="108"/>
      <c r="G108" s="108"/>
      <c r="H108" s="108"/>
      <c r="I108" s="108"/>
      <c r="J108" s="108"/>
      <c r="K108" s="108"/>
      <c r="L108" s="108"/>
      <c r="M108" s="108"/>
      <c r="N108" s="108"/>
      <c r="O108" s="108"/>
      <c r="P108" s="108"/>
      <c r="Q108" s="108"/>
      <c r="R108" s="108"/>
      <c r="S108" s="108"/>
      <c r="T108" s="108"/>
      <c r="V108" s="108"/>
      <c r="W108" s="108"/>
    </row>
    <row r="109" spans="1:23" x14ac:dyDescent="0.2">
      <c r="A109" s="980"/>
      <c r="B109" s="108"/>
      <c r="C109" s="108"/>
      <c r="D109" s="108"/>
      <c r="E109" s="108"/>
      <c r="F109" s="108"/>
      <c r="G109" s="108"/>
      <c r="H109" s="108"/>
      <c r="I109" s="108"/>
      <c r="J109" s="108"/>
      <c r="K109" s="108"/>
      <c r="L109" s="108"/>
      <c r="M109" s="108"/>
      <c r="N109" s="108"/>
      <c r="O109" s="108"/>
      <c r="P109" s="108"/>
      <c r="Q109" s="108"/>
      <c r="R109" s="108"/>
      <c r="S109" s="108"/>
      <c r="T109" s="108"/>
      <c r="V109" s="108"/>
      <c r="W109" s="108"/>
    </row>
    <row r="110" spans="1:23" x14ac:dyDescent="0.2">
      <c r="A110" s="980"/>
      <c r="B110" s="108"/>
      <c r="C110" s="108"/>
      <c r="D110" s="108"/>
      <c r="E110" s="108"/>
      <c r="F110" s="108"/>
      <c r="G110" s="108"/>
      <c r="H110" s="108"/>
      <c r="I110" s="108"/>
      <c r="J110" s="108"/>
      <c r="K110" s="108"/>
      <c r="L110" s="108"/>
      <c r="M110" s="108"/>
      <c r="N110" s="108"/>
      <c r="O110" s="108"/>
      <c r="P110" s="108"/>
      <c r="Q110" s="108"/>
      <c r="R110" s="108"/>
      <c r="S110" s="108"/>
      <c r="T110" s="108"/>
      <c r="V110" s="108"/>
      <c r="W110" s="108"/>
    </row>
  </sheetData>
  <sheetProtection algorithmName="SHA-512" hashValue="Jvj51p6ZhCQVEl9niPueZ1fTV+Uq265ibX6CTUboyrCWoKE/FKpDP1jLcwfNfO31RWLn+cTf3HKKdyiZ3O2XHQ==" saltValue="V4/RnkS1jLvrZcDvfA4VJw==" spinCount="100000" sheet="1" objects="1" scenarios="1" selectLockedCells="1"/>
  <mergeCells count="11">
    <mergeCell ref="H23:I23"/>
    <mergeCell ref="A69:A110"/>
    <mergeCell ref="M85:N85"/>
    <mergeCell ref="B7:C7"/>
    <mergeCell ref="D7:E7"/>
    <mergeCell ref="B8:C8"/>
    <mergeCell ref="D8:E8"/>
    <mergeCell ref="B10:F12"/>
    <mergeCell ref="B23:C23"/>
    <mergeCell ref="E23:F23"/>
    <mergeCell ref="B26:D26"/>
  </mergeCells>
  <hyperlinks>
    <hyperlink ref="U6" location="HKS!A70" tooltip=" " display="HKS!A70" xr:uid="{245DC51E-2620-4492-924B-0E9181CCCD0A}"/>
    <hyperlink ref="M85" location="HF!A1" tooltip=" " display="HF!A1" xr:uid="{8CDBF367-E6C7-44A1-AF93-26FB5748D48A}"/>
    <hyperlink ref="M85:N85" location="HKS!A1" tooltip=" " display="HKS!A1" xr:uid="{44B26E00-C8D6-4A98-9482-3AD22A8AB851}"/>
    <hyperlink ref="B23:C23" location="HKiw!A1" tooltip=" " display="HKiw!A1" xr:uid="{8194C6A8-057D-4D63-B3AF-D964054AEF6C}"/>
    <hyperlink ref="E23:F23" location="HKSwa!A1" tooltip=" " display="HKSwa!A1" xr:uid="{CEA78164-A1BC-4EDD-9C4B-5F78C8C7B96A}"/>
    <hyperlink ref="H23:I23" location="HKSna!A1" tooltip=" " display="HKSna!A1" xr:uid="{44B2E165-615E-4B97-8DD8-C5A4DD881566}"/>
    <hyperlink ref="U10" location="SumAVS!A1" tooltip=" " display="SumAVS!A1" xr:uid="{D019FFC1-A6D9-4173-8166-111F94BB117E}"/>
    <hyperlink ref="U11" location="OrdAVS!A1" tooltip=" " display="OrdAVS!A1" xr:uid="{3D463638-88B6-4666-94AF-4440309C1908}"/>
    <hyperlink ref="U5" location="MenuAVS!A1" tooltip=" " display="MenuAVS!A1" xr:uid="{0DDDF24A-6288-4C2E-906D-9C99CAB2F22B}"/>
    <hyperlink ref="U8" location="AcsAVS!A1" tooltip=" " display="AcsAVS!A1" xr:uid="{B3D6A3D8-1B1C-4618-8693-A897F67C3811}"/>
  </hyperlinks>
  <pageMargins left="0.7" right="0.7" top="0.78740157499999996" bottom="0.78740157499999996" header="0.3" footer="0.3"/>
  <pageSetup paperSize="9" orientation="portrait" horizontalDpi="4294967293"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178177" r:id="rId4" name="Drop Down 1">
              <controlPr defaultSize="0" autoLine="0" autoPict="0">
                <anchor moveWithCells="1">
                  <from>
                    <xdr:col>4</xdr:col>
                    <xdr:colOff>0</xdr:colOff>
                    <xdr:row>25</xdr:row>
                    <xdr:rowOff>0</xdr:rowOff>
                  </from>
                  <to>
                    <xdr:col>5</xdr:col>
                    <xdr:colOff>790575</xdr:colOff>
                    <xdr:row>26</xdr:row>
                    <xdr:rowOff>9525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6CDD890B7AB3104B8F8E54B5B6FBE4BE" ma:contentTypeVersion="10" ma:contentTypeDescription="Vytvoří nový dokument" ma:contentTypeScope="" ma:versionID="2bac7c2294ef27f695ed26499b53a7ae">
  <xsd:schema xmlns:xsd="http://www.w3.org/2001/XMLSchema" xmlns:xs="http://www.w3.org/2001/XMLSchema" xmlns:p="http://schemas.microsoft.com/office/2006/metadata/properties" xmlns:ns2="7bb04f4f-329e-42c6-806e-81d0658dc000" xmlns:ns3="2bfe1e54-4726-4e0c-8211-d2e80312bce4" targetNamespace="http://schemas.microsoft.com/office/2006/metadata/properties" ma:root="true" ma:fieldsID="81f4cdeb62b12c4b89224cde9e304131" ns2:_="" ns3:_="">
    <xsd:import namespace="7bb04f4f-329e-42c6-806e-81d0658dc000"/>
    <xsd:import namespace="2bfe1e54-4726-4e0c-8211-d2e80312bce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3:SharedWithUsers" minOccurs="0"/>
                <xsd:element ref="ns3:SharedWithDetails" minOccurs="0"/>
                <xsd:element ref="ns2:MediaServiceLocatio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b04f4f-329e-42c6-806e-81d0658dc0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bfe1e54-4726-4e0c-8211-d2e80312bce4" elementFormDefault="qualified">
    <xsd:import namespace="http://schemas.microsoft.com/office/2006/documentManagement/types"/>
    <xsd:import namespace="http://schemas.microsoft.com/office/infopath/2007/PartnerControls"/>
    <xsd:element name="SharedWithUsers" ma:index="13"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545FE20-BD24-44D8-93A4-C9030CC20D2B}">
  <ds:schemaRefs>
    <ds:schemaRef ds:uri="http://schemas.microsoft.com/sharepoint/v3/contenttype/forms"/>
  </ds:schemaRefs>
</ds:datastoreItem>
</file>

<file path=customXml/itemProps2.xml><?xml version="1.0" encoding="utf-8"?>
<ds:datastoreItem xmlns:ds="http://schemas.openxmlformats.org/officeDocument/2006/customXml" ds:itemID="{31B7F229-04E7-4D64-B4A6-1F2540EAB3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b04f4f-329e-42c6-806e-81d0658dc000"/>
    <ds:schemaRef ds:uri="2bfe1e54-4726-4e0c-8211-d2e80312bc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9ED4B6B-BE85-4BC7-944C-0F09C3C822A9}">
  <ds:schemaRefs>
    <ds:schemaRef ds:uri="http://purl.org/dc/elements/1.1/"/>
    <ds:schemaRef ds:uri="http://schemas.microsoft.com/office/2006/metadata/properties"/>
    <ds:schemaRef ds:uri="http://purl.org/dc/terms/"/>
    <ds:schemaRef ds:uri="http://schemas.microsoft.com/office/2006/documentManagement/types"/>
    <ds:schemaRef ds:uri="7bb04f4f-329e-42c6-806e-81d0658dc000"/>
    <ds:schemaRef ds:uri="http://purl.org/dc/dcmitype/"/>
    <ds:schemaRef ds:uri="http://schemas.microsoft.com/office/infopath/2007/PartnerControls"/>
    <ds:schemaRef ds:uri="2bfe1e54-4726-4e0c-8211-d2e80312bce4"/>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47</vt:i4>
      </vt:variant>
      <vt:variant>
        <vt:lpstr>Pojmenované oblasti</vt:lpstr>
      </vt:variant>
      <vt:variant>
        <vt:i4>42</vt:i4>
      </vt:variant>
    </vt:vector>
  </HeadingPairs>
  <TitlesOfParts>
    <vt:vector size="89" baseType="lpstr">
      <vt:lpstr>Form</vt:lpstr>
      <vt:lpstr>MenuAVS</vt:lpstr>
      <vt:lpstr>HF</vt:lpstr>
      <vt:lpstr>HS</vt:lpstr>
      <vt:lpstr>HL</vt:lpstr>
      <vt:lpstr>HK</vt:lpstr>
      <vt:lpstr>HKS</vt:lpstr>
      <vt:lpstr>HKXS</vt:lpstr>
      <vt:lpstr>HKi</vt:lpstr>
      <vt:lpstr>HFw</vt:lpstr>
      <vt:lpstr>HFwa</vt:lpstr>
      <vt:lpstr>HFw_wa</vt:lpstr>
      <vt:lpstr>HFwa_w</vt:lpstr>
      <vt:lpstr>HFna</vt:lpstr>
      <vt:lpstr>HFw_na</vt:lpstr>
      <vt:lpstr>HFna_w</vt:lpstr>
      <vt:lpstr>HSw</vt:lpstr>
      <vt:lpstr>HSwa</vt:lpstr>
      <vt:lpstr>HSna</vt:lpstr>
      <vt:lpstr>HSt</vt:lpstr>
      <vt:lpstr>HLw</vt:lpstr>
      <vt:lpstr>HLwa</vt:lpstr>
      <vt:lpstr>HLna</vt:lpstr>
      <vt:lpstr>HLt</vt:lpstr>
      <vt:lpstr>HKw</vt:lpstr>
      <vt:lpstr>HKwa</vt:lpstr>
      <vt:lpstr>HKna</vt:lpstr>
      <vt:lpstr>HKt</vt:lpstr>
      <vt:lpstr>HKSw</vt:lpstr>
      <vt:lpstr>HKSwa</vt:lpstr>
      <vt:lpstr>HKSna</vt:lpstr>
      <vt:lpstr>HKSt</vt:lpstr>
      <vt:lpstr>HKXSw</vt:lpstr>
      <vt:lpstr>HKXSwa</vt:lpstr>
      <vt:lpstr>HKXSna</vt:lpstr>
      <vt:lpstr>HKXSt</vt:lpstr>
      <vt:lpstr>HKiw</vt:lpstr>
      <vt:lpstr>HKiwa</vt:lpstr>
      <vt:lpstr>HKina</vt:lpstr>
      <vt:lpstr>AcsAVS</vt:lpstr>
      <vt:lpstr>SumAVS</vt:lpstr>
      <vt:lpstr>OrdAVS</vt:lpstr>
      <vt:lpstr>ListAVS</vt:lpstr>
      <vt:lpstr>Zones</vt:lpstr>
      <vt:lpstr>CenAVS</vt:lpstr>
      <vt:lpstr>Param</vt:lpstr>
      <vt:lpstr>Price</vt:lpstr>
      <vt:lpstr>Price!Extrakce</vt:lpstr>
      <vt:lpstr>AcsAVS!Oblast_tisku</vt:lpstr>
      <vt:lpstr>HF!Oblast_tisku</vt:lpstr>
      <vt:lpstr>HFna!Oblast_tisku</vt:lpstr>
      <vt:lpstr>HFna_w!Oblast_tisku</vt:lpstr>
      <vt:lpstr>HFw!Oblast_tisku</vt:lpstr>
      <vt:lpstr>HFw_na!Oblast_tisku</vt:lpstr>
      <vt:lpstr>HFw_wa!Oblast_tisku</vt:lpstr>
      <vt:lpstr>HFwa!Oblast_tisku</vt:lpstr>
      <vt:lpstr>HFwa_w!Oblast_tisku</vt:lpstr>
      <vt:lpstr>HK!Oblast_tisku</vt:lpstr>
      <vt:lpstr>HKi!Oblast_tisku</vt:lpstr>
      <vt:lpstr>HKina!Oblast_tisku</vt:lpstr>
      <vt:lpstr>HKiw!Oblast_tisku</vt:lpstr>
      <vt:lpstr>HKiwa!Oblast_tisku</vt:lpstr>
      <vt:lpstr>HKna!Oblast_tisku</vt:lpstr>
      <vt:lpstr>HKS!Oblast_tisku</vt:lpstr>
      <vt:lpstr>HKSna!Oblast_tisku</vt:lpstr>
      <vt:lpstr>HKSt!Oblast_tisku</vt:lpstr>
      <vt:lpstr>HKSw!Oblast_tisku</vt:lpstr>
      <vt:lpstr>HKSwa!Oblast_tisku</vt:lpstr>
      <vt:lpstr>HKt!Oblast_tisku</vt:lpstr>
      <vt:lpstr>HKw!Oblast_tisku</vt:lpstr>
      <vt:lpstr>HKwa!Oblast_tisku</vt:lpstr>
      <vt:lpstr>HKXS!Oblast_tisku</vt:lpstr>
      <vt:lpstr>HKXSna!Oblast_tisku</vt:lpstr>
      <vt:lpstr>HKXSt!Oblast_tisku</vt:lpstr>
      <vt:lpstr>HKXSw!Oblast_tisku</vt:lpstr>
      <vt:lpstr>HKXSwa!Oblast_tisku</vt:lpstr>
      <vt:lpstr>HL!Oblast_tisku</vt:lpstr>
      <vt:lpstr>HLna!Oblast_tisku</vt:lpstr>
      <vt:lpstr>HLt!Oblast_tisku</vt:lpstr>
      <vt:lpstr>HLw!Oblast_tisku</vt:lpstr>
      <vt:lpstr>HLwa!Oblast_tisku</vt:lpstr>
      <vt:lpstr>HS!Oblast_tisku</vt:lpstr>
      <vt:lpstr>HSna!Oblast_tisku</vt:lpstr>
      <vt:lpstr>HSt!Oblast_tisku</vt:lpstr>
      <vt:lpstr>HSw!Oblast_tisku</vt:lpstr>
      <vt:lpstr>HSwa!Oblast_tisku</vt:lpstr>
      <vt:lpstr>MenuAVS!Oblast_tisku</vt:lpstr>
      <vt:lpstr>OrdAVS!Oblast_tisku</vt:lpstr>
      <vt:lpstr>SumAVS!Oblast_tisku</vt:lpstr>
    </vt:vector>
  </TitlesOfParts>
  <Manager/>
  <Company>Blum s.r.o.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AVENTPLAN</dc:title>
  <dc:subject/>
  <dc:creator>Richard Sajdl</dc:creator>
  <cp:keywords/>
  <dc:description/>
  <cp:lastModifiedBy>Slaběňák Jiří</cp:lastModifiedBy>
  <cp:revision/>
  <cp:lastPrinted>2023-11-10T10:30:05Z</cp:lastPrinted>
  <dcterms:created xsi:type="dcterms:W3CDTF">2013-03-11T16:03:23Z</dcterms:created>
  <dcterms:modified xsi:type="dcterms:W3CDTF">2025-02-21T11:12:32Z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0x0101006CDD890B7AB3104B8F8E54B5B6FBE4BE</vt:lpwstr>
  </property>
</Properties>
</file>